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codeName="ThisWorkbook" defaultThemeVersion="166925"/>
  <mc:AlternateContent xmlns:mc="http://schemas.openxmlformats.org/markup-compatibility/2006">
    <mc:Choice Requires="x15">
      <x15ac:absPath xmlns:x15ac="http://schemas.microsoft.com/office/spreadsheetml/2010/11/ac" url="/Users/gabriel5leonard/Desktop/University/2022 S2/MECH3460/A2/"/>
    </mc:Choice>
  </mc:AlternateContent>
  <xr:revisionPtr revIDLastSave="0" documentId="13_ncr:1_{9FC17AAD-73F3-434E-8A6E-64EC64831164}" xr6:coauthVersionLast="47" xr6:coauthVersionMax="47" xr10:uidLastSave="{00000000-0000-0000-0000-000000000000}"/>
  <bookViews>
    <workbookView xWindow="0" yWindow="0" windowWidth="28800" windowHeight="18000" activeTab="1" xr2:uid="{3C0D3099-13C6-E747-AF5D-34C799977B30}"/>
  </bookViews>
  <sheets>
    <sheet name="Part A" sheetId="1" r:id="rId1"/>
    <sheet name="Part B" sheetId="2" r:id="rId2"/>
  </sheets>
  <externalReferences>
    <externalReference r:id="rId3"/>
  </externalReferences>
  <definedNames>
    <definedName name="A" localSheetId="1">'Part B'!$C$38</definedName>
    <definedName name="alpha" localSheetId="1">'Part B'!$D$24</definedName>
    <definedName name="b" localSheetId="0">'Part A'!$D$47</definedName>
    <definedName name="BL" localSheetId="1">'Part B'!$C$11</definedName>
    <definedName name="BL">'Part A'!$C$11</definedName>
    <definedName name="Bn" localSheetId="1">'Part B'!$C$21</definedName>
    <definedName name="d" localSheetId="0">'Part A'!$C$47</definedName>
    <definedName name="d" localSheetId="1">'Part B'!$C$8</definedName>
    <definedName name="delta_max" localSheetId="0">'Part A'!$C$33</definedName>
    <definedName name="dw">'Part B'!$C$9</definedName>
    <definedName name="E" localSheetId="0">'Part A'!$C$26</definedName>
    <definedName name="E" localSheetId="1">'Part B'!$C$33</definedName>
    <definedName name="F" localSheetId="0">'Part A'!$C$18</definedName>
    <definedName name="F">'Part B'!$C$15</definedName>
    <definedName name="Fmin">'Part B'!$C$14</definedName>
    <definedName name="FS" localSheetId="0">'Part A'!$C$15</definedName>
    <definedName name="FS" localSheetId="1">'Part B'!$C$18</definedName>
    <definedName name="ft" localSheetId="0">'Part A'!$F$65</definedName>
    <definedName name="G" localSheetId="0">'Part A'!$C$27</definedName>
    <definedName name="Jw" localSheetId="0">'Part A'!$C$54</definedName>
    <definedName name="kb" localSheetId="1">'Part B'!$C$83</definedName>
    <definedName name="km" localSheetId="1">'Part B'!$C$82</definedName>
    <definedName name="L" localSheetId="0">'Part A'!$C$11</definedName>
    <definedName name="l" localSheetId="1">'Part B'!$C$7</definedName>
    <definedName name="lp" localSheetId="0">'Part A'!$C$55</definedName>
    <definedName name="M" localSheetId="0">'Part A'!$C$56</definedName>
    <definedName name="M">'Part B'!$C$41</definedName>
    <definedName name="Mmin">'Part B'!$C$40</definedName>
    <definedName name="msr">'Part B'!$C$17</definedName>
    <definedName name="OR" localSheetId="0">'Part A'!$C$12</definedName>
    <definedName name="P">'Part B'!$C$43</definedName>
    <definedName name="Pmin" localSheetId="1">'Part B'!$C$44</definedName>
    <definedName name="pr">'Part B'!$C$20</definedName>
    <definedName name="prf">'Part B'!$C$39</definedName>
    <definedName name="rat" localSheetId="1">'Part B'!$C$84</definedName>
    <definedName name="rel" localSheetId="1">'Part B'!$C$19</definedName>
    <definedName name="rx" localSheetId="0">'Part A'!$C$61</definedName>
    <definedName name="ry" localSheetId="0">'Part A'!$D$61</definedName>
    <definedName name="Se" localSheetId="1">'Part B'!$C$35</definedName>
    <definedName name="SID" localSheetId="1">'Part B'!$M$3</definedName>
    <definedName name="SID">'[1]Part A'!$J$3</definedName>
    <definedName name="solver_adj" localSheetId="0" hidden="1">'Part A'!$C$15</definedName>
    <definedName name="solver_adj" localSheetId="1" hidden="1">'Part B'!$C$21</definedName>
    <definedName name="solver_cvg" localSheetId="0" hidden="1">0.0001</definedName>
    <definedName name="solver_cvg" localSheetId="1" hidden="1">0.0001</definedName>
    <definedName name="solver_drv" localSheetId="0" hidden="1">1</definedName>
    <definedName name="solver_drv" localSheetId="1" hidden="1">1</definedName>
    <definedName name="solver_eng" localSheetId="0" hidden="1">1</definedName>
    <definedName name="solver_eng" localSheetId="1" hidden="1">1</definedName>
    <definedName name="solver_itr" localSheetId="0" hidden="1">2147483647</definedName>
    <definedName name="solver_itr" localSheetId="1" hidden="1">2147483647</definedName>
    <definedName name="solver_lhs1" localSheetId="1" hidden="1">'Part B'!$C$8</definedName>
    <definedName name="solver_lin" localSheetId="0" hidden="1">2</definedName>
    <definedName name="solver_lin" localSheetId="1" hidden="1">2</definedName>
    <definedName name="solver_mip" localSheetId="0" hidden="1">2147483647</definedName>
    <definedName name="solver_mip" localSheetId="1" hidden="1">2147483647</definedName>
    <definedName name="solver_mni" localSheetId="0" hidden="1">30</definedName>
    <definedName name="solver_mni" localSheetId="1" hidden="1">30</definedName>
    <definedName name="solver_mrt" localSheetId="0" hidden="1">0.075</definedName>
    <definedName name="solver_mrt" localSheetId="1" hidden="1">0.075</definedName>
    <definedName name="solver_msl" localSheetId="0" hidden="1">2</definedName>
    <definedName name="solver_msl" localSheetId="1" hidden="1">2</definedName>
    <definedName name="solver_neg" localSheetId="0" hidden="1">1</definedName>
    <definedName name="solver_neg" localSheetId="1" hidden="1">1</definedName>
    <definedName name="solver_nod" localSheetId="0" hidden="1">2147483647</definedName>
    <definedName name="solver_nod" localSheetId="1" hidden="1">2147483647</definedName>
    <definedName name="solver_num" localSheetId="0" hidden="1">0</definedName>
    <definedName name="solver_num" localSheetId="1" hidden="1">1</definedName>
    <definedName name="solver_opt" localSheetId="0" hidden="1">'Part A'!$C$69</definedName>
    <definedName name="solver_opt" localSheetId="1" hidden="1">'Part B'!$C$105</definedName>
    <definedName name="solver_pre" localSheetId="0" hidden="1">0.000001</definedName>
    <definedName name="solver_pre" localSheetId="1" hidden="1">0.000001</definedName>
    <definedName name="solver_rbv" localSheetId="0" hidden="1">1</definedName>
    <definedName name="solver_rbv" localSheetId="1" hidden="1">1</definedName>
    <definedName name="solver_rel1" localSheetId="1" hidden="1">3</definedName>
    <definedName name="solver_rhs1" localSheetId="1" hidden="1">0</definedName>
    <definedName name="solver_rlx" localSheetId="0" hidden="1">2</definedName>
    <definedName name="solver_rlx" localSheetId="1" hidden="1">1</definedName>
    <definedName name="solver_rsd" localSheetId="0" hidden="1">0</definedName>
    <definedName name="solver_rsd" localSheetId="1" hidden="1">0</definedName>
    <definedName name="solver_scl" localSheetId="0" hidden="1">1</definedName>
    <definedName name="solver_scl" localSheetId="1" hidden="1">2</definedName>
    <definedName name="solver_sho" localSheetId="0" hidden="1">2</definedName>
    <definedName name="solver_sho" localSheetId="1" hidden="1">2</definedName>
    <definedName name="solver_ssz" localSheetId="0" hidden="1">100</definedName>
    <definedName name="solver_ssz" localSheetId="1" hidden="1">100</definedName>
    <definedName name="solver_tim" localSheetId="0" hidden="1">2147483647</definedName>
    <definedName name="solver_tim" localSheetId="1" hidden="1">2147483647</definedName>
    <definedName name="solver_tol" localSheetId="0" hidden="1">0.01</definedName>
    <definedName name="solver_tol" localSheetId="1" hidden="1">0.01</definedName>
    <definedName name="solver_typ" localSheetId="0" hidden="1">3</definedName>
    <definedName name="solver_typ" localSheetId="1" hidden="1">3</definedName>
    <definedName name="solver_val" localSheetId="0" hidden="1">6</definedName>
    <definedName name="solver_val" localSheetId="1" hidden="1">0</definedName>
    <definedName name="solver_ver" localSheetId="0" hidden="1">2</definedName>
    <definedName name="solver_ver" localSheetId="1" hidden="1">2</definedName>
    <definedName name="Sp" localSheetId="1">'Part B'!$C$34</definedName>
    <definedName name="Sy" localSheetId="1">'Part B'!$C$32</definedName>
    <definedName name="T" localSheetId="0">'Part A'!$C$30</definedName>
    <definedName name="tall" localSheetId="0">'Part A'!$C$67</definedName>
    <definedName name="th" localSheetId="0">'Part A'!$E$47</definedName>
    <definedName name="theta_max">'Part A'!$C$34</definedName>
    <definedName name="UTS" localSheetId="1">'Part B'!$C$31</definedName>
    <definedName name="Yoall" localSheetId="1">'Part B'!$C$10</definedName>
    <definedName name="Z">'Part B'!$C$42</definedName>
    <definedName name="Zw" localSheetId="0">'Part A'!$C$53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4" i="2" l="1"/>
  <c r="F34" i="2"/>
  <c r="D34" i="2"/>
  <c r="C32" i="2"/>
  <c r="C33" i="2"/>
  <c r="C35" i="2"/>
  <c r="C31" i="2"/>
  <c r="B59" i="2" s="1"/>
  <c r="B57" i="2" s="1"/>
  <c r="D69" i="2"/>
  <c r="D70" i="2" s="1"/>
  <c r="C38" i="2"/>
  <c r="C7" i="2"/>
  <c r="C40" i="2"/>
  <c r="C41" i="2"/>
  <c r="B2" i="1"/>
  <c r="C9" i="2"/>
  <c r="D24" i="2"/>
  <c r="C10" i="2" s="1"/>
  <c r="C42" i="2" s="1"/>
  <c r="H46" i="1"/>
  <c r="H41" i="1"/>
  <c r="H43" i="1"/>
  <c r="H44" i="1"/>
  <c r="H45" i="1"/>
  <c r="H42" i="1"/>
  <c r="G47" i="1"/>
  <c r="D47" i="1"/>
  <c r="C61" i="1" s="1"/>
  <c r="E47" i="1"/>
  <c r="F47" i="1"/>
  <c r="C47" i="1"/>
  <c r="E55" i="1" s="1"/>
  <c r="C18" i="1"/>
  <c r="C37" i="1" s="1"/>
  <c r="C12" i="1"/>
  <c r="C34" i="2" l="1"/>
  <c r="C50" i="2" s="1"/>
  <c r="B66" i="2"/>
  <c r="B64" i="2" s="1"/>
  <c r="B65" i="2" s="1"/>
  <c r="C65" i="2" s="1"/>
  <c r="C70" i="2"/>
  <c r="C83" i="2"/>
  <c r="B69" i="2"/>
  <c r="C69" i="2"/>
  <c r="D71" i="2"/>
  <c r="C71" i="2" s="1"/>
  <c r="B70" i="2"/>
  <c r="C82" i="2" a="1"/>
  <c r="C82" i="2" s="1"/>
  <c r="C62" i="2"/>
  <c r="C59" i="2"/>
  <c r="C55" i="2"/>
  <c r="B52" i="2"/>
  <c r="C52" i="2" s="1"/>
  <c r="C57" i="2"/>
  <c r="B56" i="2"/>
  <c r="C56" i="2" s="1"/>
  <c r="B58" i="2"/>
  <c r="C58" i="2" s="1"/>
  <c r="D61" i="1"/>
  <c r="D53" i="1"/>
  <c r="E53" i="1"/>
  <c r="F55" i="1"/>
  <c r="F54" i="1"/>
  <c r="F56" i="1"/>
  <c r="E54" i="1"/>
  <c r="E56" i="1"/>
  <c r="F53" i="1"/>
  <c r="D54" i="1"/>
  <c r="D55" i="1"/>
  <c r="D56" i="1"/>
  <c r="C30" i="1"/>
  <c r="C39" i="2" l="1"/>
  <c r="C64" i="2"/>
  <c r="C66" i="2"/>
  <c r="B63" i="2"/>
  <c r="C63" i="2" s="1"/>
  <c r="C84" i="2"/>
  <c r="C88" i="2"/>
  <c r="C92" i="2" s="1"/>
  <c r="B88" i="2"/>
  <c r="B90" i="2" s="1"/>
  <c r="B89" i="2" s="1"/>
  <c r="C89" i="2" s="1"/>
  <c r="C43" i="2"/>
  <c r="C44" i="2"/>
  <c r="C87" i="2"/>
  <c r="B71" i="2"/>
  <c r="D72" i="2"/>
  <c r="B51" i="2"/>
  <c r="C51" i="2" s="1"/>
  <c r="C53" i="1"/>
  <c r="C55" i="1"/>
  <c r="D62" i="1" s="1"/>
  <c r="C54" i="1"/>
  <c r="C64" i="1" s="1"/>
  <c r="C65" i="1" s="1"/>
  <c r="C56" i="1"/>
  <c r="C38" i="1"/>
  <c r="C97" i="2" l="1"/>
  <c r="C101" i="2" s="1"/>
  <c r="C96" i="2"/>
  <c r="C100" i="2" s="1"/>
  <c r="C91" i="2"/>
  <c r="B91" i="2" s="1"/>
  <c r="B92" i="2" s="1"/>
  <c r="B93" i="2" s="1"/>
  <c r="C93" i="2"/>
  <c r="B72" i="2"/>
  <c r="D73" i="2"/>
  <c r="C72" i="2"/>
  <c r="E63" i="1"/>
  <c r="E65" i="1" s="1"/>
  <c r="D64" i="1"/>
  <c r="D65" i="1" s="1"/>
  <c r="C102" i="2" l="1"/>
  <c r="C104" i="2" s="1"/>
  <c r="C103" i="2"/>
  <c r="D74" i="2"/>
  <c r="C73" i="2"/>
  <c r="B73" i="2"/>
  <c r="F65" i="1"/>
  <c r="C69" i="1" s="1"/>
  <c r="C105" i="2" l="1"/>
  <c r="C74" i="2"/>
  <c r="D75" i="2"/>
  <c r="B74" i="2"/>
  <c r="C68" i="1"/>
  <c r="D76" i="2" l="1"/>
  <c r="C75" i="2"/>
  <c r="B75" i="2"/>
  <c r="B76" i="2" l="1"/>
  <c r="D77" i="2"/>
  <c r="C76" i="2"/>
  <c r="B77" i="2" l="1"/>
  <c r="D78" i="2"/>
  <c r="C77" i="2"/>
  <c r="B78" i="2" l="1"/>
  <c r="D79" i="2"/>
  <c r="C78" i="2"/>
  <c r="B79" i="2" l="1"/>
  <c r="C79"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<sst xmlns="http://schemas.openxmlformats.org/spreadsheetml/2006/main" count="172" uniqueCount="154">
  <si>
    <t>:SID</t>
  </si>
  <si>
    <r>
      <t>width</t>
    </r>
    <r>
      <rPr>
        <b/>
        <sz val="12"/>
        <color theme="0"/>
        <rFont val="SupremeLLTT-Light"/>
      </rPr>
      <t xml:space="preserve"> (mm)</t>
    </r>
  </si>
  <si>
    <r>
      <t>height</t>
    </r>
    <r>
      <rPr>
        <b/>
        <sz val="12"/>
        <color theme="0"/>
        <rFont val="SupremeLLTT-Light"/>
      </rPr>
      <t xml:space="preserve"> (mm)</t>
    </r>
  </si>
  <si>
    <r>
      <t xml:space="preserve">thicknes </t>
    </r>
    <r>
      <rPr>
        <b/>
        <sz val="12"/>
        <color theme="0"/>
        <rFont val="SupremeLLTT-Light"/>
      </rPr>
      <t>(mm)</t>
    </r>
  </si>
  <si>
    <t>(mm)</t>
  </si>
  <si>
    <t>(kN)</t>
  </si>
  <si>
    <t>Max</t>
  </si>
  <si>
    <t xml:space="preserve">E </t>
  </si>
  <si>
    <t xml:space="preserve">G </t>
  </si>
  <si>
    <t xml:space="preserve">T </t>
  </si>
  <si>
    <t xml:space="preserve">End Plate </t>
  </si>
  <si>
    <t xml:space="preserve">Base Plate </t>
  </si>
  <si>
    <t xml:space="preserve">Beam Length </t>
  </si>
  <si>
    <t xml:space="preserve">Hole B Offset </t>
  </si>
  <si>
    <t xml:space="preserve">Hole Diameter </t>
  </si>
  <si>
    <t xml:space="preserve">Factor of Saftey </t>
  </si>
  <si>
    <t xml:space="preserve">Force </t>
  </si>
  <si>
    <t xml:space="preserve">I </t>
  </si>
  <si>
    <t xml:space="preserve">J </t>
  </si>
  <si>
    <t>Selected</t>
  </si>
  <si>
    <t>Section Selection</t>
  </si>
  <si>
    <t>Weld Selection</t>
  </si>
  <si>
    <r>
      <t xml:space="preserve">Due to the force </t>
    </r>
    <r>
      <rPr>
        <i/>
        <sz val="12"/>
        <color theme="1"/>
        <rFont val="Times New Roman"/>
        <family val="1"/>
      </rPr>
      <t>F</t>
    </r>
    <r>
      <rPr>
        <sz val="12"/>
        <color theme="1"/>
        <rFont val="Supreme LL TT Light"/>
      </rPr>
      <t xml:space="preserve">, the beam will experience deflection as per the respective equations. </t>
    </r>
  </si>
  <si>
    <r>
      <t>(kN/mm</t>
    </r>
    <r>
      <rPr>
        <vertAlign val="superscript"/>
        <sz val="12"/>
        <color theme="0"/>
        <rFont val="SupremeLLTT-Book"/>
      </rPr>
      <t>2</t>
    </r>
    <r>
      <rPr>
        <sz val="12"/>
        <color theme="0"/>
        <rFont val="SupremeLLTT-Book"/>
      </rPr>
      <t>)</t>
    </r>
  </si>
  <si>
    <r>
      <t xml:space="preserve">By choosing desired maximum rquirements for </t>
    </r>
    <r>
      <rPr>
        <i/>
        <sz val="12"/>
        <color theme="1"/>
        <rFont val="Times New Roman"/>
        <family val="1"/>
      </rPr>
      <t>∂</t>
    </r>
    <r>
      <rPr>
        <i/>
        <vertAlign val="subscript"/>
        <sz val="12"/>
        <color theme="1"/>
        <rFont val="Times New Roman"/>
        <family val="1"/>
      </rPr>
      <t>max</t>
    </r>
    <r>
      <rPr>
        <sz val="12"/>
        <color theme="1"/>
        <rFont val="Supreme LL TT Light"/>
      </rPr>
      <t xml:space="preserve"> and </t>
    </r>
    <r>
      <rPr>
        <i/>
        <sz val="12"/>
        <color theme="1"/>
        <rFont val="Times New Roman"/>
        <family val="1"/>
      </rPr>
      <t>θ</t>
    </r>
    <r>
      <rPr>
        <i/>
        <vertAlign val="subscript"/>
        <sz val="12"/>
        <color theme="1"/>
        <rFont val="Times New Roman"/>
        <family val="1"/>
      </rPr>
      <t xml:space="preserve">max </t>
    </r>
    <r>
      <rPr>
        <sz val="12"/>
        <color theme="1"/>
        <rFont val="Supreme LL TT Light"/>
      </rPr>
      <t xml:space="preserve">minimum rquirements for </t>
    </r>
    <r>
      <rPr>
        <i/>
        <sz val="12"/>
        <color theme="1"/>
        <rFont val="Times New Roman"/>
        <family val="1"/>
      </rPr>
      <t>I</t>
    </r>
    <r>
      <rPr>
        <sz val="12"/>
        <color theme="1"/>
        <rFont val="Supreme LL TT Light"/>
      </rPr>
      <t xml:space="preserve"> and </t>
    </r>
    <r>
      <rPr>
        <i/>
        <sz val="12"/>
        <color theme="1"/>
        <rFont val="Times New Roman"/>
        <family val="1"/>
      </rPr>
      <t>J</t>
    </r>
    <r>
      <rPr>
        <sz val="12"/>
        <color theme="1"/>
        <rFont val="Supreme LL TT Light"/>
      </rPr>
      <t xml:space="preserve"> could be obtained.</t>
    </r>
  </si>
  <si>
    <r>
      <rPr>
        <i/>
        <sz val="12"/>
        <color theme="0"/>
        <rFont val="Times New Roman"/>
        <family val="1"/>
      </rPr>
      <t>∂</t>
    </r>
    <r>
      <rPr>
        <i/>
        <vertAlign val="subscript"/>
        <sz val="12"/>
        <color theme="0"/>
        <rFont val="Times New Roman"/>
        <family val="1"/>
      </rPr>
      <t>max</t>
    </r>
    <r>
      <rPr>
        <sz val="12"/>
        <color theme="0"/>
        <rFont val="SupremeLLTT-Light"/>
      </rPr>
      <t xml:space="preserve"> </t>
    </r>
    <r>
      <rPr>
        <sz val="12"/>
        <color theme="0"/>
        <rFont val="SupremeLLTT-Book"/>
      </rPr>
      <t xml:space="preserve">(mm) </t>
    </r>
    <r>
      <rPr>
        <sz val="12"/>
        <color theme="0"/>
        <rFont val="SupremeLLTT-Light"/>
        <family val="1"/>
      </rPr>
      <t xml:space="preserve"> </t>
    </r>
  </si>
  <si>
    <r>
      <rPr>
        <sz val="12"/>
        <color theme="0"/>
        <rFont val="SupremeLLTT-Light"/>
      </rPr>
      <t xml:space="preserve">Min </t>
    </r>
    <r>
      <rPr>
        <sz val="12"/>
        <color theme="0"/>
        <rFont val="Supreme LL TT Book"/>
      </rPr>
      <t>(10</t>
    </r>
    <r>
      <rPr>
        <vertAlign val="superscript"/>
        <sz val="12"/>
        <color theme="0"/>
        <rFont val="Supreme LL TT Book"/>
      </rPr>
      <t xml:space="preserve">6 </t>
    </r>
    <r>
      <rPr>
        <sz val="12"/>
        <color theme="0"/>
        <rFont val="Supreme LL TT Book"/>
      </rPr>
      <t>· mm</t>
    </r>
    <r>
      <rPr>
        <vertAlign val="superscript"/>
        <sz val="12"/>
        <color theme="0"/>
        <rFont val="Supreme LL TT Book"/>
      </rPr>
      <t>4</t>
    </r>
    <r>
      <rPr>
        <sz val="12"/>
        <color theme="0"/>
        <rFont val="Supreme LL TT Book"/>
      </rPr>
      <t>)</t>
    </r>
  </si>
  <si>
    <t>(kN · mm)</t>
  </si>
  <si>
    <t>x</t>
  </si>
  <si>
    <t>y</t>
  </si>
  <si>
    <t>z</t>
  </si>
  <si>
    <r>
      <rPr>
        <i/>
        <sz val="12"/>
        <color theme="0"/>
        <rFont val="Times New Roman"/>
        <family val="1"/>
      </rPr>
      <t>I</t>
    </r>
    <r>
      <rPr>
        <sz val="12"/>
        <color theme="0"/>
        <rFont val="SupremeLLTT-Light"/>
      </rPr>
      <t xml:space="preserve"> </t>
    </r>
    <r>
      <rPr>
        <sz val="12"/>
        <color theme="0"/>
        <rFont val="Supreme LL TT Book"/>
      </rPr>
      <t>(10</t>
    </r>
    <r>
      <rPr>
        <vertAlign val="superscript"/>
        <sz val="12"/>
        <color theme="0"/>
        <rFont val="Supreme LL TT Book"/>
      </rPr>
      <t>6</t>
    </r>
    <r>
      <rPr>
        <sz val="12"/>
        <color theme="0"/>
        <rFont val="Supreme LL TT Book"/>
      </rPr>
      <t>mm</t>
    </r>
    <r>
      <rPr>
        <vertAlign val="superscript"/>
        <sz val="12"/>
        <color theme="0"/>
        <rFont val="Supreme LL TT Book"/>
      </rPr>
      <t>4</t>
    </r>
    <r>
      <rPr>
        <sz val="12"/>
        <color theme="0"/>
        <rFont val="Supreme LL TT Book"/>
      </rPr>
      <t>)</t>
    </r>
  </si>
  <si>
    <r>
      <rPr>
        <i/>
        <sz val="12"/>
        <color theme="0"/>
        <rFont val="Times New Roman"/>
        <family val="1"/>
      </rPr>
      <t>J</t>
    </r>
    <r>
      <rPr>
        <sz val="12"/>
        <color theme="0"/>
        <rFont val="Supreme LL TT Book"/>
      </rPr>
      <t xml:space="preserve"> (10</t>
    </r>
    <r>
      <rPr>
        <vertAlign val="superscript"/>
        <sz val="12"/>
        <color theme="0"/>
        <rFont val="Supreme LL TT Book"/>
      </rPr>
      <t>6</t>
    </r>
    <r>
      <rPr>
        <sz val="12"/>
        <color theme="0"/>
        <rFont val="Supreme LL TT Book"/>
      </rPr>
      <t>mm</t>
    </r>
    <r>
      <rPr>
        <vertAlign val="superscript"/>
        <sz val="12"/>
        <color theme="0"/>
        <rFont val="Supreme LL TT Book"/>
      </rPr>
      <t>4</t>
    </r>
    <r>
      <rPr>
        <sz val="12"/>
        <color theme="0"/>
        <rFont val="Supreme LL TT Book"/>
      </rPr>
      <t>)</t>
    </r>
  </si>
  <si>
    <r>
      <t>f</t>
    </r>
    <r>
      <rPr>
        <i/>
        <vertAlign val="subscript"/>
        <sz val="12"/>
        <color theme="0"/>
        <rFont val="Times New Roman"/>
        <family val="1"/>
      </rPr>
      <t>t</t>
    </r>
  </si>
  <si>
    <r>
      <t>J</t>
    </r>
    <r>
      <rPr>
        <i/>
        <vertAlign val="subscript"/>
        <sz val="12"/>
        <color theme="0"/>
        <rFont val="Times New Roman"/>
        <family val="1"/>
      </rPr>
      <t>w</t>
    </r>
    <r>
      <rPr>
        <i/>
        <sz val="12"/>
        <color theme="0"/>
        <rFont val="Times New Roman"/>
        <family val="1"/>
      </rPr>
      <t xml:space="preserve"> </t>
    </r>
    <r>
      <rPr>
        <sz val="12"/>
        <color theme="0"/>
        <rFont val="Supreme LL TT Book"/>
      </rPr>
      <t>(mm</t>
    </r>
    <r>
      <rPr>
        <vertAlign val="superscript"/>
        <sz val="12"/>
        <color theme="0"/>
        <rFont val="Supreme LL TT Book"/>
      </rPr>
      <t>3</t>
    </r>
    <r>
      <rPr>
        <sz val="12"/>
        <color theme="0"/>
        <rFont val="Supreme LL TT Book"/>
      </rPr>
      <t>)</t>
    </r>
    <r>
      <rPr>
        <i/>
        <sz val="12"/>
        <color theme="0"/>
        <rFont val="Times New Roman"/>
        <family val="1"/>
      </rPr>
      <t xml:space="preserve"> </t>
    </r>
  </si>
  <si>
    <r>
      <t>| f</t>
    </r>
    <r>
      <rPr>
        <i/>
        <vertAlign val="subscript"/>
        <sz val="12"/>
        <color theme="0"/>
        <rFont val="Times New Roman"/>
        <family val="1"/>
      </rPr>
      <t>t</t>
    </r>
    <r>
      <rPr>
        <i/>
        <sz val="12"/>
        <color theme="0"/>
        <rFont val="Times New Roman"/>
        <family val="1"/>
      </rPr>
      <t xml:space="preserve">| </t>
    </r>
  </si>
  <si>
    <r>
      <t>f</t>
    </r>
    <r>
      <rPr>
        <i/>
        <vertAlign val="subscript"/>
        <sz val="12"/>
        <color theme="0"/>
        <rFont val="Times New Roman"/>
        <family val="1"/>
      </rPr>
      <t>b</t>
    </r>
    <r>
      <rPr>
        <sz val="12"/>
        <color theme="0"/>
        <rFont val="Supreme LL TT Book"/>
      </rPr>
      <t xml:space="preserve"> (kN / mm)</t>
    </r>
    <r>
      <rPr>
        <i/>
        <sz val="12"/>
        <color theme="0"/>
        <rFont val="Times New Roman"/>
        <family val="1"/>
      </rPr>
      <t xml:space="preserve"> </t>
    </r>
  </si>
  <si>
    <r>
      <t xml:space="preserve">r </t>
    </r>
    <r>
      <rPr>
        <sz val="12"/>
        <color theme="0"/>
        <rFont val="Supreme LL TT Book"/>
      </rPr>
      <t>(mm)</t>
    </r>
    <r>
      <rPr>
        <i/>
        <sz val="12"/>
        <color theme="0"/>
        <rFont val="Times New Roman"/>
        <family val="1"/>
      </rPr>
      <t xml:space="preserve"> </t>
    </r>
  </si>
  <si>
    <r>
      <t xml:space="preserve">l </t>
    </r>
    <r>
      <rPr>
        <sz val="12"/>
        <color theme="0"/>
        <rFont val="Supreme LL TT Book"/>
      </rPr>
      <t xml:space="preserve">(mm)   </t>
    </r>
  </si>
  <si>
    <r>
      <t>Z</t>
    </r>
    <r>
      <rPr>
        <i/>
        <vertAlign val="subscript"/>
        <sz val="12"/>
        <color theme="0"/>
        <rFont val="Times New Roman"/>
        <family val="1"/>
      </rPr>
      <t>w</t>
    </r>
    <r>
      <rPr>
        <i/>
        <sz val="12"/>
        <color theme="0"/>
        <rFont val="Times New Roman"/>
        <family val="1"/>
      </rPr>
      <t xml:space="preserve"> </t>
    </r>
    <r>
      <rPr>
        <sz val="12"/>
        <color theme="0"/>
        <rFont val="Supreme LL TT Book"/>
      </rPr>
      <t>(mm</t>
    </r>
    <r>
      <rPr>
        <vertAlign val="superscript"/>
        <sz val="12"/>
        <color theme="0"/>
        <rFont val="Supreme LL TT Book"/>
      </rPr>
      <t>2</t>
    </r>
    <r>
      <rPr>
        <sz val="12"/>
        <color theme="0"/>
        <rFont val="Supreme LL TT Book"/>
      </rPr>
      <t xml:space="preserve">)   </t>
    </r>
  </si>
  <si>
    <r>
      <rPr>
        <i/>
        <sz val="12"/>
        <color theme="0"/>
        <rFont val="Times New Roman"/>
        <family val="1"/>
      </rPr>
      <t>θ</t>
    </r>
    <r>
      <rPr>
        <i/>
        <vertAlign val="subscript"/>
        <sz val="12"/>
        <color theme="0"/>
        <rFont val="Times New Roman"/>
        <family val="1"/>
      </rPr>
      <t>max</t>
    </r>
    <r>
      <rPr>
        <sz val="12"/>
        <color theme="0"/>
        <rFont val="SupremeLLTT-Light"/>
      </rPr>
      <t xml:space="preserve"> </t>
    </r>
    <r>
      <rPr>
        <sz val="12"/>
        <color theme="0"/>
        <rFont val="SupremeLLTT-Book"/>
      </rPr>
      <t xml:space="preserve">(rad)  </t>
    </r>
  </si>
  <si>
    <r>
      <rPr>
        <i/>
        <sz val="12"/>
        <color theme="0"/>
        <rFont val="Times New Roman"/>
        <family val="1"/>
      </rPr>
      <t>d</t>
    </r>
    <r>
      <rPr>
        <sz val="12"/>
        <color theme="0"/>
        <rFont val="SupremeLLTT-Light"/>
      </rPr>
      <t xml:space="preserve"> </t>
    </r>
    <r>
      <rPr>
        <sz val="12"/>
        <color theme="0"/>
        <rFont val="Supreme LL TT Book"/>
      </rPr>
      <t>(mm)</t>
    </r>
  </si>
  <si>
    <r>
      <rPr>
        <i/>
        <sz val="12"/>
        <color theme="0"/>
        <rFont val="Times New Roman"/>
        <family val="1"/>
      </rPr>
      <t>b</t>
    </r>
    <r>
      <rPr>
        <sz val="12"/>
        <color theme="0"/>
        <rFont val="SupremeLLTT-Light"/>
      </rPr>
      <t xml:space="preserve"> </t>
    </r>
    <r>
      <rPr>
        <sz val="12"/>
        <color theme="0"/>
        <rFont val="Supreme LL TT Book"/>
      </rPr>
      <t>(mm)</t>
    </r>
  </si>
  <si>
    <r>
      <rPr>
        <i/>
        <sz val="12"/>
        <color theme="0"/>
        <rFont val="Times New Roman"/>
        <family val="1"/>
      </rPr>
      <t>t</t>
    </r>
    <r>
      <rPr>
        <sz val="12"/>
        <color theme="0"/>
        <rFont val="SupremeLLTT-Light"/>
      </rPr>
      <t xml:space="preserve"> </t>
    </r>
    <r>
      <rPr>
        <sz val="12"/>
        <color theme="0"/>
        <rFont val="Supreme LL TT Book"/>
      </rPr>
      <t>(mm)</t>
    </r>
  </si>
  <si>
    <r>
      <t>w</t>
    </r>
    <r>
      <rPr>
        <sz val="12"/>
        <color theme="0"/>
        <rFont val="Supreme LL TT Book"/>
      </rPr>
      <t xml:space="preserve"> (mm) </t>
    </r>
  </si>
  <si>
    <r>
      <t xml:space="preserve">Several different sections of varying profile, size and thickness ( </t>
    </r>
    <r>
      <rPr>
        <i/>
        <sz val="12"/>
        <color theme="1"/>
        <rFont val="Times New Roman"/>
        <family val="1"/>
      </rPr>
      <t>t</t>
    </r>
    <r>
      <rPr>
        <sz val="12"/>
        <color theme="1"/>
        <rFont val="Supreme LL TT Light"/>
      </rPr>
      <t>) where selected from a datasheet.</t>
    </r>
  </si>
  <si>
    <t>UTS</t>
  </si>
  <si>
    <t>Proof Strength</t>
  </si>
  <si>
    <t>Factor of Safety</t>
  </si>
  <si>
    <t>Proof line</t>
  </si>
  <si>
    <t>Gerber line</t>
  </si>
  <si>
    <t>Safe Gerber line</t>
  </si>
  <si>
    <t>ASME Ellipse</t>
  </si>
  <si>
    <t>Yield Strength</t>
  </si>
  <si>
    <r>
      <t>σ</t>
    </r>
    <r>
      <rPr>
        <i/>
        <vertAlign val="subscript"/>
        <sz val="14"/>
        <color theme="0"/>
        <rFont val="Times New Roman"/>
        <family val="1"/>
      </rPr>
      <t>m</t>
    </r>
  </si>
  <si>
    <r>
      <t>σ</t>
    </r>
    <r>
      <rPr>
        <i/>
        <vertAlign val="subscript"/>
        <sz val="14"/>
        <color theme="0"/>
        <rFont val="Times New Roman"/>
        <family val="1"/>
      </rPr>
      <t>a</t>
    </r>
  </si>
  <si>
    <r>
      <t>𝜏</t>
    </r>
    <r>
      <rPr>
        <i/>
        <vertAlign val="subscript"/>
        <sz val="12"/>
        <color theme="0"/>
        <rFont val="Times New Roman"/>
        <family val="1"/>
      </rPr>
      <t xml:space="preserve">all  </t>
    </r>
    <r>
      <rPr>
        <sz val="12"/>
        <color theme="0"/>
        <rFont val="Supreme LL TT Book"/>
      </rPr>
      <t>(kN · mm</t>
    </r>
    <r>
      <rPr>
        <vertAlign val="superscript"/>
        <sz val="12"/>
        <color theme="0"/>
        <rFont val="Supreme LL TT Book"/>
      </rPr>
      <t>2</t>
    </r>
    <r>
      <rPr>
        <sz val="12"/>
        <color theme="0"/>
        <rFont val="Supreme LL TT Book"/>
      </rPr>
      <t>)</t>
    </r>
  </si>
  <si>
    <r>
      <t xml:space="preserve">Factor of Saftey for </t>
    </r>
    <r>
      <rPr>
        <sz val="12"/>
        <color theme="0"/>
        <rFont val="Times New Roman"/>
        <family val="1"/>
      </rPr>
      <t xml:space="preserve">w = t </t>
    </r>
  </si>
  <si>
    <r>
      <rPr>
        <sz val="12"/>
        <color theme="1"/>
        <rFont val="SupremeLLTT-Light"/>
      </rPr>
      <t>From the</t>
    </r>
    <r>
      <rPr>
        <sz val="12"/>
        <color theme="4" tint="-0.249977111117893"/>
        <rFont val="SupremeLLTT-Light"/>
      </rPr>
      <t xml:space="preserve"> datasheet (pg 18) </t>
    </r>
    <r>
      <rPr>
        <sz val="12"/>
        <color theme="1"/>
        <rFont val="SupremeLLTT-Light"/>
      </rPr>
      <t>for steel grade C450L0 the eleastic modulus</t>
    </r>
    <r>
      <rPr>
        <sz val="12"/>
        <color theme="1"/>
        <rFont val="Calibri"/>
        <family val="2"/>
        <scheme val="minor"/>
      </rPr>
      <t xml:space="preserve"> </t>
    </r>
    <r>
      <rPr>
        <sz val="12"/>
        <color theme="1"/>
        <rFont val="Times Italic"/>
      </rPr>
      <t>E</t>
    </r>
    <r>
      <rPr>
        <sz val="12"/>
        <color theme="1"/>
        <rFont val="Supreme LL TT Light"/>
      </rPr>
      <t xml:space="preserve"> a</t>
    </r>
    <r>
      <rPr>
        <sz val="12"/>
        <color theme="1"/>
        <rFont val="SupremeLLTT-Light"/>
      </rPr>
      <t>nd shear modulus</t>
    </r>
    <r>
      <rPr>
        <sz val="12"/>
        <color theme="1"/>
        <rFont val="Calibri"/>
        <family val="2"/>
        <scheme val="minor"/>
      </rPr>
      <t xml:space="preserve"> </t>
    </r>
    <r>
      <rPr>
        <sz val="12"/>
        <color theme="1"/>
        <rFont val="Times New Roman Italic"/>
      </rPr>
      <t>G</t>
    </r>
    <r>
      <rPr>
        <sz val="12"/>
        <color theme="1"/>
        <rFont val="Calibri"/>
        <family val="2"/>
        <scheme val="minor"/>
      </rPr>
      <t xml:space="preserve"> </t>
    </r>
    <r>
      <rPr>
        <sz val="12"/>
        <color theme="1"/>
        <rFont val="Supreme LL TT Light"/>
      </rPr>
      <t>where found.</t>
    </r>
    <r>
      <rPr>
        <sz val="12"/>
        <color theme="1"/>
        <rFont val="Calibri"/>
        <family val="2"/>
        <scheme val="minor"/>
      </rPr>
      <t xml:space="preserve"> </t>
    </r>
  </si>
  <si>
    <r>
      <t xml:space="preserve">From the provided lecture slides the the weld properties of </t>
    </r>
    <r>
      <rPr>
        <i/>
        <sz val="12"/>
        <color theme="1"/>
        <rFont val="Times New Roman"/>
        <family val="1"/>
      </rPr>
      <t>Z</t>
    </r>
    <r>
      <rPr>
        <i/>
        <vertAlign val="subscript"/>
        <sz val="12"/>
        <color theme="1"/>
        <rFont val="Times New Roman"/>
        <family val="1"/>
      </rPr>
      <t>w</t>
    </r>
    <r>
      <rPr>
        <sz val="12"/>
        <color theme="1"/>
        <rFont val="SupremeLLTT-Light"/>
      </rPr>
      <t xml:space="preserve"> and </t>
    </r>
    <r>
      <rPr>
        <i/>
        <sz val="12"/>
        <color theme="1"/>
        <rFont val="Times New Roman"/>
        <family val="1"/>
      </rPr>
      <t>J</t>
    </r>
    <r>
      <rPr>
        <i/>
        <vertAlign val="subscript"/>
        <sz val="12"/>
        <color theme="1"/>
        <rFont val="Times New Roman"/>
        <family val="1"/>
      </rPr>
      <t>w</t>
    </r>
    <r>
      <rPr>
        <sz val="12"/>
        <color theme="1"/>
        <rFont val="SupremeLLTT-Light"/>
      </rPr>
      <t xml:space="preserve"> were calculated for the selected beam's </t>
    </r>
    <r>
      <rPr>
        <i/>
        <sz val="12"/>
        <color theme="1"/>
        <rFont val="Times New Roman"/>
        <family val="1"/>
      </rPr>
      <t xml:space="preserve">b </t>
    </r>
    <r>
      <rPr>
        <sz val="12"/>
        <color theme="1"/>
        <rFont val="Supreme LL Light"/>
      </rPr>
      <t>and</t>
    </r>
    <r>
      <rPr>
        <i/>
        <sz val="12"/>
        <color theme="1"/>
        <rFont val="Times New Roman"/>
        <family val="1"/>
      </rPr>
      <t xml:space="preserve"> d </t>
    </r>
    <r>
      <rPr>
        <sz val="12"/>
        <color theme="1"/>
        <rFont val="Supreme LL TT Light"/>
      </rPr>
      <t>dimensions. Three different weld profiles where tested</t>
    </r>
    <r>
      <rPr>
        <sz val="12"/>
        <color theme="1"/>
        <rFont val="SupremeLLTT-Light"/>
      </rPr>
      <t>. The figure below shows the forces and moments experienced at the center of the weld and highlights points of maximum stress.</t>
    </r>
  </si>
  <si>
    <t xml:space="preserve">The following stress vectors derived from the lecture slides </t>
  </si>
  <si>
    <r>
      <t>were used to show the stress in the weld per unit leg length (</t>
    </r>
    <r>
      <rPr>
        <i/>
        <sz val="12"/>
        <color theme="1"/>
        <rFont val="Times New Roman"/>
        <family val="1"/>
      </rPr>
      <t>w</t>
    </r>
    <r>
      <rPr>
        <sz val="12"/>
        <color theme="1"/>
        <rFont val="Supreme LL TT Light"/>
      </rPr>
      <t xml:space="preserve">) and were calculated for the selected weld's properties. Many </t>
    </r>
    <r>
      <rPr>
        <i/>
        <sz val="12"/>
        <color theme="1"/>
        <rFont val="Times New Roman"/>
        <family val="1"/>
      </rPr>
      <t xml:space="preserve">r </t>
    </r>
    <r>
      <rPr>
        <sz val="12"/>
        <color theme="1"/>
        <rFont val="Supreme LL TT Light"/>
      </rPr>
      <t>vector's (relative to the CoA) were tested but in general the bottom corners experienced the most stress.</t>
    </r>
  </si>
  <si>
    <r>
      <rPr>
        <i/>
        <sz val="12"/>
        <color theme="0"/>
        <rFont val="Times New Roman"/>
        <family val="1"/>
      </rPr>
      <t xml:space="preserve">A </t>
    </r>
    <r>
      <rPr>
        <sz val="12"/>
        <color theme="0"/>
        <rFont val="Supreme LL TT Book"/>
      </rPr>
      <t>(mm</t>
    </r>
    <r>
      <rPr>
        <vertAlign val="superscript"/>
        <sz val="12"/>
        <color theme="0"/>
        <rFont val="Supreme LL TT Book"/>
      </rPr>
      <t>2</t>
    </r>
    <r>
      <rPr>
        <sz val="12"/>
        <color theme="0"/>
        <rFont val="Supreme LL TT Book"/>
      </rPr>
      <t>)</t>
    </r>
  </si>
  <si>
    <r>
      <t>Moment at CoA</t>
    </r>
    <r>
      <rPr>
        <sz val="12"/>
        <color theme="0"/>
        <rFont val="Supreme LL TT Book"/>
      </rPr>
      <t xml:space="preserve"> (kN · mm)</t>
    </r>
    <r>
      <rPr>
        <sz val="12"/>
        <color theme="0"/>
        <rFont val="Supreme LL TT Light"/>
      </rPr>
      <t xml:space="preserve"> </t>
    </r>
  </si>
  <si>
    <r>
      <t>Leg length was solved for the desired factor of saftey FS and a factor of saftey was solved for a w equal to that of the beam thickness using the following equation |</t>
    </r>
    <r>
      <rPr>
        <i/>
        <sz val="12"/>
        <color theme="1"/>
        <rFont val="Times New Roman"/>
        <family val="1"/>
      </rPr>
      <t>f</t>
    </r>
    <r>
      <rPr>
        <i/>
        <vertAlign val="subscript"/>
        <sz val="12"/>
        <color theme="1"/>
        <rFont val="Times New Roman"/>
        <family val="1"/>
      </rPr>
      <t>t</t>
    </r>
    <r>
      <rPr>
        <sz val="12"/>
        <color theme="1"/>
        <rFont val="SupremeLLTT-Light"/>
      </rPr>
      <t xml:space="preserve">| </t>
    </r>
    <r>
      <rPr>
        <i/>
        <sz val="12"/>
        <color theme="1"/>
        <rFont val="Times New Roman"/>
        <family val="1"/>
      </rPr>
      <t>· FS = w · τ</t>
    </r>
    <r>
      <rPr>
        <i/>
        <vertAlign val="subscript"/>
        <sz val="12"/>
        <color theme="1"/>
        <rFont val="Times New Roman"/>
        <family val="1"/>
      </rPr>
      <t>all</t>
    </r>
    <r>
      <rPr>
        <sz val="12"/>
        <color theme="1"/>
        <rFont val="SupremeLLTT-Light"/>
      </rPr>
      <t xml:space="preserve">, where </t>
    </r>
    <r>
      <rPr>
        <i/>
        <sz val="12"/>
        <color theme="1"/>
        <rFont val="Times New Roman"/>
        <family val="1"/>
      </rPr>
      <t>τ</t>
    </r>
    <r>
      <rPr>
        <i/>
        <vertAlign val="subscript"/>
        <sz val="12"/>
        <color theme="1"/>
        <rFont val="Times New Roman"/>
        <family val="1"/>
      </rPr>
      <t>all</t>
    </r>
    <r>
      <rPr>
        <sz val="12"/>
        <color theme="1"/>
        <rFont val="SupremeLLTT-Light"/>
      </rPr>
      <t xml:space="preserve"> was selected from lecture slides.</t>
    </r>
  </si>
  <si>
    <t>It could be seen that only the rectangular hollow sections RHS had moments of inertia cabable of taking the bending without deflection exceeding the constraints.</t>
  </si>
  <si>
    <t>The results showed that only the rectangular profile was capable of meeting requirements. Furthermore by selecting different beams it could be seen that largest RHS required a weld leg length of 4.5mm for a factor of saftey of 2. If a leg length of 4mm was selected then a factor of satey of 1.76 could be acheived. By choosing the 4mm thick section mass would be reduced by 30% as opposed to using the 6mm section. This was also a better weight reduction than choosing the smaller section. As such I believe the 200 x 100 x 4mm RHS section is the most economical chocie and should be welded with a 4mm leg length for a factor of saftey of 1.7.</t>
  </si>
  <si>
    <r>
      <t>f</t>
    </r>
    <r>
      <rPr>
        <i/>
        <vertAlign val="subscript"/>
        <sz val="12"/>
        <color theme="0"/>
        <rFont val="Times New Roman"/>
        <family val="1"/>
      </rPr>
      <t>s</t>
    </r>
    <r>
      <rPr>
        <i/>
        <sz val="12"/>
        <color theme="0"/>
        <rFont val="Times New Roman"/>
        <family val="1"/>
      </rPr>
      <t xml:space="preserve"> </t>
    </r>
    <r>
      <rPr>
        <sz val="12"/>
        <color theme="0"/>
        <rFont val="Supreme LL TT Book"/>
      </rPr>
      <t>(kN / mm)</t>
    </r>
    <r>
      <rPr>
        <i/>
        <sz val="12"/>
        <color theme="0"/>
        <rFont val="Times New Roman"/>
        <family val="1"/>
      </rPr>
      <t xml:space="preserve">  </t>
    </r>
  </si>
  <si>
    <r>
      <t>f</t>
    </r>
    <r>
      <rPr>
        <i/>
        <vertAlign val="subscript"/>
        <sz val="12"/>
        <color theme="0"/>
        <rFont val="Times New Roman"/>
        <family val="1"/>
      </rPr>
      <t>j</t>
    </r>
    <r>
      <rPr>
        <sz val="12"/>
        <color theme="0"/>
        <rFont val="Supreme LL TT Book"/>
      </rPr>
      <t xml:space="preserve"> (kN / mm)  </t>
    </r>
  </si>
  <si>
    <t>Bolt Diameter</t>
  </si>
  <si>
    <t>Elastic Modulus</t>
  </si>
  <si>
    <t>T</t>
  </si>
  <si>
    <t>Om</t>
  </si>
  <si>
    <r>
      <t xml:space="preserve">Preload Force </t>
    </r>
    <r>
      <rPr>
        <b/>
        <sz val="12"/>
        <color theme="0"/>
        <rFont val="Supreme LL TT Light"/>
      </rPr>
      <t>(N)</t>
    </r>
    <r>
      <rPr>
        <sz val="12"/>
        <color theme="0"/>
        <rFont val="Supreme LL TT Light"/>
      </rPr>
      <t xml:space="preserve"> </t>
    </r>
  </si>
  <si>
    <r>
      <t xml:space="preserve">Flange Stiffness </t>
    </r>
    <r>
      <rPr>
        <i/>
        <sz val="12"/>
        <color theme="0"/>
        <rFont val="Supreme LL TT Light"/>
      </rPr>
      <t>k</t>
    </r>
    <r>
      <rPr>
        <i/>
        <vertAlign val="subscript"/>
        <sz val="12"/>
        <color theme="0"/>
        <rFont val="Supreme LL TT Light"/>
      </rPr>
      <t>m</t>
    </r>
    <r>
      <rPr>
        <sz val="12"/>
        <color theme="0"/>
        <rFont val="Supreme LL TT Light"/>
      </rPr>
      <t xml:space="preserve"> </t>
    </r>
    <r>
      <rPr>
        <b/>
        <sz val="12"/>
        <color theme="0"/>
        <rFont val="Supreme LL TT Light"/>
      </rPr>
      <t xml:space="preserve">(N/mm)  </t>
    </r>
  </si>
  <si>
    <r>
      <t xml:space="preserve">Bolt Stiffness </t>
    </r>
    <r>
      <rPr>
        <i/>
        <sz val="12"/>
        <color theme="0"/>
        <rFont val="Supreme LL TT Light"/>
      </rPr>
      <t>k</t>
    </r>
    <r>
      <rPr>
        <i/>
        <vertAlign val="subscript"/>
        <sz val="12"/>
        <color theme="0"/>
        <rFont val="Supreme LL TT Light"/>
      </rPr>
      <t>b</t>
    </r>
    <r>
      <rPr>
        <sz val="12"/>
        <color theme="0"/>
        <rFont val="Supreme LL TT Light"/>
      </rPr>
      <t xml:space="preserve"> </t>
    </r>
    <r>
      <rPr>
        <b/>
        <sz val="12"/>
        <color theme="0"/>
        <rFont val="Supreme LL TT Light"/>
      </rPr>
      <t xml:space="preserve">(N/mm)   </t>
    </r>
  </si>
  <si>
    <t>Given the situation specifications above a beam and weld profile was selected in order to support the end plate with the applied forces. It was found that rectangular hollow section RHS of size 200mm x 150mm x 4mm was the most suitable choice with regards to minimizing distortion (longitudinal/torsional) and mass. A rectangular weld of leg length 4mm was selected in order to match the thickness of the beam and was able to offer a factor of saftey of 1.7.</t>
  </si>
  <si>
    <t>Bolt Modulus</t>
  </si>
  <si>
    <t>Ratio of External Load</t>
  </si>
  <si>
    <r>
      <t>Stress Area</t>
    </r>
    <r>
      <rPr>
        <b/>
        <sz val="12"/>
        <color theme="0"/>
        <rFont val="Supreme LL TT Light"/>
      </rPr>
      <t xml:space="preserve"> </t>
    </r>
    <r>
      <rPr>
        <i/>
        <sz val="12"/>
        <color theme="0"/>
        <rFont val="Times New Roman"/>
        <family val="1"/>
      </rPr>
      <t>A</t>
    </r>
    <r>
      <rPr>
        <b/>
        <sz val="12"/>
        <color theme="0"/>
        <rFont val="Supreme LL TT Light"/>
      </rPr>
      <t xml:space="preserve"> (mm</t>
    </r>
    <r>
      <rPr>
        <b/>
        <vertAlign val="superscript"/>
        <sz val="12"/>
        <color theme="0"/>
        <rFont val="Supreme LL TT Light"/>
      </rPr>
      <t>2</t>
    </r>
    <r>
      <rPr>
        <b/>
        <sz val="12"/>
        <color theme="0"/>
        <rFont val="Supreme LL TT Light"/>
      </rPr>
      <t>)</t>
    </r>
    <r>
      <rPr>
        <sz val="12"/>
        <color theme="0"/>
        <rFont val="Supreme LL TT Light"/>
      </rPr>
      <t xml:space="preserve">  </t>
    </r>
  </si>
  <si>
    <t>Max Bolt Force</t>
  </si>
  <si>
    <t>Min Bolt Force</t>
  </si>
  <si>
    <t>Max Bolt Stress</t>
  </si>
  <si>
    <t xml:space="preserve">Min Bolt Stress </t>
  </si>
  <si>
    <t>Mean Bolt Stress</t>
  </si>
  <si>
    <t>Alt Bolt Stress</t>
  </si>
  <si>
    <t>(N)</t>
  </si>
  <si>
    <r>
      <t xml:space="preserve">Max Moment </t>
    </r>
    <r>
      <rPr>
        <b/>
        <sz val="12"/>
        <color theme="0"/>
        <rFont val="Supreme LL TT Light"/>
      </rPr>
      <t xml:space="preserve">(N · mm) </t>
    </r>
  </si>
  <si>
    <t>Fb</t>
  </si>
  <si>
    <t>Fm</t>
  </si>
  <si>
    <t>Text</t>
  </si>
  <si>
    <t>Fi</t>
  </si>
  <si>
    <r>
      <t>(N · mm</t>
    </r>
    <r>
      <rPr>
        <vertAlign val="superscript"/>
        <sz val="12"/>
        <color theme="0"/>
        <rFont val="Calibri (Body)"/>
      </rPr>
      <t>2</t>
    </r>
    <r>
      <rPr>
        <sz val="12"/>
        <color theme="0"/>
        <rFont val="Calibri"/>
        <family val="2"/>
        <scheme val="minor"/>
      </rPr>
      <t>)</t>
    </r>
  </si>
  <si>
    <t>point on ASME Ellipse</t>
  </si>
  <si>
    <t>Excess Fatigue Stress</t>
  </si>
  <si>
    <t>Circular (88.9 x 5.9 CHS)</t>
  </si>
  <si>
    <t>Rectangular (200 x 100 x 6 RHS)</t>
  </si>
  <si>
    <t>(200 x 100 x 4 RHS)</t>
  </si>
  <si>
    <t>(150 x 100 x 6 RHS)</t>
  </si>
  <si>
    <t>Square (100 x 100 x 6 SHS)</t>
  </si>
  <si>
    <t>Angle (150 x 100 x 6 CA)</t>
  </si>
  <si>
    <t>To secure the end plate to the base plate (as seen in the figure to the right) by selecting a beam and an appropriate weld. Beams where selected from the Onsteel Forth Edition Cold Formed Structural Hollow Sections and Profiles.  Different beam profiles were selected for analysis including rectangular, square, circular hollow section and angle section. Restrictions in deflection (both longitudinally and torsionally) where imposed such that beam profiles could be filtered based on their second moment of area for the bending and twisting moments. Weld leg length was choosen based on the selected beam taking in to account the factor of saftey and requirements of the leg length with regards to beam thickness.</t>
  </si>
  <si>
    <t>Mechanical Design Bolt
and
 Welding Report</t>
  </si>
  <si>
    <t>Problem Statement</t>
  </si>
  <si>
    <r>
      <t xml:space="preserve">Washer Diameter </t>
    </r>
    <r>
      <rPr>
        <i/>
        <sz val="12"/>
        <color theme="0"/>
        <rFont val="Times New Roman"/>
        <family val="1"/>
      </rPr>
      <t>d</t>
    </r>
    <r>
      <rPr>
        <i/>
        <vertAlign val="subscript"/>
        <sz val="12"/>
        <color theme="0"/>
        <rFont val="Times New Roman"/>
        <family val="1"/>
      </rPr>
      <t>w</t>
    </r>
    <r>
      <rPr>
        <sz val="12"/>
        <color theme="0"/>
        <rFont val="Supreme LL TT Light"/>
      </rPr>
      <t xml:space="preserve">  </t>
    </r>
  </si>
  <si>
    <r>
      <t xml:space="preserve">Bolt Diameter </t>
    </r>
    <r>
      <rPr>
        <i/>
        <sz val="12"/>
        <color theme="0"/>
        <rFont val="Times New Roman"/>
        <family val="1"/>
      </rPr>
      <t>d</t>
    </r>
    <r>
      <rPr>
        <sz val="12"/>
        <color theme="0"/>
        <rFont val="Supreme LL TT Light"/>
      </rPr>
      <t xml:space="preserve">  </t>
    </r>
  </si>
  <si>
    <r>
      <t xml:space="preserve">Grip Length </t>
    </r>
    <r>
      <rPr>
        <i/>
        <sz val="12"/>
        <color theme="0"/>
        <rFont val="Times New Roman"/>
        <family val="1"/>
      </rPr>
      <t>l</t>
    </r>
    <r>
      <rPr>
        <sz val="12"/>
        <color theme="0"/>
        <rFont val="Supreme LL TT Light"/>
      </rPr>
      <t xml:space="preserve">  </t>
    </r>
  </si>
  <si>
    <t>mm</t>
  </si>
  <si>
    <r>
      <t xml:space="preserve">Distance between bolts </t>
    </r>
    <r>
      <rPr>
        <i/>
        <sz val="12"/>
        <color theme="0"/>
        <rFont val="Times New Roman"/>
        <family val="1"/>
      </rPr>
      <t>y</t>
    </r>
    <r>
      <rPr>
        <i/>
        <vertAlign val="subscript"/>
        <sz val="12"/>
        <color theme="0"/>
        <rFont val="Times New Roman"/>
        <family val="1"/>
      </rPr>
      <t xml:space="preserve">oall   </t>
    </r>
  </si>
  <si>
    <r>
      <t xml:space="preserve">Beam length </t>
    </r>
    <r>
      <rPr>
        <i/>
        <sz val="12"/>
        <color theme="0"/>
        <rFont val="Times New Roman"/>
        <family val="1"/>
      </rPr>
      <t>BL</t>
    </r>
    <r>
      <rPr>
        <sz val="12"/>
        <color theme="0"/>
        <rFont val="Supreme LL TT Light"/>
      </rPr>
      <t xml:space="preserve">  </t>
    </r>
  </si>
  <si>
    <r>
      <t xml:space="preserve">Min Force </t>
    </r>
    <r>
      <rPr>
        <i/>
        <sz val="12"/>
        <color theme="0"/>
        <rFont val="Times New Roman"/>
        <family val="1"/>
      </rPr>
      <t>F</t>
    </r>
    <r>
      <rPr>
        <i/>
        <vertAlign val="subscript"/>
        <sz val="12"/>
        <color theme="0"/>
        <rFont val="Times New Roman"/>
        <family val="1"/>
      </rPr>
      <t xml:space="preserve">min   </t>
    </r>
  </si>
  <si>
    <r>
      <t>Max Force</t>
    </r>
    <r>
      <rPr>
        <b/>
        <sz val="12"/>
        <color theme="0"/>
        <rFont val="Supreme LL TT Light"/>
      </rPr>
      <t xml:space="preserve"> </t>
    </r>
    <r>
      <rPr>
        <i/>
        <sz val="12"/>
        <color theme="0"/>
        <rFont val="Times New Roman"/>
        <family val="1"/>
      </rPr>
      <t>F</t>
    </r>
    <r>
      <rPr>
        <b/>
        <sz val="12"/>
        <color theme="0"/>
        <rFont val="Supreme LL TT Light"/>
      </rPr>
      <t xml:space="preserve"> </t>
    </r>
  </si>
  <si>
    <t>N</t>
  </si>
  <si>
    <t>deg</t>
  </si>
  <si>
    <t>rad</t>
  </si>
  <si>
    <r>
      <t xml:space="preserve">Number of Horizontal bolts </t>
    </r>
    <r>
      <rPr>
        <i/>
        <sz val="12"/>
        <color theme="0"/>
        <rFont val="Times New Roman"/>
        <family val="1"/>
      </rPr>
      <t>B</t>
    </r>
    <r>
      <rPr>
        <i/>
        <vertAlign val="subscript"/>
        <sz val="12"/>
        <color theme="0"/>
        <rFont val="Times New Roman"/>
        <family val="1"/>
      </rPr>
      <t xml:space="preserve">n  </t>
    </r>
  </si>
  <si>
    <r>
      <t xml:space="preserve">Preload ratio </t>
    </r>
    <r>
      <rPr>
        <i/>
        <sz val="12"/>
        <color theme="0"/>
        <rFont val="Times New Roman"/>
        <family val="1"/>
      </rPr>
      <t>pr</t>
    </r>
  </si>
  <si>
    <r>
      <t xml:space="preserve">Reliability Factor </t>
    </r>
    <r>
      <rPr>
        <i/>
        <sz val="12"/>
        <color theme="0"/>
        <rFont val="Times New Roman"/>
        <family val="1"/>
      </rPr>
      <t>rel</t>
    </r>
  </si>
  <si>
    <r>
      <t xml:space="preserve">Angle of Stress </t>
    </r>
    <r>
      <rPr>
        <i/>
        <sz val="12"/>
        <color theme="0"/>
        <rFont val="Times New Roman"/>
        <family val="1"/>
      </rPr>
      <t>α</t>
    </r>
    <r>
      <rPr>
        <sz val="12"/>
        <color theme="0"/>
        <rFont val="Supreme LL TT Light"/>
      </rPr>
      <t xml:space="preserve">  </t>
    </r>
  </si>
  <si>
    <t>Properties of Bolt</t>
  </si>
  <si>
    <r>
      <t xml:space="preserve">Min Moment </t>
    </r>
    <r>
      <rPr>
        <b/>
        <sz val="12"/>
        <color theme="0"/>
        <rFont val="Supreme LL TT Light"/>
      </rPr>
      <t xml:space="preserve">(N · mm) </t>
    </r>
  </si>
  <si>
    <r>
      <t xml:space="preserve">Max Tensile Force </t>
    </r>
    <r>
      <rPr>
        <b/>
        <sz val="12"/>
        <color theme="0"/>
        <rFont val="Supreme LL TT Light"/>
      </rPr>
      <t>(N)</t>
    </r>
    <r>
      <rPr>
        <sz val="12"/>
        <color theme="0"/>
        <rFont val="Supreme LL TT Light"/>
      </rPr>
      <t xml:space="preserve"> </t>
    </r>
  </si>
  <si>
    <r>
      <t xml:space="preserve">Min Tensile Force </t>
    </r>
    <r>
      <rPr>
        <b/>
        <sz val="12"/>
        <color theme="0"/>
        <rFont val="Supreme LL TT Light"/>
      </rPr>
      <t xml:space="preserve">(N) </t>
    </r>
  </si>
  <si>
    <t>Major/Stress Area ratio</t>
  </si>
  <si>
    <t>𝜃</t>
  </si>
  <si>
    <t>Bolt Deflection</t>
  </si>
  <si>
    <t>Bolt Fatigue Analysis</t>
  </si>
  <si>
    <t>M10</t>
  </si>
  <si>
    <t>M6</t>
  </si>
  <si>
    <r>
      <t>N/mm</t>
    </r>
    <r>
      <rPr>
        <b/>
        <vertAlign val="superscript"/>
        <sz val="12"/>
        <color theme="0"/>
        <rFont val="Supreme LL TT Light"/>
      </rPr>
      <t>2</t>
    </r>
  </si>
  <si>
    <t>Endurence Strength</t>
  </si>
  <si>
    <t>Selected Grade</t>
  </si>
  <si>
    <t>Bolt Grades</t>
  </si>
  <si>
    <t xml:space="preserve"> Proof strength taken as 85% of Yield Strength</t>
  </si>
  <si>
    <t>M16</t>
  </si>
  <si>
    <t>M12</t>
  </si>
  <si>
    <t>M8</t>
  </si>
  <si>
    <t>M14</t>
  </si>
  <si>
    <t>M24</t>
  </si>
  <si>
    <t>M18</t>
  </si>
  <si>
    <t>Executive Summary</t>
  </si>
  <si>
    <t>Bolt Grade</t>
  </si>
  <si>
    <t>Number of Horizontal Bolts</t>
  </si>
  <si>
    <t>Safe Bolt Diameter</t>
  </si>
  <si>
    <t>Safe Number of Horizontal Bolts</t>
  </si>
  <si>
    <t>Bolt Selection Results</t>
  </si>
  <si>
    <t>Using the excel solver the following results were recorded. It could be seen that the less number of horizontal bolts the larger the bolt diameter had to be inorder to remain within the ASME ellipse. Using one horizontal bolt requiring exceedly large bolts like M18 and M24 for all selected grades. To maintain consistency with the drawing presented under the problem summary, two horizontal bolts were choosen. As such either grade 5.8 M16 bolts or grade 8.8/9.8 M12 bolts could be used and it was decided that the 8.8 M12 bolt was the most appropriate choice.</t>
  </si>
  <si>
    <t xml:space="preserve">The following equations, obtained from week 5 lecture slides, where used to construct the graph below </t>
  </si>
  <si>
    <r>
      <t xml:space="preserve">Bolt properties for three grades were obtained from week 5 lecture slides. From these properties the bolt modulus, maximum tensile stress </t>
    </r>
    <r>
      <rPr>
        <i/>
        <sz val="12"/>
        <color theme="1"/>
        <rFont val="Times New Roman"/>
        <family val="1"/>
      </rPr>
      <t>P</t>
    </r>
    <r>
      <rPr>
        <sz val="12"/>
        <color theme="1"/>
        <rFont val="Supreme LL TT Light"/>
      </rPr>
      <t xml:space="preserve"> and minimum tensile stress </t>
    </r>
    <r>
      <rPr>
        <i/>
        <sz val="12"/>
        <color theme="1"/>
        <rFont val="Times New Roman"/>
        <family val="1"/>
      </rPr>
      <t>P</t>
    </r>
    <r>
      <rPr>
        <i/>
        <vertAlign val="subscript"/>
        <sz val="12"/>
        <color theme="1"/>
        <rFont val="Times New Roman"/>
        <family val="1"/>
      </rPr>
      <t>min</t>
    </r>
    <r>
      <rPr>
        <sz val="12"/>
        <color theme="1"/>
        <rFont val="Supreme LL TT Light"/>
      </rPr>
      <t xml:space="preserve"> could be calculated.  </t>
    </r>
  </si>
  <si>
    <t>A fatigue diagram was made using the selected bolt grade properties. The plot shows the proof line, Safe/Gerber porabola, Goodman line, ASME ellipse as well as the maximum stressed bolt. Equations where used or derived from week 5 lecture slides.</t>
  </si>
  <si>
    <t>delta (mm)</t>
  </si>
  <si>
    <t>F (N)</t>
  </si>
  <si>
    <t xml:space="preserve">To secure the fabricated assembly from Part A to a beam using a bolted system. The bolts must be capable of taking an alternating force without fatigue failure. A standard universal column was used as the main beam with thickness of 25mm making the total grip length 41mm. Washers where choosen to be 1.6 of the bolts (major) diameter and bolts were placed as far apart whilst making sure the stress cone would not extend outside of the plate. All other information was obtained from the lecture slides or assessment criteria. Multiple combinations of bolt diamter, bolt grade and the number of horizontal bolts were analysised. A factor of safety of 1.5 was choosen. </t>
  </si>
  <si>
    <t>Through analysis of multiple different bolts and bolting arrangements it was decided that 2 rows of 2 grade 8.8 M12 bolts be used to secure the assembly to the vertical beam.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</si>
</sst>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
    <numFmt numFmtId="166" formatCode="0.0"/>
  </numFmts>
  <fonts count="45">
    <font>
      <sz val="12"/>
      <color theme="1"/>
      <name val="Calibri"/>
      <family val="2"/>
      <scheme val="minor"/>
    </font>
    <font>
      <sz val="12"/>
      <color theme="0"/>
      <name val="Calibri"/>
      <family val="2"/>
      <scheme val="minor"/>
    </font>
    <font>
      <sz val="48"/>
      <color theme="1"/>
      <name val="SupremeLLTT-Book"/>
    </font>
    <font>
      <sz val="12"/>
      <color theme="1"/>
      <name val="SupremeLLTT-Book"/>
    </font>
    <font>
      <b/>
      <sz val="12"/>
      <color theme="1"/>
      <name val="SupremeLLTT-Book"/>
    </font>
    <font>
      <b/>
      <sz val="16"/>
      <color theme="1"/>
      <name val="SupremeLLTT-Book"/>
    </font>
    <font>
      <sz val="12"/>
      <color theme="1"/>
      <name val="SupremeLLTT-Light"/>
    </font>
    <font>
      <sz val="12"/>
      <color theme="0"/>
      <name val="SupremeLLTT-Light"/>
    </font>
    <font>
      <b/>
      <sz val="12"/>
      <color theme="0"/>
      <name val="SupremeLLTT-Light"/>
    </font>
    <font>
      <u/>
      <sz val="12"/>
      <color theme="10"/>
      <name val="Calibri"/>
      <family val="2"/>
      <scheme val="minor"/>
    </font>
    <font>
      <sz val="12"/>
      <color theme="1"/>
      <name val="Times Italic"/>
    </font>
    <font>
      <sz val="12"/>
      <color theme="1"/>
      <name val="Times New Roman Italic"/>
    </font>
    <font>
      <sz val="12"/>
      <color theme="0"/>
      <name val="Times New Roman Italic"/>
    </font>
    <font>
      <i/>
      <sz val="12"/>
      <color theme="1"/>
      <name val="Times New Roman"/>
      <family val="1"/>
    </font>
    <font>
      <sz val="12"/>
      <color theme="4" tint="-0.249977111117893"/>
      <name val="SupremeLLTT-Light"/>
    </font>
    <font>
      <sz val="12"/>
      <color theme="1"/>
      <name val="Supreme LL TT Light"/>
    </font>
    <font>
      <i/>
      <vertAlign val="subscript"/>
      <sz val="12"/>
      <color theme="1"/>
      <name val="Times New Roman"/>
      <family val="1"/>
    </font>
    <font>
      <sz val="12"/>
      <color theme="0"/>
      <name val="SupremeLLTT-Book"/>
    </font>
    <font>
      <vertAlign val="superscript"/>
      <sz val="12"/>
      <color theme="0"/>
      <name val="SupremeLLTT-Book"/>
    </font>
    <font>
      <sz val="12"/>
      <color theme="1"/>
      <name val="Supreme LL TT Book"/>
    </font>
    <font>
      <i/>
      <sz val="12"/>
      <color theme="0"/>
      <name val="Times New Roman"/>
      <family val="1"/>
    </font>
    <font>
      <sz val="12"/>
      <color theme="0"/>
      <name val="SupremeLLTT-Light"/>
      <family val="1"/>
    </font>
    <font>
      <sz val="20"/>
      <color theme="1"/>
      <name val="SupremeLLTT-Book"/>
    </font>
    <font>
      <i/>
      <vertAlign val="subscript"/>
      <sz val="12"/>
      <color theme="0"/>
      <name val="Times New Roman"/>
      <family val="1"/>
    </font>
    <font>
      <sz val="12"/>
      <color theme="0"/>
      <name val="Supreme LL TT Book"/>
    </font>
    <font>
      <vertAlign val="superscript"/>
      <sz val="12"/>
      <color theme="0"/>
      <name val="Supreme LL TT Book"/>
    </font>
    <font>
      <sz val="12"/>
      <color theme="0"/>
      <name val="Supreme LL TT Light"/>
    </font>
    <font>
      <sz val="12"/>
      <color theme="1"/>
      <name val="Supreme LL Light"/>
    </font>
    <font>
      <i/>
      <sz val="12"/>
      <color theme="0"/>
      <name val="Times New Roman Bold Italic"/>
    </font>
    <font>
      <sz val="12"/>
      <color theme="1"/>
      <name val="SupremeLLTT-BoldFlat"/>
    </font>
    <font>
      <sz val="12"/>
      <color theme="0"/>
      <name val="Times New Roman"/>
      <family val="1"/>
    </font>
    <font>
      <b/>
      <sz val="12"/>
      <color theme="1"/>
      <name val="SupremeLLTT-Light"/>
    </font>
    <font>
      <b/>
      <sz val="12"/>
      <color theme="0"/>
      <name val="Supreme LL TT Light"/>
    </font>
    <font>
      <i/>
      <sz val="14"/>
      <color theme="0"/>
      <name val="Times New Roman"/>
      <family val="1"/>
    </font>
    <font>
      <i/>
      <vertAlign val="subscript"/>
      <sz val="14"/>
      <color theme="0"/>
      <name val="Times New Roman"/>
      <family val="1"/>
    </font>
    <font>
      <vertAlign val="superscript"/>
      <sz val="12"/>
      <color theme="0"/>
      <name val="Calibri (Body)"/>
    </font>
    <font>
      <b/>
      <sz val="12"/>
      <color theme="1"/>
      <name val="Supreme LL TT Light"/>
    </font>
    <font>
      <sz val="12"/>
      <color theme="0"/>
      <name val="Calibri"/>
      <family val="1"/>
    </font>
    <font>
      <b/>
      <vertAlign val="superscript"/>
      <sz val="12"/>
      <color theme="0"/>
      <name val="Supreme LL TT Light"/>
    </font>
    <font>
      <i/>
      <sz val="12"/>
      <color theme="0"/>
      <name val="Supreme LL TT Light"/>
    </font>
    <font>
      <i/>
      <vertAlign val="subscript"/>
      <sz val="12"/>
      <color theme="0"/>
      <name val="Supreme LL TT Light"/>
    </font>
    <font>
      <sz val="48"/>
      <color rgb="FF000000"/>
      <name val="SupremeLLTT-Book"/>
    </font>
    <font>
      <sz val="12"/>
      <color rgb="FF000000"/>
      <name val="SupremeLLTT-Book"/>
    </font>
    <font>
      <sz val="20"/>
      <color theme="1"/>
      <name val="Supreme LL TT Book"/>
    </font>
    <font>
      <sz val="20"/>
      <color rgb="FF000000"/>
      <name val="SupremeLLTT-Book"/>
    </font>
  </fonts>
  <fills count="6">
    <fill>
      <patternFill patternType="none"/>
    </fill>
    <fill>
      <patternFill patternType="gray125"/>
    </fill>
    <fill>
      <patternFill patternType="solid">
        <fgColor theme="0"/>
        <bgColor indexed="64"/>
      </patternFill>
    </fill>
    <fill>
      <patternFill patternType="solid">
        <fgColor rgb="FF50423F"/>
        <bgColor indexed="64"/>
      </patternFill>
    </fill>
    <fill>
      <patternFill patternType="solid">
        <fgColor rgb="FFF0E4E1"/>
        <bgColor indexed="64"/>
      </patternFill>
    </fill>
    <fill>
      <patternFill patternType="solid">
        <fgColor rgb="FFF7D4C6"/>
        <bgColor indexed="64"/>
      </patternFill>
    </fill>
  </fills>
  <borders count="41">
    <border>
      <left/>
      <right/>
      <top/>
      <bottom/>
      <diagonal/>
    </border>
    <border>
      <left/>
      <right style="dashDot">
        <color theme="0"/>
      </right>
      <top style="dashDot">
        <color theme="0"/>
      </top>
      <bottom style="dashDot">
        <color theme="0"/>
      </bottom>
      <diagonal/>
    </border>
    <border>
      <left style="dashDot">
        <color theme="0"/>
      </left>
      <right style="dashDot">
        <color theme="0"/>
      </right>
      <top style="dashDot">
        <color theme="0"/>
      </top>
      <bottom style="dashDot">
        <color theme="0"/>
      </bottom>
      <diagonal/>
    </border>
    <border>
      <left style="thin">
        <color theme="1"/>
      </left>
      <right style="thin">
        <color theme="1"/>
      </right>
      <top style="thin">
        <color theme="1"/>
      </top>
      <bottom style="thin">
        <color theme="1"/>
      </bottom>
      <diagonal/>
    </border>
    <border>
      <left/>
      <right/>
      <top style="thin">
        <color theme="0"/>
      </top>
      <bottom/>
      <diagonal/>
    </border>
    <border>
      <left/>
      <right/>
      <top/>
      <bottom style="thin">
        <color theme="0"/>
      </bottom>
      <diagonal/>
    </border>
    <border>
      <left/>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1"/>
      </left>
      <right/>
      <top style="thin">
        <color theme="1"/>
      </top>
      <bottom style="thin">
        <color theme="1"/>
      </bottom>
      <diagonal/>
    </border>
    <border>
      <left style="thin">
        <color theme="0"/>
      </left>
      <right/>
      <top style="thin">
        <color theme="0"/>
      </top>
      <bottom/>
      <diagonal/>
    </border>
    <border>
      <left style="thin">
        <color theme="0"/>
      </left>
      <right style="thin">
        <color theme="0"/>
      </right>
      <top style="thin">
        <color theme="0"/>
      </top>
      <bottom/>
      <diagonal/>
    </border>
    <border>
      <left/>
      <right style="thin">
        <color theme="0"/>
      </right>
      <top style="thin">
        <color theme="0"/>
      </top>
      <bottom/>
      <diagonal/>
    </border>
    <border>
      <left style="dashDot">
        <color theme="0"/>
      </left>
      <right style="medium">
        <color indexed="64"/>
      </right>
      <top style="dashDot">
        <color theme="0"/>
      </top>
      <bottom style="dashDot">
        <color theme="0"/>
      </bottom>
      <diagonal/>
    </border>
    <border>
      <left style="medium">
        <color indexed="64"/>
      </left>
      <right style="thin">
        <color theme="1"/>
      </right>
      <top style="thin">
        <color theme="1"/>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dashDot">
        <color theme="0"/>
      </right>
      <top style="dashDot">
        <color theme="0"/>
      </top>
      <bottom/>
      <diagonal/>
    </border>
    <border>
      <left style="dashDot">
        <color theme="0"/>
      </left>
      <right style="dashDot">
        <color theme="0"/>
      </right>
      <top style="dashDot">
        <color theme="0"/>
      </top>
      <bottom/>
      <diagonal/>
    </border>
    <border>
      <left style="dashDot">
        <color theme="0"/>
      </left>
      <right style="medium">
        <color indexed="64"/>
      </right>
      <top style="dashDot">
        <color theme="0"/>
      </top>
      <bottom/>
      <diagonal/>
    </border>
    <border>
      <left style="thin">
        <color indexed="64"/>
      </left>
      <right style="thin">
        <color indexed="64"/>
      </right>
      <top/>
      <bottom/>
      <diagonal/>
    </border>
    <border>
      <left style="thin">
        <color theme="0"/>
      </left>
      <right style="medium">
        <color indexed="64"/>
      </right>
      <top style="thin">
        <color theme="0"/>
      </top>
      <bottom/>
      <diagonal/>
    </border>
    <border>
      <left style="medium">
        <color indexed="64"/>
      </left>
      <right/>
      <top style="medium">
        <color indexed="64"/>
      </top>
      <bottom style="thin">
        <color theme="0"/>
      </bottom>
      <diagonal/>
    </border>
    <border>
      <left/>
      <right/>
      <top style="medium">
        <color indexed="64"/>
      </top>
      <bottom style="thin">
        <color theme="0"/>
      </bottom>
      <diagonal/>
    </border>
    <border>
      <left/>
      <right style="medium">
        <color indexed="64"/>
      </right>
      <top style="medium">
        <color indexed="64"/>
      </top>
      <bottom style="thin">
        <color theme="0"/>
      </bottom>
      <diagonal/>
    </border>
    <border>
      <left style="medium">
        <color indexed="64"/>
      </left>
      <right/>
      <top style="thin">
        <color theme="0"/>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196">
    <xf numFmtId="0" fontId="0" fillId="0" borderId="0" xfId="0"/>
    <xf numFmtId="0" fontId="0" fillId="0" borderId="1" xfId="0" applyBorder="1"/>
    <xf numFmtId="0" fontId="0" fillId="0" borderId="2" xfId="0" applyBorder="1"/>
    <xf numFmtId="0" fontId="0" fillId="0" borderId="0" xfId="0" applyAlignment="1">
      <alignment vertical="center"/>
    </xf>
    <xf numFmtId="0" fontId="7" fillId="3" borderId="3" xfId="0" applyFont="1" applyFill="1" applyBorder="1" applyAlignment="1">
      <alignment horizontal="center" vertical="center"/>
    </xf>
    <xf numFmtId="0" fontId="8" fillId="3" borderId="3" xfId="0" applyFont="1" applyFill="1" applyBorder="1" applyAlignment="1">
      <alignment horizontal="center" vertical="center"/>
    </xf>
    <xf numFmtId="0" fontId="6" fillId="4" borderId="3" xfId="0" applyFont="1" applyFill="1" applyBorder="1" applyAlignment="1">
      <alignment horizontal="center" vertical="center"/>
    </xf>
    <xf numFmtId="0" fontId="6" fillId="5" borderId="3" xfId="0" applyFont="1" applyFill="1" applyBorder="1" applyAlignment="1">
      <alignment horizontal="center" vertical="center"/>
    </xf>
    <xf numFmtId="0" fontId="17" fillId="3" borderId="7" xfId="0" applyFont="1" applyFill="1" applyBorder="1" applyAlignment="1">
      <alignment horizontal="center" vertical="center"/>
    </xf>
    <xf numFmtId="0" fontId="21" fillId="3" borderId="7" xfId="0" applyFont="1" applyFill="1" applyBorder="1" applyAlignment="1">
      <alignment horizontal="center"/>
    </xf>
    <xf numFmtId="0" fontId="0" fillId="2" borderId="13" xfId="0" applyFill="1" applyBorder="1"/>
    <xf numFmtId="0" fontId="0" fillId="2" borderId="14" xfId="0" applyFill="1" applyBorder="1"/>
    <xf numFmtId="0" fontId="1" fillId="3" borderId="9" xfId="0" applyFont="1" applyFill="1" applyBorder="1"/>
    <xf numFmtId="0" fontId="12" fillId="3" borderId="9" xfId="0" applyFont="1" applyFill="1" applyBorder="1" applyAlignment="1">
      <alignment horizontal="right"/>
    </xf>
    <xf numFmtId="0" fontId="0" fillId="2" borderId="14" xfId="0" applyFill="1" applyBorder="1" applyAlignment="1">
      <alignment vertical="center"/>
    </xf>
    <xf numFmtId="0" fontId="0" fillId="2" borderId="17" xfId="0" applyFill="1" applyBorder="1"/>
    <xf numFmtId="0" fontId="7" fillId="3" borderId="19" xfId="0" applyFont="1" applyFill="1" applyBorder="1" applyAlignment="1">
      <alignment horizontal="center" vertical="center"/>
    </xf>
    <xf numFmtId="0" fontId="6" fillId="5" borderId="19" xfId="0" applyFont="1" applyFill="1" applyBorder="1" applyAlignment="1">
      <alignment horizontal="center" vertical="center"/>
    </xf>
    <xf numFmtId="0" fontId="0" fillId="0" borderId="23" xfId="0" applyBorder="1"/>
    <xf numFmtId="0" fontId="6" fillId="3" borderId="24" xfId="0" applyFont="1" applyFill="1" applyBorder="1" applyAlignment="1">
      <alignment horizontal="center"/>
    </xf>
    <xf numFmtId="0" fontId="7" fillId="3" borderId="24" xfId="0" applyFont="1" applyFill="1" applyBorder="1" applyAlignment="1">
      <alignment horizontal="right"/>
    </xf>
    <xf numFmtId="0" fontId="6" fillId="2" borderId="13" xfId="0" applyFont="1" applyFill="1" applyBorder="1"/>
    <xf numFmtId="0" fontId="6" fillId="3" borderId="24" xfId="0" applyFont="1" applyFill="1" applyBorder="1"/>
    <xf numFmtId="0" fontId="7" fillId="3" borderId="24" xfId="0" applyFont="1" applyFill="1" applyBorder="1" applyAlignment="1">
      <alignment horizontal="center"/>
    </xf>
    <xf numFmtId="0" fontId="6" fillId="2" borderId="4" xfId="0" applyFont="1" applyFill="1" applyBorder="1" applyAlignment="1">
      <alignment vertical="center"/>
    </xf>
    <xf numFmtId="0" fontId="6" fillId="2" borderId="5" xfId="0" applyFont="1" applyFill="1" applyBorder="1" applyAlignment="1">
      <alignment vertical="center"/>
    </xf>
    <xf numFmtId="0" fontId="6" fillId="2" borderId="6" xfId="0" applyFont="1" applyFill="1" applyBorder="1"/>
    <xf numFmtId="0" fontId="7" fillId="3" borderId="7" xfId="0" applyFont="1" applyFill="1" applyBorder="1" applyAlignment="1">
      <alignment horizontal="center" vertical="center"/>
    </xf>
    <xf numFmtId="0" fontId="6" fillId="5" borderId="7" xfId="0" applyFont="1" applyFill="1" applyBorder="1" applyAlignment="1">
      <alignment horizontal="center" vertical="center"/>
    </xf>
    <xf numFmtId="0" fontId="15" fillId="0" borderId="0" xfId="0" applyFont="1"/>
    <xf numFmtId="0" fontId="0" fillId="5" borderId="7" xfId="0" applyFill="1" applyBorder="1" applyAlignment="1">
      <alignment horizontal="center" vertical="center"/>
    </xf>
    <xf numFmtId="0" fontId="17" fillId="3" borderId="7" xfId="0" applyFont="1" applyFill="1" applyBorder="1" applyAlignment="1">
      <alignment horizontal="center"/>
    </xf>
    <xf numFmtId="0" fontId="0" fillId="4" borderId="7" xfId="0" applyFill="1" applyBorder="1" applyAlignment="1">
      <alignment horizontal="center" vertical="center"/>
    </xf>
    <xf numFmtId="0" fontId="3" fillId="3" borderId="9" xfId="0" applyFont="1" applyFill="1" applyBorder="1" applyAlignment="1">
      <alignment vertical="center"/>
    </xf>
    <xf numFmtId="0" fontId="21" fillId="3" borderId="9" xfId="0" applyFont="1" applyFill="1" applyBorder="1" applyAlignment="1">
      <alignment horizontal="right" vertical="center"/>
    </xf>
    <xf numFmtId="0" fontId="21" fillId="3" borderId="9" xfId="0" applyFont="1" applyFill="1" applyBorder="1" applyAlignment="1">
      <alignment horizontal="right"/>
    </xf>
    <xf numFmtId="0" fontId="6" fillId="5" borderId="7" xfId="0" applyFont="1" applyFill="1" applyBorder="1" applyAlignment="1">
      <alignment horizontal="center"/>
    </xf>
    <xf numFmtId="0" fontId="1" fillId="3" borderId="13" xfId="0" applyFont="1" applyFill="1" applyBorder="1"/>
    <xf numFmtId="0" fontId="20" fillId="3" borderId="9" xfId="0" applyFont="1" applyFill="1" applyBorder="1" applyAlignment="1">
      <alignment horizontal="right"/>
    </xf>
    <xf numFmtId="2" fontId="6" fillId="4" borderId="7" xfId="0" applyNumberFormat="1" applyFont="1" applyFill="1" applyBorder="1" applyAlignment="1">
      <alignment horizontal="center" vertical="center"/>
    </xf>
    <xf numFmtId="0" fontId="7" fillId="3" borderId="9" xfId="0" applyFont="1" applyFill="1" applyBorder="1" applyAlignment="1">
      <alignment horizontal="right"/>
    </xf>
    <xf numFmtId="0" fontId="15" fillId="5" borderId="7" xfId="0" applyFont="1" applyFill="1" applyBorder="1" applyAlignment="1">
      <alignment horizontal="center"/>
    </xf>
    <xf numFmtId="0" fontId="17" fillId="3" borderId="15" xfId="0" applyFont="1" applyFill="1" applyBorder="1" applyAlignment="1">
      <alignment horizontal="right"/>
    </xf>
    <xf numFmtId="0" fontId="3" fillId="4" borderId="8" xfId="0" applyFont="1" applyFill="1" applyBorder="1" applyAlignment="1">
      <alignment horizontal="center"/>
    </xf>
    <xf numFmtId="0" fontId="3" fillId="4" borderId="7" xfId="0" applyFont="1" applyFill="1" applyBorder="1" applyAlignment="1">
      <alignment horizontal="center"/>
    </xf>
    <xf numFmtId="0" fontId="15" fillId="4" borderId="7" xfId="0" applyFont="1" applyFill="1" applyBorder="1" applyAlignment="1">
      <alignment horizontal="center" vertical="center"/>
    </xf>
    <xf numFmtId="0" fontId="15" fillId="2" borderId="14" xfId="0" applyFont="1" applyFill="1" applyBorder="1"/>
    <xf numFmtId="0" fontId="20" fillId="3" borderId="7" xfId="0" applyFont="1" applyFill="1" applyBorder="1" applyAlignment="1">
      <alignment horizontal="center" vertical="center"/>
    </xf>
    <xf numFmtId="0" fontId="27" fillId="4" borderId="7" xfId="0" applyFont="1" applyFill="1" applyBorder="1" applyAlignment="1">
      <alignment horizontal="center"/>
    </xf>
    <xf numFmtId="2" fontId="27" fillId="4" borderId="7" xfId="0" applyNumberFormat="1" applyFont="1" applyFill="1" applyBorder="1" applyAlignment="1">
      <alignment horizontal="center"/>
    </xf>
    <xf numFmtId="164" fontId="27" fillId="4" borderId="7" xfId="0" applyNumberFormat="1" applyFont="1" applyFill="1" applyBorder="1" applyAlignment="1">
      <alignment horizontal="center"/>
    </xf>
    <xf numFmtId="165" fontId="27" fillId="4" borderId="7" xfId="0" applyNumberFormat="1" applyFont="1" applyFill="1" applyBorder="1" applyAlignment="1">
      <alignment horizontal="center"/>
    </xf>
    <xf numFmtId="165" fontId="19" fillId="4" borderId="7" xfId="0" applyNumberFormat="1" applyFont="1" applyFill="1" applyBorder="1" applyAlignment="1">
      <alignment horizontal="center"/>
    </xf>
    <xf numFmtId="165" fontId="3" fillId="4" borderId="7" xfId="0" applyNumberFormat="1" applyFont="1" applyFill="1" applyBorder="1" applyAlignment="1">
      <alignment horizontal="center"/>
    </xf>
    <xf numFmtId="2" fontId="29" fillId="4" borderId="7" xfId="0" applyNumberFormat="1" applyFont="1" applyFill="1" applyBorder="1" applyAlignment="1">
      <alignment horizontal="center"/>
    </xf>
    <xf numFmtId="0" fontId="20" fillId="3" borderId="7" xfId="0" applyFont="1" applyFill="1" applyBorder="1" applyAlignment="1">
      <alignment horizontal="center"/>
    </xf>
    <xf numFmtId="0" fontId="31" fillId="4" borderId="7" xfId="0" applyFont="1" applyFill="1" applyBorder="1" applyAlignment="1">
      <alignment horizontal="center" vertical="center"/>
    </xf>
    <xf numFmtId="1" fontId="31" fillId="4" borderId="7" xfId="0" applyNumberFormat="1" applyFont="1" applyFill="1" applyBorder="1" applyAlignment="1">
      <alignment horizontal="center" vertical="center"/>
    </xf>
    <xf numFmtId="0" fontId="0" fillId="3" borderId="13" xfId="0" applyFill="1" applyBorder="1"/>
    <xf numFmtId="0" fontId="15" fillId="3" borderId="7" xfId="0" applyFont="1" applyFill="1" applyBorder="1"/>
    <xf numFmtId="0" fontId="1" fillId="3" borderId="7" xfId="0" applyFont="1" applyFill="1" applyBorder="1" applyAlignment="1">
      <alignment horizontal="center"/>
    </xf>
    <xf numFmtId="0" fontId="26" fillId="3" borderId="9" xfId="0" applyFont="1" applyFill="1" applyBorder="1" applyAlignment="1">
      <alignment horizontal="right"/>
    </xf>
    <xf numFmtId="0" fontId="1" fillId="3" borderId="9" xfId="0" applyFont="1" applyFill="1" applyBorder="1" applyAlignment="1">
      <alignment horizontal="right"/>
    </xf>
    <xf numFmtId="0" fontId="28" fillId="3" borderId="9" xfId="0" applyFont="1" applyFill="1" applyBorder="1" applyAlignment="1">
      <alignment horizontal="right"/>
    </xf>
    <xf numFmtId="0" fontId="0" fillId="4" borderId="7" xfId="0" applyFill="1" applyBorder="1" applyAlignment="1">
      <alignment horizontal="center"/>
    </xf>
    <xf numFmtId="1" fontId="0" fillId="4" borderId="7" xfId="0" applyNumberFormat="1" applyFill="1" applyBorder="1" applyAlignment="1">
      <alignment horizontal="center"/>
    </xf>
    <xf numFmtId="0" fontId="15" fillId="2" borderId="0" xfId="0" applyFont="1" applyFill="1" applyAlignment="1">
      <alignment horizontal="center" vertical="center"/>
    </xf>
    <xf numFmtId="0" fontId="0" fillId="2" borderId="0" xfId="0" applyFill="1"/>
    <xf numFmtId="0" fontId="26" fillId="3" borderId="7" xfId="0" applyFont="1" applyFill="1" applyBorder="1" applyAlignment="1">
      <alignment horizontal="right"/>
    </xf>
    <xf numFmtId="1" fontId="6" fillId="4" borderId="7" xfId="0" applyNumberFormat="1" applyFont="1" applyFill="1" applyBorder="1" applyAlignment="1">
      <alignment horizontal="center"/>
    </xf>
    <xf numFmtId="0" fontId="6" fillId="4" borderId="7" xfId="0" applyFont="1" applyFill="1" applyBorder="1" applyAlignment="1">
      <alignment horizontal="center"/>
    </xf>
    <xf numFmtId="0" fontId="0" fillId="2" borderId="30" xfId="0" applyFill="1" applyBorder="1"/>
    <xf numFmtId="0" fontId="0" fillId="2" borderId="31" xfId="0" applyFill="1" applyBorder="1"/>
    <xf numFmtId="0" fontId="0" fillId="2" borderId="32" xfId="0" applyFill="1" applyBorder="1"/>
    <xf numFmtId="0" fontId="6" fillId="2" borderId="0" xfId="0" applyFont="1" applyFill="1"/>
    <xf numFmtId="0" fontId="6" fillId="2" borderId="0" xfId="0" applyFont="1" applyFill="1" applyAlignment="1">
      <alignment vertical="center"/>
    </xf>
    <xf numFmtId="0" fontId="8" fillId="3" borderId="7" xfId="0" applyFont="1" applyFill="1" applyBorder="1" applyAlignment="1">
      <alignment horizontal="center" vertical="center"/>
    </xf>
    <xf numFmtId="0" fontId="6" fillId="4" borderId="7" xfId="0" applyFont="1" applyFill="1" applyBorder="1" applyAlignment="1">
      <alignment horizontal="center" vertical="center"/>
    </xf>
    <xf numFmtId="1" fontId="15" fillId="4" borderId="7" xfId="0" applyNumberFormat="1" applyFont="1" applyFill="1" applyBorder="1" applyAlignment="1">
      <alignment horizontal="center"/>
    </xf>
    <xf numFmtId="166" fontId="15" fillId="4" borderId="7" xfId="0" applyNumberFormat="1" applyFont="1" applyFill="1" applyBorder="1" applyAlignment="1">
      <alignment horizontal="center" vertical="center"/>
    </xf>
    <xf numFmtId="1" fontId="15" fillId="4" borderId="7" xfId="0" applyNumberFormat="1" applyFont="1" applyFill="1" applyBorder="1" applyAlignment="1">
      <alignment horizontal="center" vertical="center"/>
    </xf>
    <xf numFmtId="0" fontId="15" fillId="4" borderId="7" xfId="0" applyFont="1" applyFill="1" applyBorder="1" applyAlignment="1">
      <alignment horizontal="center"/>
    </xf>
    <xf numFmtId="164" fontId="15" fillId="4" borderId="7" xfId="0" applyNumberFormat="1" applyFont="1" applyFill="1" applyBorder="1" applyAlignment="1">
      <alignment horizontal="center"/>
    </xf>
    <xf numFmtId="2" fontId="15" fillId="4" borderId="7" xfId="0" applyNumberFormat="1" applyFont="1" applyFill="1" applyBorder="1" applyAlignment="1">
      <alignment horizontal="center"/>
    </xf>
    <xf numFmtId="0" fontId="33" fillId="3" borderId="7" xfId="0" applyFont="1" applyFill="1" applyBorder="1" applyAlignment="1">
      <alignment horizontal="center" vertical="top"/>
    </xf>
    <xf numFmtId="1" fontId="36" fillId="4" borderId="7" xfId="0" applyNumberFormat="1" applyFont="1" applyFill="1" applyBorder="1" applyAlignment="1">
      <alignment horizontal="center"/>
    </xf>
    <xf numFmtId="0" fontId="1" fillId="2" borderId="0" xfId="0" applyFont="1" applyFill="1"/>
    <xf numFmtId="1" fontId="4" fillId="2" borderId="20" xfId="0" applyNumberFormat="1" applyFont="1" applyFill="1" applyBorder="1" applyAlignment="1">
      <alignment horizontal="left" vertical="center"/>
    </xf>
    <xf numFmtId="0" fontId="42" fillId="2" borderId="0" xfId="0" applyFont="1" applyFill="1"/>
    <xf numFmtId="1" fontId="4" fillId="2" borderId="0" xfId="0" applyNumberFormat="1" applyFont="1" applyFill="1" applyAlignment="1">
      <alignment horizontal="left" vertical="center"/>
    </xf>
    <xf numFmtId="0" fontId="15" fillId="5" borderId="7" xfId="0" applyFont="1" applyFill="1" applyBorder="1" applyAlignment="1">
      <alignment horizontal="center" vertical="center"/>
    </xf>
    <xf numFmtId="0" fontId="32" fillId="3" borderId="7" xfId="0" applyFont="1" applyFill="1" applyBorder="1" applyAlignment="1">
      <alignment horizontal="center"/>
    </xf>
    <xf numFmtId="0" fontId="26" fillId="3" borderId="7" xfId="0" applyFont="1" applyFill="1" applyBorder="1" applyAlignment="1">
      <alignment horizontal="center"/>
    </xf>
    <xf numFmtId="0" fontId="26" fillId="3" borderId="0" xfId="0" applyFont="1" applyFill="1" applyAlignment="1">
      <alignment horizontal="center"/>
    </xf>
    <xf numFmtId="0" fontId="0" fillId="3" borderId="9" xfId="0" applyFill="1" applyBorder="1"/>
    <xf numFmtId="1" fontId="15" fillId="5" borderId="7" xfId="0" applyNumberFormat="1" applyFont="1" applyFill="1" applyBorder="1" applyAlignment="1">
      <alignment horizontal="center" vertical="center"/>
    </xf>
    <xf numFmtId="0" fontId="26" fillId="3" borderId="7" xfId="0" applyFont="1" applyFill="1" applyBorder="1" applyAlignment="1">
      <alignment horizontal="center" vertical="center"/>
    </xf>
    <xf numFmtId="0" fontId="30" fillId="3" borderId="7" xfId="0" applyFont="1" applyFill="1" applyBorder="1" applyAlignment="1">
      <alignment horizontal="center"/>
    </xf>
    <xf numFmtId="0" fontId="26" fillId="3" borderId="7" xfId="0" applyFont="1" applyFill="1" applyBorder="1" applyAlignment="1">
      <alignment vertical="top"/>
    </xf>
    <xf numFmtId="0" fontId="42" fillId="2" borderId="13" xfId="0" applyFont="1" applyFill="1" applyBorder="1"/>
    <xf numFmtId="0" fontId="4" fillId="2" borderId="34" xfId="0" applyFont="1" applyFill="1" applyBorder="1" applyAlignment="1">
      <alignment horizontal="left" vertical="center"/>
    </xf>
    <xf numFmtId="0" fontId="32" fillId="3" borderId="0" xfId="0" applyFont="1" applyFill="1" applyAlignment="1">
      <alignment horizontal="center"/>
    </xf>
    <xf numFmtId="1" fontId="15" fillId="2" borderId="0" xfId="0" applyNumberFormat="1" applyFont="1" applyFill="1" applyAlignment="1">
      <alignment horizontal="center"/>
    </xf>
    <xf numFmtId="0" fontId="4" fillId="2" borderId="14" xfId="0" applyFont="1" applyFill="1" applyBorder="1" applyAlignment="1">
      <alignment horizontal="left" vertical="center"/>
    </xf>
    <xf numFmtId="0" fontId="0" fillId="0" borderId="13" xfId="0" applyBorder="1"/>
    <xf numFmtId="0" fontId="15" fillId="2" borderId="13" xfId="0" applyFont="1" applyFill="1" applyBorder="1" applyAlignment="1">
      <alignment horizontal="right"/>
    </xf>
    <xf numFmtId="166" fontId="15" fillId="4" borderId="29" xfId="0" applyNumberFormat="1" applyFont="1" applyFill="1" applyBorder="1" applyAlignment="1">
      <alignment horizontal="center" vertical="center"/>
    </xf>
    <xf numFmtId="0" fontId="15" fillId="2" borderId="0" xfId="0" applyFont="1" applyFill="1"/>
    <xf numFmtId="0" fontId="15" fillId="2" borderId="0" xfId="0" applyFont="1" applyFill="1" applyAlignment="1">
      <alignment horizontal="center"/>
    </xf>
    <xf numFmtId="0" fontId="36" fillId="4" borderId="7" xfId="0" applyFont="1" applyFill="1" applyBorder="1" applyAlignment="1">
      <alignment horizontal="center"/>
    </xf>
    <xf numFmtId="0" fontId="0" fillId="2" borderId="0" xfId="0" applyFill="1" applyAlignment="1">
      <alignment vertical="center"/>
    </xf>
    <xf numFmtId="0" fontId="3" fillId="2" borderId="21" xfId="0" applyFont="1" applyFill="1" applyBorder="1"/>
    <xf numFmtId="0" fontId="3" fillId="2" borderId="20" xfId="0" applyFont="1" applyFill="1" applyBorder="1"/>
    <xf numFmtId="0" fontId="3" fillId="2" borderId="22" xfId="0" applyFont="1" applyFill="1" applyBorder="1"/>
    <xf numFmtId="0" fontId="3" fillId="2" borderId="38" xfId="0" applyFont="1" applyFill="1" applyBorder="1"/>
    <xf numFmtId="0" fontId="6" fillId="3" borderId="9" xfId="0" applyFont="1" applyFill="1" applyBorder="1"/>
    <xf numFmtId="0" fontId="24" fillId="3" borderId="0" xfId="0" applyFont="1" applyFill="1" applyAlignment="1">
      <alignment horizontal="center"/>
    </xf>
    <xf numFmtId="0" fontId="37" fillId="3" borderId="0" xfId="0" applyFont="1" applyFill="1" applyAlignment="1">
      <alignment horizontal="center"/>
    </xf>
    <xf numFmtId="0" fontId="26" fillId="2" borderId="13" xfId="0" applyFont="1" applyFill="1" applyBorder="1" applyAlignment="1">
      <alignment horizontal="right"/>
    </xf>
    <xf numFmtId="0" fontId="36" fillId="2" borderId="0" xfId="0" applyFont="1" applyFill="1" applyAlignment="1">
      <alignment horizontal="center"/>
    </xf>
    <xf numFmtId="0" fontId="0" fillId="2" borderId="18" xfId="0" applyFill="1" applyBorder="1"/>
    <xf numFmtId="0" fontId="33" fillId="3" borderId="9" xfId="0" applyFont="1" applyFill="1" applyBorder="1" applyAlignment="1">
      <alignment horizontal="center" vertical="top"/>
    </xf>
    <xf numFmtId="0" fontId="26" fillId="3" borderId="9" xfId="0" applyFont="1" applyFill="1" applyBorder="1" applyAlignment="1">
      <alignment horizontal="center" vertical="center"/>
    </xf>
    <xf numFmtId="0" fontId="15" fillId="4" borderId="9" xfId="0" applyFont="1" applyFill="1" applyBorder="1" applyAlignment="1">
      <alignment horizontal="center" vertical="center"/>
    </xf>
    <xf numFmtId="166" fontId="15" fillId="4" borderId="9" xfId="0" applyNumberFormat="1" applyFont="1" applyFill="1" applyBorder="1" applyAlignment="1">
      <alignment horizontal="center" vertical="center"/>
    </xf>
    <xf numFmtId="166" fontId="15" fillId="4" borderId="28" xfId="0" applyNumberFormat="1" applyFont="1" applyFill="1" applyBorder="1" applyAlignment="1">
      <alignment horizontal="center" vertical="center"/>
    </xf>
    <xf numFmtId="0" fontId="26" fillId="3" borderId="9" xfId="0" applyFont="1" applyFill="1" applyBorder="1" applyAlignment="1">
      <alignment vertical="top"/>
    </xf>
    <xf numFmtId="0" fontId="1" fillId="3" borderId="9" xfId="0" applyFont="1" applyFill="1" applyBorder="1" applyAlignment="1">
      <alignment horizontal="center"/>
    </xf>
    <xf numFmtId="165" fontId="15" fillId="4" borderId="9" xfId="0" applyNumberFormat="1" applyFont="1" applyFill="1" applyBorder="1" applyAlignment="1">
      <alignment horizontal="center"/>
    </xf>
    <xf numFmtId="0" fontId="26" fillId="3" borderId="9" xfId="0" applyFont="1" applyFill="1" applyBorder="1"/>
    <xf numFmtId="0" fontId="26" fillId="3" borderId="9" xfId="0" applyFont="1" applyFill="1" applyBorder="1" applyAlignment="1">
      <alignment horizontal="right" wrapText="1"/>
    </xf>
    <xf numFmtId="0" fontId="0" fillId="2" borderId="16" xfId="0" applyFill="1" applyBorder="1"/>
    <xf numFmtId="0" fontId="15" fillId="2" borderId="13" xfId="0" applyFont="1" applyFill="1" applyBorder="1" applyAlignment="1">
      <alignment horizontal="left" vertical="center" wrapText="1"/>
    </xf>
    <xf numFmtId="0" fontId="15" fillId="2" borderId="0" xfId="0" applyFont="1" applyFill="1" applyAlignment="1">
      <alignment horizontal="left" vertical="center" wrapText="1"/>
    </xf>
    <xf numFmtId="0" fontId="15" fillId="2" borderId="14" xfId="0" applyFont="1" applyFill="1" applyBorder="1" applyAlignment="1">
      <alignment horizontal="left" vertical="center" wrapText="1"/>
    </xf>
    <xf numFmtId="0" fontId="22" fillId="2" borderId="13" xfId="0" applyFont="1" applyFill="1" applyBorder="1" applyAlignment="1">
      <alignment horizontal="center"/>
    </xf>
    <xf numFmtId="0" fontId="22" fillId="2" borderId="0" xfId="0" applyFont="1" applyFill="1" applyAlignment="1">
      <alignment horizontal="center"/>
    </xf>
    <xf numFmtId="0" fontId="22" fillId="2" borderId="14" xfId="0" applyFont="1" applyFill="1" applyBorder="1" applyAlignment="1">
      <alignment horizontal="center"/>
    </xf>
    <xf numFmtId="0" fontId="5" fillId="2" borderId="0" xfId="0" applyFont="1" applyFill="1" applyAlignment="1">
      <alignment horizontal="left" vertical="center" wrapText="1"/>
    </xf>
    <xf numFmtId="0" fontId="5" fillId="2" borderId="14" xfId="0" applyFont="1" applyFill="1" applyBorder="1" applyAlignment="1">
      <alignment horizontal="left" vertical="center" wrapText="1"/>
    </xf>
    <xf numFmtId="0" fontId="43" fillId="2" borderId="13" xfId="0" applyFont="1" applyFill="1" applyBorder="1" applyAlignment="1">
      <alignment horizontal="center"/>
    </xf>
    <xf numFmtId="0" fontId="43" fillId="2" borderId="0" xfId="0" applyFont="1" applyFill="1" applyAlignment="1">
      <alignment horizontal="center"/>
    </xf>
    <xf numFmtId="0" fontId="43" fillId="2" borderId="14" xfId="0" applyFont="1" applyFill="1" applyBorder="1" applyAlignment="1">
      <alignment horizontal="center"/>
    </xf>
    <xf numFmtId="0" fontId="6" fillId="2" borderId="13" xfId="0" applyFont="1" applyFill="1" applyBorder="1" applyAlignment="1">
      <alignment horizontal="left" vertical="center" wrapText="1"/>
    </xf>
    <xf numFmtId="0" fontId="15" fillId="2" borderId="13" xfId="0" applyFont="1" applyFill="1" applyBorder="1" applyAlignment="1">
      <alignment horizontal="left" vertical="top" wrapText="1"/>
    </xf>
    <xf numFmtId="0" fontId="15" fillId="2" borderId="0" xfId="0" applyFont="1" applyFill="1" applyAlignment="1">
      <alignment horizontal="left" vertical="top" wrapText="1"/>
    </xf>
    <xf numFmtId="0" fontId="15" fillId="2" borderId="14" xfId="0" applyFont="1" applyFill="1" applyBorder="1" applyAlignment="1">
      <alignment horizontal="left" vertical="top" wrapText="1"/>
    </xf>
    <xf numFmtId="0" fontId="15" fillId="2" borderId="16" xfId="0" applyFont="1" applyFill="1" applyBorder="1" applyAlignment="1">
      <alignment horizontal="left" vertical="center" wrapText="1"/>
    </xf>
    <xf numFmtId="0" fontId="15" fillId="2" borderId="17" xfId="0" applyFont="1" applyFill="1" applyBorder="1" applyAlignment="1">
      <alignment horizontal="left" vertical="center" wrapText="1"/>
    </xf>
    <xf numFmtId="0" fontId="15" fillId="2" borderId="18" xfId="0" applyFont="1" applyFill="1" applyBorder="1" applyAlignment="1">
      <alignment horizontal="left" vertical="center" wrapText="1"/>
    </xf>
    <xf numFmtId="0" fontId="2" fillId="2" borderId="35" xfId="0" applyFont="1" applyFill="1" applyBorder="1" applyAlignment="1">
      <alignment horizontal="center" vertical="center" wrapText="1"/>
    </xf>
    <xf numFmtId="0" fontId="3" fillId="2" borderId="36" xfId="0" applyFont="1" applyFill="1" applyBorder="1" applyAlignment="1">
      <alignment horizontal="center" vertical="center" wrapText="1"/>
    </xf>
    <xf numFmtId="0" fontId="3" fillId="2" borderId="37" xfId="0" applyFont="1" applyFill="1" applyBorder="1" applyAlignment="1">
      <alignment horizontal="center" vertical="center" wrapText="1"/>
    </xf>
    <xf numFmtId="0" fontId="6" fillId="2" borderId="5" xfId="0" applyFont="1" applyFill="1" applyBorder="1" applyAlignment="1">
      <alignment horizontal="center"/>
    </xf>
    <xf numFmtId="0" fontId="6" fillId="2" borderId="0" xfId="0" applyFont="1" applyFill="1" applyAlignment="1">
      <alignment horizontal="center"/>
    </xf>
    <xf numFmtId="0" fontId="15" fillId="2" borderId="13" xfId="0" applyFont="1" applyFill="1" applyBorder="1" applyAlignment="1">
      <alignment horizontal="left" vertical="center"/>
    </xf>
    <xf numFmtId="0" fontId="15" fillId="2" borderId="0" xfId="0" applyFont="1" applyFill="1" applyAlignment="1">
      <alignment horizontal="left" vertical="center"/>
    </xf>
    <xf numFmtId="0" fontId="0" fillId="2" borderId="13" xfId="1" applyFont="1" applyFill="1" applyBorder="1" applyAlignment="1">
      <alignment horizontal="left" vertical="top"/>
    </xf>
    <xf numFmtId="0" fontId="0" fillId="2" borderId="0" xfId="1" applyFont="1" applyFill="1" applyBorder="1" applyAlignment="1">
      <alignment horizontal="left" vertical="top"/>
    </xf>
    <xf numFmtId="0" fontId="15" fillId="0" borderId="13" xfId="0" applyFont="1" applyBorder="1" applyAlignment="1">
      <alignment horizontal="left" vertical="center"/>
    </xf>
    <xf numFmtId="0" fontId="15" fillId="0" borderId="0" xfId="0" applyFont="1" applyAlignment="1">
      <alignment horizontal="left" vertical="center"/>
    </xf>
    <xf numFmtId="0" fontId="6" fillId="0" borderId="13" xfId="0" applyFont="1" applyBorder="1" applyAlignment="1">
      <alignment horizontal="left" wrapText="1"/>
    </xf>
    <xf numFmtId="0" fontId="6" fillId="0" borderId="0" xfId="0" applyFont="1" applyAlignment="1">
      <alignment horizontal="left" wrapText="1"/>
    </xf>
    <xf numFmtId="0" fontId="6" fillId="0" borderId="14" xfId="0" applyFont="1" applyBorder="1" applyAlignment="1">
      <alignment horizontal="left" wrapText="1"/>
    </xf>
    <xf numFmtId="0" fontId="22" fillId="2" borderId="0" xfId="0" applyFont="1" applyFill="1" applyAlignment="1">
      <alignment horizontal="left" vertical="center" wrapText="1"/>
    </xf>
    <xf numFmtId="0" fontId="22" fillId="2" borderId="14" xfId="0" applyFont="1" applyFill="1" applyBorder="1" applyAlignment="1">
      <alignment horizontal="left" vertical="center" wrapText="1"/>
    </xf>
    <xf numFmtId="0" fontId="22" fillId="2" borderId="13" xfId="0" applyFont="1" applyFill="1" applyBorder="1" applyAlignment="1">
      <alignment horizontal="center" vertical="center"/>
    </xf>
    <xf numFmtId="0" fontId="22" fillId="2" borderId="0" xfId="0" applyFont="1" applyFill="1" applyAlignment="1">
      <alignment horizontal="center" vertical="center"/>
    </xf>
    <xf numFmtId="0" fontId="22" fillId="2" borderId="14" xfId="0" applyFont="1" applyFill="1" applyBorder="1" applyAlignment="1">
      <alignment horizontal="center" vertical="center"/>
    </xf>
    <xf numFmtId="0" fontId="0" fillId="2" borderId="0" xfId="0" applyFill="1" applyAlignment="1">
      <alignment horizontal="left" vertical="center" wrapText="1"/>
    </xf>
    <xf numFmtId="0" fontId="32" fillId="3" borderId="40" xfId="0" applyFont="1" applyFill="1" applyBorder="1" applyAlignment="1">
      <alignment horizontal="center" vertical="center"/>
    </xf>
    <xf numFmtId="0" fontId="32" fillId="3" borderId="8" xfId="0" applyFont="1" applyFill="1" applyBorder="1" applyAlignment="1">
      <alignment horizontal="center" vertical="center"/>
    </xf>
    <xf numFmtId="0" fontId="26" fillId="3" borderId="25" xfId="0" applyFont="1" applyFill="1" applyBorder="1" applyAlignment="1">
      <alignment horizontal="center"/>
    </xf>
    <xf numFmtId="0" fontId="26" fillId="3" borderId="26" xfId="0" applyFont="1" applyFill="1" applyBorder="1" applyAlignment="1">
      <alignment horizontal="center"/>
    </xf>
    <xf numFmtId="0" fontId="26" fillId="3" borderId="27" xfId="0" applyFont="1" applyFill="1" applyBorder="1" applyAlignment="1">
      <alignment horizontal="center"/>
    </xf>
    <xf numFmtId="0" fontId="26" fillId="3" borderId="7" xfId="0" applyFont="1" applyFill="1" applyBorder="1" applyAlignment="1">
      <alignment horizontal="center" vertical="center"/>
    </xf>
    <xf numFmtId="0" fontId="22" fillId="0" borderId="13" xfId="0" applyFont="1" applyBorder="1" applyAlignment="1">
      <alignment horizontal="center"/>
    </xf>
    <xf numFmtId="0" fontId="22" fillId="0" borderId="0" xfId="0" applyFont="1" applyAlignment="1">
      <alignment horizontal="center"/>
    </xf>
    <xf numFmtId="0" fontId="22" fillId="0" borderId="14" xfId="0" applyFont="1" applyBorder="1" applyAlignment="1">
      <alignment horizontal="center"/>
    </xf>
    <xf numFmtId="0" fontId="0" fillId="2" borderId="13" xfId="0" applyFill="1" applyBorder="1" applyAlignment="1">
      <alignment horizontal="left" vertical="center" wrapText="1"/>
    </xf>
    <xf numFmtId="0" fontId="0" fillId="2" borderId="14" xfId="0" applyFill="1" applyBorder="1" applyAlignment="1">
      <alignment horizontal="left" vertical="center" wrapText="1"/>
    </xf>
    <xf numFmtId="0" fontId="43" fillId="0" borderId="13" xfId="0" applyFont="1" applyBorder="1" applyAlignment="1">
      <alignment horizontal="center"/>
    </xf>
    <xf numFmtId="0" fontId="43" fillId="0" borderId="0" xfId="0" applyFont="1" applyAlignment="1">
      <alignment horizontal="center"/>
    </xf>
    <xf numFmtId="0" fontId="43" fillId="0" borderId="14" xfId="0" applyFont="1" applyBorder="1" applyAlignment="1">
      <alignment horizontal="center"/>
    </xf>
    <xf numFmtId="0" fontId="15" fillId="2" borderId="14" xfId="0" applyFont="1" applyFill="1" applyBorder="1" applyAlignment="1">
      <alignment horizontal="left" vertical="center"/>
    </xf>
    <xf numFmtId="0" fontId="43" fillId="2" borderId="28" xfId="0" applyFont="1" applyFill="1" applyBorder="1" applyAlignment="1">
      <alignment horizontal="center"/>
    </xf>
    <xf numFmtId="0" fontId="43" fillId="2" borderId="29" xfId="0" applyFont="1" applyFill="1" applyBorder="1" applyAlignment="1">
      <alignment horizontal="center"/>
    </xf>
    <xf numFmtId="0" fontId="43" fillId="2" borderId="33" xfId="0" applyFont="1" applyFill="1" applyBorder="1" applyAlignment="1">
      <alignment horizontal="center"/>
    </xf>
    <xf numFmtId="0" fontId="43" fillId="2" borderId="39" xfId="0" applyFont="1" applyFill="1" applyBorder="1" applyAlignment="1">
      <alignment horizontal="center"/>
    </xf>
    <xf numFmtId="0" fontId="26" fillId="3" borderId="9" xfId="0" applyFont="1" applyFill="1" applyBorder="1" applyAlignment="1">
      <alignment horizontal="center" vertical="center"/>
    </xf>
    <xf numFmtId="0" fontId="41" fillId="0" borderId="10" xfId="0" applyFont="1" applyBorder="1" applyAlignment="1">
      <alignment horizontal="center" vertical="center" wrapText="1"/>
    </xf>
    <xf numFmtId="0" fontId="41" fillId="0" borderId="11" xfId="0" applyFont="1" applyBorder="1" applyAlignment="1">
      <alignment horizontal="center" vertical="center" wrapText="1"/>
    </xf>
    <xf numFmtId="0" fontId="41" fillId="0" borderId="12" xfId="0" applyFont="1" applyBorder="1" applyAlignment="1">
      <alignment horizontal="center" vertical="center" wrapText="1"/>
    </xf>
    <xf numFmtId="0" fontId="44" fillId="2" borderId="13" xfId="0" applyFont="1" applyFill="1" applyBorder="1" applyAlignment="1">
      <alignment horizontal="center"/>
    </xf>
    <xf numFmtId="0" fontId="44" fillId="2" borderId="0" xfId="0" applyFont="1" applyFill="1" applyAlignment="1">
      <alignment horizontal="center"/>
    </xf>
    <xf numFmtId="0" fontId="44" fillId="2" borderId="14" xfId="0" applyFont="1" applyFill="1" applyBorder="1" applyAlignment="1">
      <alignment horizontal="center"/>
    </xf>
  </cellXfs>
  <cellStyles count="2">
    <cellStyle name="Hyperlink" xfId="1" builtinId="8"/>
    <cellStyle name="Normal" xfId="0" builtinId="0"/>
  </cellStyles>
  <dxfs count="1">
    <dxf>
      <fill>
        <patternFill>
          <bgColor rgb="FFFF8C7B"/>
        </patternFill>
      </fill>
    </dxf>
  </dxfs>
  <tableStyles count="0" defaultTableStyle="TableStyleMedium2" defaultPivotStyle="PivotStyleLight16"/>
  <colors>
    <mruColors>
      <color rgb="FF50423F"/>
      <color rgb="FFF0E4E1"/>
      <color rgb="FFF7D4C6"/>
      <color rgb="FFFF8C7B"/>
      <color rgb="FFF7DBD3"/>
      <color rgb="FFF0DFDA"/>
      <color rgb="FFF6E5DF"/>
      <color rgb="FF63504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Fatigue Diagram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416861409495619E-2"/>
          <c:y val="9.2940886310721768E-2"/>
          <c:w val="0.889296959001311"/>
          <c:h val="0.82183167195553075"/>
        </c:manualLayout>
      </c:layout>
      <c:scatterChart>
        <c:scatterStyle val="smoothMarker"/>
        <c:varyColors val="0"/>
        <c:ser>
          <c:idx val="0"/>
          <c:order val="0"/>
          <c:tx>
            <c:v>Proof Line</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'Part B'!$B$50:$B$52</c:f>
              <c:numCache>
                <c:formatCode>General</c:formatCode>
                <c:ptCount val="3"/>
                <c:pt idx="0">
                  <c:v>150</c:v>
                </c:pt>
                <c:pt idx="1">
                  <c:v>262</c:v>
                </c:pt>
                <c:pt idx="2">
                  <c:v>374</c:v>
                </c:pt>
              </c:numCache>
            </c:numRef>
          </c:xVal>
          <c:yVal>
            <c:numRef>
              <c:f>'Part B'!$C$50:$C$52</c:f>
              <c:numCache>
                <c:formatCode>General</c:formatCode>
                <c:ptCount val="3"/>
                <c:pt idx="0">
                  <c:v>224</c:v>
                </c:pt>
                <c:pt idx="1">
                  <c:v>112</c:v>
                </c:pt>
                <c:pt idx="2">
                  <c:v>0</c:v>
                </c:pt>
              </c:numCache>
            </c:numRef>
          </c:yVal>
          <c:smooth val="1"/>
          <c:extLst>
            <c:ext xmlns:c16="http://schemas.microsoft.com/office/drawing/2014/chart" uri="{C3380CC4-5D6E-409C-BE32-E72D297353CC}">
              <c16:uniqueId val="{00000000-834A-E248-8A09-23A5BDF08AB0}"/>
            </c:ext>
          </c:extLst>
        </c:ser>
        <c:ser>
          <c:idx val="1"/>
          <c:order val="1"/>
          <c:tx>
            <c:v>Gerber</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'Part B'!$B$55:$B$59</c:f>
              <c:numCache>
                <c:formatCode>General</c:formatCode>
                <c:ptCount val="5"/>
                <c:pt idx="0">
                  <c:v>0</c:v>
                </c:pt>
                <c:pt idx="1">
                  <c:v>207.5</c:v>
                </c:pt>
                <c:pt idx="2">
                  <c:v>415</c:v>
                </c:pt>
                <c:pt idx="3">
                  <c:v>622.5</c:v>
                </c:pt>
                <c:pt idx="4">
                  <c:v>830</c:v>
                </c:pt>
              </c:numCache>
            </c:numRef>
          </c:xVal>
          <c:yVal>
            <c:numRef>
              <c:f>'Part B'!$C$55:$C$59</c:f>
              <c:numCache>
                <c:formatCode>General</c:formatCode>
                <c:ptCount val="5"/>
                <c:pt idx="0">
                  <c:v>129</c:v>
                </c:pt>
                <c:pt idx="1">
                  <c:v>120.9375</c:v>
                </c:pt>
                <c:pt idx="2">
                  <c:v>96.75</c:v>
                </c:pt>
                <c:pt idx="3">
                  <c:v>56.4375</c:v>
                </c:pt>
                <c:pt idx="4">
                  <c:v>0</c:v>
                </c:pt>
              </c:numCache>
            </c:numRef>
          </c:yVal>
          <c:smooth val="1"/>
          <c:extLst>
            <c:ext xmlns:c16="http://schemas.microsoft.com/office/drawing/2014/chart" uri="{C3380CC4-5D6E-409C-BE32-E72D297353CC}">
              <c16:uniqueId val="{00000001-834A-E248-8A09-23A5BDF08AB0}"/>
            </c:ext>
          </c:extLst>
        </c:ser>
        <c:ser>
          <c:idx val="2"/>
          <c:order val="2"/>
          <c:tx>
            <c:v>Safe Gerber</c:v>
          </c:tx>
          <c:spPr>
            <a:ln w="19050" cap="rnd">
              <a:solidFill>
                <a:schemeClr val="accent3"/>
              </a:solidFill>
              <a:prstDash val="dash"/>
              <a:round/>
            </a:ln>
            <a:effectLst/>
          </c:spPr>
          <c:marker>
            <c:symbol val="circle"/>
            <c:size val="5"/>
            <c:spPr>
              <a:solidFill>
                <a:schemeClr val="accent3"/>
              </a:solidFill>
              <a:ln w="9525">
                <a:solidFill>
                  <a:schemeClr val="accent3"/>
                </a:solidFill>
              </a:ln>
              <a:effectLst/>
            </c:spPr>
          </c:marker>
          <c:xVal>
            <c:numRef>
              <c:f>'Part B'!$B$62:$B$66</c:f>
              <c:numCache>
                <c:formatCode>0.0</c:formatCode>
                <c:ptCount val="5"/>
                <c:pt idx="0" formatCode="General">
                  <c:v>0</c:v>
                </c:pt>
                <c:pt idx="1">
                  <c:v>138.33333333333334</c:v>
                </c:pt>
                <c:pt idx="2">
                  <c:v>276.66666666666669</c:v>
                </c:pt>
                <c:pt idx="3">
                  <c:v>415</c:v>
                </c:pt>
                <c:pt idx="4">
                  <c:v>553.33333333333337</c:v>
                </c:pt>
              </c:numCache>
            </c:numRef>
          </c:xVal>
          <c:yVal>
            <c:numRef>
              <c:f>'Part B'!$C$62:$C$66</c:f>
              <c:numCache>
                <c:formatCode>0.0</c:formatCode>
                <c:ptCount val="5"/>
                <c:pt idx="0">
                  <c:v>86</c:v>
                </c:pt>
                <c:pt idx="1">
                  <c:v>80.625</c:v>
                </c:pt>
                <c:pt idx="2">
                  <c:v>64.5</c:v>
                </c:pt>
                <c:pt idx="3">
                  <c:v>37.625</c:v>
                </c:pt>
                <c:pt idx="4">
                  <c:v>0</c:v>
                </c:pt>
              </c:numCache>
            </c:numRef>
          </c:yVal>
          <c:smooth val="1"/>
          <c:extLst>
            <c:ext xmlns:c16="http://schemas.microsoft.com/office/drawing/2014/chart" uri="{C3380CC4-5D6E-409C-BE32-E72D297353CC}">
              <c16:uniqueId val="{00000002-834A-E248-8A09-23A5BDF08AB0}"/>
            </c:ext>
          </c:extLst>
        </c:ser>
        <c:ser>
          <c:idx val="3"/>
          <c:order val="3"/>
          <c:tx>
            <c:v>Ellipse ASME</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'Part B'!$B$69:$B$79</c:f>
              <c:numCache>
                <c:formatCode>0.0</c:formatCode>
                <c:ptCount val="11"/>
                <c:pt idx="0">
                  <c:v>2.694222958124177E-14</c:v>
                </c:pt>
                <c:pt idx="1">
                  <c:v>68.831164617701603</c:v>
                </c:pt>
                <c:pt idx="2">
                  <c:v>135.96747752497689</c:v>
                </c:pt>
                <c:pt idx="3">
                  <c:v>199.75581988540063</c:v>
                </c:pt>
                <c:pt idx="4">
                  <c:v>258.62551100868819</c:v>
                </c:pt>
                <c:pt idx="5">
                  <c:v>311.12698372208092</c:v>
                </c:pt>
                <c:pt idx="6">
                  <c:v>355.96747752497686</c:v>
                </c:pt>
                <c:pt idx="7">
                  <c:v>392.04287064288189</c:v>
                </c:pt>
                <c:pt idx="8">
                  <c:v>418.46486716986755</c:v>
                </c:pt>
                <c:pt idx="9">
                  <c:v>434.58286986186062</c:v>
                </c:pt>
                <c:pt idx="10">
                  <c:v>440</c:v>
                </c:pt>
              </c:numCache>
            </c:numRef>
          </c:xVal>
          <c:yVal>
            <c:numRef>
              <c:f>'Part B'!$C$69:$C$79</c:f>
              <c:numCache>
                <c:formatCode>0.0</c:formatCode>
                <c:ptCount val="11"/>
                <c:pt idx="0">
                  <c:v>86</c:v>
                </c:pt>
                <c:pt idx="1">
                  <c:v>84.941197291181851</c:v>
                </c:pt>
                <c:pt idx="2">
                  <c:v>81.790860401383199</c:v>
                </c:pt>
                <c:pt idx="3">
                  <c:v>76.626561080199636</c:v>
                </c:pt>
                <c:pt idx="4">
                  <c:v>69.575461516245483</c:v>
                </c:pt>
                <c:pt idx="5">
                  <c:v>60.811183182043081</c:v>
                </c:pt>
                <c:pt idx="6">
                  <c:v>50.549531697152688</c:v>
                </c:pt>
                <c:pt idx="7">
                  <c:v>39.043182977601028</c:v>
                </c:pt>
                <c:pt idx="8">
                  <c:v>26.575461516245475</c:v>
                </c:pt>
                <c:pt idx="9">
                  <c:v>13.453363993459854</c:v>
                </c:pt>
                <c:pt idx="10">
                  <c:v>0</c:v>
                </c:pt>
              </c:numCache>
            </c:numRef>
          </c:yVal>
          <c:smooth val="1"/>
          <c:extLst>
            <c:ext xmlns:c16="http://schemas.microsoft.com/office/drawing/2014/chart" uri="{C3380CC4-5D6E-409C-BE32-E72D297353CC}">
              <c16:uniqueId val="{00000004-834A-E248-8A09-23A5BDF08AB0}"/>
            </c:ext>
          </c:extLst>
        </c:ser>
        <c:ser>
          <c:idx val="4"/>
          <c:order val="4"/>
          <c:tx>
            <c:v>Goodman</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('Part B'!$B$55,'Part B'!$B$59)</c:f>
              <c:numCache>
                <c:formatCode>General</c:formatCode>
                <c:ptCount val="2"/>
                <c:pt idx="0">
                  <c:v>0</c:v>
                </c:pt>
                <c:pt idx="1">
                  <c:v>830</c:v>
                </c:pt>
              </c:numCache>
            </c:numRef>
          </c:xVal>
          <c:yVal>
            <c:numRef>
              <c:f>('Part B'!$C$55,'Part B'!$C$59)</c:f>
              <c:numCache>
                <c:formatCode>General</c:formatCode>
                <c:ptCount val="2"/>
                <c:pt idx="0">
                  <c:v>129</c:v>
                </c:pt>
                <c:pt idx="1">
                  <c:v>0</c:v>
                </c:pt>
              </c:numCache>
            </c:numRef>
          </c:yVal>
          <c:smooth val="1"/>
          <c:extLst>
            <c:ext xmlns:c16="http://schemas.microsoft.com/office/drawing/2014/chart" uri="{C3380CC4-5D6E-409C-BE32-E72D297353CC}">
              <c16:uniqueId val="{00000005-834A-E248-8A09-23A5BDF08AB0}"/>
            </c:ext>
          </c:extLst>
        </c:ser>
        <c:ser>
          <c:idx val="5"/>
          <c:order val="5"/>
          <c:tx>
            <c:v>Bolt Point</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'Part B'!$C$102</c:f>
              <c:numCache>
                <c:formatCode>0</c:formatCode>
                <c:ptCount val="1"/>
                <c:pt idx="0">
                  <c:v>436.44760397368498</c:v>
                </c:pt>
              </c:numCache>
            </c:numRef>
          </c:xVal>
          <c:yVal>
            <c:numRef>
              <c:f>'Part B'!$C$103</c:f>
              <c:numCache>
                <c:formatCode>0.00</c:formatCode>
                <c:ptCount val="1"/>
                <c:pt idx="0">
                  <c:v>9.4185623842109862</c:v>
                </c:pt>
              </c:numCache>
            </c:numRef>
          </c:yVal>
          <c:smooth val="1"/>
          <c:extLst>
            <c:ext xmlns:c16="http://schemas.microsoft.com/office/drawing/2014/chart" uri="{C3380CC4-5D6E-409C-BE32-E72D297353CC}">
              <c16:uniqueId val="{00000000-C4C5-4947-ABB0-D8743990282F}"/>
            </c:ext>
          </c:extLst>
        </c:ser>
        <c:dLbls>
          <c:showLegendKey val="0"/>
          <c:showVal val="0"/>
          <c:showCatName val="0"/>
          <c:showSerName val="0"/>
          <c:showPercent val="0"/>
          <c:showBubbleSize val="0"/>
        </c:dLbls>
        <c:axId val="996565791"/>
        <c:axId val="1750863375"/>
      </c:scatterChart>
      <c:valAx>
        <c:axId val="99656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863375"/>
        <c:crosses val="autoZero"/>
        <c:crossBetween val="midCat"/>
      </c:valAx>
      <c:valAx>
        <c:axId val="175086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565791"/>
        <c:crosses val="autoZero"/>
        <c:crossBetween val="midCat"/>
      </c:valAx>
      <c:spPr>
        <a:noFill/>
        <a:ln>
          <a:noFill/>
        </a:ln>
        <a:effectLst/>
      </c:spPr>
    </c:plotArea>
    <c:legend>
      <c:legendPos val="t"/>
      <c:layout>
        <c:manualLayout>
          <c:xMode val="edge"/>
          <c:yMode val="edge"/>
          <c:x val="0.20511900248630247"/>
          <c:y val="5.5273357170871722E-2"/>
          <c:w val="0.73370089009950357"/>
          <c:h val="2.60902085205566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Bolt Deflection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106158940273956E-2"/>
          <c:y val="0.12044961836653713"/>
          <c:w val="0.87934200040869537"/>
          <c:h val="0.76968177766874379"/>
        </c:manualLayout>
      </c:layout>
      <c:scatterChart>
        <c:scatterStyle val="smoothMarker"/>
        <c:varyColors val="0"/>
        <c:ser>
          <c:idx val="0"/>
          <c:order val="0"/>
          <c:spPr>
            <a:ln w="19050" cap="rnd">
              <a:solidFill>
                <a:schemeClr val="accent1"/>
              </a:solidFill>
              <a:prstDash val="dash"/>
              <a:round/>
            </a:ln>
            <a:effectLst/>
          </c:spPr>
          <c:marker>
            <c:symbol val="circle"/>
            <c:size val="5"/>
            <c:spPr>
              <a:solidFill>
                <a:schemeClr val="accent1"/>
              </a:solidFill>
              <a:ln w="9525">
                <a:solidFill>
                  <a:schemeClr val="accent1"/>
                </a:solidFill>
              </a:ln>
              <a:effectLst/>
            </c:spPr>
          </c:marker>
          <c:xVal>
            <c:numRef>
              <c:f>'Part B'!$B$87:$B$89</c:f>
              <c:numCache>
                <c:formatCode>0.0000</c:formatCode>
                <c:ptCount val="3"/>
                <c:pt idx="0">
                  <c:v>0</c:v>
                </c:pt>
                <c:pt idx="1">
                  <c:v>8.625374999999999E-2</c:v>
                </c:pt>
                <c:pt idx="2">
                  <c:v>0.10397289245951906</c:v>
                </c:pt>
              </c:numCache>
            </c:numRef>
          </c:xVal>
          <c:yVal>
            <c:numRef>
              <c:f>'Part B'!$C$87:$C$89</c:f>
              <c:numCache>
                <c:formatCode>0</c:formatCode>
                <c:ptCount val="3"/>
                <c:pt idx="0" formatCode="General">
                  <c:v>0</c:v>
                </c:pt>
                <c:pt idx="1">
                  <c:v>38068.563139139675</c:v>
                </c:pt>
                <c:pt idx="2">
                  <c:v>45889.003334396257</c:v>
                </c:pt>
              </c:numCache>
            </c:numRef>
          </c:yVal>
          <c:smooth val="1"/>
          <c:extLst>
            <c:ext xmlns:c16="http://schemas.microsoft.com/office/drawing/2014/chart" uri="{C3380CC4-5D6E-409C-BE32-E72D297353CC}">
              <c16:uniqueId val="{00000000-782A-EB4C-90C3-87A1172294A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('Part B'!$B$88,'Part B'!$B$90)</c:f>
              <c:numCache>
                <c:formatCode>0.0000</c:formatCode>
                <c:ptCount val="2"/>
                <c:pt idx="0">
                  <c:v>8.625374999999999E-2</c:v>
                </c:pt>
                <c:pt idx="1">
                  <c:v>0.10397289245951906</c:v>
                </c:pt>
              </c:numCache>
            </c:numRef>
          </c:xVal>
          <c:yVal>
            <c:numRef>
              <c:f>('Part B'!$C$88,'Part B'!$C$90)</c:f>
              <c:numCache>
                <c:formatCode>General</c:formatCode>
                <c:ptCount val="2"/>
                <c:pt idx="0" formatCode="0">
                  <c:v>38068.563139139675</c:v>
                </c:pt>
                <c:pt idx="1">
                  <c:v>0</c:v>
                </c:pt>
              </c:numCache>
            </c:numRef>
          </c:yVal>
          <c:smooth val="1"/>
          <c:extLst>
            <c:ext xmlns:c16="http://schemas.microsoft.com/office/drawing/2014/chart" uri="{C3380CC4-5D6E-409C-BE32-E72D297353CC}">
              <c16:uniqueId val="{00000002-782A-EB4C-90C3-87A1172294A2}"/>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'Part B'!$B$91:$B$92</c:f>
              <c:numCache>
                <c:formatCode>0.0000</c:formatCode>
                <c:ptCount val="2"/>
                <c:pt idx="0">
                  <c:v>9.1402564103368653E-2</c:v>
                </c:pt>
                <c:pt idx="1">
                  <c:v>9.1402564103368653E-2</c:v>
                </c:pt>
              </c:numCache>
            </c:numRef>
          </c:xVal>
          <c:yVal>
            <c:numRef>
              <c:f>'Part B'!$C$91:$C$92</c:f>
              <c:numCache>
                <c:formatCode>0</c:formatCode>
                <c:ptCount val="2"/>
                <c:pt idx="0">
                  <c:v>40341.020334169261</c:v>
                </c:pt>
                <c:pt idx="1">
                  <c:v>38068.563139139675</c:v>
                </c:pt>
              </c:numCache>
            </c:numRef>
          </c:yVal>
          <c:smooth val="1"/>
          <c:extLst>
            <c:ext xmlns:c16="http://schemas.microsoft.com/office/drawing/2014/chart" uri="{C3380CC4-5D6E-409C-BE32-E72D297353CC}">
              <c16:uniqueId val="{00000003-782A-EB4C-90C3-87A1172294A2}"/>
            </c:ext>
          </c:extLst>
        </c:ser>
        <c:ser>
          <c:idx val="3"/>
          <c:order val="3"/>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'Part B'!$B$92:$B$93</c:f>
              <c:numCache>
                <c:formatCode>0.0000</c:formatCode>
                <c:ptCount val="2"/>
                <c:pt idx="0">
                  <c:v>9.1402564103368653E-2</c:v>
                </c:pt>
                <c:pt idx="1">
                  <c:v>9.1402564103368653E-2</c:v>
                </c:pt>
              </c:numCache>
            </c:numRef>
          </c:xVal>
          <c:yVal>
            <c:numRef>
              <c:f>'Part B'!$C$92:$C$93</c:f>
              <c:numCache>
                <c:formatCode>0</c:formatCode>
                <c:ptCount val="2"/>
                <c:pt idx="0">
                  <c:v>38068.563139139675</c:v>
                </c:pt>
                <c:pt idx="1">
                  <c:v>27006.630811794803</c:v>
                </c:pt>
              </c:numCache>
            </c:numRef>
          </c:yVal>
          <c:smooth val="1"/>
          <c:extLst>
            <c:ext xmlns:c16="http://schemas.microsoft.com/office/drawing/2014/chart" uri="{C3380CC4-5D6E-409C-BE32-E72D297353CC}">
              <c16:uniqueId val="{00000004-782A-EB4C-90C3-87A1172294A2}"/>
            </c:ext>
          </c:extLst>
        </c:ser>
        <c:dLbls>
          <c:showLegendKey val="0"/>
          <c:showVal val="0"/>
          <c:showCatName val="0"/>
          <c:showSerName val="0"/>
          <c:showPercent val="0"/>
          <c:showBubbleSize val="0"/>
        </c:dLbls>
        <c:axId val="402387568"/>
        <c:axId val="402389216"/>
      </c:scatterChart>
      <c:valAx>
        <c:axId val="402387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delta</a:t>
                </a:r>
                <a:r>
                  <a:rPr lang="en-GB" baseline="0"/>
                  <a:t> (mm)</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89216"/>
        <c:crosses val="autoZero"/>
        <c:crossBetween val="midCat"/>
      </c:valAx>
      <c:valAx>
        <c:axId val="402389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F (N)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87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png"/><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272932</xdr:colOff>
      <xdr:row>5</xdr:row>
      <xdr:rowOff>68089</xdr:rowOff>
    </xdr:from>
    <xdr:to>
      <xdr:col>9</xdr:col>
      <xdr:colOff>852007</xdr:colOff>
      <xdr:row>18</xdr:row>
      <xdr:rowOff>6702</xdr:rowOff>
    </xdr:to>
    <xdr:pic>
      <xdr:nvPicPr>
        <xdr:cNvPr id="2" name="Picture 1">
          <a:extLst>
            <a:ext uri="{FF2B5EF4-FFF2-40B4-BE49-F238E27FC236}">
              <a16:creationId xmlns:a16="http://schemas.microsoft.com/office/drawing/2014/main" id="{12F1E7B0-4C00-E144-AC8B-126F3BD2B343}"/>
            </a:ext>
          </a:extLst>
        </xdr:cNvPr>
        <xdr:cNvPicPr>
          <a:picLocks noChangeAspect="1"/>
        </xdr:cNvPicPr>
      </xdr:nvPicPr>
      <xdr:blipFill rotWithShape="1">
        <a:blip xmlns:r="http://schemas.openxmlformats.org/officeDocument/2006/relationships" r:embed="rId1"/>
        <a:srcRect l="6607" t="3586" r="13105" b="4357"/>
        <a:stretch/>
      </xdr:blipFill>
      <xdr:spPr>
        <a:xfrm>
          <a:off x="5962532" y="6489209"/>
          <a:ext cx="3322275" cy="2563779"/>
        </a:xfrm>
        <a:prstGeom prst="rect">
          <a:avLst/>
        </a:prstGeom>
      </xdr:spPr>
    </xdr:pic>
    <xdr:clientData/>
  </xdr:twoCellAnchor>
  <xdr:oneCellAnchor>
    <xdr:from>
      <xdr:col>5</xdr:col>
      <xdr:colOff>1036089</xdr:colOff>
      <xdr:row>21</xdr:row>
      <xdr:rowOff>2270589</xdr:rowOff>
    </xdr:from>
    <xdr:ext cx="740074" cy="339773"/>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11A5253-4780-AF07-9E43-F454AC7E4DDC}"/>
                </a:ext>
              </a:extLst>
            </xdr:cNvPr>
            <xdr:cNvSpPr txBox="1"/>
          </xdr:nvSpPr>
          <xdr:spPr>
            <a:xfrm>
              <a:off x="6380997" y="10568442"/>
              <a:ext cx="740074"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m:t>
                        </m:r>
                      </m:e>
                      <m:sub>
                        <m:r>
                          <a:rPr lang="en-AU" sz="1100" b="0" i="1">
                            <a:latin typeface="Cambria Math" panose="02040503050406030204" pitchFamily="18" charset="0"/>
                          </a:rPr>
                          <m:t>𝑚𝑎𝑥</m:t>
                        </m:r>
                      </m:sub>
                    </m:sSub>
                    <m:r>
                      <a:rPr lang="en-AU" sz="1100" b="0" i="1">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𝐹</m:t>
                        </m:r>
                        <m:sSup>
                          <m:sSupPr>
                            <m:ctrlPr>
                              <a:rPr lang="en-AU" sz="1100" b="0" i="1">
                                <a:latin typeface="Cambria Math" panose="02040503050406030204" pitchFamily="18" charset="0"/>
                              </a:rPr>
                            </m:ctrlPr>
                          </m:sSupPr>
                          <m:e>
                            <m:r>
                              <a:rPr lang="en-AU" sz="1100" b="0" i="1">
                                <a:latin typeface="Cambria Math" panose="02040503050406030204" pitchFamily="18" charset="0"/>
                              </a:rPr>
                              <m:t>𝐿</m:t>
                            </m:r>
                          </m:e>
                          <m:sup>
                            <m:r>
                              <a:rPr lang="en-AU" sz="1100" b="0" i="1">
                                <a:latin typeface="Cambria Math" panose="02040503050406030204" pitchFamily="18" charset="0"/>
                              </a:rPr>
                              <m:t>3</m:t>
                            </m:r>
                          </m:sup>
                        </m:sSup>
                      </m:num>
                      <m:den>
                        <m:r>
                          <a:rPr lang="en-AU" sz="1100" b="0" i="1">
                            <a:latin typeface="Cambria Math" panose="02040503050406030204" pitchFamily="18" charset="0"/>
                          </a:rPr>
                          <m:t>3</m:t>
                        </m:r>
                        <m:r>
                          <a:rPr lang="en-AU" sz="1100" b="0" i="1">
                            <a:latin typeface="Cambria Math" panose="02040503050406030204" pitchFamily="18" charset="0"/>
                          </a:rPr>
                          <m:t>𝐸𝐼</m:t>
                        </m:r>
                      </m:den>
                    </m:f>
                  </m:oMath>
                </m:oMathPara>
              </a14:m>
              <a:endParaRPr lang="en-GB" sz="1100"/>
            </a:p>
          </xdr:txBody>
        </xdr:sp>
      </mc:Choice>
      <mc:Fallback xmlns="">
        <xdr:sp macro="" textlink="">
          <xdr:nvSpPr>
            <xdr:cNvPr id="5" name="TextBox 4">
              <a:extLst>
                <a:ext uri="{FF2B5EF4-FFF2-40B4-BE49-F238E27FC236}">
                  <a16:creationId xmlns:a16="http://schemas.microsoft.com/office/drawing/2014/main" id="{111A5253-4780-AF07-9E43-F454AC7E4DDC}"/>
                </a:ext>
              </a:extLst>
            </xdr:cNvPr>
            <xdr:cNvSpPr txBox="1"/>
          </xdr:nvSpPr>
          <xdr:spPr>
            <a:xfrm>
              <a:off x="6380997" y="10568442"/>
              <a:ext cx="740074" cy="339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𝜕_𝑚𝑎𝑥=(𝐹𝐿^3)/3𝐸𝐼</a:t>
              </a:r>
              <a:endParaRPr lang="en-GB" sz="1100"/>
            </a:p>
          </xdr:txBody>
        </xdr:sp>
      </mc:Fallback>
    </mc:AlternateContent>
    <xdr:clientData/>
  </xdr:oneCellAnchor>
  <xdr:oneCellAnchor>
    <xdr:from>
      <xdr:col>8</xdr:col>
      <xdr:colOff>107011</xdr:colOff>
      <xdr:row>21</xdr:row>
      <xdr:rowOff>2292868</xdr:rowOff>
    </xdr:from>
    <xdr:ext cx="746422" cy="342466"/>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96E8425C-5636-D741-7EE5-E63CE501FCDB}"/>
                </a:ext>
              </a:extLst>
            </xdr:cNvPr>
            <xdr:cNvSpPr txBox="1"/>
          </xdr:nvSpPr>
          <xdr:spPr>
            <a:xfrm>
              <a:off x="7049678" y="10624068"/>
              <a:ext cx="746422" cy="342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l-GR" sz="1100" b="0" i="1">
                            <a:latin typeface="Cambria Math" panose="02040503050406030204" pitchFamily="18" charset="0"/>
                          </a:rPr>
                          <m:t>𝜃</m:t>
                        </m:r>
                      </m:e>
                      <m:sub>
                        <m:r>
                          <a:rPr lang="en-AU" sz="1100" b="0" i="1">
                            <a:latin typeface="Cambria Math" panose="02040503050406030204" pitchFamily="18" charset="0"/>
                          </a:rPr>
                          <m:t>𝑚𝑎𝑥</m:t>
                        </m:r>
                      </m:sub>
                    </m:sSub>
                    <m:r>
                      <a:rPr lang="en-AU" sz="1100" b="0" i="1">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𝑇𝐿</m:t>
                        </m:r>
                      </m:num>
                      <m:den>
                        <m:r>
                          <a:rPr lang="en-AU" sz="1100" b="0" i="1">
                            <a:latin typeface="Cambria Math" panose="02040503050406030204" pitchFamily="18" charset="0"/>
                          </a:rPr>
                          <m:t>3</m:t>
                        </m:r>
                        <m:r>
                          <a:rPr lang="en-AU" sz="1100" b="0" i="1">
                            <a:latin typeface="Cambria Math" panose="02040503050406030204" pitchFamily="18" charset="0"/>
                          </a:rPr>
                          <m:t>𝐺𝐽</m:t>
                        </m:r>
                      </m:den>
                    </m:f>
                  </m:oMath>
                </m:oMathPara>
              </a14:m>
              <a:endParaRPr lang="en-GB" sz="1100"/>
            </a:p>
          </xdr:txBody>
        </xdr:sp>
      </mc:Choice>
      <mc:Fallback xmlns="">
        <xdr:sp macro="" textlink="">
          <xdr:nvSpPr>
            <xdr:cNvPr id="6" name="TextBox 5">
              <a:extLst>
                <a:ext uri="{FF2B5EF4-FFF2-40B4-BE49-F238E27FC236}">
                  <a16:creationId xmlns:a16="http://schemas.microsoft.com/office/drawing/2014/main" id="{96E8425C-5636-D741-7EE5-E63CE501FCDB}"/>
                </a:ext>
              </a:extLst>
            </xdr:cNvPr>
            <xdr:cNvSpPr txBox="1"/>
          </xdr:nvSpPr>
          <xdr:spPr>
            <a:xfrm>
              <a:off x="7049678" y="10624068"/>
              <a:ext cx="746422" cy="342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1100" b="0" i="0">
                  <a:latin typeface="Cambria Math" panose="02040503050406030204" pitchFamily="18" charset="0"/>
                </a:rPr>
                <a:t>𝜃</a:t>
              </a:r>
              <a:r>
                <a:rPr lang="en-AU" sz="1100" b="0" i="0">
                  <a:latin typeface="Cambria Math" panose="02040503050406030204" pitchFamily="18" charset="0"/>
                </a:rPr>
                <a:t>_𝑚𝑎𝑥=𝑇𝐿/3𝐺𝐽</a:t>
              </a:r>
              <a:endParaRPr lang="en-GB" sz="1100"/>
            </a:p>
          </xdr:txBody>
        </xdr:sp>
      </mc:Fallback>
    </mc:AlternateContent>
    <xdr:clientData/>
  </xdr:oneCellAnchor>
  <xdr:twoCellAnchor editAs="oneCell">
    <xdr:from>
      <xdr:col>26</xdr:col>
      <xdr:colOff>0</xdr:colOff>
      <xdr:row>221</xdr:row>
      <xdr:rowOff>165100</xdr:rowOff>
    </xdr:from>
    <xdr:to>
      <xdr:col>27</xdr:col>
      <xdr:colOff>243815</xdr:colOff>
      <xdr:row>226</xdr:row>
      <xdr:rowOff>101605</xdr:rowOff>
    </xdr:to>
    <xdr:pic>
      <xdr:nvPicPr>
        <xdr:cNvPr id="13" name="Picture 12">
          <a:extLst>
            <a:ext uri="{FF2B5EF4-FFF2-40B4-BE49-F238E27FC236}">
              <a16:creationId xmlns:a16="http://schemas.microsoft.com/office/drawing/2014/main" id="{E95B0A36-54F3-ECD6-1AAD-2ECB4F71F427}"/>
            </a:ext>
          </a:extLst>
        </xdr:cNvPr>
        <xdr:cNvPicPr>
          <a:picLocks noChangeAspect="1"/>
        </xdr:cNvPicPr>
      </xdr:nvPicPr>
      <xdr:blipFill>
        <a:blip xmlns:r="http://schemas.openxmlformats.org/officeDocument/2006/relationships" r:embed="rId2"/>
        <a:stretch>
          <a:fillRect/>
        </a:stretch>
      </xdr:blipFill>
      <xdr:spPr>
        <a:xfrm>
          <a:off x="21551900" y="56337200"/>
          <a:ext cx="1069316" cy="952500"/>
        </a:xfrm>
        <a:prstGeom prst="rect">
          <a:avLst/>
        </a:prstGeom>
      </xdr:spPr>
    </xdr:pic>
    <xdr:clientData/>
  </xdr:twoCellAnchor>
  <xdr:twoCellAnchor editAs="oneCell">
    <xdr:from>
      <xdr:col>14</xdr:col>
      <xdr:colOff>711200</xdr:colOff>
      <xdr:row>128</xdr:row>
      <xdr:rowOff>25400</xdr:rowOff>
    </xdr:from>
    <xdr:to>
      <xdr:col>16</xdr:col>
      <xdr:colOff>129516</xdr:colOff>
      <xdr:row>132</xdr:row>
      <xdr:rowOff>165101</xdr:rowOff>
    </xdr:to>
    <xdr:pic>
      <xdr:nvPicPr>
        <xdr:cNvPr id="14" name="Picture 13">
          <a:extLst>
            <a:ext uri="{FF2B5EF4-FFF2-40B4-BE49-F238E27FC236}">
              <a16:creationId xmlns:a16="http://schemas.microsoft.com/office/drawing/2014/main" id="{5990D915-80B8-1C64-F8A7-FC9EB8260DF5}"/>
            </a:ext>
          </a:extLst>
        </xdr:cNvPr>
        <xdr:cNvPicPr>
          <a:picLocks noChangeAspect="1"/>
        </xdr:cNvPicPr>
      </xdr:nvPicPr>
      <xdr:blipFill>
        <a:blip xmlns:r="http://schemas.openxmlformats.org/officeDocument/2006/relationships" r:embed="rId3"/>
        <a:stretch>
          <a:fillRect/>
        </a:stretch>
      </xdr:blipFill>
      <xdr:spPr>
        <a:xfrm>
          <a:off x="12357100" y="37299900"/>
          <a:ext cx="1069316" cy="952500"/>
        </a:xfrm>
        <a:prstGeom prst="rect">
          <a:avLst/>
        </a:prstGeom>
      </xdr:spPr>
    </xdr:pic>
    <xdr:clientData/>
  </xdr:twoCellAnchor>
  <xdr:twoCellAnchor editAs="oneCell">
    <xdr:from>
      <xdr:col>1</xdr:col>
      <xdr:colOff>625772</xdr:colOff>
      <xdr:row>50</xdr:row>
      <xdr:rowOff>238732</xdr:rowOff>
    </xdr:from>
    <xdr:to>
      <xdr:col>9</xdr:col>
      <xdr:colOff>178729</xdr:colOff>
      <xdr:row>50</xdr:row>
      <xdr:rowOff>2497909</xdr:rowOff>
    </xdr:to>
    <xdr:pic>
      <xdr:nvPicPr>
        <xdr:cNvPr id="4" name="Picture 3">
          <a:extLst>
            <a:ext uri="{FF2B5EF4-FFF2-40B4-BE49-F238E27FC236}">
              <a16:creationId xmlns:a16="http://schemas.microsoft.com/office/drawing/2014/main" id="{D07A92D0-2EE1-6A29-1489-7245BA42D5D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845905" y="21151399"/>
          <a:ext cx="7765624" cy="2259177"/>
        </a:xfrm>
        <a:prstGeom prst="rect">
          <a:avLst/>
        </a:prstGeom>
      </xdr:spPr>
    </xdr:pic>
    <xdr:clientData/>
  </xdr:twoCellAnchor>
  <xdr:twoCellAnchor editAs="oneCell">
    <xdr:from>
      <xdr:col>4</xdr:col>
      <xdr:colOff>31121</xdr:colOff>
      <xdr:row>51</xdr:row>
      <xdr:rowOff>137147</xdr:rowOff>
    </xdr:from>
    <xdr:to>
      <xdr:col>4</xdr:col>
      <xdr:colOff>1031954</xdr:colOff>
      <xdr:row>51</xdr:row>
      <xdr:rowOff>1020744</xdr:rowOff>
    </xdr:to>
    <xdr:pic>
      <xdr:nvPicPr>
        <xdr:cNvPr id="7" name="Picture 6">
          <a:extLst>
            <a:ext uri="{FF2B5EF4-FFF2-40B4-BE49-F238E27FC236}">
              <a16:creationId xmlns:a16="http://schemas.microsoft.com/office/drawing/2014/main" id="{F395F760-C05D-405A-080F-EF68515D3A8A}"/>
            </a:ext>
          </a:extLst>
        </xdr:cNvPr>
        <xdr:cNvPicPr>
          <a:picLocks noChangeAspect="1"/>
        </xdr:cNvPicPr>
      </xdr:nvPicPr>
      <xdr:blipFill>
        <a:blip xmlns:r="http://schemas.openxmlformats.org/officeDocument/2006/relationships" r:embed="rId5"/>
        <a:stretch>
          <a:fillRect/>
        </a:stretch>
      </xdr:blipFill>
      <xdr:spPr>
        <a:xfrm>
          <a:off x="4298321" y="18704547"/>
          <a:ext cx="1000833" cy="883597"/>
        </a:xfrm>
        <a:prstGeom prst="rect">
          <a:avLst/>
        </a:prstGeom>
      </xdr:spPr>
    </xdr:pic>
    <xdr:clientData/>
  </xdr:twoCellAnchor>
  <xdr:twoCellAnchor editAs="oneCell">
    <xdr:from>
      <xdr:col>3</xdr:col>
      <xdr:colOff>36493</xdr:colOff>
      <xdr:row>51</xdr:row>
      <xdr:rowOff>99631</xdr:rowOff>
    </xdr:from>
    <xdr:to>
      <xdr:col>3</xdr:col>
      <xdr:colOff>1058333</xdr:colOff>
      <xdr:row>51</xdr:row>
      <xdr:rowOff>1009841</xdr:rowOff>
    </xdr:to>
    <xdr:pic>
      <xdr:nvPicPr>
        <xdr:cNvPr id="8" name="Picture 7">
          <a:extLst>
            <a:ext uri="{FF2B5EF4-FFF2-40B4-BE49-F238E27FC236}">
              <a16:creationId xmlns:a16="http://schemas.microsoft.com/office/drawing/2014/main" id="{57E86209-9FE4-45BB-F644-69A4A9C4F3A1}"/>
            </a:ext>
          </a:extLst>
        </xdr:cNvPr>
        <xdr:cNvPicPr>
          <a:picLocks noChangeAspect="1"/>
        </xdr:cNvPicPr>
      </xdr:nvPicPr>
      <xdr:blipFill>
        <a:blip xmlns:r="http://schemas.openxmlformats.org/officeDocument/2006/relationships" r:embed="rId6"/>
        <a:stretch>
          <a:fillRect/>
        </a:stretch>
      </xdr:blipFill>
      <xdr:spPr>
        <a:xfrm>
          <a:off x="3215295" y="18716158"/>
          <a:ext cx="1021840" cy="910210"/>
        </a:xfrm>
        <a:prstGeom prst="rect">
          <a:avLst/>
        </a:prstGeom>
      </xdr:spPr>
    </xdr:pic>
    <xdr:clientData/>
  </xdr:twoCellAnchor>
  <xdr:twoCellAnchor editAs="oneCell">
    <xdr:from>
      <xdr:col>5</xdr:col>
      <xdr:colOff>31750</xdr:colOff>
      <xdr:row>51</xdr:row>
      <xdr:rowOff>104481</xdr:rowOff>
    </xdr:from>
    <xdr:to>
      <xdr:col>6</xdr:col>
      <xdr:colOff>235</xdr:colOff>
      <xdr:row>51</xdr:row>
      <xdr:rowOff>998176</xdr:rowOff>
    </xdr:to>
    <xdr:pic>
      <xdr:nvPicPr>
        <xdr:cNvPr id="10" name="Picture 9">
          <a:extLst>
            <a:ext uri="{FF2B5EF4-FFF2-40B4-BE49-F238E27FC236}">
              <a16:creationId xmlns:a16="http://schemas.microsoft.com/office/drawing/2014/main" id="{E5F73868-428F-8FE3-3C05-8A4C6C8CD1B9}"/>
            </a:ext>
          </a:extLst>
        </xdr:cNvPr>
        <xdr:cNvPicPr>
          <a:picLocks noChangeAspect="1"/>
        </xdr:cNvPicPr>
      </xdr:nvPicPr>
      <xdr:blipFill>
        <a:blip xmlns:r="http://schemas.openxmlformats.org/officeDocument/2006/relationships" r:embed="rId7"/>
        <a:stretch>
          <a:fillRect/>
        </a:stretch>
      </xdr:blipFill>
      <xdr:spPr>
        <a:xfrm>
          <a:off x="5365750" y="18671881"/>
          <a:ext cx="1003300" cy="893695"/>
        </a:xfrm>
        <a:prstGeom prst="rect">
          <a:avLst/>
        </a:prstGeom>
      </xdr:spPr>
    </xdr:pic>
    <xdr:clientData/>
  </xdr:twoCellAnchor>
  <xdr:twoCellAnchor editAs="oneCell">
    <xdr:from>
      <xdr:col>1</xdr:col>
      <xdr:colOff>535211</xdr:colOff>
      <xdr:row>21</xdr:row>
      <xdr:rowOff>27420</xdr:rowOff>
    </xdr:from>
    <xdr:to>
      <xdr:col>9</xdr:col>
      <xdr:colOff>86749</xdr:colOff>
      <xdr:row>21</xdr:row>
      <xdr:rowOff>2286184</xdr:rowOff>
    </xdr:to>
    <xdr:pic>
      <xdr:nvPicPr>
        <xdr:cNvPr id="11" name="Picture 10">
          <a:extLst>
            <a:ext uri="{FF2B5EF4-FFF2-40B4-BE49-F238E27FC236}">
              <a16:creationId xmlns:a16="http://schemas.microsoft.com/office/drawing/2014/main" id="{0B98A64F-2986-660F-481D-515AD09FE45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48571" y="9872460"/>
          <a:ext cx="7770978" cy="2258764"/>
        </a:xfrm>
        <a:prstGeom prst="rect">
          <a:avLst/>
        </a:prstGeom>
      </xdr:spPr>
    </xdr:pic>
    <xdr:clientData/>
  </xdr:twoCellAnchor>
  <xdr:oneCellAnchor>
    <xdr:from>
      <xdr:col>3</xdr:col>
      <xdr:colOff>898370</xdr:colOff>
      <xdr:row>57</xdr:row>
      <xdr:rowOff>252154</xdr:rowOff>
    </xdr:from>
    <xdr:ext cx="976806" cy="316882"/>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86C39C3B-9252-A251-1AE9-C0D641496404}"/>
                </a:ext>
              </a:extLst>
            </xdr:cNvPr>
            <xdr:cNvSpPr txBox="1"/>
          </xdr:nvSpPr>
          <xdr:spPr>
            <a:xfrm>
              <a:off x="4090349" y="24660603"/>
              <a:ext cx="976806"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𝑠</m:t>
                        </m:r>
                      </m:sub>
                    </m:sSub>
                    <m:r>
                      <a:rPr lang="en-AU" sz="1100" b="0" i="0">
                        <a:latin typeface="Cambria Math" panose="02040503050406030204" pitchFamily="18" charset="0"/>
                      </a:rPr>
                      <m:t>= (0, −</m:t>
                    </m:r>
                    <m:f>
                      <m:fPr>
                        <m:ctrlPr>
                          <a:rPr lang="en-AU" sz="1100" b="0" i="1">
                            <a:latin typeface="Cambria Math" panose="02040503050406030204" pitchFamily="18" charset="0"/>
                          </a:rPr>
                        </m:ctrlPr>
                      </m:fPr>
                      <m:num>
                        <m:r>
                          <a:rPr lang="en-AU" sz="1100" b="0" i="1">
                            <a:latin typeface="Cambria Math" panose="02040503050406030204" pitchFamily="18" charset="0"/>
                          </a:rPr>
                          <m:t>𝐹</m:t>
                        </m:r>
                      </m:num>
                      <m:den>
                        <m:r>
                          <a:rPr lang="en-AU" sz="1100" b="0" i="1">
                            <a:latin typeface="Cambria Math" panose="02040503050406030204" pitchFamily="18" charset="0"/>
                          </a:rPr>
                          <m:t>𝑙</m:t>
                        </m:r>
                      </m:den>
                    </m:f>
                    <m:r>
                      <a:rPr lang="en-AU" sz="1100" b="0" i="1">
                        <a:latin typeface="Cambria Math" panose="02040503050406030204" pitchFamily="18" charset="0"/>
                      </a:rPr>
                      <m:t>, 0)</m:t>
                    </m:r>
                  </m:oMath>
                </m:oMathPara>
              </a14:m>
              <a:endParaRPr lang="en-GB" sz="1100"/>
            </a:p>
          </xdr:txBody>
        </xdr:sp>
      </mc:Choice>
      <mc:Fallback xmlns="">
        <xdr:sp macro="" textlink="">
          <xdr:nvSpPr>
            <xdr:cNvPr id="17" name="TextBox 16">
              <a:extLst>
                <a:ext uri="{FF2B5EF4-FFF2-40B4-BE49-F238E27FC236}">
                  <a16:creationId xmlns:a16="http://schemas.microsoft.com/office/drawing/2014/main" id="{86C39C3B-9252-A251-1AE9-C0D641496404}"/>
                </a:ext>
              </a:extLst>
            </xdr:cNvPr>
            <xdr:cNvSpPr txBox="1"/>
          </xdr:nvSpPr>
          <xdr:spPr>
            <a:xfrm>
              <a:off x="4090349" y="24660603"/>
              <a:ext cx="976806"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𝑓_𝑠= (0, −𝐹/𝑙, 0)</a:t>
              </a:r>
              <a:endParaRPr lang="en-GB" sz="1100"/>
            </a:p>
          </xdr:txBody>
        </xdr:sp>
      </mc:Fallback>
    </mc:AlternateContent>
    <xdr:clientData/>
  </xdr:oneCellAnchor>
  <xdr:oneCellAnchor>
    <xdr:from>
      <xdr:col>4</xdr:col>
      <xdr:colOff>1066103</xdr:colOff>
      <xdr:row>57</xdr:row>
      <xdr:rowOff>230094</xdr:rowOff>
    </xdr:from>
    <xdr:ext cx="946285" cy="345416"/>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5361E48A-27BE-9A47-8108-4A42F8B35E6D}"/>
                </a:ext>
              </a:extLst>
            </xdr:cNvPr>
            <xdr:cNvSpPr txBox="1"/>
          </xdr:nvSpPr>
          <xdr:spPr>
            <a:xfrm>
              <a:off x="5337921" y="24638543"/>
              <a:ext cx="946285"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𝑏</m:t>
                        </m:r>
                      </m:sub>
                    </m:sSub>
                    <m:r>
                      <a:rPr lang="en-AU" sz="1100" b="0" i="0">
                        <a:latin typeface="Cambria Math" panose="02040503050406030204" pitchFamily="18" charset="0"/>
                      </a:rPr>
                      <m:t>= (0, </m:t>
                    </m:r>
                    <m:f>
                      <m:fPr>
                        <m:ctrlPr>
                          <a:rPr lang="en-AU" sz="1100" b="0" i="1">
                            <a:latin typeface="Cambria Math" panose="02040503050406030204" pitchFamily="18" charset="0"/>
                          </a:rPr>
                        </m:ctrlPr>
                      </m:fPr>
                      <m:num>
                        <m:r>
                          <a:rPr lang="en-AU" sz="1100" b="0" i="1">
                            <a:latin typeface="Cambria Math" panose="02040503050406030204" pitchFamily="18" charset="0"/>
                          </a:rPr>
                          <m:t>𝑀</m:t>
                        </m:r>
                      </m:num>
                      <m:den>
                        <m:sSub>
                          <m:sSubPr>
                            <m:ctrlPr>
                              <a:rPr lang="en-AU" sz="1100" b="0" i="1">
                                <a:latin typeface="Cambria Math" panose="02040503050406030204" pitchFamily="18" charset="0"/>
                              </a:rPr>
                            </m:ctrlPr>
                          </m:sSubPr>
                          <m:e>
                            <m:r>
                              <a:rPr lang="en-AU" sz="1100" b="0" i="1">
                                <a:latin typeface="Cambria Math" panose="02040503050406030204" pitchFamily="18" charset="0"/>
                              </a:rPr>
                              <m:t>𝑍</m:t>
                            </m:r>
                          </m:e>
                          <m:sub>
                            <m:r>
                              <a:rPr lang="en-AU" sz="1100" b="0" i="1">
                                <a:latin typeface="Cambria Math" panose="02040503050406030204" pitchFamily="18" charset="0"/>
                              </a:rPr>
                              <m:t>𝑤</m:t>
                            </m:r>
                          </m:sub>
                        </m:sSub>
                      </m:den>
                    </m:f>
                    <m:r>
                      <a:rPr lang="en-AU" sz="1100" b="0" i="1">
                        <a:latin typeface="Cambria Math" panose="02040503050406030204" pitchFamily="18" charset="0"/>
                      </a:rPr>
                      <m:t>, 0)</m:t>
                    </m:r>
                  </m:oMath>
                </m:oMathPara>
              </a14:m>
              <a:endParaRPr lang="en-GB" sz="1100"/>
            </a:p>
          </xdr:txBody>
        </xdr:sp>
      </mc:Choice>
      <mc:Fallback xmlns="">
        <xdr:sp macro="" textlink="">
          <xdr:nvSpPr>
            <xdr:cNvPr id="19" name="TextBox 18">
              <a:extLst>
                <a:ext uri="{FF2B5EF4-FFF2-40B4-BE49-F238E27FC236}">
                  <a16:creationId xmlns:a16="http://schemas.microsoft.com/office/drawing/2014/main" id="{5361E48A-27BE-9A47-8108-4A42F8B35E6D}"/>
                </a:ext>
              </a:extLst>
            </xdr:cNvPr>
            <xdr:cNvSpPr txBox="1"/>
          </xdr:nvSpPr>
          <xdr:spPr>
            <a:xfrm>
              <a:off x="5337921" y="24638543"/>
              <a:ext cx="946285"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𝑓_𝑏= (0,  𝑀/𝑍_𝑤 , 0)</a:t>
              </a:r>
              <a:endParaRPr lang="en-GB" sz="1100"/>
            </a:p>
          </xdr:txBody>
        </xdr:sp>
      </mc:Fallback>
    </mc:AlternateContent>
    <xdr:clientData/>
  </xdr:oneCellAnchor>
  <xdr:oneCellAnchor>
    <xdr:from>
      <xdr:col>6</xdr:col>
      <xdr:colOff>177806</xdr:colOff>
      <xdr:row>57</xdr:row>
      <xdr:rowOff>230095</xdr:rowOff>
    </xdr:from>
    <xdr:ext cx="1209627" cy="345416"/>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E01968EF-E66C-D552-F19C-523D21F4E1A9}"/>
                </a:ext>
              </a:extLst>
            </xdr:cNvPr>
            <xdr:cNvSpPr txBox="1"/>
          </xdr:nvSpPr>
          <xdr:spPr>
            <a:xfrm>
              <a:off x="6554972" y="24638544"/>
              <a:ext cx="1209627"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𝑗</m:t>
                        </m:r>
                      </m:sub>
                    </m:sSub>
                    <m:r>
                      <a:rPr lang="en-AU" sz="1100" b="0" i="0">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𝑇</m:t>
                        </m:r>
                      </m:num>
                      <m:den>
                        <m:sSub>
                          <m:sSubPr>
                            <m:ctrlPr>
                              <a:rPr lang="en-AU" sz="1100" b="0" i="1">
                                <a:latin typeface="Cambria Math" panose="02040503050406030204" pitchFamily="18" charset="0"/>
                              </a:rPr>
                            </m:ctrlPr>
                          </m:sSubPr>
                          <m:e>
                            <m:r>
                              <a:rPr lang="en-AU" sz="1100" b="0" i="1">
                                <a:latin typeface="Cambria Math" panose="02040503050406030204" pitchFamily="18" charset="0"/>
                              </a:rPr>
                              <m:t>𝐽</m:t>
                            </m:r>
                          </m:e>
                          <m:sub>
                            <m:r>
                              <a:rPr lang="en-AU" sz="1100" b="0" i="1">
                                <a:latin typeface="Cambria Math" panose="02040503050406030204" pitchFamily="18" charset="0"/>
                              </a:rPr>
                              <m:t>𝑤</m:t>
                            </m:r>
                          </m:sub>
                        </m:sSub>
                      </m:den>
                    </m:f>
                    <m:r>
                      <a:rPr lang="en-AU" sz="1100" b="0" i="0">
                        <a:latin typeface="Cambria Math" panose="02040503050406030204" pitchFamily="18" charset="0"/>
                      </a:rPr>
                      <m:t> </m:t>
                    </m:r>
                    <m:r>
                      <a:rPr lang="en-AU" sz="1100" b="0" i="1">
                        <a:latin typeface="Cambria Math" panose="02040503050406030204" pitchFamily="18" charset="0"/>
                        <a:ea typeface="Cambria Math" panose="02040503050406030204" pitchFamily="18" charset="0"/>
                      </a:rPr>
                      <m:t>∙</m:t>
                    </m:r>
                    <m:r>
                      <a:rPr lang="en-AU" sz="1100" b="0" i="0">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𝑟</m:t>
                        </m:r>
                      </m:e>
                      <m:sub>
                        <m:r>
                          <a:rPr lang="en-AU" sz="1100" b="0" i="1">
                            <a:latin typeface="Cambria Math" panose="02040503050406030204" pitchFamily="18" charset="0"/>
                          </a:rPr>
                          <m:t>𝑥</m:t>
                        </m:r>
                      </m:sub>
                    </m:sSub>
                    <m:r>
                      <a:rPr lang="en-AU" sz="1100" b="0" i="0">
                        <a:latin typeface="Cambria Math" panose="02040503050406030204" pitchFamily="18" charset="0"/>
                      </a:rPr>
                      <m:t> </m:t>
                    </m:r>
                    <m:sSub>
                      <m:sSubPr>
                        <m:ctrlPr>
                          <a:rPr lang="en-AU" sz="1100" b="0" i="1">
                            <a:latin typeface="Cambria Math" panose="02040503050406030204" pitchFamily="18" charset="0"/>
                          </a:rPr>
                        </m:ctrlPr>
                      </m:sSubPr>
                      <m:e>
                        <m:r>
                          <a:rPr lang="en-AU" sz="1100" b="0" i="1">
                            <a:latin typeface="Cambria Math" panose="02040503050406030204" pitchFamily="18" charset="0"/>
                          </a:rPr>
                          <m:t>𝑟</m:t>
                        </m:r>
                      </m:e>
                      <m:sub>
                        <m:r>
                          <a:rPr lang="en-AU" sz="1100" b="0" i="1">
                            <a:latin typeface="Cambria Math" panose="02040503050406030204" pitchFamily="18" charset="0"/>
                          </a:rPr>
                          <m:t>𝑦</m:t>
                        </m:r>
                      </m:sub>
                    </m:sSub>
                    <m:r>
                      <a:rPr lang="en-AU" sz="1100" b="0" i="1">
                        <a:latin typeface="Cambria Math" panose="02040503050406030204" pitchFamily="18" charset="0"/>
                      </a:rPr>
                      <m:t>, 0)</m:t>
                    </m:r>
                  </m:oMath>
                </m:oMathPara>
              </a14:m>
              <a:endParaRPr lang="en-GB" sz="1100"/>
            </a:p>
          </xdr:txBody>
        </xdr:sp>
      </mc:Choice>
      <mc:Fallback xmlns="">
        <xdr:sp macro="" textlink="">
          <xdr:nvSpPr>
            <xdr:cNvPr id="20" name="TextBox 19">
              <a:extLst>
                <a:ext uri="{FF2B5EF4-FFF2-40B4-BE49-F238E27FC236}">
                  <a16:creationId xmlns:a16="http://schemas.microsoft.com/office/drawing/2014/main" id="{E01968EF-E66C-D552-F19C-523D21F4E1A9}"/>
                </a:ext>
              </a:extLst>
            </xdr:cNvPr>
            <xdr:cNvSpPr txBox="1"/>
          </xdr:nvSpPr>
          <xdr:spPr>
            <a:xfrm>
              <a:off x="6554972" y="24638544"/>
              <a:ext cx="1209627" cy="34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𝑓_𝑗=𝑇/𝐽_𝑤   </a:t>
              </a:r>
              <a:r>
                <a:rPr lang="en-AU" sz="1100" b="0" i="0">
                  <a:latin typeface="Cambria Math" panose="02040503050406030204" pitchFamily="18" charset="0"/>
                  <a:ea typeface="Cambria Math" panose="02040503050406030204" pitchFamily="18" charset="0"/>
                </a:rPr>
                <a:t>∙</a:t>
              </a:r>
              <a:r>
                <a:rPr lang="en-AU" sz="1100" b="0" i="0">
                  <a:latin typeface="Cambria Math" panose="02040503050406030204" pitchFamily="18" charset="0"/>
                </a:rPr>
                <a:t>(−𝑟_𝑥  𝑟_𝑦, 0)</a:t>
              </a:r>
              <a:endParaRPr lang="en-GB" sz="1100"/>
            </a:p>
          </xdr:txBody>
        </xdr:sp>
      </mc:Fallback>
    </mc:AlternateContent>
    <xdr:clientData/>
  </xdr:oneCellAnchor>
  <xdr:oneCellAnchor>
    <xdr:from>
      <xdr:col>8</xdr:col>
      <xdr:colOff>150498</xdr:colOff>
      <xdr:row>57</xdr:row>
      <xdr:rowOff>311206</xdr:rowOff>
    </xdr:from>
    <xdr:ext cx="1002582" cy="183192"/>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0F8B4B5A-81B1-F1AA-8BEA-82B7291BF7FA}"/>
                </a:ext>
              </a:extLst>
            </xdr:cNvPr>
            <xdr:cNvSpPr txBox="1"/>
          </xdr:nvSpPr>
          <xdr:spPr>
            <a:xfrm>
              <a:off x="8035364" y="24719655"/>
              <a:ext cx="1002582"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𝑡</m:t>
                        </m:r>
                      </m:sub>
                    </m:sSub>
                    <m:r>
                      <a:rPr lang="en-AU" sz="1100" b="0" i="1">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𝑠</m:t>
                        </m:r>
                      </m:sub>
                    </m:sSub>
                    <m:r>
                      <a:rPr lang="en-AU" sz="1100" b="0" i="1">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𝑏</m:t>
                        </m:r>
                      </m:sub>
                    </m:sSub>
                    <m:r>
                      <a:rPr lang="en-AU" sz="1100" b="0" i="1">
                        <a:latin typeface="Cambria Math" panose="02040503050406030204" pitchFamily="18" charset="0"/>
                      </a:rPr>
                      <m:t>+</m:t>
                    </m:r>
                    <m:sSub>
                      <m:sSubPr>
                        <m:ctrlPr>
                          <a:rPr lang="en-AU" sz="1100" b="0" i="1">
                            <a:latin typeface="Cambria Math" panose="02040503050406030204" pitchFamily="18" charset="0"/>
                          </a:rPr>
                        </m:ctrlPr>
                      </m:sSubPr>
                      <m:e>
                        <m:r>
                          <a:rPr lang="en-AU" sz="1100" b="0" i="1">
                            <a:latin typeface="Cambria Math" panose="02040503050406030204" pitchFamily="18" charset="0"/>
                          </a:rPr>
                          <m:t>𝑓</m:t>
                        </m:r>
                      </m:e>
                      <m:sub>
                        <m:r>
                          <a:rPr lang="en-AU" sz="1100" b="0" i="1">
                            <a:latin typeface="Cambria Math" panose="02040503050406030204" pitchFamily="18" charset="0"/>
                          </a:rPr>
                          <m:t>𝑗</m:t>
                        </m:r>
                      </m:sub>
                    </m:sSub>
                  </m:oMath>
                </m:oMathPara>
              </a14:m>
              <a:endParaRPr lang="en-GB" sz="1100"/>
            </a:p>
          </xdr:txBody>
        </xdr:sp>
      </mc:Choice>
      <mc:Fallback xmlns="">
        <xdr:sp macro="" textlink="">
          <xdr:nvSpPr>
            <xdr:cNvPr id="21" name="TextBox 20">
              <a:extLst>
                <a:ext uri="{FF2B5EF4-FFF2-40B4-BE49-F238E27FC236}">
                  <a16:creationId xmlns:a16="http://schemas.microsoft.com/office/drawing/2014/main" id="{0F8B4B5A-81B1-F1AA-8BEA-82B7291BF7FA}"/>
                </a:ext>
              </a:extLst>
            </xdr:cNvPr>
            <xdr:cNvSpPr txBox="1"/>
          </xdr:nvSpPr>
          <xdr:spPr>
            <a:xfrm>
              <a:off x="8035364" y="24719655"/>
              <a:ext cx="1002582"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AU" sz="1100" b="0" i="0">
                  <a:latin typeface="Cambria Math" panose="02040503050406030204" pitchFamily="18" charset="0"/>
                </a:rPr>
                <a:t>𝑓_𝑡=𝑓_𝑠+𝑓_𝑏+𝑓_𝑗</a:t>
              </a:r>
              <a:endParaRPr lang="en-GB"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4</xdr:col>
      <xdr:colOff>196551</xdr:colOff>
      <xdr:row>46</xdr:row>
      <xdr:rowOff>42811</xdr:rowOff>
    </xdr:from>
    <xdr:to>
      <xdr:col>13</xdr:col>
      <xdr:colOff>691130</xdr:colOff>
      <xdr:row>78</xdr:row>
      <xdr:rowOff>152248</xdr:rowOff>
    </xdr:to>
    <xdr:graphicFrame macro="">
      <xdr:nvGraphicFramePr>
        <xdr:cNvPr id="5" name="Chart 4">
          <a:extLst>
            <a:ext uri="{FF2B5EF4-FFF2-40B4-BE49-F238E27FC236}">
              <a16:creationId xmlns:a16="http://schemas.microsoft.com/office/drawing/2014/main" id="{A1D6D870-7523-A91C-DC1B-F23A78830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561385</xdr:colOff>
      <xdr:row>80</xdr:row>
      <xdr:rowOff>341300</xdr:rowOff>
    </xdr:from>
    <xdr:ext cx="2287293" cy="49699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9A2C4233-DC3D-8BAF-2622-075E295125C4}"/>
                </a:ext>
              </a:extLst>
            </xdr:cNvPr>
            <xdr:cNvSpPr txBox="1"/>
          </xdr:nvSpPr>
          <xdr:spPr>
            <a:xfrm>
              <a:off x="7391507" y="27398495"/>
              <a:ext cx="2287293" cy="496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AU" sz="1100" b="0" i="1">
                            <a:latin typeface="Cambria Math" panose="02040503050406030204" pitchFamily="18" charset="0"/>
                          </a:rPr>
                          <m:t>𝑘</m:t>
                        </m:r>
                      </m:e>
                      <m:sub>
                        <m:r>
                          <a:rPr lang="en-AU" sz="1100" b="0" i="1">
                            <a:latin typeface="Cambria Math" panose="02040503050406030204" pitchFamily="18" charset="0"/>
                          </a:rPr>
                          <m:t>𝑚</m:t>
                        </m:r>
                      </m:sub>
                    </m:sSub>
                    <m:r>
                      <a:rPr lang="en-AU" sz="1100" b="0" i="1">
                        <a:latin typeface="Cambria Math" panose="02040503050406030204" pitchFamily="18" charset="0"/>
                      </a:rPr>
                      <m:t>=</m:t>
                    </m:r>
                    <m:f>
                      <m:fPr>
                        <m:ctrlPr>
                          <a:rPr lang="en-GB" sz="1100" i="1">
                            <a:latin typeface="Cambria Math" panose="02040503050406030204" pitchFamily="18" charset="0"/>
                          </a:rPr>
                        </m:ctrlPr>
                      </m:fPr>
                      <m:num>
                        <m:r>
                          <a:rPr lang="en-GB" sz="1100" i="1">
                            <a:latin typeface="Cambria Math" panose="02040503050406030204" pitchFamily="18" charset="0"/>
                            <a:ea typeface="Cambria Math" panose="02040503050406030204" pitchFamily="18" charset="0"/>
                          </a:rPr>
                          <m:t>𝜋</m:t>
                        </m:r>
                        <m:r>
                          <a:rPr lang="en-AU" sz="1100" b="0" i="1">
                            <a:latin typeface="Cambria Math" panose="02040503050406030204" pitchFamily="18" charset="0"/>
                            <a:ea typeface="Cambria Math" panose="02040503050406030204" pitchFamily="18" charset="0"/>
                          </a:rPr>
                          <m:t>𝐸𝑑</m:t>
                        </m:r>
                        <m:func>
                          <m:funcPr>
                            <m:ctrlPr>
                              <a:rPr lang="en-AU" sz="1100" b="0" i="1">
                                <a:latin typeface="Cambria Math" panose="02040503050406030204" pitchFamily="18" charset="0"/>
                                <a:ea typeface="Cambria Math" panose="02040503050406030204" pitchFamily="18" charset="0"/>
                              </a:rPr>
                            </m:ctrlPr>
                          </m:funcPr>
                          <m:fName>
                            <m:r>
                              <m:rPr>
                                <m:sty m:val="p"/>
                              </m:rPr>
                              <a:rPr lang="en-AU" sz="1100" b="0" i="0">
                                <a:latin typeface="Cambria Math" panose="02040503050406030204" pitchFamily="18" charset="0"/>
                                <a:ea typeface="Cambria Math" panose="02040503050406030204" pitchFamily="18" charset="0"/>
                              </a:rPr>
                              <m:t>tan</m:t>
                            </m:r>
                          </m:fName>
                          <m:e>
                            <m:r>
                              <a:rPr lang="en-AU" sz="1100" b="0" i="1">
                                <a:latin typeface="Cambria Math" panose="02040503050406030204" pitchFamily="18" charset="0"/>
                                <a:ea typeface="Cambria Math" panose="02040503050406030204" pitchFamily="18" charset="0"/>
                              </a:rPr>
                              <m:t>𝛼</m:t>
                            </m:r>
                          </m:e>
                        </m:func>
                      </m:num>
                      <m:den>
                        <m:r>
                          <a:rPr lang="en-AU" sz="1100" b="0" i="1">
                            <a:latin typeface="Cambria Math" panose="02040503050406030204" pitchFamily="18" charset="0"/>
                          </a:rPr>
                          <m:t>2</m:t>
                        </m:r>
                        <m:r>
                          <m:rPr>
                            <m:sty m:val="p"/>
                          </m:rPr>
                          <a:rPr lang="en-AU" sz="1100" b="0" i="0">
                            <a:latin typeface="Cambria Math" panose="02040503050406030204" pitchFamily="18" charset="0"/>
                          </a:rPr>
                          <m:t>ln</m:t>
                        </m:r>
                        <m:r>
                          <a:rPr lang="en-AU" sz="1100" b="0" i="1">
                            <a:latin typeface="Cambria Math" panose="02040503050406030204" pitchFamily="18" charset="0"/>
                          </a:rPr>
                          <m:t>⁡</m:t>
                        </m:r>
                        <m:f>
                          <m:fPr>
                            <m:ctrlPr>
                              <a:rPr lang="en-AU" sz="1100" b="0" i="1">
                                <a:latin typeface="Cambria Math" panose="02040503050406030204" pitchFamily="18" charset="0"/>
                              </a:rPr>
                            </m:ctrlPr>
                          </m:fPr>
                          <m:num>
                            <m:r>
                              <a:rPr lang="en-AU" sz="1100" b="0" i="1">
                                <a:latin typeface="Cambria Math" panose="02040503050406030204" pitchFamily="18" charset="0"/>
                              </a:rPr>
                              <m:t>(</m:t>
                            </m:r>
                            <m:r>
                              <a:rPr lang="en-AU" sz="1100" b="0" i="1">
                                <a:latin typeface="Cambria Math" panose="02040503050406030204" pitchFamily="18" charset="0"/>
                              </a:rPr>
                              <m:t>𝑙</m:t>
                            </m:r>
                            <m:func>
                              <m:funcPr>
                                <m:ctrlPr>
                                  <a:rPr lang="en-AU" sz="1100" b="0" i="1">
                                    <a:latin typeface="Cambria Math" panose="02040503050406030204" pitchFamily="18" charset="0"/>
                                    <a:ea typeface="Cambria Math" panose="02040503050406030204" pitchFamily="18" charset="0"/>
                                  </a:rPr>
                                </m:ctrlPr>
                              </m:funcPr>
                              <m:fName>
                                <m:r>
                                  <m:rPr>
                                    <m:sty m:val="p"/>
                                  </m:rPr>
                                  <a:rPr lang="en-AU" sz="1100" b="0" i="0">
                                    <a:latin typeface="Cambria Math" panose="02040503050406030204" pitchFamily="18" charset="0"/>
                                    <a:ea typeface="Cambria Math" panose="02040503050406030204" pitchFamily="18" charset="0"/>
                                  </a:rPr>
                                  <m:t>tan</m:t>
                                </m:r>
                              </m:fName>
                              <m:e>
                                <m:r>
                                  <a:rPr lang="en-AU" sz="1100" b="0" i="1">
                                    <a:latin typeface="Cambria Math" panose="02040503050406030204" pitchFamily="18" charset="0"/>
                                    <a:ea typeface="Cambria Math" panose="02040503050406030204" pitchFamily="18" charset="0"/>
                                  </a:rPr>
                                  <m:t>𝛼</m:t>
                                </m:r>
                              </m:e>
                            </m:func>
                            <m:r>
                              <a:rPr lang="en-AU" sz="1100" b="0" i="1">
                                <a:latin typeface="Cambria Math" panose="02040503050406030204" pitchFamily="18" charset="0"/>
                                <a:ea typeface="Cambria Math" panose="02040503050406030204" pitchFamily="18" charset="0"/>
                              </a:rPr>
                              <m:t>+ </m:t>
                            </m:r>
                            <m:sSub>
                              <m:sSubPr>
                                <m:ctrlPr>
                                  <a:rPr lang="en-AU" sz="1100" b="0" i="1">
                                    <a:latin typeface="Cambria Math" panose="02040503050406030204" pitchFamily="18" charset="0"/>
                                    <a:ea typeface="Cambria Math" panose="02040503050406030204" pitchFamily="18" charset="0"/>
                                  </a:rPr>
                                </m:ctrlPr>
                              </m:sSubPr>
                              <m:e>
                                <m:r>
                                  <a:rPr lang="en-AU" sz="1100" b="0" i="1">
                                    <a:latin typeface="Cambria Math" panose="02040503050406030204" pitchFamily="18" charset="0"/>
                                    <a:ea typeface="Cambria Math" panose="02040503050406030204" pitchFamily="18" charset="0"/>
                                  </a:rPr>
                                  <m:t>𝑑</m:t>
                                </m:r>
                              </m:e>
                              <m:sub>
                                <m:r>
                                  <a:rPr lang="en-AU" sz="1100" b="0" i="1">
                                    <a:latin typeface="Cambria Math" panose="02040503050406030204" pitchFamily="18" charset="0"/>
                                    <a:ea typeface="Cambria Math" panose="02040503050406030204" pitchFamily="18" charset="0"/>
                                  </a:rPr>
                                  <m:t>𝑤</m:t>
                                </m:r>
                              </m:sub>
                            </m:sSub>
                            <m:r>
                              <a:rPr lang="en-AU" sz="1100" b="0" i="1">
                                <a:latin typeface="Cambria Math" panose="02040503050406030204" pitchFamily="18" charset="0"/>
                                <a:ea typeface="Cambria Math" panose="02040503050406030204" pitchFamily="18" charset="0"/>
                              </a:rPr>
                              <m:t>−</m:t>
                            </m:r>
                            <m:r>
                              <a:rPr lang="en-AU" sz="1100" b="0" i="1">
                                <a:latin typeface="Cambria Math" panose="02040503050406030204" pitchFamily="18" charset="0"/>
                                <a:ea typeface="Cambria Math" panose="02040503050406030204" pitchFamily="18" charset="0"/>
                              </a:rPr>
                              <m:t>𝑑</m:t>
                            </m:r>
                            <m:r>
                              <a:rPr lang="en-AU" sz="1100" b="0" i="1">
                                <a:latin typeface="Cambria Math" panose="02040503050406030204" pitchFamily="18" charset="0"/>
                                <a:ea typeface="Cambria Math" panose="02040503050406030204" pitchFamily="18" charset="0"/>
                              </a:rPr>
                              <m:t>)(</m:t>
                            </m:r>
                            <m:sSub>
                              <m:sSubPr>
                                <m:ctrlPr>
                                  <a:rPr lang="en-AU" sz="1100" b="0" i="1">
                                    <a:latin typeface="Cambria Math" panose="02040503050406030204" pitchFamily="18" charset="0"/>
                                    <a:ea typeface="Cambria Math" panose="02040503050406030204" pitchFamily="18" charset="0"/>
                                  </a:rPr>
                                </m:ctrlPr>
                              </m:sSubPr>
                              <m:e>
                                <m:r>
                                  <a:rPr lang="en-AU" sz="1100" b="0" i="1">
                                    <a:latin typeface="Cambria Math" panose="02040503050406030204" pitchFamily="18" charset="0"/>
                                    <a:ea typeface="Cambria Math" panose="02040503050406030204" pitchFamily="18" charset="0"/>
                                  </a:rPr>
                                  <m:t>𝑑</m:t>
                                </m:r>
                              </m:e>
                              <m:sub>
                                <m:r>
                                  <a:rPr lang="en-AU" sz="1100" b="0" i="1">
                                    <a:latin typeface="Cambria Math" panose="02040503050406030204" pitchFamily="18" charset="0"/>
                                    <a:ea typeface="Cambria Math" panose="02040503050406030204" pitchFamily="18" charset="0"/>
                                  </a:rPr>
                                  <m:t>𝑤</m:t>
                                </m:r>
                              </m:sub>
                            </m:sSub>
                            <m:r>
                              <a:rPr lang="en-AU" sz="1100" b="0" i="1">
                                <a:latin typeface="Cambria Math" panose="02040503050406030204" pitchFamily="18" charset="0"/>
                                <a:ea typeface="Cambria Math" panose="02040503050406030204" pitchFamily="18" charset="0"/>
                              </a:rPr>
                              <m:t>+</m:t>
                            </m:r>
                            <m:r>
                              <a:rPr lang="en-AU" sz="1100" b="0" i="1">
                                <a:latin typeface="Cambria Math" panose="02040503050406030204" pitchFamily="18" charset="0"/>
                                <a:ea typeface="Cambria Math" panose="02040503050406030204" pitchFamily="18" charset="0"/>
                              </a:rPr>
                              <m:t>𝑑</m:t>
                            </m:r>
                            <m:r>
                              <a:rPr lang="en-AU" sz="1100" b="0" i="1">
                                <a:latin typeface="Cambria Math" panose="02040503050406030204" pitchFamily="18" charset="0"/>
                                <a:ea typeface="Cambria Math" panose="02040503050406030204" pitchFamily="18" charset="0"/>
                              </a:rPr>
                              <m:t>)</m:t>
                            </m:r>
                          </m:num>
                          <m:den>
                            <m:r>
                              <a:rPr lang="en-AU" sz="1100" b="0" i="1">
                                <a:latin typeface="Cambria Math" panose="02040503050406030204" pitchFamily="18" charset="0"/>
                              </a:rPr>
                              <m:t>(</m:t>
                            </m:r>
                            <m:r>
                              <a:rPr lang="en-AU" sz="1100" b="0" i="1">
                                <a:latin typeface="Cambria Math" panose="02040503050406030204" pitchFamily="18" charset="0"/>
                              </a:rPr>
                              <m:t>𝑙</m:t>
                            </m:r>
                            <m:func>
                              <m:funcPr>
                                <m:ctrlPr>
                                  <a:rPr lang="en-AU" sz="1100" b="0" i="1">
                                    <a:latin typeface="Cambria Math" panose="02040503050406030204" pitchFamily="18" charset="0"/>
                                    <a:ea typeface="Cambria Math" panose="02040503050406030204" pitchFamily="18" charset="0"/>
                                  </a:rPr>
                                </m:ctrlPr>
                              </m:funcPr>
                              <m:fName>
                                <m:r>
                                  <m:rPr>
                                    <m:sty m:val="p"/>
                                  </m:rPr>
                                  <a:rPr lang="en-AU" sz="1100" b="0" i="0">
                                    <a:latin typeface="Cambria Math" panose="02040503050406030204" pitchFamily="18" charset="0"/>
                                    <a:ea typeface="Cambria Math" panose="02040503050406030204" pitchFamily="18" charset="0"/>
                                  </a:rPr>
                                  <m:t>tan</m:t>
                                </m:r>
                              </m:fName>
                              <m:e>
                                <m:r>
                                  <a:rPr lang="en-AU" sz="1100" b="0" i="1">
                                    <a:latin typeface="Cambria Math" panose="02040503050406030204" pitchFamily="18" charset="0"/>
                                    <a:ea typeface="Cambria Math" panose="02040503050406030204" pitchFamily="18" charset="0"/>
                                  </a:rPr>
                                  <m:t>𝛼</m:t>
                                </m:r>
                              </m:e>
                            </m:func>
                            <m:r>
                              <a:rPr lang="en-AU" sz="1100" b="0" i="1">
                                <a:latin typeface="Cambria Math" panose="02040503050406030204" pitchFamily="18" charset="0"/>
                                <a:ea typeface="Cambria Math" panose="02040503050406030204" pitchFamily="18" charset="0"/>
                              </a:rPr>
                              <m:t>+</m:t>
                            </m:r>
                            <m:sSub>
                              <m:sSubPr>
                                <m:ctrlPr>
                                  <a:rPr lang="en-AU" sz="1100" b="0" i="1">
                                    <a:latin typeface="Cambria Math" panose="02040503050406030204" pitchFamily="18" charset="0"/>
                                    <a:ea typeface="Cambria Math" panose="02040503050406030204" pitchFamily="18" charset="0"/>
                                  </a:rPr>
                                </m:ctrlPr>
                              </m:sSubPr>
                              <m:e>
                                <m:r>
                                  <a:rPr lang="en-AU" sz="1100" b="0" i="1">
                                    <a:latin typeface="Cambria Math" panose="02040503050406030204" pitchFamily="18" charset="0"/>
                                    <a:ea typeface="Cambria Math" panose="02040503050406030204" pitchFamily="18" charset="0"/>
                                  </a:rPr>
                                  <m:t>𝑑</m:t>
                                </m:r>
                              </m:e>
                              <m:sub>
                                <m:r>
                                  <a:rPr lang="en-AU" sz="1100" b="0" i="1">
                                    <a:latin typeface="Cambria Math" panose="02040503050406030204" pitchFamily="18" charset="0"/>
                                    <a:ea typeface="Cambria Math" panose="02040503050406030204" pitchFamily="18" charset="0"/>
                                  </a:rPr>
                                  <m:t>𝑤</m:t>
                                </m:r>
                              </m:sub>
                            </m:sSub>
                            <m:r>
                              <a:rPr lang="en-AU" sz="1100" b="0" i="1">
                                <a:latin typeface="Cambria Math" panose="02040503050406030204" pitchFamily="18" charset="0"/>
                                <a:ea typeface="Cambria Math" panose="02040503050406030204" pitchFamily="18" charset="0"/>
                              </a:rPr>
                              <m:t>+</m:t>
                            </m:r>
                            <m:r>
                              <a:rPr lang="en-AU" sz="1100" b="0" i="1">
                                <a:latin typeface="Cambria Math" panose="02040503050406030204" pitchFamily="18" charset="0"/>
                                <a:ea typeface="Cambria Math" panose="02040503050406030204" pitchFamily="18" charset="0"/>
                              </a:rPr>
                              <m:t>𝑑</m:t>
                            </m:r>
                            <m:r>
                              <a:rPr lang="en-AU" sz="1100" b="0" i="1">
                                <a:latin typeface="Cambria Math" panose="02040503050406030204" pitchFamily="18" charset="0"/>
                                <a:ea typeface="Cambria Math" panose="02040503050406030204" pitchFamily="18" charset="0"/>
                              </a:rPr>
                              <m:t>)(</m:t>
                            </m:r>
                            <m:sSub>
                              <m:sSubPr>
                                <m:ctrlPr>
                                  <a:rPr lang="en-AU" sz="1100" b="0" i="1">
                                    <a:latin typeface="Cambria Math" panose="02040503050406030204" pitchFamily="18" charset="0"/>
                                    <a:ea typeface="Cambria Math" panose="02040503050406030204" pitchFamily="18" charset="0"/>
                                  </a:rPr>
                                </m:ctrlPr>
                              </m:sSubPr>
                              <m:e>
                                <m:r>
                                  <a:rPr lang="en-AU" sz="1100" b="0" i="1">
                                    <a:latin typeface="Cambria Math" panose="02040503050406030204" pitchFamily="18" charset="0"/>
                                    <a:ea typeface="Cambria Math" panose="02040503050406030204" pitchFamily="18" charset="0"/>
                                  </a:rPr>
                                  <m:t>𝑑</m:t>
                                </m:r>
                              </m:e>
                              <m:sub>
                                <m:r>
                                  <a:rPr lang="en-AU" sz="1100" b="0" i="1">
                                    <a:latin typeface="Cambria Math" panose="02040503050406030204" pitchFamily="18" charset="0"/>
                                    <a:ea typeface="Cambria Math" panose="02040503050406030204" pitchFamily="18" charset="0"/>
                                  </a:rPr>
                                  <m:t>𝑤</m:t>
                                </m:r>
                              </m:sub>
                            </m:sSub>
                            <m:r>
                              <a:rPr lang="en-AU" sz="1100" b="0" i="1">
                                <a:latin typeface="Cambria Math" panose="02040503050406030204" pitchFamily="18" charset="0"/>
                                <a:ea typeface="Cambria Math" panose="02040503050406030204" pitchFamily="18" charset="0"/>
                              </a:rPr>
                              <m:t>−</m:t>
                            </m:r>
                            <m:r>
                              <a:rPr lang="en-AU" sz="1100" b="0" i="1">
                                <a:latin typeface="Cambria Math" panose="02040503050406030204" pitchFamily="18" charset="0"/>
                                <a:ea typeface="Cambria Math" panose="02040503050406030204" pitchFamily="18" charset="0"/>
                              </a:rPr>
                              <m:t>𝑑</m:t>
                            </m:r>
                            <m:r>
                              <a:rPr lang="en-AU" sz="1100" b="0" i="1">
                                <a:latin typeface="Cambria Math" panose="02040503050406030204" pitchFamily="18" charset="0"/>
                                <a:ea typeface="Cambria Math" panose="02040503050406030204" pitchFamily="18" charset="0"/>
                              </a:rPr>
                              <m:t>)</m:t>
                            </m:r>
                          </m:den>
                        </m:f>
                      </m:den>
                    </m:f>
                  </m:oMath>
                </m:oMathPara>
              </a14:m>
              <a:endParaRPr lang="en-GB" sz="1100"/>
            </a:p>
          </xdr:txBody>
        </xdr:sp>
      </mc:Choice>
      <mc:Fallback xmlns="">
        <xdr:sp macro="" textlink="">
          <xdr:nvSpPr>
            <xdr:cNvPr id="2" name="TextBox 1">
              <a:extLst>
                <a:ext uri="{FF2B5EF4-FFF2-40B4-BE49-F238E27FC236}">
                  <a16:creationId xmlns:a16="http://schemas.microsoft.com/office/drawing/2014/main" id="{9A2C4233-DC3D-8BAF-2622-075E295125C4}"/>
                </a:ext>
              </a:extLst>
            </xdr:cNvPr>
            <xdr:cNvSpPr txBox="1"/>
          </xdr:nvSpPr>
          <xdr:spPr>
            <a:xfrm>
              <a:off x="7391507" y="27398495"/>
              <a:ext cx="2287293" cy="496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0" i="0">
                  <a:latin typeface="Cambria Math" panose="02040503050406030204" pitchFamily="18" charset="0"/>
                </a:rPr>
                <a:t>𝑘</a:t>
              </a:r>
              <a:r>
                <a:rPr lang="en-GB" sz="1100" b="0" i="0">
                  <a:latin typeface="Cambria Math" panose="02040503050406030204" pitchFamily="18" charset="0"/>
                </a:rPr>
                <a:t>_</a:t>
              </a:r>
              <a:r>
                <a:rPr lang="en-AU" sz="1100" b="0" i="0">
                  <a:latin typeface="Cambria Math" panose="02040503050406030204" pitchFamily="18" charset="0"/>
                </a:rPr>
                <a:t>𝑚=</a:t>
              </a:r>
              <a:r>
                <a:rPr lang="en-GB" sz="1100" i="0">
                  <a:latin typeface="Cambria Math" panose="02040503050406030204" pitchFamily="18" charset="0"/>
                </a:rPr>
                <a:t>(</a:t>
              </a:r>
              <a:r>
                <a:rPr lang="en-GB" sz="1100" i="0">
                  <a:latin typeface="Cambria Math" panose="02040503050406030204" pitchFamily="18" charset="0"/>
                  <a:ea typeface="Cambria Math" panose="02040503050406030204" pitchFamily="18" charset="0"/>
                </a:rPr>
                <a:t>𝜋</a:t>
              </a:r>
              <a:r>
                <a:rPr lang="en-AU" sz="1100" b="0" i="0">
                  <a:latin typeface="Cambria Math" panose="02040503050406030204" pitchFamily="18" charset="0"/>
                  <a:ea typeface="Cambria Math" panose="02040503050406030204" pitchFamily="18" charset="0"/>
                </a:rPr>
                <a:t>𝐸𝑑 tan⁡𝛼</a:t>
              </a:r>
              <a:r>
                <a:rPr lang="en-GB" sz="1100" b="0" i="0">
                  <a:latin typeface="Cambria Math" panose="02040503050406030204" pitchFamily="18" charset="0"/>
                  <a:ea typeface="Cambria Math" panose="02040503050406030204" pitchFamily="18" charset="0"/>
                </a:rPr>
                <a:t>)/(</a:t>
              </a:r>
              <a:r>
                <a:rPr lang="en-AU" sz="1100" b="0" i="0">
                  <a:latin typeface="Cambria Math" panose="02040503050406030204" pitchFamily="18" charset="0"/>
                </a:rPr>
                <a:t>2ln⁡((𝑙</a:t>
              </a:r>
              <a:r>
                <a:rPr lang="en-AU" sz="1100" b="0" i="0">
                  <a:latin typeface="Cambria Math" panose="02040503050406030204" pitchFamily="18" charset="0"/>
                  <a:ea typeface="Cambria Math" panose="02040503050406030204" pitchFamily="18" charset="0"/>
                </a:rPr>
                <a:t> tan⁡𝛼+ 𝑑_𝑤−𝑑)(𝑑_𝑤+𝑑))/(</a:t>
              </a:r>
              <a:r>
                <a:rPr lang="en-AU" sz="1100" b="0" i="0">
                  <a:latin typeface="Cambria Math" panose="02040503050406030204" pitchFamily="18" charset="0"/>
                </a:rPr>
                <a:t>(𝑙</a:t>
              </a:r>
              <a:r>
                <a:rPr lang="en-AU" sz="1100" b="0" i="0">
                  <a:latin typeface="Cambria Math" panose="02040503050406030204" pitchFamily="18" charset="0"/>
                  <a:ea typeface="Cambria Math" panose="02040503050406030204" pitchFamily="18" charset="0"/>
                </a:rPr>
                <a:t> tan⁡𝛼+𝑑_𝑤+𝑑)(𝑑_𝑤−𝑑))</a:t>
              </a:r>
              <a:r>
                <a:rPr lang="en-GB" sz="1100" b="0" i="0">
                  <a:latin typeface="Cambria Math" panose="02040503050406030204" pitchFamily="18" charset="0"/>
                  <a:ea typeface="Cambria Math" panose="02040503050406030204" pitchFamily="18" charset="0"/>
                </a:rPr>
                <a:t>)</a:t>
              </a:r>
              <a:endParaRPr lang="en-GB" sz="1100"/>
            </a:p>
          </xdr:txBody>
        </xdr:sp>
      </mc:Fallback>
    </mc:AlternateContent>
    <xdr:clientData/>
  </xdr:oneCellAnchor>
  <xdr:oneCellAnchor>
    <xdr:from>
      <xdr:col>9</xdr:col>
      <xdr:colOff>458231</xdr:colOff>
      <xdr:row>80</xdr:row>
      <xdr:rowOff>359719</xdr:rowOff>
    </xdr:from>
    <xdr:ext cx="546625" cy="316882"/>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840BD516-4E64-8C41-818E-5FAB344F4DDC}"/>
                </a:ext>
              </a:extLst>
            </xdr:cNvPr>
            <xdr:cNvSpPr txBox="1"/>
          </xdr:nvSpPr>
          <xdr:spPr>
            <a:xfrm>
              <a:off x="9983231" y="27416914"/>
              <a:ext cx="546625"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AU" sz="1100" b="0" i="1">
                            <a:latin typeface="Cambria Math" panose="02040503050406030204" pitchFamily="18" charset="0"/>
                          </a:rPr>
                          <m:t>𝑘</m:t>
                        </m:r>
                      </m:e>
                      <m:sub>
                        <m:r>
                          <a:rPr lang="en-AU" sz="1100" b="0" i="1">
                            <a:latin typeface="Cambria Math" panose="02040503050406030204" pitchFamily="18" charset="0"/>
                          </a:rPr>
                          <m:t>𝑏</m:t>
                        </m:r>
                      </m:sub>
                    </m:sSub>
                    <m:r>
                      <a:rPr lang="en-AU" sz="1100" b="0" i="1">
                        <a:latin typeface="Cambria Math" panose="02040503050406030204" pitchFamily="18" charset="0"/>
                      </a:rPr>
                      <m:t>=</m:t>
                    </m:r>
                    <m:f>
                      <m:fPr>
                        <m:ctrlPr>
                          <a:rPr lang="en-GB" sz="1100" i="1">
                            <a:latin typeface="Cambria Math" panose="02040503050406030204" pitchFamily="18" charset="0"/>
                          </a:rPr>
                        </m:ctrlPr>
                      </m:fPr>
                      <m:num>
                        <m:r>
                          <a:rPr lang="en-AU" sz="1100" i="1">
                            <a:latin typeface="Cambria Math" panose="02040503050406030204" pitchFamily="18" charset="0"/>
                            <a:ea typeface="Cambria Math" panose="02040503050406030204" pitchFamily="18" charset="0"/>
                          </a:rPr>
                          <m:t>𝐴</m:t>
                        </m:r>
                        <m:r>
                          <a:rPr lang="en-AU" sz="1100" b="0" i="1">
                            <a:latin typeface="Cambria Math" panose="02040503050406030204" pitchFamily="18" charset="0"/>
                            <a:ea typeface="Cambria Math" panose="02040503050406030204" pitchFamily="18" charset="0"/>
                          </a:rPr>
                          <m:t>𝐸</m:t>
                        </m:r>
                      </m:num>
                      <m:den>
                        <m:r>
                          <a:rPr lang="en-AU" sz="1100" b="0" i="1">
                            <a:latin typeface="Cambria Math" panose="02040503050406030204" pitchFamily="18" charset="0"/>
                          </a:rPr>
                          <m:t>𝑙</m:t>
                        </m:r>
                      </m:den>
                    </m:f>
                  </m:oMath>
                </m:oMathPara>
              </a14:m>
              <a:endParaRPr lang="en-GB" sz="1100"/>
            </a:p>
          </xdr:txBody>
        </xdr:sp>
      </mc:Choice>
      <mc:Fallback xmlns="">
        <xdr:sp macro="" textlink="">
          <xdr:nvSpPr>
            <xdr:cNvPr id="3" name="TextBox 2">
              <a:extLst>
                <a:ext uri="{FF2B5EF4-FFF2-40B4-BE49-F238E27FC236}">
                  <a16:creationId xmlns:a16="http://schemas.microsoft.com/office/drawing/2014/main" id="{840BD516-4E64-8C41-818E-5FAB344F4DDC}"/>
                </a:ext>
              </a:extLst>
            </xdr:cNvPr>
            <xdr:cNvSpPr txBox="1"/>
          </xdr:nvSpPr>
          <xdr:spPr>
            <a:xfrm>
              <a:off x="9983231" y="27416914"/>
              <a:ext cx="546625"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AU" sz="1100" b="0" i="0">
                  <a:latin typeface="Cambria Math" panose="02040503050406030204" pitchFamily="18" charset="0"/>
                </a:rPr>
                <a:t>𝑘</a:t>
              </a:r>
              <a:r>
                <a:rPr lang="en-GB" sz="1100" b="0" i="0">
                  <a:latin typeface="Cambria Math" panose="02040503050406030204" pitchFamily="18" charset="0"/>
                </a:rPr>
                <a:t>_</a:t>
              </a:r>
              <a:r>
                <a:rPr lang="en-AU" sz="1100" b="0" i="0">
                  <a:latin typeface="Cambria Math" panose="02040503050406030204" pitchFamily="18" charset="0"/>
                </a:rPr>
                <a:t>𝑏=</a:t>
              </a:r>
              <a:r>
                <a:rPr lang="en-AU" sz="1100" i="0">
                  <a:latin typeface="Cambria Math" panose="02040503050406030204" pitchFamily="18" charset="0"/>
                  <a:ea typeface="Cambria Math" panose="02040503050406030204" pitchFamily="18" charset="0"/>
                </a:rPr>
                <a:t>𝐴</a:t>
              </a:r>
              <a:r>
                <a:rPr lang="en-AU" sz="1100" b="0" i="0">
                  <a:latin typeface="Cambria Math" panose="02040503050406030204" pitchFamily="18" charset="0"/>
                  <a:ea typeface="Cambria Math" panose="02040503050406030204" pitchFamily="18" charset="0"/>
                </a:rPr>
                <a:t>𝐸</a:t>
              </a:r>
              <a:r>
                <a:rPr lang="en-GB" sz="1100" b="0" i="0">
                  <a:latin typeface="Cambria Math" panose="02040503050406030204" pitchFamily="18" charset="0"/>
                  <a:ea typeface="Cambria Math" panose="02040503050406030204" pitchFamily="18" charset="0"/>
                </a:rPr>
                <a:t>/</a:t>
              </a:r>
              <a:r>
                <a:rPr lang="en-AU" sz="1100" b="0" i="0">
                  <a:latin typeface="Cambria Math" panose="02040503050406030204" pitchFamily="18" charset="0"/>
                </a:rPr>
                <a:t>𝑙</a:t>
              </a:r>
              <a:endParaRPr lang="en-GB" sz="1100"/>
            </a:p>
          </xdr:txBody>
        </xdr:sp>
      </mc:Fallback>
    </mc:AlternateContent>
    <xdr:clientData/>
  </xdr:oneCellAnchor>
  <xdr:twoCellAnchor>
    <xdr:from>
      <xdr:col>3</xdr:col>
      <xdr:colOff>439159</xdr:colOff>
      <xdr:row>81</xdr:row>
      <xdr:rowOff>84861</xdr:rowOff>
    </xdr:from>
    <xdr:to>
      <xdr:col>13</xdr:col>
      <xdr:colOff>372533</xdr:colOff>
      <xdr:row>103</xdr:row>
      <xdr:rowOff>186266</xdr:rowOff>
    </xdr:to>
    <xdr:graphicFrame macro="">
      <xdr:nvGraphicFramePr>
        <xdr:cNvPr id="4" name="Chart 3">
          <a:extLst>
            <a:ext uri="{FF2B5EF4-FFF2-40B4-BE49-F238E27FC236}">
              <a16:creationId xmlns:a16="http://schemas.microsoft.com/office/drawing/2014/main" id="{83DF30FC-9977-9D47-573D-7DE44CFE2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9</xdr:col>
      <xdr:colOff>251409</xdr:colOff>
      <xdr:row>76</xdr:row>
      <xdr:rowOff>181632</xdr:rowOff>
    </xdr:from>
    <xdr:ext cx="208647" cy="172227"/>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718D4533-BAA9-B3AC-4C5C-2070EC18C17B}"/>
                </a:ext>
              </a:extLst>
            </xdr:cNvPr>
            <xdr:cNvSpPr txBox="1"/>
          </xdr:nvSpPr>
          <xdr:spPr>
            <a:xfrm>
              <a:off x="8636140" y="25322170"/>
              <a:ext cx="2086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ea typeface="Cambria Math" panose="02040503050406030204" pitchFamily="18" charset="0"/>
                          </a:rPr>
                        </m:ctrlPr>
                      </m:sSubPr>
                      <m:e>
                        <m:r>
                          <a:rPr lang="en-GB" sz="1100" i="1">
                            <a:latin typeface="Cambria Math" panose="02040503050406030204" pitchFamily="18" charset="0"/>
                            <a:ea typeface="Cambria Math" panose="02040503050406030204" pitchFamily="18" charset="0"/>
                          </a:rPr>
                          <m:t>𝜎</m:t>
                        </m:r>
                      </m:e>
                      <m:sub>
                        <m:r>
                          <a:rPr lang="en-AU" sz="1100" b="0" i="1">
                            <a:latin typeface="Cambria Math" panose="02040503050406030204" pitchFamily="18" charset="0"/>
                            <a:ea typeface="Cambria Math" panose="02040503050406030204" pitchFamily="18" charset="0"/>
                          </a:rPr>
                          <m:t>𝑚</m:t>
                        </m:r>
                      </m:sub>
                    </m:sSub>
                  </m:oMath>
                </m:oMathPara>
              </a14:m>
              <a:endParaRPr lang="en-GB" sz="1100"/>
            </a:p>
          </xdr:txBody>
        </xdr:sp>
      </mc:Choice>
      <mc:Fallback xmlns="">
        <xdr:sp macro="" textlink="">
          <xdr:nvSpPr>
            <xdr:cNvPr id="6" name="TextBox 5">
              <a:extLst>
                <a:ext uri="{FF2B5EF4-FFF2-40B4-BE49-F238E27FC236}">
                  <a16:creationId xmlns:a16="http://schemas.microsoft.com/office/drawing/2014/main" id="{718D4533-BAA9-B3AC-4C5C-2070EC18C17B}"/>
                </a:ext>
              </a:extLst>
            </xdr:cNvPr>
            <xdr:cNvSpPr txBox="1"/>
          </xdr:nvSpPr>
          <xdr:spPr>
            <a:xfrm>
              <a:off x="8636140" y="25322170"/>
              <a:ext cx="2086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latin typeface="Cambria Math" panose="02040503050406030204" pitchFamily="18" charset="0"/>
                  <a:ea typeface="Cambria Math" panose="02040503050406030204" pitchFamily="18" charset="0"/>
                </a:rPr>
                <a:t>𝜎_</a:t>
              </a:r>
              <a:r>
                <a:rPr lang="en-AU" sz="1100" b="0" i="0">
                  <a:latin typeface="Cambria Math" panose="02040503050406030204" pitchFamily="18" charset="0"/>
                  <a:ea typeface="Cambria Math" panose="02040503050406030204" pitchFamily="18" charset="0"/>
                </a:rPr>
                <a:t>𝑚</a:t>
              </a:r>
              <a:endParaRPr lang="en-GB" sz="1100"/>
            </a:p>
          </xdr:txBody>
        </xdr:sp>
      </mc:Fallback>
    </mc:AlternateContent>
    <xdr:clientData/>
  </xdr:oneCellAnchor>
  <xdr:oneCellAnchor>
    <xdr:from>
      <xdr:col>4</xdr:col>
      <xdr:colOff>341923</xdr:colOff>
      <xdr:row>60</xdr:row>
      <xdr:rowOff>237417</xdr:rowOff>
    </xdr:from>
    <xdr:ext cx="177421" cy="172227"/>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CC9179EA-42C3-1904-364F-20F11D1B39AC}"/>
                </a:ext>
              </a:extLst>
            </xdr:cNvPr>
            <xdr:cNvSpPr txBox="1"/>
          </xdr:nvSpPr>
          <xdr:spPr>
            <a:xfrm>
              <a:off x="5180623" y="21573417"/>
              <a:ext cx="1774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ea typeface="Cambria Math" panose="02040503050406030204" pitchFamily="18" charset="0"/>
                          </a:rPr>
                        </m:ctrlPr>
                      </m:sSubPr>
                      <m:e>
                        <m:r>
                          <a:rPr lang="en-GB" sz="1100" i="1">
                            <a:latin typeface="Cambria Math" panose="02040503050406030204" pitchFamily="18" charset="0"/>
                            <a:ea typeface="Cambria Math" panose="02040503050406030204" pitchFamily="18" charset="0"/>
                          </a:rPr>
                          <m:t>𝜎</m:t>
                        </m:r>
                      </m:e>
                      <m:sub>
                        <m:r>
                          <a:rPr lang="en-AU" sz="1100" b="0" i="1">
                            <a:latin typeface="Cambria Math" panose="02040503050406030204" pitchFamily="18" charset="0"/>
                            <a:ea typeface="Cambria Math" panose="02040503050406030204" pitchFamily="18" charset="0"/>
                          </a:rPr>
                          <m:t>𝑎</m:t>
                        </m:r>
                      </m:sub>
                    </m:sSub>
                  </m:oMath>
                </m:oMathPara>
              </a14:m>
              <a:endParaRPr lang="en-GB" sz="1100"/>
            </a:p>
          </xdr:txBody>
        </xdr:sp>
      </mc:Choice>
      <mc:Fallback xmlns="">
        <xdr:sp macro="" textlink="">
          <xdr:nvSpPr>
            <xdr:cNvPr id="7" name="TextBox 6">
              <a:extLst>
                <a:ext uri="{FF2B5EF4-FFF2-40B4-BE49-F238E27FC236}">
                  <a16:creationId xmlns:a16="http://schemas.microsoft.com/office/drawing/2014/main" id="{CC9179EA-42C3-1904-364F-20F11D1B39AC}"/>
                </a:ext>
              </a:extLst>
            </xdr:cNvPr>
            <xdr:cNvSpPr txBox="1"/>
          </xdr:nvSpPr>
          <xdr:spPr>
            <a:xfrm>
              <a:off x="5180623" y="21573417"/>
              <a:ext cx="1774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latin typeface="Cambria Math" panose="02040503050406030204" pitchFamily="18" charset="0"/>
                  <a:ea typeface="Cambria Math" panose="02040503050406030204" pitchFamily="18" charset="0"/>
                </a:rPr>
                <a:t>𝜎_</a:t>
              </a:r>
              <a:r>
                <a:rPr lang="en-AU" sz="1100" b="0" i="0">
                  <a:latin typeface="Cambria Math" panose="02040503050406030204" pitchFamily="18" charset="0"/>
                  <a:ea typeface="Cambria Math" panose="02040503050406030204" pitchFamily="18" charset="0"/>
                </a:rPr>
                <a:t>𝑎</a:t>
              </a:r>
              <a:endParaRPr lang="en-GB" sz="1100"/>
            </a:p>
          </xdr:txBody>
        </xdr:sp>
      </mc:Fallback>
    </mc:AlternateContent>
    <xdr:clientData/>
  </xdr:oneCellAnchor>
  <xdr:twoCellAnchor editAs="oneCell">
    <xdr:from>
      <xdr:col>3</xdr:col>
      <xdr:colOff>367298</xdr:colOff>
      <xdr:row>4</xdr:row>
      <xdr:rowOff>857715</xdr:rowOff>
    </xdr:from>
    <xdr:to>
      <xdr:col>13</xdr:col>
      <xdr:colOff>564066</xdr:colOff>
      <xdr:row>23</xdr:row>
      <xdr:rowOff>69093</xdr:rowOff>
    </xdr:to>
    <xdr:pic>
      <xdr:nvPicPr>
        <xdr:cNvPr id="15" name="Picture 14">
          <a:extLst>
            <a:ext uri="{FF2B5EF4-FFF2-40B4-BE49-F238E27FC236}">
              <a16:creationId xmlns:a16="http://schemas.microsoft.com/office/drawing/2014/main" id="{6CA49560-1A28-5508-F224-5FD4B64F9E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4378639" y="7021861"/>
          <a:ext cx="9117744" cy="4059061"/>
        </a:xfrm>
        <a:prstGeom prst="rect">
          <a:avLst/>
        </a:prstGeom>
      </xdr:spPr>
    </xdr:pic>
    <xdr:clientData/>
  </xdr:twoCellAnchor>
  <xdr:oneCellAnchor>
    <xdr:from>
      <xdr:col>1</xdr:col>
      <xdr:colOff>657408</xdr:colOff>
      <xdr:row>67</xdr:row>
      <xdr:rowOff>28834</xdr:rowOff>
    </xdr:from>
    <xdr:ext cx="884216" cy="322652"/>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F8EE784B-D423-6F2E-D34D-34F524F84FA8}"/>
                </a:ext>
              </a:extLst>
            </xdr:cNvPr>
            <xdr:cNvSpPr txBox="1"/>
          </xdr:nvSpPr>
          <xdr:spPr>
            <a:xfrm>
              <a:off x="912428" y="22353292"/>
              <a:ext cx="884216" cy="322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𝑚</m:t>
                        </m:r>
                      </m:sub>
                    </m:sSub>
                    <m:r>
                      <a:rPr lang="en-AU" sz="1100" b="0" i="1">
                        <a:solidFill>
                          <a:schemeClr val="bg1"/>
                        </a:solidFill>
                        <a:latin typeface="Cambria Math" panose="02040503050406030204" pitchFamily="18" charset="0"/>
                      </a:rPr>
                      <m:t>=</m:t>
                    </m:r>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𝑦</m:t>
                            </m:r>
                          </m:sub>
                        </m:sSub>
                      </m:num>
                      <m:den>
                        <m:r>
                          <a:rPr lang="en-AU" sz="1100" b="0" i="1">
                            <a:solidFill>
                              <a:schemeClr val="bg1"/>
                            </a:solidFill>
                            <a:latin typeface="Cambria Math" panose="02040503050406030204" pitchFamily="18" charset="0"/>
                          </a:rPr>
                          <m:t>𝐹𝑆</m:t>
                        </m:r>
                      </m:den>
                    </m:f>
                    <m:func>
                      <m:funcPr>
                        <m:ctrlPr>
                          <a:rPr lang="en-AU" sz="1100" b="0" i="1">
                            <a:solidFill>
                              <a:schemeClr val="bg1"/>
                            </a:solidFill>
                            <a:latin typeface="Cambria Math" panose="02040503050406030204" pitchFamily="18" charset="0"/>
                          </a:rPr>
                        </m:ctrlPr>
                      </m:funcPr>
                      <m:fName>
                        <m:r>
                          <m:rPr>
                            <m:sty m:val="p"/>
                          </m:rPr>
                          <a:rPr lang="en-AU" sz="1100" b="0" i="0">
                            <a:solidFill>
                              <a:schemeClr val="bg1"/>
                            </a:solidFill>
                            <a:latin typeface="Cambria Math" panose="02040503050406030204" pitchFamily="18" charset="0"/>
                          </a:rPr>
                          <m:t>cos</m:t>
                        </m:r>
                      </m:fName>
                      <m:e>
                        <m:r>
                          <a:rPr lang="en-AU" sz="1100" b="0" i="1">
                            <a:solidFill>
                              <a:schemeClr val="bg1"/>
                            </a:solidFill>
                            <a:latin typeface="Cambria Math" panose="02040503050406030204" pitchFamily="18" charset="0"/>
                            <a:ea typeface="Cambria Math" panose="02040503050406030204" pitchFamily="18" charset="0"/>
                          </a:rPr>
                          <m:t>𝜃</m:t>
                        </m:r>
                      </m:e>
                    </m:func>
                  </m:oMath>
                </m:oMathPara>
              </a14:m>
              <a:endParaRPr lang="en-GB" sz="1100">
                <a:solidFill>
                  <a:schemeClr val="bg1"/>
                </a:solidFill>
              </a:endParaRPr>
            </a:p>
          </xdr:txBody>
        </xdr:sp>
      </mc:Choice>
      <mc:Fallback xmlns="">
        <xdr:sp macro="" textlink="">
          <xdr:nvSpPr>
            <xdr:cNvPr id="16" name="TextBox 15">
              <a:extLst>
                <a:ext uri="{FF2B5EF4-FFF2-40B4-BE49-F238E27FC236}">
                  <a16:creationId xmlns:a16="http://schemas.microsoft.com/office/drawing/2014/main" id="{F8EE784B-D423-6F2E-D34D-34F524F84FA8}"/>
                </a:ext>
              </a:extLst>
            </xdr:cNvPr>
            <xdr:cNvSpPr txBox="1"/>
          </xdr:nvSpPr>
          <xdr:spPr>
            <a:xfrm>
              <a:off x="912428" y="22353292"/>
              <a:ext cx="884216" cy="3226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𝑚=𝑆_𝑦/𝐹𝑆  cos⁡</a:t>
              </a:r>
              <a:r>
                <a:rPr lang="en-AU" sz="1100" b="0" i="0">
                  <a:solidFill>
                    <a:schemeClr val="bg1"/>
                  </a:solidFill>
                  <a:latin typeface="Cambria Math" panose="02040503050406030204" pitchFamily="18" charset="0"/>
                  <a:ea typeface="Cambria Math" panose="02040503050406030204" pitchFamily="18" charset="0"/>
                </a:rPr>
                <a:t>𝜃</a:t>
              </a:r>
              <a:endParaRPr lang="en-GB" sz="1100">
                <a:solidFill>
                  <a:schemeClr val="bg1"/>
                </a:solidFill>
              </a:endParaRPr>
            </a:p>
          </xdr:txBody>
        </xdr:sp>
      </mc:Fallback>
    </mc:AlternateContent>
    <xdr:clientData/>
  </xdr:oneCellAnchor>
  <xdr:oneCellAnchor>
    <xdr:from>
      <xdr:col>2</xdr:col>
      <xdr:colOff>133113</xdr:colOff>
      <xdr:row>67</xdr:row>
      <xdr:rowOff>33129</xdr:rowOff>
    </xdr:from>
    <xdr:ext cx="845360" cy="318100"/>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5DFE8137-9F81-2B53-BF14-7610011F5733}"/>
                </a:ext>
              </a:extLst>
            </xdr:cNvPr>
            <xdr:cNvSpPr txBox="1"/>
          </xdr:nvSpPr>
          <xdr:spPr>
            <a:xfrm>
              <a:off x="2496952" y="23646935"/>
              <a:ext cx="845360"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𝑎</m:t>
                        </m:r>
                      </m:sub>
                    </m:sSub>
                    <m:r>
                      <a:rPr lang="en-AU" sz="1100" b="0" i="1">
                        <a:solidFill>
                          <a:schemeClr val="bg1"/>
                        </a:solidFill>
                        <a:latin typeface="Cambria Math" panose="02040503050406030204" pitchFamily="18" charset="0"/>
                      </a:rPr>
                      <m:t>=</m:t>
                    </m:r>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𝑒</m:t>
                            </m:r>
                          </m:sub>
                        </m:sSub>
                      </m:num>
                      <m:den>
                        <m:r>
                          <a:rPr lang="en-AU" sz="1100" b="0" i="1">
                            <a:solidFill>
                              <a:schemeClr val="bg1"/>
                            </a:solidFill>
                            <a:latin typeface="Cambria Math" panose="02040503050406030204" pitchFamily="18" charset="0"/>
                          </a:rPr>
                          <m:t>𝐹𝑆</m:t>
                        </m:r>
                      </m:den>
                    </m:f>
                    <m:func>
                      <m:funcPr>
                        <m:ctrlPr>
                          <a:rPr lang="en-AU" sz="1100" b="0" i="1">
                            <a:solidFill>
                              <a:schemeClr val="bg1"/>
                            </a:solidFill>
                            <a:latin typeface="Cambria Math" panose="02040503050406030204" pitchFamily="18" charset="0"/>
                          </a:rPr>
                        </m:ctrlPr>
                      </m:funcPr>
                      <m:fName>
                        <m:r>
                          <m:rPr>
                            <m:sty m:val="p"/>
                          </m:rPr>
                          <a:rPr lang="en-AU" sz="1100" b="0" i="0">
                            <a:solidFill>
                              <a:schemeClr val="bg1"/>
                            </a:solidFill>
                            <a:latin typeface="Cambria Math" panose="02040503050406030204" pitchFamily="18" charset="0"/>
                          </a:rPr>
                          <m:t>sin</m:t>
                        </m:r>
                      </m:fName>
                      <m:e>
                        <m:r>
                          <a:rPr lang="en-AU" sz="1100" b="0" i="1">
                            <a:solidFill>
                              <a:schemeClr val="bg1"/>
                            </a:solidFill>
                            <a:latin typeface="Cambria Math" panose="02040503050406030204" pitchFamily="18" charset="0"/>
                            <a:ea typeface="Cambria Math" panose="02040503050406030204" pitchFamily="18" charset="0"/>
                          </a:rPr>
                          <m:t>𝜃</m:t>
                        </m:r>
                      </m:e>
                    </m:func>
                  </m:oMath>
                </m:oMathPara>
              </a14:m>
              <a:endParaRPr lang="en-GB" sz="1100">
                <a:solidFill>
                  <a:schemeClr val="bg1"/>
                </a:solidFill>
              </a:endParaRPr>
            </a:p>
          </xdr:txBody>
        </xdr:sp>
      </mc:Choice>
      <mc:Fallback xmlns="">
        <xdr:sp macro="" textlink="">
          <xdr:nvSpPr>
            <xdr:cNvPr id="17" name="TextBox 16">
              <a:extLst>
                <a:ext uri="{FF2B5EF4-FFF2-40B4-BE49-F238E27FC236}">
                  <a16:creationId xmlns:a16="http://schemas.microsoft.com/office/drawing/2014/main" id="{5DFE8137-9F81-2B53-BF14-7610011F5733}"/>
                </a:ext>
              </a:extLst>
            </xdr:cNvPr>
            <xdr:cNvSpPr txBox="1"/>
          </xdr:nvSpPr>
          <xdr:spPr>
            <a:xfrm>
              <a:off x="2496952" y="23646935"/>
              <a:ext cx="845360" cy="31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𝑎=𝑆_𝑒/𝐹𝑆  sin⁡</a:t>
              </a:r>
              <a:r>
                <a:rPr lang="en-AU" sz="1100" b="0" i="0">
                  <a:solidFill>
                    <a:schemeClr val="bg1"/>
                  </a:solidFill>
                  <a:latin typeface="Cambria Math" panose="02040503050406030204" pitchFamily="18" charset="0"/>
                  <a:ea typeface="Cambria Math" panose="02040503050406030204" pitchFamily="18" charset="0"/>
                </a:rPr>
                <a:t>𝜃</a:t>
              </a:r>
              <a:endParaRPr lang="en-GB" sz="1100">
                <a:solidFill>
                  <a:schemeClr val="bg1"/>
                </a:solidFill>
              </a:endParaRPr>
            </a:p>
          </xdr:txBody>
        </xdr:sp>
      </mc:Fallback>
    </mc:AlternateContent>
    <xdr:clientData/>
  </xdr:oneCellAnchor>
  <xdr:oneCellAnchor>
    <xdr:from>
      <xdr:col>2</xdr:col>
      <xdr:colOff>35077</xdr:colOff>
      <xdr:row>53</xdr:row>
      <xdr:rowOff>53518</xdr:rowOff>
    </xdr:from>
    <xdr:ext cx="1369606" cy="380361"/>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6053DC4A-2F33-1B70-A782-D4234B093254}"/>
                </a:ext>
              </a:extLst>
            </xdr:cNvPr>
            <xdr:cNvSpPr txBox="1"/>
          </xdr:nvSpPr>
          <xdr:spPr>
            <a:xfrm>
              <a:off x="2404321" y="20362846"/>
              <a:ext cx="136960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𝑎</m:t>
                        </m:r>
                      </m:sub>
                    </m:sSub>
                    <m:r>
                      <a:rPr lang="en-AU" sz="1100" b="0" i="1">
                        <a:solidFill>
                          <a:schemeClr val="bg1"/>
                        </a:solidFill>
                        <a:latin typeface="Cambria Math" panose="02040503050406030204" pitchFamily="18" charset="0"/>
                      </a:rPr>
                      <m:t>=</m:t>
                    </m:r>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𝑒</m:t>
                        </m:r>
                      </m:sub>
                    </m:sSub>
                    <m:d>
                      <m:dPr>
                        <m:ctrlPr>
                          <a:rPr lang="en-AU" sz="1100" b="0" i="1">
                            <a:solidFill>
                              <a:schemeClr val="bg1"/>
                            </a:solidFill>
                            <a:latin typeface="Cambria Math" panose="02040503050406030204" pitchFamily="18" charset="0"/>
                          </a:rPr>
                        </m:ctrlPr>
                      </m:dPr>
                      <m:e>
                        <m:r>
                          <a:rPr lang="en-AU" sz="1100" b="0" i="1">
                            <a:solidFill>
                              <a:schemeClr val="bg1"/>
                            </a:solidFill>
                            <a:latin typeface="Cambria Math" panose="02040503050406030204" pitchFamily="18" charset="0"/>
                          </a:rPr>
                          <m:t>1 −</m:t>
                        </m:r>
                        <m:sSup>
                          <m:sSupPr>
                            <m:ctrlPr>
                              <a:rPr lang="en-AU" sz="1100" b="0" i="1">
                                <a:solidFill>
                                  <a:schemeClr val="bg1"/>
                                </a:solidFill>
                                <a:latin typeface="Cambria Math" panose="02040503050406030204" pitchFamily="18" charset="0"/>
                              </a:rPr>
                            </m:ctrlPr>
                          </m:sSupPr>
                          <m:e>
                            <m:d>
                              <m:dPr>
                                <m:ctrlPr>
                                  <a:rPr lang="en-AU" sz="1100" b="0" i="1">
                                    <a:solidFill>
                                      <a:schemeClr val="bg1"/>
                                    </a:solidFill>
                                    <a:latin typeface="Cambria Math" panose="02040503050406030204" pitchFamily="18" charset="0"/>
                                  </a:rPr>
                                </m:ctrlPr>
                              </m:dPr>
                              <m:e>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𝑚</m:t>
                                        </m:r>
                                      </m:sub>
                                    </m:sSub>
                                  </m:num>
                                  <m:den>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𝑢</m:t>
                                        </m:r>
                                      </m:sub>
                                    </m:sSub>
                                  </m:den>
                                </m:f>
                              </m:e>
                            </m:d>
                          </m:e>
                          <m:sup>
                            <m:r>
                              <a:rPr lang="en-AU" sz="1100" b="0" i="1">
                                <a:solidFill>
                                  <a:schemeClr val="bg1"/>
                                </a:solidFill>
                                <a:latin typeface="Cambria Math" panose="02040503050406030204" pitchFamily="18" charset="0"/>
                              </a:rPr>
                              <m:t>2</m:t>
                            </m:r>
                          </m:sup>
                        </m:sSup>
                      </m:e>
                    </m:d>
                    <m:r>
                      <a:rPr lang="en-AU" sz="1100" b="0" i="1">
                        <a:solidFill>
                          <a:schemeClr val="bg1"/>
                        </a:solidFill>
                        <a:latin typeface="Cambria Math" panose="02040503050406030204" pitchFamily="18" charset="0"/>
                      </a:rPr>
                      <m:t> </m:t>
                    </m:r>
                  </m:oMath>
                </m:oMathPara>
              </a14:m>
              <a:endParaRPr lang="en-GB" sz="1100">
                <a:solidFill>
                  <a:schemeClr val="bg1"/>
                </a:solidFill>
              </a:endParaRPr>
            </a:p>
          </xdr:txBody>
        </xdr:sp>
      </mc:Choice>
      <mc:Fallback xmlns="">
        <xdr:sp macro="" textlink="">
          <xdr:nvSpPr>
            <xdr:cNvPr id="18" name="TextBox 17">
              <a:extLst>
                <a:ext uri="{FF2B5EF4-FFF2-40B4-BE49-F238E27FC236}">
                  <a16:creationId xmlns:a16="http://schemas.microsoft.com/office/drawing/2014/main" id="{6053DC4A-2F33-1B70-A782-D4234B093254}"/>
                </a:ext>
              </a:extLst>
            </xdr:cNvPr>
            <xdr:cNvSpPr txBox="1"/>
          </xdr:nvSpPr>
          <xdr:spPr>
            <a:xfrm>
              <a:off x="2404321" y="20362846"/>
              <a:ext cx="1369606" cy="380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𝑎=𝑆_𝑒 (1 −(</a:t>
              </a:r>
              <a:r>
                <a:rPr lang="en-AU" sz="1100" b="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𝑚/𝑆_𝑢 )^2 )  </a:t>
              </a:r>
              <a:endParaRPr lang="en-GB" sz="1100">
                <a:solidFill>
                  <a:schemeClr val="bg1"/>
                </a:solidFill>
              </a:endParaRPr>
            </a:p>
          </xdr:txBody>
        </xdr:sp>
      </mc:Fallback>
    </mc:AlternateContent>
    <xdr:clientData/>
  </xdr:oneCellAnchor>
  <xdr:oneCellAnchor>
    <xdr:from>
      <xdr:col>2</xdr:col>
      <xdr:colOff>47521</xdr:colOff>
      <xdr:row>60</xdr:row>
      <xdr:rowOff>35005</xdr:rowOff>
    </xdr:from>
    <xdr:ext cx="1563570" cy="395558"/>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E456BEB9-FC5E-CAD1-6EDF-1C8EC82B6E58}"/>
                </a:ext>
              </a:extLst>
            </xdr:cNvPr>
            <xdr:cNvSpPr txBox="1"/>
          </xdr:nvSpPr>
          <xdr:spPr>
            <a:xfrm>
              <a:off x="2409275" y="22092900"/>
              <a:ext cx="1563570" cy="395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𝑎</m:t>
                        </m:r>
                      </m:sub>
                    </m:sSub>
                    <m:r>
                      <a:rPr lang="en-AU" sz="1100" b="0" i="1">
                        <a:solidFill>
                          <a:schemeClr val="bg1"/>
                        </a:solidFill>
                        <a:latin typeface="Cambria Math" panose="02040503050406030204" pitchFamily="18" charset="0"/>
                      </a:rPr>
                      <m:t>=</m:t>
                    </m:r>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𝑒</m:t>
                            </m:r>
                          </m:sub>
                        </m:sSub>
                      </m:num>
                      <m:den>
                        <m:r>
                          <a:rPr lang="en-AU" sz="1100" b="0" i="1">
                            <a:solidFill>
                              <a:schemeClr val="bg1"/>
                            </a:solidFill>
                            <a:latin typeface="Cambria Math" panose="02040503050406030204" pitchFamily="18" charset="0"/>
                          </a:rPr>
                          <m:t>𝐹𝑆</m:t>
                        </m:r>
                      </m:den>
                    </m:f>
                    <m:d>
                      <m:dPr>
                        <m:ctrlPr>
                          <a:rPr lang="en-AU" sz="1100" b="0" i="1">
                            <a:solidFill>
                              <a:schemeClr val="bg1"/>
                            </a:solidFill>
                            <a:latin typeface="Cambria Math" panose="02040503050406030204" pitchFamily="18" charset="0"/>
                          </a:rPr>
                        </m:ctrlPr>
                      </m:dPr>
                      <m:e>
                        <m:r>
                          <a:rPr lang="en-AU" sz="1100" b="0" i="1">
                            <a:solidFill>
                              <a:schemeClr val="bg1"/>
                            </a:solidFill>
                            <a:latin typeface="Cambria Math" panose="02040503050406030204" pitchFamily="18" charset="0"/>
                          </a:rPr>
                          <m:t>1 −</m:t>
                        </m:r>
                        <m:sSup>
                          <m:sSupPr>
                            <m:ctrlPr>
                              <a:rPr lang="en-AU" sz="1100" b="0" i="1">
                                <a:solidFill>
                                  <a:schemeClr val="bg1"/>
                                </a:solidFill>
                                <a:latin typeface="Cambria Math" panose="02040503050406030204" pitchFamily="18" charset="0"/>
                              </a:rPr>
                            </m:ctrlPr>
                          </m:sSupPr>
                          <m:e>
                            <m:d>
                              <m:dPr>
                                <m:ctrlPr>
                                  <a:rPr lang="en-AU" sz="1100" b="0" i="1">
                                    <a:solidFill>
                                      <a:schemeClr val="bg1"/>
                                    </a:solidFill>
                                    <a:latin typeface="Cambria Math" panose="02040503050406030204" pitchFamily="18" charset="0"/>
                                  </a:rPr>
                                </m:ctrlPr>
                              </m:dPr>
                              <m:e>
                                <m:f>
                                  <m:fPr>
                                    <m:ctrlPr>
                                      <a:rPr lang="en-AU" sz="1100" b="0" i="1">
                                        <a:solidFill>
                                          <a:schemeClr val="bg1"/>
                                        </a:solidFill>
                                        <a:latin typeface="Cambria Math" panose="02040503050406030204" pitchFamily="18" charset="0"/>
                                      </a:rPr>
                                    </m:ctrlPr>
                                  </m:fPr>
                                  <m:num>
                                    <m:r>
                                      <a:rPr lang="en-AU" sz="1100" b="0" i="1">
                                        <a:solidFill>
                                          <a:schemeClr val="bg1"/>
                                        </a:solidFill>
                                        <a:latin typeface="Cambria Math" panose="02040503050406030204" pitchFamily="18" charset="0"/>
                                      </a:rPr>
                                      <m:t>𝐹𝑆</m:t>
                                    </m:r>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𝑚</m:t>
                                        </m:r>
                                      </m:sub>
                                    </m:sSub>
                                  </m:num>
                                  <m:den>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𝑢</m:t>
                                        </m:r>
                                      </m:sub>
                                    </m:sSub>
                                  </m:den>
                                </m:f>
                              </m:e>
                            </m:d>
                          </m:e>
                          <m:sup>
                            <m:r>
                              <a:rPr lang="en-AU" sz="1100" b="0" i="1">
                                <a:solidFill>
                                  <a:schemeClr val="bg1"/>
                                </a:solidFill>
                                <a:latin typeface="Cambria Math" panose="02040503050406030204" pitchFamily="18" charset="0"/>
                              </a:rPr>
                              <m:t>2</m:t>
                            </m:r>
                          </m:sup>
                        </m:sSup>
                      </m:e>
                    </m:d>
                    <m:r>
                      <a:rPr lang="en-AU" sz="1100" b="0" i="1">
                        <a:solidFill>
                          <a:schemeClr val="bg1"/>
                        </a:solidFill>
                        <a:latin typeface="Cambria Math" panose="02040503050406030204" pitchFamily="18" charset="0"/>
                      </a:rPr>
                      <m:t> </m:t>
                    </m:r>
                  </m:oMath>
                </m:oMathPara>
              </a14:m>
              <a:endParaRPr lang="en-GB" sz="1100">
                <a:solidFill>
                  <a:schemeClr val="bg1"/>
                </a:solidFill>
              </a:endParaRPr>
            </a:p>
          </xdr:txBody>
        </xdr:sp>
      </mc:Choice>
      <mc:Fallback xmlns="">
        <xdr:sp macro="" textlink="">
          <xdr:nvSpPr>
            <xdr:cNvPr id="19" name="TextBox 18">
              <a:extLst>
                <a:ext uri="{FF2B5EF4-FFF2-40B4-BE49-F238E27FC236}">
                  <a16:creationId xmlns:a16="http://schemas.microsoft.com/office/drawing/2014/main" id="{E456BEB9-FC5E-CAD1-6EDF-1C8EC82B6E58}"/>
                </a:ext>
              </a:extLst>
            </xdr:cNvPr>
            <xdr:cNvSpPr txBox="1"/>
          </xdr:nvSpPr>
          <xdr:spPr>
            <a:xfrm>
              <a:off x="2409275" y="22092900"/>
              <a:ext cx="1563570" cy="395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𝑎=𝑆_𝑒/𝐹𝑆 (1 −((𝐹𝑆</a:t>
              </a:r>
              <a:r>
                <a:rPr lang="en-AU" sz="1100" b="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𝑚)/𝑆_𝑢 )^2 )  </a:t>
              </a:r>
              <a:endParaRPr lang="en-GB" sz="1100">
                <a:solidFill>
                  <a:schemeClr val="bg1"/>
                </a:solidFill>
              </a:endParaRPr>
            </a:p>
          </xdr:txBody>
        </xdr:sp>
      </mc:Fallback>
    </mc:AlternateContent>
    <xdr:clientData/>
  </xdr:oneCellAnchor>
  <xdr:oneCellAnchor>
    <xdr:from>
      <xdr:col>2</xdr:col>
      <xdr:colOff>58392</xdr:colOff>
      <xdr:row>48</xdr:row>
      <xdr:rowOff>43794</xdr:rowOff>
    </xdr:from>
    <xdr:ext cx="908839" cy="322332"/>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80481771-1B83-67C0-74D9-32A297F76EEE}"/>
                </a:ext>
              </a:extLst>
            </xdr:cNvPr>
            <xdr:cNvSpPr txBox="1"/>
          </xdr:nvSpPr>
          <xdr:spPr>
            <a:xfrm>
              <a:off x="2423220" y="19451438"/>
              <a:ext cx="908839" cy="3223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solidFill>
                              <a:schemeClr val="bg1"/>
                            </a:solidFill>
                            <a:latin typeface="Cambria Math" panose="02040503050406030204" pitchFamily="18" charset="0"/>
                          </a:rPr>
                        </m:ctrlPr>
                      </m:sSubPr>
                      <m:e>
                        <m:r>
                          <a:rPr lang="en-GB" sz="110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rPr>
                          <m:t>𝑎</m:t>
                        </m:r>
                      </m:sub>
                    </m:sSub>
                    <m:r>
                      <a:rPr lang="en-AU" sz="1100" b="0" i="1">
                        <a:solidFill>
                          <a:schemeClr val="bg1"/>
                        </a:solidFill>
                        <a:latin typeface="Cambria Math" panose="02040503050406030204" pitchFamily="18" charset="0"/>
                      </a:rPr>
                      <m:t>=</m:t>
                    </m:r>
                    <m:f>
                      <m:fPr>
                        <m:ctrlPr>
                          <a:rPr lang="en-AU" sz="1100" b="0" i="1">
                            <a:solidFill>
                              <a:schemeClr val="bg1"/>
                            </a:solidFill>
                            <a:latin typeface="Cambria Math" panose="02040503050406030204" pitchFamily="18" charset="0"/>
                          </a:rPr>
                        </m:ctrlPr>
                      </m:fPr>
                      <m:num>
                        <m:sSub>
                          <m:sSubPr>
                            <m:ctrlPr>
                              <a:rPr lang="en-AU" sz="1100" b="0" i="1">
                                <a:solidFill>
                                  <a:schemeClr val="bg1"/>
                                </a:solidFill>
                                <a:latin typeface="Cambria Math" panose="02040503050406030204" pitchFamily="18" charset="0"/>
                              </a:rPr>
                            </m:ctrlPr>
                          </m:sSubPr>
                          <m:e>
                            <m:r>
                              <a:rPr lang="en-AU" sz="1100" b="0" i="1">
                                <a:solidFill>
                                  <a:schemeClr val="bg1"/>
                                </a:solidFill>
                                <a:latin typeface="Cambria Math" panose="02040503050406030204" pitchFamily="18" charset="0"/>
                              </a:rPr>
                              <m:t>𝑆</m:t>
                            </m:r>
                          </m:e>
                          <m:sub>
                            <m:r>
                              <a:rPr lang="en-AU" sz="1100" b="0" i="1">
                                <a:solidFill>
                                  <a:schemeClr val="bg1"/>
                                </a:solidFill>
                                <a:latin typeface="Cambria Math" panose="02040503050406030204" pitchFamily="18" charset="0"/>
                              </a:rPr>
                              <m:t>𝑝</m:t>
                            </m:r>
                          </m:sub>
                        </m:sSub>
                      </m:num>
                      <m:den>
                        <m:r>
                          <a:rPr lang="en-AU" sz="1100" b="0" i="1">
                            <a:solidFill>
                              <a:schemeClr val="bg1"/>
                            </a:solidFill>
                            <a:latin typeface="Cambria Math" panose="02040503050406030204" pitchFamily="18" charset="0"/>
                          </a:rPr>
                          <m:t>𝐹𝑆</m:t>
                        </m:r>
                      </m:den>
                    </m:f>
                    <m:r>
                      <a:rPr lang="en-AU" sz="1100" b="0" i="1">
                        <a:solidFill>
                          <a:schemeClr val="bg1"/>
                        </a:solidFill>
                        <a:latin typeface="Cambria Math" panose="02040503050406030204" pitchFamily="18" charset="0"/>
                      </a:rPr>
                      <m:t>−</m:t>
                    </m:r>
                    <m:sSub>
                      <m:sSubPr>
                        <m:ctrlPr>
                          <a:rPr lang="en-AU" sz="1100" b="0" i="1">
                            <a:solidFill>
                              <a:schemeClr val="bg1"/>
                            </a:solidFill>
                            <a:latin typeface="Cambria Math" panose="02040503050406030204" pitchFamily="18" charset="0"/>
                            <a:ea typeface="Cambria Math" panose="02040503050406030204" pitchFamily="18" charset="0"/>
                          </a:rPr>
                        </m:ctrlPr>
                      </m:sSubPr>
                      <m:e>
                        <m:r>
                          <a:rPr lang="en-AU" sz="1100" b="0" i="1">
                            <a:solidFill>
                              <a:schemeClr val="bg1"/>
                            </a:solidFill>
                            <a:latin typeface="Cambria Math" panose="02040503050406030204" pitchFamily="18" charset="0"/>
                            <a:ea typeface="Cambria Math" panose="02040503050406030204" pitchFamily="18" charset="0"/>
                          </a:rPr>
                          <m:t>𝜎</m:t>
                        </m:r>
                      </m:e>
                      <m:sub>
                        <m:r>
                          <a:rPr lang="en-AU" sz="1100" b="0" i="1">
                            <a:solidFill>
                              <a:schemeClr val="bg1"/>
                            </a:solidFill>
                            <a:latin typeface="Cambria Math" panose="02040503050406030204" pitchFamily="18" charset="0"/>
                            <a:ea typeface="Cambria Math" panose="02040503050406030204" pitchFamily="18" charset="0"/>
                          </a:rPr>
                          <m:t>𝑚</m:t>
                        </m:r>
                      </m:sub>
                    </m:sSub>
                    <m:r>
                      <a:rPr lang="en-AU" sz="1100" b="0" i="1">
                        <a:solidFill>
                          <a:schemeClr val="bg1"/>
                        </a:solidFill>
                        <a:latin typeface="Cambria Math" panose="02040503050406030204" pitchFamily="18" charset="0"/>
                      </a:rPr>
                      <m:t> </m:t>
                    </m:r>
                  </m:oMath>
                </m:oMathPara>
              </a14:m>
              <a:endParaRPr lang="en-GB" sz="1100">
                <a:solidFill>
                  <a:schemeClr val="bg1"/>
                </a:solidFill>
              </a:endParaRPr>
            </a:p>
          </xdr:txBody>
        </xdr:sp>
      </mc:Choice>
      <mc:Fallback xmlns="">
        <xdr:sp macro="" textlink="">
          <xdr:nvSpPr>
            <xdr:cNvPr id="20" name="TextBox 19">
              <a:extLst>
                <a:ext uri="{FF2B5EF4-FFF2-40B4-BE49-F238E27FC236}">
                  <a16:creationId xmlns:a16="http://schemas.microsoft.com/office/drawing/2014/main" id="{80481771-1B83-67C0-74D9-32A297F76EEE}"/>
                </a:ext>
              </a:extLst>
            </xdr:cNvPr>
            <xdr:cNvSpPr txBox="1"/>
          </xdr:nvSpPr>
          <xdr:spPr>
            <a:xfrm>
              <a:off x="2423220" y="19451438"/>
              <a:ext cx="908839" cy="3223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0">
                  <a:solidFill>
                    <a:schemeClr val="bg1"/>
                  </a:solidFill>
                  <a:latin typeface="Cambria Math" panose="02040503050406030204" pitchFamily="18" charset="0"/>
                  <a:ea typeface="Cambria Math" panose="02040503050406030204" pitchFamily="18" charset="0"/>
                </a:rPr>
                <a:t>𝜎_</a:t>
              </a:r>
              <a:r>
                <a:rPr lang="en-AU" sz="1100" b="0" i="0">
                  <a:solidFill>
                    <a:schemeClr val="bg1"/>
                  </a:solidFill>
                  <a:latin typeface="Cambria Math" panose="02040503050406030204" pitchFamily="18" charset="0"/>
                </a:rPr>
                <a:t>𝑎=𝑆_𝑝/𝐹𝑆−</a:t>
              </a:r>
              <a:r>
                <a:rPr lang="en-AU" sz="1100" b="0" i="0">
                  <a:solidFill>
                    <a:schemeClr val="bg1"/>
                  </a:solidFill>
                  <a:latin typeface="Cambria Math" panose="02040503050406030204" pitchFamily="18" charset="0"/>
                  <a:ea typeface="Cambria Math" panose="02040503050406030204" pitchFamily="18" charset="0"/>
                </a:rPr>
                <a:t>𝜎_𝑚 </a:t>
              </a:r>
              <a:r>
                <a:rPr lang="en-AU" sz="1100" b="0" i="0">
                  <a:solidFill>
                    <a:schemeClr val="bg1"/>
                  </a:solidFill>
                  <a:latin typeface="Cambria Math" panose="02040503050406030204" pitchFamily="18" charset="0"/>
                </a:rPr>
                <a:t> </a:t>
              </a:r>
              <a:endParaRPr lang="en-GB" sz="1100">
                <a:solidFill>
                  <a:schemeClr val="bg1"/>
                </a:solidFill>
              </a:endParaRPr>
            </a:p>
          </xdr:txBody>
        </xdr:sp>
      </mc:Fallback>
    </mc:AlternateContent>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xcel%20Su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 A"/>
      <sheetName val="Part B"/>
      <sheetName val="Sheet1"/>
    </sheetNames>
    <sheetDataSet>
      <sheetData sheetId="0">
        <row r="3">
          <cell r="J3">
            <v>470205736</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libertygfg.com/media/164047/design-capacity-tables-for-structural-steel-hollow-sections.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90847-021C-7B47-8619-54343D9E4168}">
  <sheetPr codeName="Sheet1"/>
  <dimension ref="A1:K253"/>
  <sheetViews>
    <sheetView topLeftCell="A53" zoomScaleNormal="132" workbookViewId="0">
      <selection activeCell="R51" sqref="R51"/>
    </sheetView>
  </sheetViews>
  <sheetFormatPr baseColWidth="10" defaultRowHeight="16"/>
  <cols>
    <col min="1" max="1" width="2.83203125" customWidth="1"/>
    <col min="2" max="2" width="29.1640625" bestFit="1" customWidth="1"/>
    <col min="3" max="3" width="14.5" bestFit="1" customWidth="1"/>
    <col min="4" max="4" width="14.1640625" customWidth="1"/>
    <col min="5" max="5" width="14" customWidth="1"/>
    <col min="6" max="6" width="13.6640625" customWidth="1"/>
    <col min="7" max="7" width="11.1640625" bestFit="1" customWidth="1"/>
    <col min="8" max="8" width="8.6640625" bestFit="1" customWidth="1"/>
    <col min="9" max="9" width="2.33203125" bestFit="1" customWidth="1"/>
    <col min="10" max="10" width="12" customWidth="1"/>
    <col min="11" max="11" width="5" bestFit="1" customWidth="1"/>
  </cols>
  <sheetData>
    <row r="1" spans="2:11" ht="17" thickBot="1"/>
    <row r="2" spans="2:11" ht="303" customHeight="1">
      <c r="B2" s="150" t="str">
        <f>_xlfn.CONCAT("Mechanical Design Bolt", CHAR(10),"and", CHAR(10)," Welding Report")</f>
        <v>Mechanical Design Bolt
and
 Welding Report</v>
      </c>
      <c r="C2" s="151"/>
      <c r="D2" s="151"/>
      <c r="E2" s="151"/>
      <c r="F2" s="151"/>
      <c r="G2" s="151"/>
      <c r="H2" s="151"/>
      <c r="I2" s="151"/>
      <c r="J2" s="151"/>
      <c r="K2" s="152"/>
    </row>
    <row r="3" spans="2:11" ht="20" customHeight="1">
      <c r="B3" s="114"/>
      <c r="C3" s="111"/>
      <c r="D3" s="111"/>
      <c r="E3" s="111"/>
      <c r="F3" s="67"/>
      <c r="G3" s="112"/>
      <c r="H3" s="111"/>
      <c r="I3" s="113"/>
      <c r="J3" s="87">
        <v>470205736</v>
      </c>
      <c r="K3" s="100" t="s">
        <v>0</v>
      </c>
    </row>
    <row r="4" spans="2:11" ht="57" customHeight="1">
      <c r="B4" s="135" t="s">
        <v>103</v>
      </c>
      <c r="C4" s="136"/>
      <c r="D4" s="136"/>
      <c r="E4" s="136"/>
      <c r="F4" s="136"/>
      <c r="G4" s="136"/>
      <c r="H4" s="136"/>
      <c r="I4" s="136"/>
      <c r="J4" s="136"/>
      <c r="K4" s="137"/>
    </row>
    <row r="5" spans="2:11" ht="129" customHeight="1">
      <c r="B5" s="132" t="s">
        <v>101</v>
      </c>
      <c r="C5" s="138"/>
      <c r="D5" s="138"/>
      <c r="E5" s="138"/>
      <c r="F5" s="138"/>
      <c r="G5" s="138"/>
      <c r="H5" s="138"/>
      <c r="I5" s="138"/>
      <c r="J5" s="138"/>
      <c r="K5" s="139"/>
    </row>
    <row r="6" spans="2:11">
      <c r="B6" s="19"/>
      <c r="C6" s="4" t="s">
        <v>1</v>
      </c>
      <c r="D6" s="16" t="s">
        <v>2</v>
      </c>
      <c r="E6" s="27" t="s">
        <v>3</v>
      </c>
      <c r="F6" s="67"/>
      <c r="G6" s="1"/>
      <c r="H6" s="2"/>
      <c r="I6" s="2"/>
      <c r="J6" s="2"/>
      <c r="K6" s="18"/>
    </row>
    <row r="7" spans="2:11">
      <c r="B7" s="20" t="s">
        <v>10</v>
      </c>
      <c r="C7" s="7">
        <v>400</v>
      </c>
      <c r="D7" s="17">
        <v>350</v>
      </c>
      <c r="E7" s="28">
        <v>16</v>
      </c>
      <c r="F7" s="67"/>
      <c r="G7" s="1"/>
      <c r="H7" s="2"/>
      <c r="I7" s="2"/>
      <c r="J7" s="2"/>
      <c r="K7" s="18"/>
    </row>
    <row r="8" spans="2:11">
      <c r="B8" s="20" t="s">
        <v>11</v>
      </c>
      <c r="C8" s="7">
        <v>500</v>
      </c>
      <c r="D8" s="17">
        <v>500</v>
      </c>
      <c r="E8" s="28">
        <v>16</v>
      </c>
      <c r="F8" s="67"/>
      <c r="G8" s="1"/>
      <c r="H8" s="2"/>
      <c r="I8" s="2"/>
      <c r="J8" s="2"/>
      <c r="K8" s="18"/>
    </row>
    <row r="9" spans="2:11">
      <c r="B9" s="21"/>
      <c r="C9" s="74"/>
      <c r="D9" s="74"/>
      <c r="E9" s="74"/>
      <c r="F9" s="67"/>
      <c r="G9" s="1"/>
      <c r="H9" s="2"/>
      <c r="I9" s="2"/>
      <c r="J9" s="2"/>
      <c r="K9" s="18"/>
    </row>
    <row r="10" spans="2:11">
      <c r="B10" s="22"/>
      <c r="C10" s="5" t="s">
        <v>4</v>
      </c>
      <c r="D10" s="24"/>
      <c r="E10" s="24"/>
      <c r="F10" s="67"/>
      <c r="G10" s="1"/>
      <c r="H10" s="2"/>
      <c r="I10" s="2"/>
      <c r="J10" s="2"/>
      <c r="K10" s="18"/>
    </row>
    <row r="11" spans="2:11">
      <c r="B11" s="20" t="s">
        <v>12</v>
      </c>
      <c r="C11" s="7">
        <v>1500</v>
      </c>
      <c r="D11" s="75"/>
      <c r="E11" s="75"/>
      <c r="F11" s="67"/>
      <c r="G11" s="1"/>
      <c r="H11" s="2"/>
      <c r="I11" s="2"/>
      <c r="J11" s="2"/>
      <c r="K11" s="18"/>
    </row>
    <row r="12" spans="2:11">
      <c r="B12" s="20" t="s">
        <v>13</v>
      </c>
      <c r="C12" s="6">
        <f>150 + MOD(SID, 100)</f>
        <v>186</v>
      </c>
      <c r="D12" s="75"/>
      <c r="E12" s="75"/>
      <c r="F12" s="67"/>
      <c r="G12" s="1"/>
      <c r="H12" s="2"/>
      <c r="I12" s="2"/>
      <c r="J12" s="2"/>
      <c r="K12" s="18"/>
    </row>
    <row r="13" spans="2:11">
      <c r="B13" s="20" t="s">
        <v>14</v>
      </c>
      <c r="C13" s="7">
        <v>16</v>
      </c>
      <c r="D13" s="25"/>
      <c r="E13" s="25"/>
      <c r="F13" s="67"/>
      <c r="G13" s="1"/>
      <c r="H13" s="2"/>
      <c r="I13" s="2"/>
      <c r="J13" s="2"/>
      <c r="K13" s="18"/>
    </row>
    <row r="14" spans="2:11">
      <c r="B14" s="21"/>
      <c r="C14" s="74"/>
      <c r="D14" s="26"/>
      <c r="E14" s="26"/>
      <c r="F14" s="67"/>
      <c r="G14" s="1"/>
      <c r="H14" s="2"/>
      <c r="I14" s="2"/>
      <c r="J14" s="2"/>
      <c r="K14" s="18"/>
    </row>
    <row r="15" spans="2:11">
      <c r="B15" s="23" t="s">
        <v>15</v>
      </c>
      <c r="C15" s="7">
        <v>2</v>
      </c>
      <c r="D15" s="153"/>
      <c r="E15" s="153"/>
      <c r="F15" s="67"/>
      <c r="G15" s="1"/>
      <c r="H15" s="2"/>
      <c r="I15" s="2"/>
      <c r="J15" s="2"/>
      <c r="K15" s="18"/>
    </row>
    <row r="16" spans="2:11">
      <c r="B16" s="21"/>
      <c r="C16" s="74"/>
      <c r="D16" s="74"/>
      <c r="E16" s="74"/>
      <c r="F16" s="67"/>
      <c r="G16" s="71"/>
      <c r="H16" s="72"/>
      <c r="I16" s="72"/>
      <c r="J16" s="72"/>
      <c r="K16" s="73"/>
    </row>
    <row r="17" spans="2:11">
      <c r="B17" s="115"/>
      <c r="C17" s="76" t="s">
        <v>5</v>
      </c>
      <c r="D17" s="154"/>
      <c r="E17" s="154"/>
      <c r="F17" s="67"/>
      <c r="G17" s="67"/>
      <c r="H17" s="67"/>
      <c r="I17" s="67"/>
      <c r="J17" s="67"/>
      <c r="K17" s="11"/>
    </row>
    <row r="18" spans="2:11">
      <c r="B18" s="40" t="s">
        <v>16</v>
      </c>
      <c r="C18" s="77">
        <f>IF(MOD(SID, 2), -5,5)</f>
        <v>5</v>
      </c>
      <c r="D18" s="154"/>
      <c r="E18" s="154"/>
      <c r="F18" s="67"/>
      <c r="G18" s="67"/>
      <c r="H18" s="67"/>
      <c r="I18" s="67"/>
      <c r="J18" s="67"/>
      <c r="K18" s="11"/>
    </row>
    <row r="19" spans="2:11" ht="40" customHeight="1">
      <c r="B19" s="140" t="s">
        <v>140</v>
      </c>
      <c r="C19" s="141"/>
      <c r="D19" s="141"/>
      <c r="E19" s="141"/>
      <c r="F19" s="141"/>
      <c r="G19" s="141"/>
      <c r="H19" s="141"/>
      <c r="I19" s="141"/>
      <c r="J19" s="141"/>
      <c r="K19" s="142"/>
    </row>
    <row r="20" spans="2:11" ht="105" customHeight="1">
      <c r="B20" s="132" t="s">
        <v>76</v>
      </c>
      <c r="C20" s="133"/>
      <c r="D20" s="133"/>
      <c r="E20" s="133"/>
      <c r="F20" s="133"/>
      <c r="G20" s="133"/>
      <c r="H20" s="133"/>
      <c r="I20" s="133"/>
      <c r="J20" s="133"/>
      <c r="K20" s="134"/>
    </row>
    <row r="21" spans="2:11" ht="82" customHeight="1">
      <c r="B21" s="166" t="s">
        <v>20</v>
      </c>
      <c r="C21" s="167"/>
      <c r="D21" s="167"/>
      <c r="E21" s="167"/>
      <c r="F21" s="167"/>
      <c r="G21" s="167"/>
      <c r="H21" s="167"/>
      <c r="I21" s="167"/>
      <c r="J21" s="167"/>
      <c r="K21" s="168"/>
    </row>
    <row r="22" spans="2:11" ht="188" customHeight="1">
      <c r="B22" s="10"/>
      <c r="C22" s="67"/>
      <c r="D22" s="67"/>
      <c r="E22" s="67"/>
      <c r="F22" s="67"/>
      <c r="G22" s="67"/>
      <c r="H22" s="67"/>
      <c r="I22" s="67"/>
      <c r="J22" s="67"/>
      <c r="K22" s="11"/>
    </row>
    <row r="23" spans="2:11" ht="21" customHeight="1">
      <c r="B23" s="155" t="s">
        <v>22</v>
      </c>
      <c r="C23" s="156"/>
      <c r="D23" s="156"/>
      <c r="E23" s="156"/>
      <c r="F23" s="156"/>
      <c r="G23" s="156"/>
      <c r="H23" s="156"/>
      <c r="I23" s="110"/>
      <c r="J23" s="110"/>
      <c r="K23" s="14"/>
    </row>
    <row r="24" spans="2:11" ht="40" customHeight="1">
      <c r="B24" s="157" t="s">
        <v>58</v>
      </c>
      <c r="C24" s="158"/>
      <c r="D24" s="158"/>
      <c r="E24" s="158"/>
      <c r="F24" s="158"/>
      <c r="G24" s="158"/>
      <c r="H24" s="158"/>
      <c r="I24" s="158"/>
      <c r="J24" s="158"/>
      <c r="K24" s="11"/>
    </row>
    <row r="25" spans="2:11" ht="18">
      <c r="B25" s="12"/>
      <c r="C25" s="8" t="s">
        <v>23</v>
      </c>
      <c r="D25" s="67"/>
      <c r="E25" s="67"/>
      <c r="F25" s="67"/>
      <c r="G25" s="67"/>
      <c r="H25" s="67"/>
      <c r="I25" s="67"/>
      <c r="J25" s="67"/>
      <c r="K25" s="11"/>
    </row>
    <row r="26" spans="2:11">
      <c r="B26" s="13" t="s">
        <v>7</v>
      </c>
      <c r="C26" s="30">
        <v>200</v>
      </c>
      <c r="D26" s="67"/>
      <c r="E26" s="67"/>
      <c r="F26" s="67"/>
      <c r="G26" s="67"/>
      <c r="H26" s="67"/>
      <c r="I26" s="67"/>
      <c r="J26" s="67"/>
      <c r="K26" s="11"/>
    </row>
    <row r="27" spans="2:11">
      <c r="B27" s="13" t="s">
        <v>8</v>
      </c>
      <c r="C27" s="30">
        <v>80</v>
      </c>
      <c r="D27" s="67"/>
      <c r="E27" s="67"/>
      <c r="F27" s="67"/>
      <c r="G27" s="67"/>
      <c r="H27" s="67"/>
      <c r="I27" s="67"/>
      <c r="J27" s="67"/>
      <c r="K27" s="11"/>
    </row>
    <row r="28" spans="2:11">
      <c r="B28" s="10"/>
      <c r="C28" s="67"/>
      <c r="D28" s="67"/>
      <c r="E28" s="67"/>
      <c r="F28" s="67"/>
      <c r="G28" s="67"/>
      <c r="H28" s="67"/>
      <c r="I28" s="67"/>
      <c r="J28" s="67"/>
      <c r="K28" s="11"/>
    </row>
    <row r="29" spans="2:11">
      <c r="B29" s="12"/>
      <c r="C29" s="31" t="s">
        <v>27</v>
      </c>
      <c r="D29" s="67"/>
      <c r="E29" s="67"/>
      <c r="F29" s="67"/>
      <c r="G29" s="67"/>
      <c r="H29" s="67"/>
      <c r="I29" s="110"/>
      <c r="J29" s="67"/>
      <c r="K29" s="11"/>
    </row>
    <row r="30" spans="2:11">
      <c r="B30" s="13" t="s">
        <v>9</v>
      </c>
      <c r="C30" s="32">
        <f>F*OR</f>
        <v>930</v>
      </c>
      <c r="D30" s="67"/>
      <c r="E30" s="67"/>
      <c r="F30" s="67"/>
      <c r="G30" s="67"/>
      <c r="H30" s="67"/>
      <c r="I30" s="67"/>
      <c r="J30" s="67"/>
      <c r="K30" s="11"/>
    </row>
    <row r="31" spans="2:11" ht="40" customHeight="1">
      <c r="B31" s="159" t="s">
        <v>24</v>
      </c>
      <c r="C31" s="160"/>
      <c r="D31" s="160"/>
      <c r="E31" s="160"/>
      <c r="F31" s="160"/>
      <c r="G31" s="160"/>
      <c r="H31" s="160"/>
      <c r="I31" s="160"/>
      <c r="J31" s="160"/>
      <c r="K31" s="11"/>
    </row>
    <row r="32" spans="2:11">
      <c r="B32" s="33"/>
      <c r="C32" s="27" t="s">
        <v>6</v>
      </c>
      <c r="D32" s="67"/>
      <c r="E32" s="67"/>
      <c r="F32" s="67"/>
      <c r="G32" s="67"/>
      <c r="H32" s="67"/>
      <c r="I32" s="67"/>
      <c r="J32" s="67"/>
      <c r="K32" s="11"/>
    </row>
    <row r="33" spans="2:11" ht="18">
      <c r="B33" s="34" t="s">
        <v>25</v>
      </c>
      <c r="C33" s="28">
        <v>5</v>
      </c>
      <c r="D33" s="67"/>
      <c r="E33" s="67"/>
      <c r="F33" s="67"/>
      <c r="G33" s="67"/>
      <c r="H33" s="67"/>
      <c r="I33" s="67"/>
      <c r="J33" s="67"/>
      <c r="K33" s="11"/>
    </row>
    <row r="34" spans="2:11" ht="18">
      <c r="B34" s="35" t="s">
        <v>40</v>
      </c>
      <c r="C34" s="36">
        <v>5.0000000000000001E-3</v>
      </c>
      <c r="D34" s="67"/>
      <c r="E34" s="67"/>
      <c r="F34" s="67"/>
      <c r="G34" s="67"/>
      <c r="H34" s="67"/>
      <c r="I34" s="67"/>
      <c r="J34" s="67"/>
      <c r="K34" s="11"/>
    </row>
    <row r="35" spans="2:11">
      <c r="B35" s="10"/>
      <c r="C35" s="67"/>
      <c r="D35" s="67"/>
      <c r="E35" s="67"/>
      <c r="F35" s="67"/>
      <c r="G35" s="67"/>
      <c r="H35" s="67"/>
      <c r="I35" s="67"/>
      <c r="J35" s="67"/>
      <c r="K35" s="11"/>
    </row>
    <row r="36" spans="2:11" ht="18">
      <c r="B36" s="37"/>
      <c r="C36" s="116" t="s">
        <v>26</v>
      </c>
      <c r="D36" s="67"/>
      <c r="E36" s="67"/>
      <c r="F36" s="67"/>
      <c r="G36" s="67"/>
      <c r="H36" s="67"/>
      <c r="I36" s="67"/>
      <c r="J36" s="67"/>
      <c r="K36" s="11"/>
    </row>
    <row r="37" spans="2:11">
      <c r="B37" s="38" t="s">
        <v>17</v>
      </c>
      <c r="C37" s="39">
        <f>(F * L^3)/(3 * E * delta_max * 1000000)</f>
        <v>5.625</v>
      </c>
      <c r="D37" s="67"/>
      <c r="E37" s="67"/>
      <c r="F37" s="67"/>
      <c r="G37" s="67"/>
      <c r="H37" s="67"/>
      <c r="I37" s="67"/>
      <c r="J37" s="67"/>
      <c r="K37" s="11"/>
    </row>
    <row r="38" spans="2:11" s="3" customFormat="1">
      <c r="B38" s="38" t="s">
        <v>18</v>
      </c>
      <c r="C38" s="39">
        <f>T * L / ( G * theta_max * 1000000)</f>
        <v>3.4874999999999998</v>
      </c>
      <c r="D38" s="67"/>
      <c r="E38" s="67"/>
      <c r="F38" s="67"/>
      <c r="G38" s="67"/>
      <c r="H38" s="67"/>
      <c r="I38" s="67"/>
      <c r="J38" s="67"/>
      <c r="K38" s="11"/>
    </row>
    <row r="39" spans="2:11" ht="33" customHeight="1">
      <c r="B39" s="155" t="s">
        <v>45</v>
      </c>
      <c r="C39" s="156"/>
      <c r="D39" s="156"/>
      <c r="E39" s="156"/>
      <c r="F39" s="156"/>
      <c r="G39" s="156"/>
      <c r="H39" s="156"/>
      <c r="I39" s="156"/>
      <c r="J39" s="110"/>
      <c r="K39" s="14"/>
    </row>
    <row r="40" spans="2:11" ht="18">
      <c r="B40" s="40"/>
      <c r="C40" s="9" t="s">
        <v>41</v>
      </c>
      <c r="D40" s="9" t="s">
        <v>42</v>
      </c>
      <c r="E40" s="9" t="s">
        <v>43</v>
      </c>
      <c r="F40" s="9" t="s">
        <v>31</v>
      </c>
      <c r="G40" s="9" t="s">
        <v>32</v>
      </c>
      <c r="H40" s="117" t="s">
        <v>62</v>
      </c>
      <c r="J40" s="67"/>
      <c r="K40" s="11"/>
    </row>
    <row r="41" spans="2:11">
      <c r="B41" s="40" t="s">
        <v>95</v>
      </c>
      <c r="C41" s="41">
        <v>88.9</v>
      </c>
      <c r="D41" s="41"/>
      <c r="E41" s="41">
        <v>5.9</v>
      </c>
      <c r="F41" s="41">
        <v>1.3</v>
      </c>
      <c r="G41" s="41">
        <v>2.66</v>
      </c>
      <c r="H41" s="65">
        <f xml:space="preserve"> PI() * (C41/2) ^2 - PI() * (C41 /2-  E41)^2</f>
        <v>1538.4379224629211</v>
      </c>
      <c r="I41" s="41">
        <v>0</v>
      </c>
      <c r="K41" s="11"/>
    </row>
    <row r="42" spans="2:11">
      <c r="B42" s="40" t="s">
        <v>96</v>
      </c>
      <c r="C42" s="41">
        <v>200</v>
      </c>
      <c r="D42" s="41">
        <v>100</v>
      </c>
      <c r="E42" s="41">
        <v>6</v>
      </c>
      <c r="F42" s="41">
        <v>16.7</v>
      </c>
      <c r="G42" s="41">
        <v>14.2</v>
      </c>
      <c r="H42" s="64">
        <f>C42*D42 - (C42 - 2 * E42)*(D42 - 2 *E42)</f>
        <v>3456</v>
      </c>
      <c r="I42" s="41">
        <v>0</v>
      </c>
      <c r="J42" s="67"/>
      <c r="K42" s="11"/>
    </row>
    <row r="43" spans="2:11">
      <c r="B43" s="40" t="s">
        <v>97</v>
      </c>
      <c r="C43" s="41">
        <v>200</v>
      </c>
      <c r="D43" s="41">
        <v>100</v>
      </c>
      <c r="E43" s="41">
        <v>4</v>
      </c>
      <c r="F43" s="41">
        <v>11.9</v>
      </c>
      <c r="G43" s="41">
        <v>9.89</v>
      </c>
      <c r="H43" s="64">
        <f>C43*D43 - (C43 - 2 * E43)*(D43 - 2 *E43)</f>
        <v>2336</v>
      </c>
      <c r="I43" s="41">
        <v>1</v>
      </c>
      <c r="J43" s="67"/>
      <c r="K43" s="11"/>
    </row>
    <row r="44" spans="2:11">
      <c r="B44" s="40" t="s">
        <v>98</v>
      </c>
      <c r="C44" s="41">
        <v>150</v>
      </c>
      <c r="D44" s="41">
        <v>100</v>
      </c>
      <c r="E44" s="41">
        <v>6</v>
      </c>
      <c r="F44" s="41">
        <v>8.17</v>
      </c>
      <c r="G44" s="41">
        <v>9.51</v>
      </c>
      <c r="H44" s="64">
        <f>C44*D44 - (C44 - 2 * E44)*(D44 - 2 *E44)</f>
        <v>2856</v>
      </c>
      <c r="I44" s="41">
        <v>0</v>
      </c>
      <c r="J44" s="67"/>
      <c r="K44" s="11"/>
    </row>
    <row r="45" spans="2:11">
      <c r="B45" s="40" t="s">
        <v>99</v>
      </c>
      <c r="C45" s="41">
        <v>100</v>
      </c>
      <c r="D45" s="41">
        <v>100</v>
      </c>
      <c r="E45" s="41">
        <v>6</v>
      </c>
      <c r="F45" s="41">
        <v>3.04</v>
      </c>
      <c r="G45" s="41">
        <v>5.15</v>
      </c>
      <c r="H45" s="64">
        <f>C45*D45 - (C45 - 2 * E45)*(D45 - 2 *E45)</f>
        <v>2256</v>
      </c>
      <c r="I45" s="41">
        <v>0</v>
      </c>
      <c r="J45" s="67"/>
      <c r="K45" s="11"/>
    </row>
    <row r="46" spans="2:11">
      <c r="B46" s="40" t="s">
        <v>100</v>
      </c>
      <c r="C46" s="41">
        <v>150</v>
      </c>
      <c r="D46" s="41">
        <v>100</v>
      </c>
      <c r="E46" s="41">
        <v>6</v>
      </c>
      <c r="F46" s="41">
        <v>3.42</v>
      </c>
      <c r="G46" s="41">
        <v>17.2</v>
      </c>
      <c r="H46" s="64">
        <f>C46*D46 - (C46 - E46)*(D46 -E46)</f>
        <v>1464</v>
      </c>
      <c r="I46" s="41">
        <v>0</v>
      </c>
      <c r="K46" s="11"/>
    </row>
    <row r="47" spans="2:11">
      <c r="B47" s="42" t="s">
        <v>19</v>
      </c>
      <c r="C47" s="43">
        <f>SUMPRODUCT($I41:$I46, C41:C46)</f>
        <v>200</v>
      </c>
      <c r="D47" s="43">
        <f>SUMPRODUCT($I41:$I46, D41:D46)</f>
        <v>100</v>
      </c>
      <c r="E47" s="43">
        <f>SUMPRODUCT($I41:$I46, E41:E46)</f>
        <v>4</v>
      </c>
      <c r="F47" s="43">
        <f>SUMPRODUCT($I41:$I46, F41:F46)</f>
        <v>11.9</v>
      </c>
      <c r="G47" s="44">
        <f>SUMPRODUCT($I41:$I46, G41:G46)</f>
        <v>9.89</v>
      </c>
      <c r="H47" s="67"/>
      <c r="I47" s="67"/>
      <c r="J47" s="67"/>
      <c r="K47" s="11"/>
    </row>
    <row r="48" spans="2:11" ht="65" customHeight="1">
      <c r="B48" s="132" t="s">
        <v>65</v>
      </c>
      <c r="C48" s="169"/>
      <c r="D48" s="169"/>
      <c r="E48" s="169"/>
      <c r="F48" s="169"/>
      <c r="G48" s="169"/>
      <c r="H48" s="169"/>
      <c r="I48" s="169"/>
      <c r="J48" s="67"/>
      <c r="K48" s="11"/>
    </row>
    <row r="49" spans="1:11" ht="51" customHeight="1">
      <c r="B49" s="135" t="s">
        <v>21</v>
      </c>
      <c r="C49" s="136"/>
      <c r="D49" s="136"/>
      <c r="E49" s="136"/>
      <c r="F49" s="136"/>
      <c r="G49" s="136"/>
      <c r="H49" s="136"/>
      <c r="I49" s="136"/>
      <c r="J49" s="136"/>
      <c r="K49" s="137"/>
    </row>
    <row r="50" spans="1:11" ht="83" customHeight="1">
      <c r="A50" s="29"/>
      <c r="B50" s="143" t="s">
        <v>59</v>
      </c>
      <c r="C50" s="164"/>
      <c r="D50" s="164"/>
      <c r="E50" s="164"/>
      <c r="F50" s="164"/>
      <c r="G50" s="164"/>
      <c r="H50" s="164"/>
      <c r="I50" s="164"/>
      <c r="J50" s="164"/>
      <c r="K50" s="165"/>
    </row>
    <row r="51" spans="1:11" ht="223" customHeight="1">
      <c r="B51" s="10"/>
      <c r="C51" s="67"/>
      <c r="D51" s="67"/>
      <c r="E51" s="67"/>
      <c r="F51" s="67"/>
      <c r="G51" s="67"/>
      <c r="H51" s="67"/>
      <c r="I51" s="67"/>
      <c r="J51" s="67"/>
      <c r="K51" s="11"/>
    </row>
    <row r="52" spans="1:11" ht="82" customHeight="1">
      <c r="A52" s="29"/>
      <c r="B52" s="58"/>
      <c r="C52" s="101" t="s">
        <v>19</v>
      </c>
      <c r="D52" s="59"/>
      <c r="E52" s="59"/>
      <c r="F52" s="59"/>
      <c r="G52" s="107"/>
      <c r="H52" s="107"/>
      <c r="I52" s="107"/>
      <c r="J52" s="107"/>
      <c r="K52" s="46"/>
    </row>
    <row r="53" spans="1:11" ht="19">
      <c r="A53" s="29"/>
      <c r="B53" s="38" t="s">
        <v>39</v>
      </c>
      <c r="C53" s="57">
        <f xml:space="preserve"> SUMPRODUCT(D53:F53,$D$57:$F$57)</f>
        <v>33333.333333333336</v>
      </c>
      <c r="D53" s="69">
        <f xml:space="preserve"> b * d + d^2/3</f>
        <v>33333.333333333336</v>
      </c>
      <c r="E53" s="69">
        <f>d^2/3</f>
        <v>13333.333333333334</v>
      </c>
      <c r="F53" s="70">
        <f>b*d</f>
        <v>20000</v>
      </c>
      <c r="G53" s="107"/>
      <c r="H53" s="107"/>
      <c r="I53" s="107"/>
      <c r="J53" s="107"/>
      <c r="K53" s="46"/>
    </row>
    <row r="54" spans="1:11" ht="19">
      <c r="A54" s="29"/>
      <c r="B54" s="38" t="s">
        <v>34</v>
      </c>
      <c r="C54" s="57">
        <f xml:space="preserve"> SUMPRODUCT(D54:F54,$D$57:$F$57)</f>
        <v>4500000</v>
      </c>
      <c r="D54" s="69">
        <f>((b + d)^3)/6</f>
        <v>4500000</v>
      </c>
      <c r="E54" s="69">
        <f>d*(3*b^2 + d^2)/6</f>
        <v>2333333.3333333335</v>
      </c>
      <c r="F54" s="69">
        <f>(b^3 + 3*b*d^2)/6</f>
        <v>2166666.6666666665</v>
      </c>
      <c r="G54" s="107"/>
      <c r="H54" s="107"/>
      <c r="I54" s="107"/>
      <c r="J54" s="107"/>
      <c r="K54" s="46"/>
    </row>
    <row r="55" spans="1:11">
      <c r="A55" s="29"/>
      <c r="B55" s="38" t="s">
        <v>38</v>
      </c>
      <c r="C55" s="56">
        <f xml:space="preserve"> SUMPRODUCT(D55:F55,$D$57:$F$57)</f>
        <v>600</v>
      </c>
      <c r="D55" s="70">
        <f xml:space="preserve"> b * 2 + d * 2</f>
        <v>600</v>
      </c>
      <c r="E55" s="70">
        <f>d*2</f>
        <v>400</v>
      </c>
      <c r="F55" s="70">
        <f>2*b</f>
        <v>200</v>
      </c>
      <c r="G55" s="107"/>
      <c r="H55" s="107"/>
      <c r="I55" s="107"/>
      <c r="J55" s="107"/>
      <c r="K55" s="46"/>
    </row>
    <row r="56" spans="1:11">
      <c r="A56" s="29"/>
      <c r="B56" s="61" t="s">
        <v>63</v>
      </c>
      <c r="C56" s="56">
        <f xml:space="preserve"> SUMPRODUCT(D56:F56,$D$57:$F$57)</f>
        <v>7500</v>
      </c>
      <c r="D56" s="70">
        <f>F * L</f>
        <v>7500</v>
      </c>
      <c r="E56" s="70">
        <f>F * L</f>
        <v>7500</v>
      </c>
      <c r="F56" s="70">
        <f>F * L</f>
        <v>7500</v>
      </c>
      <c r="G56" s="107"/>
      <c r="H56" s="107"/>
      <c r="I56" s="107"/>
      <c r="J56" s="107"/>
      <c r="K56" s="46"/>
    </row>
    <row r="57" spans="1:11">
      <c r="A57" s="29"/>
      <c r="B57" s="118"/>
      <c r="C57" s="66"/>
      <c r="D57" s="41">
        <v>1</v>
      </c>
      <c r="E57" s="41">
        <v>0</v>
      </c>
      <c r="F57" s="41">
        <v>0</v>
      </c>
      <c r="G57" s="107"/>
      <c r="H57" s="107"/>
      <c r="I57" s="107"/>
      <c r="J57" s="107"/>
      <c r="K57" s="46"/>
    </row>
    <row r="58" spans="1:11" ht="52" customHeight="1">
      <c r="A58" s="29"/>
      <c r="B58" s="161" t="s">
        <v>60</v>
      </c>
      <c r="C58" s="162"/>
      <c r="D58" s="162"/>
      <c r="E58" s="162"/>
      <c r="F58" s="162"/>
      <c r="G58" s="162"/>
      <c r="H58" s="162"/>
      <c r="I58" s="162"/>
      <c r="J58" s="162"/>
      <c r="K58" s="163"/>
    </row>
    <row r="59" spans="1:11" ht="55" customHeight="1">
      <c r="B59" s="144" t="s">
        <v>61</v>
      </c>
      <c r="C59" s="145"/>
      <c r="D59" s="145"/>
      <c r="E59" s="145"/>
      <c r="F59" s="145"/>
      <c r="G59" s="145"/>
      <c r="H59" s="145"/>
      <c r="I59" s="145"/>
      <c r="J59" s="145"/>
      <c r="K59" s="146"/>
    </row>
    <row r="60" spans="1:11">
      <c r="B60" s="12"/>
      <c r="C60" s="47" t="s">
        <v>28</v>
      </c>
      <c r="D60" s="47" t="s">
        <v>29</v>
      </c>
      <c r="E60" s="47" t="s">
        <v>30</v>
      </c>
      <c r="F60" s="107"/>
      <c r="G60" s="107"/>
      <c r="H60" s="107"/>
      <c r="I60" s="107"/>
      <c r="J60" s="107"/>
      <c r="K60" s="46"/>
    </row>
    <row r="61" spans="1:11">
      <c r="A61" s="29"/>
      <c r="B61" s="38" t="s">
        <v>37</v>
      </c>
      <c r="C61" s="48">
        <f xml:space="preserve"> -b / 2</f>
        <v>-50</v>
      </c>
      <c r="D61" s="48">
        <f>-d/2</f>
        <v>-100</v>
      </c>
      <c r="E61" s="48"/>
      <c r="F61" s="107"/>
      <c r="G61" s="107"/>
      <c r="H61" s="107"/>
      <c r="I61" s="107"/>
      <c r="J61" s="107"/>
      <c r="K61" s="46"/>
    </row>
    <row r="62" spans="1:11" ht="18">
      <c r="A62" s="29"/>
      <c r="B62" s="38" t="s">
        <v>67</v>
      </c>
      <c r="C62" s="48"/>
      <c r="D62" s="49">
        <f xml:space="preserve"> - F / lp</f>
        <v>-8.3333333333333332E-3</v>
      </c>
      <c r="E62" s="48"/>
      <c r="F62" s="107"/>
      <c r="G62" s="107"/>
      <c r="H62" s="107"/>
      <c r="I62" s="107"/>
      <c r="J62" s="107"/>
      <c r="K62" s="46"/>
    </row>
    <row r="63" spans="1:11" ht="18">
      <c r="A63" s="29"/>
      <c r="B63" s="38" t="s">
        <v>36</v>
      </c>
      <c r="C63" s="48"/>
      <c r="D63" s="48"/>
      <c r="E63" s="50">
        <f xml:space="preserve"> M / Zw</f>
        <v>0.22499999999999998</v>
      </c>
      <c r="F63" s="107"/>
      <c r="G63" s="107"/>
      <c r="H63" s="107"/>
      <c r="I63" s="107"/>
      <c r="J63" s="107"/>
      <c r="K63" s="46"/>
    </row>
    <row r="64" spans="1:11" ht="18">
      <c r="A64" s="29"/>
      <c r="B64" s="38" t="s">
        <v>68</v>
      </c>
      <c r="C64" s="51">
        <f xml:space="preserve"> T * - rx / Jw</f>
        <v>1.0333333333333333E-2</v>
      </c>
      <c r="D64" s="51">
        <f xml:space="preserve"> T * ry / Jw</f>
        <v>-2.0666666666666667E-2</v>
      </c>
      <c r="E64" s="48"/>
      <c r="F64" s="55" t="s">
        <v>35</v>
      </c>
      <c r="G64" s="107"/>
      <c r="H64" s="107"/>
      <c r="I64" s="107"/>
      <c r="J64" s="107"/>
      <c r="K64" s="46"/>
    </row>
    <row r="65" spans="1:11" ht="18">
      <c r="A65" s="29"/>
      <c r="B65" s="38" t="s">
        <v>33</v>
      </c>
      <c r="C65" s="52">
        <f>SUM(C62:C64)</f>
        <v>1.0333333333333333E-2</v>
      </c>
      <c r="D65" s="52">
        <f>SUM(D62:D64)</f>
        <v>-2.8999999999999998E-2</v>
      </c>
      <c r="E65" s="52">
        <f>SUM(E62:E64)</f>
        <v>0.22499999999999998</v>
      </c>
      <c r="F65" s="53">
        <f>SQRT(SUMPRODUCT(C65:E65, C65:E65))</f>
        <v>0.22709640635152675</v>
      </c>
      <c r="G65" s="107"/>
      <c r="H65" s="107"/>
      <c r="I65" s="107"/>
      <c r="J65" s="107"/>
      <c r="K65" s="46"/>
    </row>
    <row r="66" spans="1:11" ht="60" customHeight="1">
      <c r="A66" s="29"/>
      <c r="B66" s="143" t="s">
        <v>64</v>
      </c>
      <c r="C66" s="133"/>
      <c r="D66" s="133"/>
      <c r="E66" s="133"/>
      <c r="F66" s="133"/>
      <c r="G66" s="133"/>
      <c r="H66" s="133"/>
      <c r="I66" s="133"/>
      <c r="J66" s="133"/>
      <c r="K66" s="134"/>
    </row>
    <row r="67" spans="1:11" ht="19">
      <c r="A67" s="29"/>
      <c r="B67" s="38" t="s">
        <v>56</v>
      </c>
      <c r="C67" s="41">
        <v>0.1</v>
      </c>
      <c r="D67" s="67"/>
      <c r="E67" s="67"/>
      <c r="F67" s="67"/>
      <c r="G67" s="67"/>
      <c r="H67" s="67"/>
      <c r="I67" s="67"/>
      <c r="J67" s="67"/>
      <c r="K67" s="11"/>
    </row>
    <row r="68" spans="1:11">
      <c r="B68" s="62" t="s">
        <v>57</v>
      </c>
      <c r="C68" s="54">
        <f>th * tall / ft</f>
        <v>1.7613664893526875</v>
      </c>
      <c r="D68" s="67"/>
      <c r="E68" s="67"/>
      <c r="F68" s="67"/>
      <c r="G68" s="67"/>
      <c r="H68" s="67"/>
      <c r="I68" s="67"/>
      <c r="J68" s="67"/>
      <c r="K68" s="11"/>
    </row>
    <row r="69" spans="1:11">
      <c r="A69" s="29"/>
      <c r="B69" s="63" t="s">
        <v>44</v>
      </c>
      <c r="C69" s="54">
        <f xml:space="preserve"> FS * ft / tall</f>
        <v>4.5419281270305349</v>
      </c>
      <c r="D69" s="108"/>
      <c r="E69" s="67"/>
      <c r="F69" s="67"/>
      <c r="G69" s="107"/>
      <c r="H69" s="107"/>
      <c r="I69" s="107"/>
      <c r="J69" s="107"/>
      <c r="K69" s="46"/>
    </row>
    <row r="70" spans="1:11" ht="130" customHeight="1" thickBot="1">
      <c r="A70" s="29"/>
      <c r="B70" s="147" t="s">
        <v>66</v>
      </c>
      <c r="C70" s="148"/>
      <c r="D70" s="148"/>
      <c r="E70" s="148"/>
      <c r="F70" s="148"/>
      <c r="G70" s="148"/>
      <c r="H70" s="148"/>
      <c r="I70" s="148"/>
      <c r="J70" s="148"/>
      <c r="K70" s="149"/>
    </row>
    <row r="71" spans="1:11">
      <c r="A71" s="29"/>
      <c r="B71" s="29"/>
      <c r="C71" s="29"/>
      <c r="D71" s="29"/>
      <c r="E71" s="29"/>
      <c r="F71" s="29"/>
      <c r="G71" s="29"/>
      <c r="H71" s="29"/>
      <c r="I71" s="29"/>
      <c r="J71" s="29"/>
      <c r="K71" s="29"/>
    </row>
    <row r="72" spans="1:11">
      <c r="A72" s="29"/>
      <c r="B72" s="29"/>
      <c r="C72" s="29"/>
      <c r="D72" s="29"/>
      <c r="E72" s="29"/>
      <c r="F72" s="29"/>
      <c r="G72" s="29"/>
      <c r="H72" s="29"/>
      <c r="I72" s="29"/>
      <c r="J72" s="29"/>
      <c r="K72" s="29"/>
    </row>
    <row r="73" spans="1:11">
      <c r="A73" s="29"/>
      <c r="B73" s="29"/>
      <c r="C73" s="29"/>
      <c r="D73" s="29"/>
      <c r="E73" s="29"/>
      <c r="F73" s="29"/>
      <c r="G73" s="29"/>
      <c r="H73" s="29"/>
      <c r="I73" s="29"/>
      <c r="J73" s="29"/>
      <c r="K73" s="29"/>
    </row>
    <row r="74" spans="1:11">
      <c r="A74" s="29"/>
      <c r="B74" s="29"/>
      <c r="C74" s="29"/>
      <c r="D74" s="29"/>
      <c r="E74" s="29"/>
      <c r="F74" s="29"/>
      <c r="G74" s="29"/>
      <c r="H74" s="29"/>
      <c r="I74" s="29"/>
      <c r="J74" s="29"/>
      <c r="K74" s="29"/>
    </row>
    <row r="75" spans="1:11">
      <c r="A75" s="29"/>
      <c r="B75" s="29"/>
      <c r="C75" s="29"/>
      <c r="D75" s="29"/>
      <c r="E75" s="29"/>
      <c r="F75" s="29"/>
      <c r="G75" s="29"/>
      <c r="H75" s="29"/>
      <c r="I75" s="29"/>
      <c r="J75" s="29"/>
      <c r="K75" s="29"/>
    </row>
    <row r="76" spans="1:11">
      <c r="A76" s="29"/>
      <c r="B76" s="29"/>
      <c r="C76" s="29"/>
      <c r="D76" s="29"/>
      <c r="E76" s="29"/>
      <c r="F76" s="29"/>
      <c r="G76" s="29"/>
      <c r="H76" s="29"/>
      <c r="I76" s="29"/>
      <c r="J76" s="29"/>
      <c r="K76" s="29"/>
    </row>
    <row r="77" spans="1:11">
      <c r="A77" s="29"/>
      <c r="B77" s="29"/>
      <c r="C77" s="29"/>
      <c r="D77" s="29"/>
      <c r="E77" s="29"/>
      <c r="F77" s="29"/>
      <c r="G77" s="29"/>
      <c r="H77" s="29"/>
      <c r="I77" s="29"/>
      <c r="J77" s="29"/>
      <c r="K77" s="29"/>
    </row>
    <row r="78" spans="1:11">
      <c r="A78" s="29"/>
      <c r="B78" s="29"/>
      <c r="C78" s="29"/>
      <c r="D78" s="29"/>
      <c r="E78" s="29"/>
      <c r="F78" s="29"/>
      <c r="G78" s="29"/>
      <c r="H78" s="29"/>
      <c r="I78" s="29"/>
      <c r="J78" s="29"/>
      <c r="K78" s="29"/>
    </row>
    <row r="79" spans="1:11">
      <c r="A79" s="29"/>
      <c r="B79" s="29"/>
      <c r="C79" s="29"/>
      <c r="D79" s="29"/>
      <c r="E79" s="29"/>
      <c r="F79" s="29"/>
      <c r="G79" s="29"/>
      <c r="H79" s="29"/>
      <c r="I79" s="29"/>
      <c r="J79" s="29"/>
      <c r="K79" s="29"/>
    </row>
    <row r="80" spans="1:11">
      <c r="A80" s="29"/>
      <c r="B80" s="29"/>
      <c r="C80" s="29"/>
      <c r="D80" s="29"/>
      <c r="E80" s="29"/>
      <c r="F80" s="29"/>
      <c r="G80" s="29"/>
      <c r="H80" s="29"/>
      <c r="I80" s="29"/>
      <c r="J80" s="29"/>
      <c r="K80" s="29"/>
    </row>
    <row r="81" spans="1:11">
      <c r="A81" s="29"/>
      <c r="B81" s="29"/>
      <c r="C81" s="29"/>
      <c r="D81" s="29"/>
      <c r="E81" s="29"/>
      <c r="F81" s="29"/>
      <c r="G81" s="29"/>
      <c r="H81" s="29"/>
      <c r="I81" s="29"/>
      <c r="J81" s="29"/>
      <c r="K81" s="29"/>
    </row>
    <row r="82" spans="1:11">
      <c r="A82" s="29"/>
      <c r="B82" s="29"/>
      <c r="C82" s="29"/>
      <c r="D82" s="29"/>
      <c r="E82" s="29"/>
      <c r="F82" s="29"/>
      <c r="G82" s="29"/>
      <c r="H82" s="29"/>
      <c r="I82" s="29"/>
      <c r="J82" s="29"/>
      <c r="K82" s="29"/>
    </row>
    <row r="83" spans="1:11">
      <c r="A83" s="29"/>
      <c r="B83" s="29"/>
      <c r="C83" s="29"/>
      <c r="D83" s="29"/>
      <c r="E83" s="29"/>
      <c r="F83" s="29"/>
      <c r="G83" s="29"/>
      <c r="H83" s="29"/>
      <c r="I83" s="29"/>
      <c r="J83" s="29"/>
      <c r="K83" s="29"/>
    </row>
    <row r="84" spans="1:11">
      <c r="A84" s="29"/>
      <c r="B84" s="29"/>
      <c r="C84" s="29"/>
      <c r="D84" s="29"/>
      <c r="E84" s="29"/>
      <c r="F84" s="29"/>
      <c r="G84" s="29"/>
      <c r="H84" s="29"/>
      <c r="I84" s="29"/>
      <c r="J84" s="29"/>
      <c r="K84" s="29"/>
    </row>
    <row r="85" spans="1:11">
      <c r="A85" s="29"/>
      <c r="B85" s="29"/>
      <c r="C85" s="29"/>
      <c r="D85" s="29"/>
      <c r="E85" s="29"/>
      <c r="F85" s="29"/>
      <c r="G85" s="29"/>
      <c r="H85" s="29"/>
      <c r="I85" s="29"/>
      <c r="J85" s="29"/>
      <c r="K85" s="29"/>
    </row>
    <row r="86" spans="1:11">
      <c r="A86" s="29"/>
      <c r="B86" s="29"/>
      <c r="C86" s="29"/>
      <c r="D86" s="29"/>
      <c r="E86" s="29"/>
      <c r="F86" s="29"/>
      <c r="G86" s="29"/>
      <c r="H86" s="29"/>
      <c r="I86" s="29"/>
      <c r="J86" s="29"/>
      <c r="K86" s="29"/>
    </row>
    <row r="87" spans="1:11">
      <c r="A87" s="29"/>
      <c r="B87" s="29"/>
      <c r="C87" s="29"/>
      <c r="D87" s="29"/>
      <c r="E87" s="29"/>
      <c r="F87" s="29"/>
      <c r="G87" s="29"/>
      <c r="H87" s="29"/>
      <c r="I87" s="29"/>
      <c r="J87" s="29"/>
      <c r="K87" s="29"/>
    </row>
    <row r="88" spans="1:11">
      <c r="A88" s="29"/>
      <c r="B88" s="29"/>
      <c r="C88" s="29"/>
      <c r="D88" s="29"/>
      <c r="E88" s="29"/>
      <c r="F88" s="29"/>
      <c r="G88" s="29"/>
      <c r="H88" s="29"/>
      <c r="I88" s="29"/>
      <c r="J88" s="29"/>
      <c r="K88" s="29"/>
    </row>
    <row r="89" spans="1:11">
      <c r="A89" s="29"/>
      <c r="B89" s="29"/>
      <c r="C89" s="29"/>
      <c r="D89" s="29"/>
      <c r="E89" s="29"/>
      <c r="F89" s="29"/>
      <c r="G89" s="29"/>
      <c r="H89" s="29"/>
      <c r="I89" s="29"/>
      <c r="J89" s="29"/>
      <c r="K89" s="29"/>
    </row>
    <row r="90" spans="1:11">
      <c r="A90" s="29"/>
      <c r="B90" s="29"/>
      <c r="C90" s="29"/>
      <c r="D90" s="29"/>
      <c r="E90" s="29"/>
      <c r="F90" s="29"/>
      <c r="G90" s="29"/>
      <c r="H90" s="29"/>
      <c r="I90" s="29"/>
      <c r="J90" s="29"/>
      <c r="K90" s="29"/>
    </row>
    <row r="91" spans="1:11">
      <c r="A91" s="29"/>
      <c r="B91" s="29"/>
      <c r="C91" s="29"/>
      <c r="D91" s="29"/>
      <c r="E91" s="29"/>
      <c r="F91" s="29"/>
      <c r="G91" s="29"/>
      <c r="H91" s="29"/>
      <c r="I91" s="29"/>
      <c r="J91" s="29"/>
      <c r="K91" s="29"/>
    </row>
    <row r="92" spans="1:11">
      <c r="A92" s="29"/>
      <c r="B92" s="29"/>
      <c r="C92" s="29"/>
      <c r="D92" s="29"/>
      <c r="E92" s="29"/>
      <c r="F92" s="29"/>
      <c r="G92" s="29"/>
      <c r="H92" s="29"/>
      <c r="I92" s="29"/>
      <c r="J92" s="29"/>
      <c r="K92" s="29"/>
    </row>
    <row r="93" spans="1:11">
      <c r="A93" s="29"/>
      <c r="B93" s="29"/>
      <c r="C93" s="29"/>
      <c r="D93" s="29"/>
      <c r="E93" s="29"/>
      <c r="F93" s="29"/>
      <c r="G93" s="29"/>
      <c r="H93" s="29"/>
      <c r="I93" s="29"/>
      <c r="J93" s="29"/>
      <c r="K93" s="29"/>
    </row>
    <row r="94" spans="1:11">
      <c r="A94" s="29"/>
      <c r="B94" s="29"/>
      <c r="C94" s="29"/>
      <c r="D94" s="29"/>
      <c r="E94" s="29"/>
      <c r="F94" s="29"/>
      <c r="G94" s="29"/>
      <c r="H94" s="29"/>
      <c r="I94" s="29"/>
      <c r="J94" s="29"/>
      <c r="K94" s="29"/>
    </row>
    <row r="95" spans="1:11">
      <c r="A95" s="29"/>
      <c r="B95" s="29"/>
      <c r="C95" s="29"/>
      <c r="D95" s="29"/>
      <c r="E95" s="29"/>
      <c r="F95" s="29"/>
      <c r="G95" s="29"/>
      <c r="H95" s="29"/>
      <c r="I95" s="29"/>
      <c r="J95" s="29"/>
      <c r="K95" s="29"/>
    </row>
    <row r="96" spans="1:11">
      <c r="A96" s="29"/>
      <c r="B96" s="29"/>
      <c r="C96" s="29"/>
      <c r="D96" s="29"/>
      <c r="E96" s="29"/>
      <c r="F96" s="29"/>
      <c r="G96" s="29"/>
      <c r="H96" s="29"/>
      <c r="I96" s="29"/>
      <c r="J96" s="29"/>
      <c r="K96" s="29"/>
    </row>
    <row r="97" spans="1:11">
      <c r="A97" s="29"/>
      <c r="B97" s="29"/>
      <c r="C97" s="29"/>
      <c r="D97" s="29"/>
      <c r="E97" s="29"/>
      <c r="F97" s="29"/>
      <c r="G97" s="29"/>
      <c r="H97" s="29"/>
      <c r="I97" s="29"/>
      <c r="J97" s="29"/>
      <c r="K97" s="29"/>
    </row>
    <row r="98" spans="1:11">
      <c r="A98" s="29"/>
      <c r="B98" s="29"/>
      <c r="C98" s="29"/>
      <c r="D98" s="29"/>
      <c r="E98" s="29"/>
      <c r="F98" s="29"/>
      <c r="G98" s="29"/>
      <c r="H98" s="29"/>
      <c r="I98" s="29"/>
      <c r="J98" s="29"/>
      <c r="K98" s="29"/>
    </row>
    <row r="99" spans="1:11">
      <c r="A99" s="29"/>
      <c r="B99" s="29"/>
      <c r="C99" s="29"/>
      <c r="D99" s="29"/>
      <c r="E99" s="29"/>
      <c r="F99" s="29"/>
      <c r="G99" s="29"/>
      <c r="H99" s="29"/>
      <c r="I99" s="29"/>
      <c r="J99" s="29"/>
      <c r="K99" s="29"/>
    </row>
    <row r="100" spans="1:11">
      <c r="A100" s="29"/>
      <c r="B100" s="29"/>
      <c r="C100" s="29"/>
      <c r="D100" s="29"/>
      <c r="E100" s="29"/>
      <c r="F100" s="29"/>
      <c r="G100" s="29"/>
      <c r="H100" s="29"/>
      <c r="I100" s="29"/>
      <c r="J100" s="29"/>
      <c r="K100" s="29"/>
    </row>
    <row r="101" spans="1:11">
      <c r="A101" s="29"/>
      <c r="B101" s="29"/>
      <c r="C101" s="29"/>
      <c r="D101" s="29"/>
      <c r="E101" s="29"/>
      <c r="F101" s="29"/>
      <c r="G101" s="29"/>
      <c r="H101" s="29"/>
      <c r="I101" s="29"/>
      <c r="J101" s="29"/>
      <c r="K101" s="29"/>
    </row>
    <row r="102" spans="1:11">
      <c r="A102" s="29"/>
      <c r="B102" s="29"/>
      <c r="C102" s="29"/>
      <c r="D102" s="29"/>
      <c r="E102" s="29"/>
      <c r="F102" s="29"/>
      <c r="G102" s="29"/>
      <c r="H102" s="29"/>
      <c r="I102" s="29"/>
      <c r="J102" s="29"/>
      <c r="K102" s="29"/>
    </row>
    <row r="103" spans="1:11">
      <c r="A103" s="29"/>
      <c r="B103" s="29"/>
      <c r="C103" s="29"/>
      <c r="D103" s="29"/>
      <c r="E103" s="29"/>
      <c r="F103" s="29"/>
      <c r="G103" s="29"/>
      <c r="H103" s="29"/>
      <c r="I103" s="29"/>
      <c r="J103" s="29"/>
      <c r="K103" s="29"/>
    </row>
    <row r="104" spans="1:11">
      <c r="A104" s="29"/>
      <c r="B104" s="29"/>
      <c r="C104" s="29"/>
      <c r="D104" s="29"/>
      <c r="E104" s="29"/>
      <c r="F104" s="29"/>
      <c r="G104" s="29"/>
      <c r="H104" s="29"/>
      <c r="I104" s="29"/>
      <c r="J104" s="29"/>
      <c r="K104" s="29"/>
    </row>
    <row r="105" spans="1:11">
      <c r="A105" s="29"/>
      <c r="B105" s="29"/>
      <c r="C105" s="29"/>
      <c r="D105" s="29"/>
      <c r="E105" s="29"/>
      <c r="F105" s="29"/>
      <c r="G105" s="29"/>
      <c r="H105" s="29"/>
      <c r="I105" s="29"/>
      <c r="J105" s="29"/>
      <c r="K105" s="29"/>
    </row>
    <row r="106" spans="1:11">
      <c r="A106" s="29"/>
      <c r="B106" s="29"/>
      <c r="C106" s="29"/>
      <c r="D106" s="29"/>
      <c r="E106" s="29"/>
      <c r="F106" s="29"/>
      <c r="G106" s="29"/>
      <c r="H106" s="29"/>
      <c r="I106" s="29"/>
      <c r="J106" s="29"/>
      <c r="K106" s="29"/>
    </row>
    <row r="107" spans="1:11">
      <c r="A107" s="29"/>
      <c r="B107" s="29"/>
      <c r="C107" s="29"/>
      <c r="D107" s="29"/>
      <c r="E107" s="29"/>
      <c r="F107" s="29"/>
      <c r="G107" s="29"/>
      <c r="H107" s="29"/>
      <c r="I107" s="29"/>
      <c r="J107" s="29"/>
      <c r="K107" s="29"/>
    </row>
    <row r="108" spans="1:11">
      <c r="A108" s="29"/>
      <c r="B108" s="29"/>
      <c r="C108" s="29"/>
      <c r="D108" s="29"/>
      <c r="E108" s="29"/>
      <c r="F108" s="29"/>
      <c r="G108" s="29"/>
      <c r="H108" s="29"/>
      <c r="I108" s="29"/>
      <c r="J108" s="29"/>
      <c r="K108" s="29"/>
    </row>
    <row r="109" spans="1:11">
      <c r="A109" s="29"/>
      <c r="B109" s="29"/>
      <c r="C109" s="29"/>
      <c r="D109" s="29"/>
      <c r="E109" s="29"/>
      <c r="F109" s="29"/>
      <c r="G109" s="29"/>
      <c r="H109" s="29"/>
      <c r="I109" s="29"/>
      <c r="J109" s="29"/>
      <c r="K109" s="29"/>
    </row>
    <row r="110" spans="1:11">
      <c r="A110" s="29"/>
      <c r="B110" s="29"/>
      <c r="C110" s="29"/>
      <c r="D110" s="29"/>
      <c r="E110" s="29"/>
      <c r="F110" s="29"/>
      <c r="G110" s="29"/>
      <c r="H110" s="29"/>
      <c r="I110" s="29"/>
      <c r="J110" s="29"/>
      <c r="K110" s="29"/>
    </row>
    <row r="111" spans="1:11">
      <c r="A111" s="29"/>
      <c r="B111" s="29"/>
      <c r="C111" s="29"/>
      <c r="D111" s="29"/>
      <c r="E111" s="29"/>
      <c r="F111" s="29"/>
      <c r="G111" s="29"/>
      <c r="H111" s="29"/>
      <c r="I111" s="29"/>
      <c r="J111" s="29"/>
      <c r="K111" s="29"/>
    </row>
    <row r="112" spans="1:11">
      <c r="A112" s="29"/>
      <c r="B112" s="29"/>
      <c r="C112" s="29"/>
      <c r="D112" s="29"/>
      <c r="E112" s="29"/>
      <c r="F112" s="29"/>
      <c r="G112" s="29"/>
      <c r="H112" s="29"/>
      <c r="I112" s="29"/>
      <c r="J112" s="29"/>
      <c r="K112" s="29"/>
    </row>
    <row r="113" spans="1:11">
      <c r="A113" s="29"/>
      <c r="B113" s="29"/>
      <c r="C113" s="29"/>
      <c r="D113" s="29"/>
      <c r="E113" s="29"/>
      <c r="F113" s="29"/>
      <c r="G113" s="29"/>
      <c r="H113" s="29"/>
      <c r="I113" s="29"/>
      <c r="J113" s="29"/>
      <c r="K113" s="29"/>
    </row>
    <row r="114" spans="1:11">
      <c r="A114" s="29"/>
      <c r="B114" s="29"/>
      <c r="C114" s="29"/>
      <c r="D114" s="29"/>
      <c r="E114" s="29"/>
      <c r="F114" s="29"/>
      <c r="G114" s="29"/>
      <c r="H114" s="29"/>
      <c r="I114" s="29"/>
      <c r="J114" s="29"/>
      <c r="K114" s="29"/>
    </row>
    <row r="115" spans="1:11">
      <c r="A115" s="29"/>
      <c r="B115" s="29"/>
      <c r="C115" s="29"/>
      <c r="D115" s="29"/>
      <c r="E115" s="29"/>
      <c r="F115" s="29"/>
      <c r="G115" s="29"/>
      <c r="H115" s="29"/>
      <c r="I115" s="29"/>
      <c r="J115" s="29"/>
      <c r="K115" s="29"/>
    </row>
    <row r="116" spans="1:11">
      <c r="A116" s="29"/>
      <c r="B116" s="29"/>
      <c r="C116" s="29"/>
      <c r="D116" s="29"/>
      <c r="E116" s="29"/>
      <c r="F116" s="29"/>
      <c r="G116" s="29"/>
      <c r="H116" s="29"/>
      <c r="I116" s="29"/>
      <c r="J116" s="29"/>
      <c r="K116" s="29"/>
    </row>
    <row r="117" spans="1:11">
      <c r="A117" s="29"/>
      <c r="B117" s="29"/>
      <c r="C117" s="29"/>
      <c r="D117" s="29"/>
      <c r="E117" s="29"/>
      <c r="F117" s="29"/>
      <c r="G117" s="29"/>
      <c r="H117" s="29"/>
      <c r="I117" s="29"/>
      <c r="J117" s="29"/>
      <c r="K117" s="29"/>
    </row>
    <row r="118" spans="1:11">
      <c r="A118" s="29"/>
      <c r="B118" s="29"/>
      <c r="C118" s="29"/>
      <c r="D118" s="29"/>
      <c r="E118" s="29"/>
      <c r="F118" s="29"/>
      <c r="G118" s="29"/>
      <c r="H118" s="29"/>
      <c r="I118" s="29"/>
      <c r="J118" s="29"/>
      <c r="K118" s="29"/>
    </row>
    <row r="119" spans="1:11">
      <c r="A119" s="29"/>
      <c r="B119" s="29"/>
      <c r="C119" s="29"/>
      <c r="D119" s="29"/>
      <c r="E119" s="29"/>
      <c r="F119" s="29"/>
      <c r="G119" s="29"/>
      <c r="H119" s="29"/>
      <c r="I119" s="29"/>
      <c r="J119" s="29"/>
      <c r="K119" s="29"/>
    </row>
    <row r="120" spans="1:11">
      <c r="A120" s="29"/>
      <c r="B120" s="29"/>
      <c r="C120" s="29"/>
      <c r="D120" s="29"/>
      <c r="E120" s="29"/>
      <c r="F120" s="29"/>
      <c r="G120" s="29"/>
      <c r="H120" s="29"/>
      <c r="I120" s="29"/>
      <c r="J120" s="29"/>
      <c r="K120" s="29"/>
    </row>
    <row r="121" spans="1:11">
      <c r="A121" s="29"/>
      <c r="B121" s="29"/>
      <c r="C121" s="29"/>
      <c r="D121" s="29"/>
      <c r="E121" s="29"/>
      <c r="F121" s="29"/>
      <c r="G121" s="29"/>
      <c r="H121" s="29"/>
      <c r="I121" s="29"/>
      <c r="J121" s="29"/>
      <c r="K121" s="29"/>
    </row>
    <row r="122" spans="1:11">
      <c r="A122" s="29"/>
      <c r="B122" s="29"/>
      <c r="C122" s="29"/>
      <c r="D122" s="29"/>
      <c r="E122" s="29"/>
      <c r="F122" s="29"/>
      <c r="G122" s="29"/>
      <c r="H122" s="29"/>
      <c r="I122" s="29"/>
      <c r="J122" s="29"/>
      <c r="K122" s="29"/>
    </row>
    <row r="123" spans="1:11">
      <c r="A123" s="29"/>
      <c r="B123" s="29"/>
      <c r="C123" s="29"/>
      <c r="D123" s="29"/>
      <c r="E123" s="29"/>
      <c r="F123" s="29"/>
      <c r="G123" s="29"/>
      <c r="H123" s="29"/>
      <c r="I123" s="29"/>
      <c r="J123" s="29"/>
      <c r="K123" s="29"/>
    </row>
    <row r="124" spans="1:11">
      <c r="A124" s="29"/>
      <c r="B124" s="29"/>
      <c r="C124" s="29"/>
      <c r="D124" s="29"/>
      <c r="E124" s="29"/>
      <c r="F124" s="29"/>
      <c r="G124" s="29"/>
      <c r="H124" s="29"/>
      <c r="I124" s="29"/>
      <c r="J124" s="29"/>
      <c r="K124" s="29"/>
    </row>
    <row r="125" spans="1:11">
      <c r="A125" s="29"/>
      <c r="B125" s="29"/>
      <c r="C125" s="29"/>
      <c r="D125" s="29"/>
      <c r="E125" s="29"/>
      <c r="F125" s="29"/>
      <c r="G125" s="29"/>
      <c r="H125" s="29"/>
      <c r="I125" s="29"/>
      <c r="J125" s="29"/>
      <c r="K125" s="29"/>
    </row>
    <row r="126" spans="1:11">
      <c r="A126" s="29"/>
      <c r="B126" s="29"/>
      <c r="C126" s="29"/>
      <c r="D126" s="29"/>
      <c r="E126" s="29"/>
      <c r="F126" s="29"/>
      <c r="G126" s="29"/>
      <c r="H126" s="29"/>
      <c r="I126" s="29"/>
      <c r="J126" s="29"/>
      <c r="K126" s="29"/>
    </row>
    <row r="127" spans="1:11">
      <c r="A127" s="29"/>
      <c r="B127" s="29"/>
      <c r="C127" s="29"/>
      <c r="D127" s="29"/>
      <c r="E127" s="29"/>
      <c r="F127" s="29"/>
      <c r="G127" s="29"/>
      <c r="H127" s="29"/>
      <c r="I127" s="29"/>
      <c r="J127" s="29"/>
      <c r="K127" s="29"/>
    </row>
    <row r="128" spans="1:11">
      <c r="A128" s="29"/>
      <c r="B128" s="29"/>
      <c r="C128" s="29"/>
      <c r="D128" s="29"/>
      <c r="E128" s="29"/>
      <c r="F128" s="29"/>
      <c r="G128" s="29"/>
      <c r="H128" s="29"/>
      <c r="I128" s="29"/>
      <c r="J128" s="29"/>
      <c r="K128" s="29"/>
    </row>
    <row r="129" spans="1:11">
      <c r="A129" s="29"/>
      <c r="B129" s="29"/>
      <c r="C129" s="29"/>
      <c r="D129" s="29"/>
      <c r="E129" s="29"/>
      <c r="F129" s="29"/>
      <c r="G129" s="29"/>
      <c r="H129" s="29"/>
      <c r="I129" s="29"/>
      <c r="J129" s="29"/>
      <c r="K129" s="29"/>
    </row>
    <row r="130" spans="1:11">
      <c r="A130" s="29"/>
      <c r="B130" s="29"/>
      <c r="C130" s="29"/>
      <c r="D130" s="29"/>
      <c r="E130" s="29"/>
      <c r="F130" s="29"/>
      <c r="G130" s="29"/>
      <c r="H130" s="29"/>
      <c r="I130" s="29"/>
      <c r="J130" s="29"/>
      <c r="K130" s="29"/>
    </row>
    <row r="131" spans="1:11">
      <c r="A131" s="29"/>
      <c r="B131" s="29"/>
      <c r="C131" s="29"/>
      <c r="D131" s="29"/>
      <c r="E131" s="29"/>
      <c r="F131" s="29"/>
      <c r="G131" s="29"/>
      <c r="H131" s="29"/>
      <c r="I131" s="29"/>
      <c r="J131" s="29"/>
      <c r="K131" s="29"/>
    </row>
    <row r="132" spans="1:11">
      <c r="A132" s="29"/>
      <c r="B132" s="29"/>
      <c r="C132" s="29"/>
      <c r="D132" s="29"/>
      <c r="E132" s="29"/>
      <c r="F132" s="29"/>
      <c r="G132" s="29"/>
      <c r="H132" s="29"/>
      <c r="I132" s="29"/>
      <c r="J132" s="29"/>
      <c r="K132" s="29"/>
    </row>
    <row r="133" spans="1:11">
      <c r="A133" s="29"/>
      <c r="B133" s="29"/>
      <c r="C133" s="29"/>
      <c r="D133" s="29"/>
      <c r="E133" s="29"/>
      <c r="F133" s="29"/>
      <c r="G133" s="29"/>
      <c r="H133" s="29"/>
      <c r="I133" s="29"/>
      <c r="J133" s="29"/>
      <c r="K133" s="29"/>
    </row>
    <row r="134" spans="1:11">
      <c r="A134" s="29"/>
      <c r="B134" s="29"/>
      <c r="C134" s="29"/>
      <c r="D134" s="29"/>
      <c r="E134" s="29"/>
      <c r="F134" s="29"/>
      <c r="G134" s="29"/>
      <c r="H134" s="29"/>
      <c r="I134" s="29"/>
      <c r="J134" s="29"/>
      <c r="K134" s="29"/>
    </row>
    <row r="135" spans="1:11">
      <c r="A135" s="29"/>
      <c r="B135" s="29"/>
      <c r="C135" s="29"/>
      <c r="D135" s="29"/>
      <c r="E135" s="29"/>
      <c r="F135" s="29"/>
      <c r="G135" s="29"/>
      <c r="H135" s="29"/>
      <c r="I135" s="29"/>
      <c r="J135" s="29"/>
      <c r="K135" s="29"/>
    </row>
    <row r="136" spans="1:11">
      <c r="A136" s="29"/>
      <c r="B136" s="29"/>
      <c r="C136" s="29"/>
      <c r="D136" s="29"/>
      <c r="E136" s="29"/>
      <c r="F136" s="29"/>
      <c r="G136" s="29"/>
      <c r="H136" s="29"/>
      <c r="I136" s="29"/>
      <c r="J136" s="29"/>
      <c r="K136" s="29"/>
    </row>
    <row r="137" spans="1:11">
      <c r="A137" s="29"/>
      <c r="B137" s="29"/>
      <c r="C137" s="29"/>
      <c r="D137" s="29"/>
      <c r="E137" s="29"/>
      <c r="F137" s="29"/>
      <c r="G137" s="29"/>
      <c r="H137" s="29"/>
      <c r="I137" s="29"/>
      <c r="J137" s="29"/>
      <c r="K137" s="29"/>
    </row>
    <row r="138" spans="1:11">
      <c r="A138" s="29"/>
      <c r="B138" s="29"/>
      <c r="C138" s="29"/>
      <c r="D138" s="29"/>
      <c r="E138" s="29"/>
      <c r="F138" s="29"/>
      <c r="G138" s="29"/>
      <c r="H138" s="29"/>
      <c r="I138" s="29"/>
      <c r="J138" s="29"/>
      <c r="K138" s="29"/>
    </row>
    <row r="139" spans="1:11">
      <c r="A139" s="29"/>
      <c r="B139" s="29"/>
      <c r="C139" s="29"/>
      <c r="D139" s="29"/>
      <c r="E139" s="29"/>
      <c r="F139" s="29"/>
      <c r="G139" s="29"/>
      <c r="H139" s="29"/>
      <c r="I139" s="29"/>
      <c r="J139" s="29"/>
      <c r="K139" s="29"/>
    </row>
    <row r="140" spans="1:11">
      <c r="A140" s="29"/>
      <c r="B140" s="29"/>
      <c r="C140" s="29"/>
      <c r="D140" s="29"/>
      <c r="E140" s="29"/>
      <c r="F140" s="29"/>
      <c r="G140" s="29"/>
      <c r="H140" s="29"/>
      <c r="I140" s="29"/>
      <c r="J140" s="29"/>
      <c r="K140" s="29"/>
    </row>
    <row r="141" spans="1:11">
      <c r="A141" s="29"/>
      <c r="B141" s="29"/>
      <c r="C141" s="29"/>
      <c r="D141" s="29"/>
      <c r="E141" s="29"/>
      <c r="F141" s="29"/>
      <c r="G141" s="29"/>
      <c r="H141" s="29"/>
      <c r="I141" s="29"/>
      <c r="J141" s="29"/>
      <c r="K141" s="29"/>
    </row>
    <row r="142" spans="1:11">
      <c r="A142" s="29"/>
      <c r="B142" s="29"/>
      <c r="C142" s="29"/>
      <c r="D142" s="29"/>
      <c r="E142" s="29"/>
      <c r="F142" s="29"/>
      <c r="G142" s="29"/>
      <c r="H142" s="29"/>
      <c r="I142" s="29"/>
      <c r="J142" s="29"/>
      <c r="K142" s="29"/>
    </row>
    <row r="143" spans="1:11">
      <c r="A143" s="29"/>
      <c r="B143" s="29"/>
      <c r="C143" s="29"/>
      <c r="D143" s="29"/>
      <c r="E143" s="29"/>
      <c r="F143" s="29"/>
      <c r="G143" s="29"/>
      <c r="H143" s="29"/>
      <c r="I143" s="29"/>
      <c r="J143" s="29"/>
      <c r="K143" s="29"/>
    </row>
    <row r="144" spans="1:11">
      <c r="A144" s="29"/>
      <c r="B144" s="29"/>
      <c r="C144" s="29"/>
      <c r="D144" s="29"/>
      <c r="E144" s="29"/>
      <c r="F144" s="29"/>
      <c r="G144" s="29"/>
      <c r="H144" s="29"/>
      <c r="I144" s="29"/>
      <c r="J144" s="29"/>
      <c r="K144" s="29"/>
    </row>
    <row r="145" spans="1:11">
      <c r="A145" s="29"/>
      <c r="B145" s="29"/>
      <c r="C145" s="29"/>
      <c r="D145" s="29"/>
      <c r="E145" s="29"/>
      <c r="F145" s="29"/>
      <c r="G145" s="29"/>
      <c r="H145" s="29"/>
      <c r="I145" s="29"/>
      <c r="J145" s="29"/>
      <c r="K145" s="29"/>
    </row>
    <row r="146" spans="1:11">
      <c r="A146" s="29"/>
      <c r="B146" s="29"/>
      <c r="C146" s="29"/>
      <c r="D146" s="29"/>
      <c r="E146" s="29"/>
      <c r="F146" s="29"/>
      <c r="G146" s="29"/>
      <c r="H146" s="29"/>
      <c r="I146" s="29"/>
      <c r="J146" s="29"/>
      <c r="K146" s="29"/>
    </row>
    <row r="147" spans="1:11">
      <c r="A147" s="29"/>
      <c r="B147" s="29"/>
      <c r="C147" s="29"/>
      <c r="D147" s="29"/>
      <c r="E147" s="29"/>
      <c r="F147" s="29"/>
      <c r="G147" s="29"/>
      <c r="H147" s="29"/>
      <c r="I147" s="29"/>
      <c r="J147" s="29"/>
      <c r="K147" s="29"/>
    </row>
    <row r="148" spans="1:11">
      <c r="A148" s="29"/>
      <c r="B148" s="29"/>
      <c r="C148" s="29"/>
      <c r="D148" s="29"/>
      <c r="E148" s="29"/>
      <c r="F148" s="29"/>
      <c r="G148" s="29"/>
      <c r="H148" s="29"/>
      <c r="I148" s="29"/>
      <c r="J148" s="29"/>
      <c r="K148" s="29"/>
    </row>
    <row r="149" spans="1:11">
      <c r="A149" s="29"/>
      <c r="B149" s="29"/>
      <c r="C149" s="29"/>
      <c r="D149" s="29"/>
      <c r="E149" s="29"/>
      <c r="F149" s="29"/>
      <c r="G149" s="29"/>
      <c r="H149" s="29"/>
      <c r="I149" s="29"/>
      <c r="J149" s="29"/>
      <c r="K149" s="29"/>
    </row>
    <row r="150" spans="1:11">
      <c r="A150" s="29"/>
      <c r="B150" s="29"/>
      <c r="C150" s="29"/>
      <c r="D150" s="29"/>
      <c r="E150" s="29"/>
      <c r="F150" s="29"/>
      <c r="G150" s="29"/>
      <c r="H150" s="29"/>
      <c r="I150" s="29"/>
      <c r="J150" s="29"/>
      <c r="K150" s="29"/>
    </row>
    <row r="151" spans="1:11">
      <c r="A151" s="29"/>
      <c r="B151" s="29"/>
      <c r="C151" s="29"/>
      <c r="D151" s="29"/>
      <c r="E151" s="29"/>
      <c r="F151" s="29"/>
      <c r="G151" s="29"/>
      <c r="H151" s="29"/>
      <c r="I151" s="29"/>
      <c r="J151" s="29"/>
      <c r="K151" s="29"/>
    </row>
    <row r="152" spans="1:11">
      <c r="A152" s="29"/>
      <c r="B152" s="29"/>
      <c r="C152" s="29"/>
      <c r="D152" s="29"/>
      <c r="E152" s="29"/>
      <c r="F152" s="29"/>
      <c r="G152" s="29"/>
      <c r="H152" s="29"/>
      <c r="I152" s="29"/>
      <c r="J152" s="29"/>
      <c r="K152" s="29"/>
    </row>
    <row r="153" spans="1:11">
      <c r="A153" s="29"/>
      <c r="B153" s="29"/>
      <c r="C153" s="29"/>
      <c r="D153" s="29"/>
      <c r="E153" s="29"/>
      <c r="F153" s="29"/>
      <c r="G153" s="29"/>
      <c r="H153" s="29"/>
      <c r="I153" s="29"/>
      <c r="J153" s="29"/>
      <c r="K153" s="29"/>
    </row>
    <row r="154" spans="1:11">
      <c r="A154" s="29"/>
      <c r="B154" s="29"/>
      <c r="C154" s="29"/>
      <c r="D154" s="29"/>
      <c r="E154" s="29"/>
      <c r="F154" s="29"/>
      <c r="G154" s="29"/>
      <c r="H154" s="29"/>
      <c r="I154" s="29"/>
      <c r="J154" s="29"/>
      <c r="K154" s="29"/>
    </row>
    <row r="155" spans="1:11">
      <c r="A155" s="29"/>
      <c r="B155" s="29"/>
      <c r="C155" s="29"/>
      <c r="D155" s="29"/>
      <c r="E155" s="29"/>
      <c r="F155" s="29"/>
      <c r="G155" s="29"/>
      <c r="H155" s="29"/>
      <c r="I155" s="29"/>
      <c r="J155" s="29"/>
      <c r="K155" s="29"/>
    </row>
    <row r="156" spans="1:11">
      <c r="A156" s="29"/>
      <c r="B156" s="29"/>
      <c r="C156" s="29"/>
      <c r="D156" s="29"/>
      <c r="E156" s="29"/>
      <c r="F156" s="29"/>
      <c r="G156" s="29"/>
      <c r="H156" s="29"/>
      <c r="I156" s="29"/>
      <c r="J156" s="29"/>
      <c r="K156" s="29"/>
    </row>
    <row r="157" spans="1:11">
      <c r="A157" s="29"/>
      <c r="B157" s="29"/>
      <c r="C157" s="29"/>
      <c r="D157" s="29"/>
      <c r="E157" s="29"/>
      <c r="F157" s="29"/>
      <c r="G157" s="29"/>
      <c r="H157" s="29"/>
      <c r="I157" s="29"/>
      <c r="J157" s="29"/>
      <c r="K157" s="29"/>
    </row>
    <row r="158" spans="1:11">
      <c r="A158" s="29"/>
      <c r="B158" s="29"/>
      <c r="C158" s="29"/>
      <c r="D158" s="29"/>
      <c r="E158" s="29"/>
      <c r="F158" s="29"/>
      <c r="G158" s="29"/>
      <c r="H158" s="29"/>
      <c r="I158" s="29"/>
      <c r="J158" s="29"/>
      <c r="K158" s="29"/>
    </row>
    <row r="159" spans="1:11">
      <c r="A159" s="29"/>
      <c r="B159" s="29"/>
      <c r="C159" s="29"/>
      <c r="D159" s="29"/>
      <c r="E159" s="29"/>
      <c r="F159" s="29"/>
      <c r="G159" s="29"/>
      <c r="H159" s="29"/>
      <c r="I159" s="29"/>
      <c r="J159" s="29"/>
      <c r="K159" s="29"/>
    </row>
    <row r="160" spans="1:11">
      <c r="A160" s="29"/>
      <c r="B160" s="29"/>
      <c r="C160" s="29"/>
      <c r="D160" s="29"/>
      <c r="E160" s="29"/>
      <c r="F160" s="29"/>
      <c r="G160" s="29"/>
      <c r="H160" s="29"/>
      <c r="I160" s="29"/>
      <c r="J160" s="29"/>
      <c r="K160" s="29"/>
    </row>
    <row r="161" spans="1:11">
      <c r="A161" s="29"/>
      <c r="B161" s="29"/>
      <c r="C161" s="29"/>
      <c r="D161" s="29"/>
      <c r="E161" s="29"/>
      <c r="F161" s="29"/>
      <c r="G161" s="29"/>
      <c r="H161" s="29"/>
      <c r="I161" s="29"/>
      <c r="J161" s="29"/>
      <c r="K161" s="29"/>
    </row>
    <row r="162" spans="1:11">
      <c r="A162" s="29"/>
      <c r="B162" s="29"/>
      <c r="C162" s="29"/>
      <c r="D162" s="29"/>
      <c r="E162" s="29"/>
      <c r="F162" s="29"/>
      <c r="G162" s="29"/>
      <c r="H162" s="29"/>
      <c r="I162" s="29"/>
      <c r="J162" s="29"/>
      <c r="K162" s="29"/>
    </row>
    <row r="163" spans="1:11">
      <c r="A163" s="29"/>
      <c r="B163" s="29"/>
      <c r="C163" s="29"/>
      <c r="D163" s="29"/>
      <c r="E163" s="29"/>
      <c r="F163" s="29"/>
      <c r="G163" s="29"/>
      <c r="H163" s="29"/>
      <c r="I163" s="29"/>
      <c r="J163" s="29"/>
      <c r="K163" s="29"/>
    </row>
    <row r="164" spans="1:11">
      <c r="A164" s="29"/>
      <c r="B164" s="29"/>
      <c r="C164" s="29"/>
      <c r="D164" s="29"/>
      <c r="E164" s="29"/>
      <c r="F164" s="29"/>
      <c r="G164" s="29"/>
      <c r="H164" s="29"/>
      <c r="I164" s="29"/>
      <c r="J164" s="29"/>
      <c r="K164" s="29"/>
    </row>
    <row r="165" spans="1:11">
      <c r="A165" s="29"/>
      <c r="B165" s="29"/>
      <c r="C165" s="29"/>
      <c r="D165" s="29"/>
      <c r="E165" s="29"/>
      <c r="F165" s="29"/>
      <c r="G165" s="29"/>
      <c r="H165" s="29"/>
      <c r="I165" s="29"/>
      <c r="J165" s="29"/>
      <c r="K165" s="29"/>
    </row>
    <row r="166" spans="1:11">
      <c r="A166" s="29"/>
      <c r="B166" s="29"/>
      <c r="C166" s="29"/>
      <c r="D166" s="29"/>
      <c r="E166" s="29"/>
      <c r="F166" s="29"/>
      <c r="G166" s="29"/>
      <c r="H166" s="29"/>
      <c r="I166" s="29"/>
      <c r="J166" s="29"/>
      <c r="K166" s="29"/>
    </row>
    <row r="167" spans="1:11">
      <c r="A167" s="29"/>
      <c r="B167" s="29"/>
      <c r="C167" s="29"/>
      <c r="D167" s="29"/>
      <c r="E167" s="29"/>
      <c r="F167" s="29"/>
      <c r="G167" s="29"/>
      <c r="H167" s="29"/>
      <c r="I167" s="29"/>
      <c r="J167" s="29"/>
      <c r="K167" s="29"/>
    </row>
    <row r="168" spans="1:11">
      <c r="A168" s="29"/>
      <c r="B168" s="29"/>
      <c r="C168" s="29"/>
      <c r="D168" s="29"/>
      <c r="E168" s="29"/>
      <c r="F168" s="29"/>
      <c r="G168" s="29"/>
      <c r="H168" s="29"/>
      <c r="I168" s="29"/>
      <c r="J168" s="29"/>
      <c r="K168" s="29"/>
    </row>
    <row r="169" spans="1:11">
      <c r="A169" s="29"/>
      <c r="B169" s="29"/>
      <c r="C169" s="29"/>
      <c r="D169" s="29"/>
      <c r="E169" s="29"/>
      <c r="F169" s="29"/>
      <c r="G169" s="29"/>
      <c r="H169" s="29"/>
      <c r="I169" s="29"/>
      <c r="J169" s="29"/>
      <c r="K169" s="29"/>
    </row>
    <row r="170" spans="1:11">
      <c r="A170" s="29"/>
      <c r="B170" s="29"/>
      <c r="C170" s="29"/>
      <c r="D170" s="29"/>
      <c r="E170" s="29"/>
      <c r="F170" s="29"/>
      <c r="G170" s="29"/>
      <c r="H170" s="29"/>
      <c r="I170" s="29"/>
      <c r="J170" s="29"/>
      <c r="K170" s="29"/>
    </row>
    <row r="171" spans="1:11">
      <c r="A171" s="29"/>
      <c r="B171" s="29"/>
      <c r="C171" s="29"/>
      <c r="D171" s="29"/>
      <c r="E171" s="29"/>
      <c r="F171" s="29"/>
      <c r="G171" s="29"/>
      <c r="H171" s="29"/>
      <c r="I171" s="29"/>
      <c r="J171" s="29"/>
      <c r="K171" s="29"/>
    </row>
    <row r="172" spans="1:11">
      <c r="A172" s="29"/>
      <c r="B172" s="29"/>
      <c r="C172" s="29"/>
      <c r="D172" s="29"/>
      <c r="E172" s="29"/>
      <c r="F172" s="29"/>
      <c r="G172" s="29"/>
      <c r="H172" s="29"/>
      <c r="I172" s="29"/>
      <c r="J172" s="29"/>
      <c r="K172" s="29"/>
    </row>
    <row r="173" spans="1:11">
      <c r="A173" s="29"/>
      <c r="B173" s="29"/>
      <c r="C173" s="29"/>
      <c r="D173" s="29"/>
      <c r="E173" s="29"/>
      <c r="F173" s="29"/>
      <c r="G173" s="29"/>
      <c r="H173" s="29"/>
      <c r="I173" s="29"/>
      <c r="J173" s="29"/>
      <c r="K173" s="29"/>
    </row>
    <row r="174" spans="1:11">
      <c r="A174" s="29"/>
      <c r="B174" s="29"/>
      <c r="C174" s="29"/>
      <c r="D174" s="29"/>
      <c r="E174" s="29"/>
      <c r="F174" s="29"/>
      <c r="G174" s="29"/>
      <c r="H174" s="29"/>
      <c r="I174" s="29"/>
      <c r="J174" s="29"/>
      <c r="K174" s="29"/>
    </row>
    <row r="175" spans="1:11">
      <c r="A175" s="29"/>
      <c r="B175" s="29"/>
      <c r="C175" s="29"/>
      <c r="D175" s="29"/>
      <c r="E175" s="29"/>
      <c r="F175" s="29"/>
      <c r="G175" s="29"/>
      <c r="H175" s="29"/>
      <c r="I175" s="29"/>
      <c r="J175" s="29"/>
      <c r="K175" s="29"/>
    </row>
    <row r="176" spans="1:11">
      <c r="A176" s="29"/>
      <c r="B176" s="29"/>
      <c r="C176" s="29"/>
      <c r="D176" s="29"/>
      <c r="E176" s="29"/>
      <c r="F176" s="29"/>
      <c r="G176" s="29"/>
      <c r="H176" s="29"/>
      <c r="I176" s="29"/>
      <c r="J176" s="29"/>
      <c r="K176" s="29"/>
    </row>
    <row r="177" spans="1:11">
      <c r="A177" s="29"/>
      <c r="B177" s="29"/>
      <c r="C177" s="29"/>
      <c r="D177" s="29"/>
      <c r="E177" s="29"/>
      <c r="F177" s="29"/>
      <c r="G177" s="29"/>
      <c r="H177" s="29"/>
      <c r="I177" s="29"/>
      <c r="J177" s="29"/>
      <c r="K177" s="29"/>
    </row>
    <row r="178" spans="1:11">
      <c r="A178" s="29"/>
      <c r="B178" s="29"/>
      <c r="C178" s="29"/>
      <c r="D178" s="29"/>
      <c r="E178" s="29"/>
      <c r="F178" s="29"/>
      <c r="G178" s="29"/>
      <c r="H178" s="29"/>
      <c r="I178" s="29"/>
      <c r="J178" s="29"/>
      <c r="K178" s="29"/>
    </row>
    <row r="179" spans="1:11">
      <c r="A179" s="29"/>
      <c r="B179" s="29"/>
      <c r="C179" s="29"/>
      <c r="D179" s="29"/>
      <c r="E179" s="29"/>
      <c r="F179" s="29"/>
      <c r="G179" s="29"/>
      <c r="H179" s="29"/>
      <c r="I179" s="29"/>
      <c r="J179" s="29"/>
      <c r="K179" s="29"/>
    </row>
    <row r="180" spans="1:11">
      <c r="A180" s="29"/>
      <c r="B180" s="29"/>
      <c r="C180" s="29"/>
      <c r="D180" s="29"/>
      <c r="E180" s="29"/>
      <c r="F180" s="29"/>
      <c r="G180" s="29"/>
      <c r="H180" s="29"/>
      <c r="I180" s="29"/>
      <c r="J180" s="29"/>
      <c r="K180" s="29"/>
    </row>
    <row r="181" spans="1:11">
      <c r="A181" s="29"/>
      <c r="B181" s="29"/>
      <c r="C181" s="29"/>
      <c r="D181" s="29"/>
      <c r="E181" s="29"/>
      <c r="F181" s="29"/>
      <c r="G181" s="29"/>
      <c r="H181" s="29"/>
      <c r="I181" s="29"/>
      <c r="J181" s="29"/>
      <c r="K181" s="29"/>
    </row>
    <row r="182" spans="1:11">
      <c r="A182" s="29"/>
      <c r="B182" s="29"/>
      <c r="C182" s="29"/>
      <c r="D182" s="29"/>
      <c r="E182" s="29"/>
      <c r="F182" s="29"/>
      <c r="G182" s="29"/>
      <c r="H182" s="29"/>
      <c r="I182" s="29"/>
      <c r="J182" s="29"/>
      <c r="K182" s="29"/>
    </row>
    <row r="183" spans="1:11">
      <c r="A183" s="29"/>
      <c r="B183" s="29"/>
      <c r="C183" s="29"/>
      <c r="D183" s="29"/>
      <c r="E183" s="29"/>
      <c r="F183" s="29"/>
      <c r="G183" s="29"/>
      <c r="H183" s="29"/>
      <c r="I183" s="29"/>
      <c r="J183" s="29"/>
      <c r="K183" s="29"/>
    </row>
    <row r="184" spans="1:11">
      <c r="A184" s="29"/>
      <c r="B184" s="29"/>
      <c r="C184" s="29"/>
      <c r="D184" s="29"/>
      <c r="E184" s="29"/>
      <c r="F184" s="29"/>
      <c r="G184" s="29"/>
      <c r="H184" s="29"/>
      <c r="I184" s="29"/>
      <c r="J184" s="29"/>
      <c r="K184" s="29"/>
    </row>
    <row r="185" spans="1:11">
      <c r="A185" s="29"/>
      <c r="B185" s="29"/>
      <c r="C185" s="29"/>
      <c r="D185" s="29"/>
      <c r="E185" s="29"/>
      <c r="F185" s="29"/>
      <c r="G185" s="29"/>
      <c r="H185" s="29"/>
      <c r="I185" s="29"/>
      <c r="J185" s="29"/>
      <c r="K185" s="29"/>
    </row>
    <row r="186" spans="1:11">
      <c r="A186" s="29"/>
      <c r="B186" s="29"/>
      <c r="C186" s="29"/>
      <c r="D186" s="29"/>
      <c r="E186" s="29"/>
      <c r="F186" s="29"/>
      <c r="G186" s="29"/>
      <c r="H186" s="29"/>
      <c r="I186" s="29"/>
      <c r="J186" s="29"/>
      <c r="K186" s="29"/>
    </row>
    <row r="187" spans="1:11">
      <c r="A187" s="29"/>
      <c r="B187" s="29"/>
      <c r="C187" s="29"/>
      <c r="D187" s="29"/>
      <c r="E187" s="29"/>
      <c r="F187" s="29"/>
      <c r="G187" s="29"/>
      <c r="H187" s="29"/>
      <c r="I187" s="29"/>
      <c r="J187" s="29"/>
      <c r="K187" s="29"/>
    </row>
    <row r="188" spans="1:11">
      <c r="A188" s="29"/>
      <c r="B188" s="29"/>
      <c r="C188" s="29"/>
      <c r="D188" s="29"/>
      <c r="E188" s="29"/>
      <c r="F188" s="29"/>
      <c r="G188" s="29"/>
      <c r="H188" s="29"/>
      <c r="I188" s="29"/>
      <c r="J188" s="29"/>
      <c r="K188" s="29"/>
    </row>
    <row r="189" spans="1:11">
      <c r="A189" s="29"/>
      <c r="B189" s="29"/>
      <c r="C189" s="29"/>
      <c r="D189" s="29"/>
      <c r="E189" s="29"/>
      <c r="F189" s="29"/>
      <c r="G189" s="29"/>
      <c r="H189" s="29"/>
      <c r="I189" s="29"/>
      <c r="J189" s="29"/>
      <c r="K189" s="29"/>
    </row>
    <row r="190" spans="1:11">
      <c r="A190" s="29"/>
      <c r="B190" s="29"/>
      <c r="C190" s="29"/>
      <c r="D190" s="29"/>
      <c r="E190" s="29"/>
      <c r="F190" s="29"/>
      <c r="G190" s="29"/>
      <c r="H190" s="29"/>
      <c r="I190" s="29"/>
      <c r="J190" s="29"/>
      <c r="K190" s="29"/>
    </row>
    <row r="191" spans="1:11">
      <c r="A191" s="29"/>
      <c r="B191" s="29"/>
      <c r="C191" s="29"/>
      <c r="D191" s="29"/>
      <c r="E191" s="29"/>
      <c r="F191" s="29"/>
      <c r="G191" s="29"/>
      <c r="H191" s="29"/>
      <c r="I191" s="29"/>
      <c r="J191" s="29"/>
      <c r="K191" s="29"/>
    </row>
    <row r="192" spans="1:11">
      <c r="A192" s="29"/>
      <c r="B192" s="29"/>
      <c r="C192" s="29"/>
      <c r="D192" s="29"/>
      <c r="E192" s="29"/>
      <c r="F192" s="29"/>
      <c r="G192" s="29"/>
      <c r="H192" s="29"/>
      <c r="I192" s="29"/>
      <c r="J192" s="29"/>
      <c r="K192" s="29"/>
    </row>
    <row r="193" spans="1:11">
      <c r="A193" s="29"/>
      <c r="B193" s="29"/>
      <c r="C193" s="29"/>
      <c r="D193" s="29"/>
      <c r="E193" s="29"/>
      <c r="F193" s="29"/>
      <c r="G193" s="29"/>
      <c r="H193" s="29"/>
      <c r="I193" s="29"/>
      <c r="J193" s="29"/>
      <c r="K193" s="29"/>
    </row>
    <row r="194" spans="1:11">
      <c r="A194" s="29"/>
      <c r="B194" s="29"/>
      <c r="C194" s="29"/>
      <c r="D194" s="29"/>
      <c r="E194" s="29"/>
      <c r="F194" s="29"/>
      <c r="G194" s="29"/>
      <c r="H194" s="29"/>
      <c r="I194" s="29"/>
      <c r="J194" s="29"/>
      <c r="K194" s="29"/>
    </row>
    <row r="195" spans="1:11">
      <c r="A195" s="29"/>
      <c r="B195" s="29"/>
      <c r="C195" s="29"/>
      <c r="D195" s="29"/>
      <c r="E195" s="29"/>
      <c r="F195" s="29"/>
      <c r="G195" s="29"/>
      <c r="H195" s="29"/>
      <c r="I195" s="29"/>
      <c r="J195" s="29"/>
      <c r="K195" s="29"/>
    </row>
    <row r="196" spans="1:11">
      <c r="A196" s="29"/>
      <c r="B196" s="29"/>
      <c r="C196" s="29"/>
      <c r="D196" s="29"/>
      <c r="E196" s="29"/>
      <c r="F196" s="29"/>
      <c r="G196" s="29"/>
      <c r="H196" s="29"/>
      <c r="I196" s="29"/>
      <c r="J196" s="29"/>
      <c r="K196" s="29"/>
    </row>
    <row r="197" spans="1:11">
      <c r="A197" s="29"/>
      <c r="B197" s="29"/>
      <c r="C197" s="29"/>
      <c r="D197" s="29"/>
      <c r="E197" s="29"/>
      <c r="F197" s="29"/>
      <c r="G197" s="29"/>
      <c r="H197" s="29"/>
      <c r="I197" s="29"/>
      <c r="J197" s="29"/>
      <c r="K197" s="29"/>
    </row>
    <row r="198" spans="1:11">
      <c r="A198" s="29"/>
      <c r="B198" s="29"/>
      <c r="C198" s="29"/>
      <c r="D198" s="29"/>
      <c r="E198" s="29"/>
      <c r="F198" s="29"/>
      <c r="G198" s="29"/>
      <c r="H198" s="29"/>
      <c r="I198" s="29"/>
      <c r="J198" s="29"/>
      <c r="K198" s="29"/>
    </row>
    <row r="199" spans="1:11">
      <c r="A199" s="29"/>
      <c r="B199" s="29"/>
      <c r="C199" s="29"/>
      <c r="D199" s="29"/>
      <c r="E199" s="29"/>
      <c r="F199" s="29"/>
      <c r="G199" s="29"/>
      <c r="H199" s="29"/>
      <c r="I199" s="29"/>
      <c r="J199" s="29"/>
      <c r="K199" s="29"/>
    </row>
    <row r="200" spans="1:11">
      <c r="A200" s="29"/>
      <c r="B200" s="29"/>
      <c r="C200" s="29"/>
      <c r="D200" s="29"/>
      <c r="E200" s="29"/>
      <c r="F200" s="29"/>
      <c r="G200" s="29"/>
      <c r="H200" s="29"/>
      <c r="I200" s="29"/>
      <c r="J200" s="29"/>
      <c r="K200" s="29"/>
    </row>
    <row r="201" spans="1:11">
      <c r="A201" s="29"/>
      <c r="B201" s="29"/>
      <c r="C201" s="29"/>
      <c r="D201" s="29"/>
      <c r="E201" s="29"/>
      <c r="F201" s="29"/>
      <c r="G201" s="29"/>
      <c r="H201" s="29"/>
      <c r="I201" s="29"/>
      <c r="J201" s="29"/>
      <c r="K201" s="29"/>
    </row>
    <row r="202" spans="1:11">
      <c r="A202" s="29"/>
      <c r="B202" s="29"/>
      <c r="C202" s="29"/>
      <c r="D202" s="29"/>
      <c r="E202" s="29"/>
      <c r="F202" s="29"/>
      <c r="G202" s="29"/>
      <c r="H202" s="29"/>
      <c r="I202" s="29"/>
      <c r="J202" s="29"/>
      <c r="K202" s="29"/>
    </row>
    <row r="203" spans="1:11">
      <c r="A203" s="29"/>
      <c r="B203" s="29"/>
      <c r="C203" s="29"/>
      <c r="D203" s="29"/>
      <c r="E203" s="29"/>
      <c r="F203" s="29"/>
      <c r="G203" s="29"/>
      <c r="H203" s="29"/>
      <c r="I203" s="29"/>
      <c r="J203" s="29"/>
      <c r="K203" s="29"/>
    </row>
    <row r="204" spans="1:11">
      <c r="A204" s="29"/>
      <c r="B204" s="29"/>
      <c r="C204" s="29"/>
      <c r="D204" s="29"/>
      <c r="E204" s="29"/>
      <c r="F204" s="29"/>
      <c r="G204" s="29"/>
      <c r="H204" s="29"/>
      <c r="I204" s="29"/>
      <c r="J204" s="29"/>
      <c r="K204" s="29"/>
    </row>
    <row r="205" spans="1:11">
      <c r="A205" s="29"/>
      <c r="B205" s="29"/>
      <c r="C205" s="29"/>
      <c r="D205" s="29"/>
      <c r="E205" s="29"/>
      <c r="F205" s="29"/>
      <c r="G205" s="29"/>
      <c r="H205" s="29"/>
      <c r="I205" s="29"/>
      <c r="J205" s="29"/>
      <c r="K205" s="29"/>
    </row>
    <row r="206" spans="1:11">
      <c r="A206" s="29"/>
      <c r="B206" s="29"/>
      <c r="C206" s="29"/>
      <c r="D206" s="29"/>
      <c r="E206" s="29"/>
      <c r="F206" s="29"/>
      <c r="G206" s="29"/>
      <c r="H206" s="29"/>
      <c r="I206" s="29"/>
      <c r="J206" s="29"/>
      <c r="K206" s="29"/>
    </row>
    <row r="207" spans="1:11">
      <c r="A207" s="29"/>
      <c r="B207" s="29"/>
      <c r="C207" s="29"/>
      <c r="D207" s="29"/>
      <c r="E207" s="29"/>
      <c r="F207" s="29"/>
      <c r="G207" s="29"/>
      <c r="H207" s="29"/>
      <c r="I207" s="29"/>
      <c r="J207" s="29"/>
      <c r="K207" s="29"/>
    </row>
    <row r="208" spans="1:11">
      <c r="A208" s="29"/>
      <c r="B208" s="29"/>
      <c r="C208" s="29"/>
      <c r="D208" s="29"/>
      <c r="E208" s="29"/>
      <c r="F208" s="29"/>
      <c r="G208" s="29"/>
      <c r="H208" s="29"/>
      <c r="I208" s="29"/>
      <c r="J208" s="29"/>
      <c r="K208" s="29"/>
    </row>
    <row r="209" spans="1:11">
      <c r="A209" s="29"/>
      <c r="B209" s="29"/>
      <c r="C209" s="29"/>
      <c r="D209" s="29"/>
      <c r="E209" s="29"/>
      <c r="F209" s="29"/>
      <c r="G209" s="29"/>
      <c r="H209" s="29"/>
      <c r="I209" s="29"/>
      <c r="J209" s="29"/>
      <c r="K209" s="29"/>
    </row>
    <row r="210" spans="1:11">
      <c r="A210" s="29"/>
      <c r="B210" s="29"/>
      <c r="C210" s="29"/>
      <c r="D210" s="29"/>
      <c r="E210" s="29"/>
      <c r="F210" s="29"/>
      <c r="G210" s="29"/>
      <c r="H210" s="29"/>
      <c r="I210" s="29"/>
      <c r="J210" s="29"/>
      <c r="K210" s="29"/>
    </row>
    <row r="211" spans="1:11">
      <c r="A211" s="29"/>
      <c r="B211" s="29"/>
      <c r="C211" s="29"/>
      <c r="D211" s="29"/>
      <c r="E211" s="29"/>
      <c r="F211" s="29"/>
      <c r="G211" s="29"/>
      <c r="H211" s="29"/>
      <c r="I211" s="29"/>
      <c r="J211" s="29"/>
      <c r="K211" s="29"/>
    </row>
    <row r="212" spans="1:11">
      <c r="A212" s="29"/>
      <c r="B212" s="29"/>
      <c r="C212" s="29"/>
      <c r="D212" s="29"/>
      <c r="E212" s="29"/>
      <c r="F212" s="29"/>
      <c r="G212" s="29"/>
      <c r="H212" s="29"/>
      <c r="I212" s="29"/>
      <c r="J212" s="29"/>
      <c r="K212" s="29"/>
    </row>
    <row r="213" spans="1:11">
      <c r="A213" s="29"/>
      <c r="B213" s="29"/>
      <c r="C213" s="29"/>
      <c r="D213" s="29"/>
      <c r="E213" s="29"/>
      <c r="F213" s="29"/>
      <c r="G213" s="29"/>
      <c r="H213" s="29"/>
      <c r="I213" s="29"/>
      <c r="J213" s="29"/>
      <c r="K213" s="29"/>
    </row>
    <row r="214" spans="1:11">
      <c r="A214" s="29"/>
      <c r="B214" s="29"/>
      <c r="C214" s="29"/>
      <c r="D214" s="29"/>
      <c r="E214" s="29"/>
      <c r="F214" s="29"/>
      <c r="G214" s="29"/>
      <c r="H214" s="29"/>
      <c r="I214" s="29"/>
      <c r="J214" s="29"/>
      <c r="K214" s="29"/>
    </row>
    <row r="215" spans="1:11">
      <c r="A215" s="29"/>
      <c r="B215" s="29"/>
      <c r="C215" s="29"/>
      <c r="D215" s="29"/>
      <c r="E215" s="29"/>
      <c r="F215" s="29"/>
      <c r="G215" s="29"/>
      <c r="H215" s="29"/>
      <c r="I215" s="29"/>
      <c r="J215" s="29"/>
      <c r="K215" s="29"/>
    </row>
    <row r="216" spans="1:11">
      <c r="A216" s="29"/>
      <c r="B216" s="29"/>
      <c r="C216" s="29"/>
      <c r="D216" s="29"/>
      <c r="E216" s="29"/>
      <c r="F216" s="29"/>
      <c r="G216" s="29"/>
      <c r="H216" s="29"/>
      <c r="I216" s="29"/>
      <c r="J216" s="29"/>
      <c r="K216" s="29"/>
    </row>
    <row r="217" spans="1:11">
      <c r="A217" s="29"/>
      <c r="B217" s="29"/>
      <c r="C217" s="29"/>
      <c r="D217" s="29"/>
      <c r="E217" s="29"/>
      <c r="F217" s="29"/>
      <c r="G217" s="29"/>
      <c r="H217" s="29"/>
      <c r="I217" s="29"/>
      <c r="J217" s="29"/>
      <c r="K217" s="29"/>
    </row>
    <row r="218" spans="1:11">
      <c r="A218" s="29"/>
      <c r="B218" s="29"/>
      <c r="C218" s="29"/>
      <c r="D218" s="29"/>
      <c r="E218" s="29"/>
      <c r="F218" s="29"/>
      <c r="G218" s="29"/>
      <c r="H218" s="29"/>
      <c r="I218" s="29"/>
      <c r="J218" s="29"/>
      <c r="K218" s="29"/>
    </row>
    <row r="219" spans="1:11">
      <c r="A219" s="29"/>
      <c r="B219" s="29"/>
      <c r="C219" s="29"/>
      <c r="D219" s="29"/>
      <c r="E219" s="29"/>
      <c r="F219" s="29"/>
      <c r="G219" s="29"/>
      <c r="H219" s="29"/>
      <c r="I219" s="29"/>
      <c r="J219" s="29"/>
      <c r="K219" s="29"/>
    </row>
    <row r="220" spans="1:11">
      <c r="A220" s="29"/>
      <c r="B220" s="29"/>
      <c r="C220" s="29"/>
      <c r="D220" s="29"/>
      <c r="E220" s="29"/>
      <c r="F220" s="29"/>
      <c r="G220" s="29"/>
      <c r="H220" s="29"/>
      <c r="I220" s="29"/>
      <c r="J220" s="29"/>
      <c r="K220" s="29"/>
    </row>
    <row r="221" spans="1:11">
      <c r="A221" s="29"/>
      <c r="B221" s="29"/>
      <c r="C221" s="29"/>
      <c r="D221" s="29"/>
      <c r="E221" s="29"/>
      <c r="F221" s="29"/>
      <c r="G221" s="29"/>
      <c r="H221" s="29"/>
      <c r="I221" s="29"/>
      <c r="J221" s="29"/>
      <c r="K221" s="29"/>
    </row>
    <row r="222" spans="1:11">
      <c r="A222" s="29"/>
      <c r="B222" s="29"/>
      <c r="C222" s="29"/>
      <c r="D222" s="29"/>
      <c r="E222" s="29"/>
      <c r="F222" s="29"/>
      <c r="G222" s="29"/>
      <c r="H222" s="29"/>
      <c r="I222" s="29"/>
      <c r="J222" s="29"/>
      <c r="K222" s="29"/>
    </row>
    <row r="223" spans="1:11">
      <c r="A223" s="29"/>
      <c r="B223" s="29"/>
      <c r="C223" s="29"/>
      <c r="D223" s="29"/>
      <c r="E223" s="29"/>
      <c r="F223" s="29"/>
      <c r="G223" s="29"/>
      <c r="H223" s="29"/>
      <c r="I223" s="29"/>
      <c r="J223" s="29"/>
      <c r="K223" s="29"/>
    </row>
    <row r="224" spans="1:11">
      <c r="A224" s="29"/>
      <c r="B224" s="29"/>
      <c r="C224" s="29"/>
      <c r="D224" s="29"/>
      <c r="E224" s="29"/>
      <c r="F224" s="29"/>
      <c r="G224" s="29"/>
      <c r="H224" s="29"/>
      <c r="I224" s="29"/>
      <c r="J224" s="29"/>
      <c r="K224" s="29"/>
    </row>
    <row r="225" spans="1:11">
      <c r="A225" s="29"/>
      <c r="B225" s="29"/>
      <c r="C225" s="29"/>
      <c r="D225" s="29"/>
      <c r="E225" s="29"/>
      <c r="F225" s="29"/>
      <c r="G225" s="29"/>
      <c r="H225" s="29"/>
      <c r="I225" s="29"/>
      <c r="J225" s="29"/>
      <c r="K225" s="29"/>
    </row>
    <row r="226" spans="1:11">
      <c r="A226" s="29"/>
      <c r="B226" s="29"/>
      <c r="C226" s="29"/>
      <c r="D226" s="29"/>
      <c r="E226" s="29"/>
      <c r="F226" s="29"/>
      <c r="G226" s="29"/>
      <c r="H226" s="29"/>
      <c r="I226" s="29"/>
      <c r="J226" s="29"/>
      <c r="K226" s="29"/>
    </row>
    <row r="227" spans="1:11">
      <c r="A227" s="29"/>
      <c r="B227" s="29"/>
      <c r="C227" s="29"/>
      <c r="D227" s="29"/>
      <c r="E227" s="29"/>
      <c r="F227" s="29"/>
      <c r="G227" s="29"/>
      <c r="H227" s="29"/>
      <c r="I227" s="29"/>
      <c r="J227" s="29"/>
      <c r="K227" s="29"/>
    </row>
    <row r="228" spans="1:11">
      <c r="A228" s="29"/>
      <c r="B228" s="29"/>
      <c r="C228" s="29"/>
      <c r="D228" s="29"/>
      <c r="E228" s="29"/>
      <c r="F228" s="29"/>
      <c r="G228" s="29"/>
      <c r="H228" s="29"/>
      <c r="I228" s="29"/>
      <c r="J228" s="29"/>
      <c r="K228" s="29"/>
    </row>
    <row r="229" spans="1:11">
      <c r="A229" s="29"/>
      <c r="B229" s="29"/>
      <c r="C229" s="29"/>
      <c r="D229" s="29"/>
      <c r="E229" s="29"/>
      <c r="F229" s="29"/>
      <c r="G229" s="29"/>
      <c r="H229" s="29"/>
      <c r="I229" s="29"/>
      <c r="J229" s="29"/>
      <c r="K229" s="29"/>
    </row>
    <row r="230" spans="1:11">
      <c r="A230" s="29"/>
      <c r="B230" s="29"/>
      <c r="C230" s="29"/>
      <c r="D230" s="29"/>
      <c r="E230" s="29"/>
      <c r="F230" s="29"/>
      <c r="G230" s="29"/>
      <c r="H230" s="29"/>
      <c r="I230" s="29"/>
      <c r="J230" s="29"/>
      <c r="K230" s="29"/>
    </row>
    <row r="231" spans="1:11">
      <c r="A231" s="29"/>
      <c r="B231" s="29"/>
      <c r="C231" s="29"/>
      <c r="D231" s="29"/>
      <c r="E231" s="29"/>
      <c r="F231" s="29"/>
      <c r="G231" s="29"/>
      <c r="H231" s="29"/>
      <c r="I231" s="29"/>
      <c r="J231" s="29"/>
      <c r="K231" s="29"/>
    </row>
    <row r="232" spans="1:11">
      <c r="A232" s="29"/>
      <c r="B232" s="29"/>
      <c r="C232" s="29"/>
      <c r="D232" s="29"/>
      <c r="E232" s="29"/>
      <c r="F232" s="29"/>
      <c r="G232" s="29"/>
      <c r="H232" s="29"/>
      <c r="I232" s="29"/>
      <c r="J232" s="29"/>
      <c r="K232" s="29"/>
    </row>
    <row r="233" spans="1:11">
      <c r="A233" s="29"/>
      <c r="B233" s="29"/>
      <c r="C233" s="29"/>
      <c r="D233" s="29"/>
      <c r="E233" s="29"/>
      <c r="F233" s="29"/>
      <c r="G233" s="29"/>
      <c r="H233" s="29"/>
      <c r="I233" s="29"/>
      <c r="J233" s="29"/>
      <c r="K233" s="29"/>
    </row>
    <row r="234" spans="1:11">
      <c r="A234" s="29"/>
      <c r="B234" s="29"/>
      <c r="C234" s="29"/>
      <c r="D234" s="29"/>
      <c r="E234" s="29"/>
      <c r="F234" s="29"/>
      <c r="G234" s="29"/>
      <c r="H234" s="29"/>
      <c r="I234" s="29"/>
      <c r="J234" s="29"/>
      <c r="K234" s="29"/>
    </row>
    <row r="235" spans="1:11">
      <c r="A235" s="29"/>
      <c r="B235" s="29"/>
      <c r="C235" s="29"/>
      <c r="D235" s="29"/>
      <c r="E235" s="29"/>
      <c r="F235" s="29"/>
      <c r="G235" s="29"/>
      <c r="H235" s="29"/>
      <c r="I235" s="29"/>
      <c r="J235" s="29"/>
      <c r="K235" s="29"/>
    </row>
    <row r="236" spans="1:11">
      <c r="A236" s="29"/>
      <c r="B236" s="29"/>
      <c r="C236" s="29"/>
      <c r="D236" s="29"/>
      <c r="E236" s="29"/>
      <c r="F236" s="29"/>
      <c r="G236" s="29"/>
      <c r="H236" s="29"/>
      <c r="I236" s="29"/>
      <c r="J236" s="29"/>
      <c r="K236" s="29"/>
    </row>
    <row r="237" spans="1:11">
      <c r="A237" s="29"/>
      <c r="B237" s="29"/>
      <c r="C237" s="29"/>
      <c r="D237" s="29"/>
      <c r="E237" s="29"/>
      <c r="F237" s="29"/>
      <c r="G237" s="29"/>
      <c r="H237" s="29"/>
      <c r="I237" s="29"/>
      <c r="J237" s="29"/>
      <c r="K237" s="29"/>
    </row>
    <row r="238" spans="1:11">
      <c r="A238" s="29"/>
      <c r="B238" s="29"/>
      <c r="C238" s="29"/>
      <c r="D238" s="29"/>
      <c r="E238" s="29"/>
      <c r="F238" s="29"/>
      <c r="G238" s="29"/>
      <c r="H238" s="29"/>
      <c r="I238" s="29"/>
      <c r="J238" s="29"/>
      <c r="K238" s="29"/>
    </row>
    <row r="239" spans="1:11">
      <c r="A239" s="29"/>
      <c r="B239" s="29"/>
      <c r="C239" s="29"/>
      <c r="D239" s="29"/>
      <c r="E239" s="29"/>
      <c r="F239" s="29"/>
      <c r="G239" s="29"/>
      <c r="H239" s="29"/>
      <c r="I239" s="29"/>
      <c r="J239" s="29"/>
      <c r="K239" s="29"/>
    </row>
    <row r="240" spans="1:11">
      <c r="A240" s="29"/>
      <c r="B240" s="29"/>
      <c r="C240" s="29"/>
      <c r="D240" s="29"/>
      <c r="E240" s="29"/>
      <c r="F240" s="29"/>
      <c r="G240" s="29"/>
      <c r="H240" s="29"/>
      <c r="I240" s="29"/>
      <c r="J240" s="29"/>
      <c r="K240" s="29"/>
    </row>
    <row r="241" spans="1:11">
      <c r="A241" s="29"/>
      <c r="B241" s="29"/>
      <c r="C241" s="29"/>
      <c r="D241" s="29"/>
      <c r="E241" s="29"/>
      <c r="F241" s="29"/>
      <c r="G241" s="29"/>
      <c r="H241" s="29"/>
      <c r="I241" s="29"/>
      <c r="J241" s="29"/>
      <c r="K241" s="29"/>
    </row>
    <row r="242" spans="1:11">
      <c r="A242" s="29"/>
      <c r="B242" s="29"/>
      <c r="C242" s="29"/>
      <c r="D242" s="29"/>
      <c r="E242" s="29"/>
      <c r="F242" s="29"/>
      <c r="G242" s="29"/>
      <c r="H242" s="29"/>
      <c r="I242" s="29"/>
      <c r="J242" s="29"/>
      <c r="K242" s="29"/>
    </row>
    <row r="243" spans="1:11">
      <c r="A243" s="29"/>
      <c r="B243" s="29"/>
      <c r="C243" s="29"/>
      <c r="D243" s="29"/>
      <c r="E243" s="29"/>
      <c r="F243" s="29"/>
      <c r="G243" s="29"/>
      <c r="H243" s="29"/>
      <c r="I243" s="29"/>
      <c r="J243" s="29"/>
      <c r="K243" s="29"/>
    </row>
    <row r="244" spans="1:11">
      <c r="A244" s="29"/>
      <c r="B244" s="29"/>
      <c r="C244" s="29"/>
      <c r="D244" s="29"/>
      <c r="E244" s="29"/>
      <c r="F244" s="29"/>
      <c r="G244" s="29"/>
      <c r="H244" s="29"/>
      <c r="I244" s="29"/>
      <c r="J244" s="29"/>
      <c r="K244" s="29"/>
    </row>
    <row r="245" spans="1:11">
      <c r="A245" s="29"/>
      <c r="B245" s="29"/>
      <c r="C245" s="29"/>
      <c r="D245" s="29"/>
      <c r="E245" s="29"/>
      <c r="F245" s="29"/>
      <c r="G245" s="29"/>
      <c r="H245" s="29"/>
      <c r="I245" s="29"/>
      <c r="J245" s="29"/>
      <c r="K245" s="29"/>
    </row>
    <row r="246" spans="1:11">
      <c r="A246" s="29"/>
      <c r="B246" s="29"/>
      <c r="C246" s="29"/>
      <c r="D246" s="29"/>
      <c r="E246" s="29"/>
      <c r="F246" s="29"/>
      <c r="G246" s="29"/>
      <c r="H246" s="29"/>
      <c r="I246" s="29"/>
      <c r="J246" s="29"/>
      <c r="K246" s="29"/>
    </row>
    <row r="247" spans="1:11">
      <c r="A247" s="29"/>
      <c r="B247" s="29"/>
      <c r="C247" s="29"/>
      <c r="D247" s="29"/>
      <c r="E247" s="29"/>
      <c r="F247" s="29"/>
      <c r="G247" s="29"/>
      <c r="H247" s="29"/>
      <c r="I247" s="29"/>
      <c r="J247" s="29"/>
      <c r="K247" s="29"/>
    </row>
    <row r="248" spans="1:11">
      <c r="A248" s="29"/>
      <c r="B248" s="29"/>
      <c r="C248" s="29"/>
      <c r="D248" s="29"/>
      <c r="E248" s="29"/>
      <c r="F248" s="29"/>
      <c r="G248" s="29"/>
      <c r="H248" s="29"/>
      <c r="I248" s="29"/>
      <c r="J248" s="29"/>
      <c r="K248" s="29"/>
    </row>
    <row r="249" spans="1:11">
      <c r="A249" s="29"/>
      <c r="B249" s="29"/>
      <c r="C249" s="29"/>
      <c r="D249" s="29"/>
      <c r="E249" s="29"/>
      <c r="F249" s="29"/>
      <c r="G249" s="29"/>
      <c r="H249" s="29"/>
      <c r="I249" s="29"/>
      <c r="J249" s="29"/>
      <c r="K249" s="29"/>
    </row>
    <row r="250" spans="1:11">
      <c r="A250" s="29"/>
      <c r="B250" s="29"/>
      <c r="C250" s="29"/>
      <c r="D250" s="29"/>
      <c r="E250" s="29"/>
      <c r="F250" s="29"/>
      <c r="G250" s="29"/>
      <c r="H250" s="29"/>
      <c r="I250" s="29"/>
      <c r="J250" s="29"/>
      <c r="K250" s="29"/>
    </row>
    <row r="251" spans="1:11">
      <c r="A251" s="29"/>
      <c r="B251" s="29"/>
      <c r="C251" s="29"/>
      <c r="D251" s="29"/>
      <c r="E251" s="29"/>
      <c r="F251" s="29"/>
      <c r="G251" s="29"/>
      <c r="H251" s="29"/>
      <c r="I251" s="29"/>
      <c r="J251" s="29"/>
      <c r="K251" s="29"/>
    </row>
    <row r="252" spans="1:11">
      <c r="A252" s="29"/>
      <c r="B252" s="29"/>
      <c r="C252" s="29"/>
      <c r="D252" s="29"/>
      <c r="E252" s="29"/>
      <c r="F252" s="29"/>
      <c r="G252" s="29"/>
      <c r="H252" s="29"/>
      <c r="I252" s="29"/>
      <c r="J252" s="29"/>
      <c r="K252" s="29"/>
    </row>
    <row r="253" spans="1:11">
      <c r="A253" s="29"/>
    </row>
  </sheetData>
  <mergeCells count="19">
    <mergeCell ref="B70:K70"/>
    <mergeCell ref="B2:K2"/>
    <mergeCell ref="D15:E15"/>
    <mergeCell ref="B49:K49"/>
    <mergeCell ref="D17:E18"/>
    <mergeCell ref="B23:H23"/>
    <mergeCell ref="B24:J24"/>
    <mergeCell ref="B31:J31"/>
    <mergeCell ref="B58:K58"/>
    <mergeCell ref="B50:K50"/>
    <mergeCell ref="B21:K21"/>
    <mergeCell ref="B39:I39"/>
    <mergeCell ref="B48:I48"/>
    <mergeCell ref="B20:K20"/>
    <mergeCell ref="B4:K4"/>
    <mergeCell ref="B5:K5"/>
    <mergeCell ref="B19:K19"/>
    <mergeCell ref="B66:K66"/>
    <mergeCell ref="B59:K59"/>
  </mergeCells>
  <conditionalFormatting sqref="F41:G46">
    <cfRule type="cellIs" dxfId="0" priority="2" operator="lessThan">
      <formula>$C$38</formula>
    </cfRule>
  </conditionalFormatting>
  <hyperlinks>
    <hyperlink ref="B24:J24" r:id="rId1" display="From a datasheet for steel grade C450L0 was found. " xr:uid="{06E6E820-8E08-644B-B635-636361215B1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F901C-8C9C-0A47-BA8A-35DA3C87948E}">
  <dimension ref="A1:N122"/>
  <sheetViews>
    <sheetView tabSelected="1" topLeftCell="A31" zoomScale="86" zoomScaleNormal="116" workbookViewId="0">
      <selection activeCell="U25" sqref="U25"/>
    </sheetView>
  </sheetViews>
  <sheetFormatPr baseColWidth="10" defaultRowHeight="16"/>
  <cols>
    <col min="1" max="1" width="3.33203125" customWidth="1"/>
    <col min="2" max="2" width="27.6640625" customWidth="1"/>
    <col min="3" max="3" width="21.6640625" customWidth="1"/>
    <col min="4" max="4" width="11.5" customWidth="1"/>
    <col min="5" max="5" width="14.6640625" bestFit="1" customWidth="1"/>
    <col min="7" max="7" width="13.83203125" customWidth="1"/>
    <col min="13" max="13" width="12.33203125" bestFit="1" customWidth="1"/>
    <col min="14" max="14" width="11.83203125" customWidth="1"/>
  </cols>
  <sheetData>
    <row r="1" spans="2:14" ht="17" thickBot="1"/>
    <row r="2" spans="2:14" ht="366" customHeight="1">
      <c r="B2" s="190" t="s">
        <v>102</v>
      </c>
      <c r="C2" s="191"/>
      <c r="D2" s="191"/>
      <c r="E2" s="191"/>
      <c r="F2" s="191"/>
      <c r="G2" s="191"/>
      <c r="H2" s="191"/>
      <c r="I2" s="191"/>
      <c r="J2" s="191"/>
      <c r="K2" s="191"/>
      <c r="L2" s="191"/>
      <c r="M2" s="191"/>
      <c r="N2" s="192"/>
    </row>
    <row r="3" spans="2:14" ht="35" customHeight="1">
      <c r="B3" s="99"/>
      <c r="C3" s="88"/>
      <c r="D3" s="67"/>
      <c r="E3" s="67"/>
      <c r="F3" s="67"/>
      <c r="G3" s="67"/>
      <c r="H3" s="67"/>
      <c r="I3" s="67"/>
      <c r="J3" s="67"/>
      <c r="K3" s="67"/>
      <c r="L3" s="67"/>
      <c r="M3" s="89">
        <v>470205736</v>
      </c>
      <c r="N3" s="103" t="s">
        <v>0</v>
      </c>
    </row>
    <row r="4" spans="2:14" ht="54" customHeight="1">
      <c r="B4" s="193" t="s">
        <v>103</v>
      </c>
      <c r="C4" s="194"/>
      <c r="D4" s="194"/>
      <c r="E4" s="194"/>
      <c r="F4" s="194"/>
      <c r="G4" s="194"/>
      <c r="H4" s="194"/>
      <c r="I4" s="194"/>
      <c r="J4" s="194"/>
      <c r="K4" s="194"/>
      <c r="L4" s="194"/>
      <c r="M4" s="194"/>
      <c r="N4" s="195"/>
    </row>
    <row r="5" spans="2:14" ht="90" customHeight="1">
      <c r="B5" s="132" t="s">
        <v>152</v>
      </c>
      <c r="C5" s="133"/>
      <c r="D5" s="133"/>
      <c r="E5" s="133"/>
      <c r="F5" s="133"/>
      <c r="G5" s="133"/>
      <c r="H5" s="133"/>
      <c r="I5" s="133"/>
      <c r="J5" s="133"/>
      <c r="K5" s="133"/>
      <c r="L5" s="133"/>
      <c r="M5" s="133"/>
      <c r="N5" s="134"/>
    </row>
    <row r="6" spans="2:14" ht="15" customHeight="1">
      <c r="B6" s="94"/>
      <c r="C6" s="91" t="s">
        <v>107</v>
      </c>
      <c r="D6" s="67"/>
      <c r="E6" s="67"/>
      <c r="F6" s="67"/>
      <c r="G6" s="67"/>
      <c r="H6" s="67"/>
      <c r="I6" s="67"/>
      <c r="J6" s="67"/>
      <c r="K6" s="67"/>
      <c r="L6" s="67"/>
      <c r="M6" s="67"/>
      <c r="N6" s="11"/>
    </row>
    <row r="7" spans="2:14">
      <c r="B7" s="61" t="s">
        <v>106</v>
      </c>
      <c r="C7" s="90">
        <f>25 + 16</f>
        <v>41</v>
      </c>
      <c r="D7" s="67"/>
      <c r="E7" s="67"/>
      <c r="F7" s="67"/>
      <c r="G7" s="67"/>
      <c r="H7" s="67"/>
      <c r="I7" s="67"/>
      <c r="J7" s="67"/>
      <c r="K7" s="67"/>
      <c r="L7" s="67"/>
      <c r="M7" s="67"/>
      <c r="N7" s="11"/>
    </row>
    <row r="8" spans="2:14">
      <c r="B8" s="61" t="s">
        <v>105</v>
      </c>
      <c r="C8" s="90">
        <v>12</v>
      </c>
      <c r="D8" s="67"/>
      <c r="E8" s="67"/>
      <c r="F8" s="67"/>
      <c r="G8" s="67"/>
      <c r="H8" s="67"/>
      <c r="I8" s="67"/>
      <c r="J8" s="67"/>
      <c r="K8" s="67"/>
      <c r="L8" s="67"/>
      <c r="M8" s="67"/>
      <c r="N8" s="11"/>
    </row>
    <row r="9" spans="2:14" ht="18">
      <c r="B9" s="61" t="s">
        <v>104</v>
      </c>
      <c r="C9" s="90">
        <f>d * 1.6</f>
        <v>19.200000000000003</v>
      </c>
      <c r="D9" s="67"/>
      <c r="E9" s="67"/>
      <c r="F9" s="67"/>
      <c r="G9" s="67"/>
      <c r="H9" s="67"/>
      <c r="I9" s="67"/>
      <c r="J9" s="67"/>
      <c r="K9" s="67"/>
      <c r="L9" s="67"/>
      <c r="M9" s="67"/>
      <c r="N9" s="11"/>
    </row>
    <row r="10" spans="2:14" ht="18">
      <c r="B10" s="61" t="s">
        <v>108</v>
      </c>
      <c r="C10" s="95">
        <f xml:space="preserve"> 500 - 2 *(d/2 +  SIN(alpha) * 45)</f>
        <v>449.96435644333707</v>
      </c>
      <c r="D10" s="67"/>
      <c r="E10" s="67"/>
      <c r="F10" s="67"/>
      <c r="G10" s="67"/>
      <c r="H10" s="67"/>
      <c r="I10" s="67"/>
      <c r="J10" s="67"/>
      <c r="K10" s="67"/>
      <c r="L10" s="67"/>
      <c r="M10" s="67"/>
      <c r="N10" s="11"/>
    </row>
    <row r="11" spans="2:14">
      <c r="B11" s="61" t="s">
        <v>109</v>
      </c>
      <c r="C11" s="90">
        <v>1500</v>
      </c>
      <c r="D11" s="67"/>
      <c r="E11" s="67"/>
      <c r="F11" s="67"/>
      <c r="G11" s="67"/>
      <c r="H11" s="67"/>
      <c r="I11" s="67"/>
      <c r="J11" s="67"/>
      <c r="K11" s="67"/>
      <c r="L11" s="67"/>
      <c r="M11" s="67"/>
      <c r="N11" s="11"/>
    </row>
    <row r="12" spans="2:14">
      <c r="B12" s="10"/>
      <c r="C12" s="67"/>
      <c r="D12" s="67"/>
      <c r="E12" s="67"/>
      <c r="F12" s="67"/>
      <c r="G12" s="67"/>
      <c r="H12" s="67"/>
      <c r="I12" s="67"/>
      <c r="J12" s="67"/>
      <c r="K12" s="67"/>
      <c r="L12" s="67"/>
      <c r="M12" s="67"/>
      <c r="N12" s="11"/>
    </row>
    <row r="13" spans="2:14">
      <c r="B13" s="94"/>
      <c r="C13" s="91" t="s">
        <v>112</v>
      </c>
      <c r="D13" s="67"/>
      <c r="E13" s="67"/>
      <c r="F13" s="67"/>
      <c r="G13" s="67"/>
      <c r="H13" s="67"/>
      <c r="I13" s="67"/>
      <c r="J13" s="67"/>
      <c r="K13" s="67"/>
      <c r="L13" s="67"/>
      <c r="M13" s="67"/>
      <c r="N13" s="11"/>
    </row>
    <row r="14" spans="2:14" ht="18">
      <c r="B14" s="61" t="s">
        <v>110</v>
      </c>
      <c r="C14" s="41">
        <v>2000</v>
      </c>
      <c r="D14" s="67"/>
      <c r="E14" s="67"/>
      <c r="F14" s="67"/>
      <c r="G14" s="67"/>
      <c r="H14" s="67"/>
      <c r="I14" s="67"/>
      <c r="J14" s="67"/>
      <c r="K14" s="67"/>
      <c r="L14" s="67"/>
      <c r="M14" s="67"/>
      <c r="N14" s="11"/>
    </row>
    <row r="15" spans="2:14">
      <c r="B15" s="61" t="s">
        <v>111</v>
      </c>
      <c r="C15" s="41">
        <v>8000</v>
      </c>
      <c r="D15" s="67"/>
      <c r="E15" s="67"/>
      <c r="F15" s="67"/>
      <c r="G15" s="67"/>
      <c r="H15" s="67"/>
      <c r="I15" s="67"/>
      <c r="J15" s="67"/>
      <c r="K15" s="67"/>
      <c r="L15" s="67"/>
      <c r="M15" s="67"/>
      <c r="N15" s="11"/>
    </row>
    <row r="16" spans="2:14">
      <c r="B16" s="10"/>
      <c r="C16" s="67"/>
      <c r="D16" s="67"/>
      <c r="E16" s="67"/>
      <c r="F16" s="67"/>
      <c r="G16" s="67"/>
      <c r="H16" s="67"/>
      <c r="I16" s="67"/>
      <c r="J16" s="67"/>
      <c r="K16" s="67"/>
      <c r="L16" s="67"/>
      <c r="M16" s="67"/>
      <c r="N16" s="11"/>
    </row>
    <row r="17" spans="2:14">
      <c r="B17" s="61" t="s">
        <v>123</v>
      </c>
      <c r="C17" s="41">
        <v>0.8</v>
      </c>
      <c r="D17" s="67"/>
      <c r="E17" s="67"/>
      <c r="F17" s="67"/>
      <c r="G17" s="67"/>
      <c r="H17" s="67"/>
      <c r="I17" s="67"/>
      <c r="J17" s="67"/>
      <c r="K17" s="67"/>
      <c r="L17" s="67"/>
      <c r="M17" s="67"/>
      <c r="N17" s="11"/>
    </row>
    <row r="18" spans="2:14">
      <c r="B18" s="61" t="s">
        <v>48</v>
      </c>
      <c r="C18" s="41">
        <v>1.5</v>
      </c>
      <c r="D18" s="67"/>
      <c r="E18" s="67"/>
      <c r="F18" s="67"/>
      <c r="G18" s="67"/>
      <c r="H18" s="67"/>
      <c r="I18" s="67"/>
      <c r="J18" s="67"/>
      <c r="K18" s="67"/>
      <c r="L18" s="67"/>
      <c r="M18" s="67"/>
      <c r="N18" s="11"/>
    </row>
    <row r="19" spans="2:14">
      <c r="B19" s="61" t="s">
        <v>117</v>
      </c>
      <c r="C19" s="41">
        <v>0.86799999999999999</v>
      </c>
      <c r="D19" s="67"/>
      <c r="E19" s="67"/>
      <c r="F19" s="67"/>
      <c r="G19" s="67"/>
      <c r="H19" s="67"/>
      <c r="I19" s="67"/>
      <c r="J19" s="67"/>
      <c r="K19" s="67"/>
      <c r="L19" s="67"/>
      <c r="M19" s="67"/>
      <c r="N19" s="11"/>
    </row>
    <row r="20" spans="2:14" ht="16" customHeight="1">
      <c r="B20" s="61" t="s">
        <v>116</v>
      </c>
      <c r="C20" s="41">
        <v>0.75</v>
      </c>
      <c r="D20" s="67"/>
      <c r="E20" s="67"/>
      <c r="F20" s="67"/>
      <c r="G20" s="67"/>
      <c r="H20" s="67"/>
      <c r="I20" s="67"/>
      <c r="J20" s="67"/>
      <c r="K20" s="67"/>
      <c r="L20" s="67"/>
      <c r="M20" s="67"/>
      <c r="N20" s="11"/>
    </row>
    <row r="21" spans="2:14" ht="16" customHeight="1">
      <c r="B21" s="61" t="s">
        <v>115</v>
      </c>
      <c r="C21" s="41">
        <v>2</v>
      </c>
      <c r="D21" s="67"/>
      <c r="E21" s="67"/>
      <c r="F21" s="67"/>
      <c r="G21" s="67"/>
      <c r="H21" s="67"/>
      <c r="I21" s="67"/>
      <c r="J21" s="67"/>
      <c r="K21" s="67"/>
      <c r="L21" s="67"/>
      <c r="M21" s="67"/>
      <c r="N21" s="11"/>
    </row>
    <row r="22" spans="2:14" ht="16" customHeight="1">
      <c r="B22" s="10"/>
      <c r="C22" s="67"/>
      <c r="D22" s="67"/>
      <c r="E22" s="67"/>
      <c r="F22" s="67"/>
      <c r="G22" s="67"/>
      <c r="H22" s="67"/>
      <c r="I22" s="67"/>
      <c r="J22" s="67"/>
      <c r="K22" s="67"/>
      <c r="L22" s="67"/>
      <c r="M22" s="67"/>
      <c r="N22" s="11"/>
    </row>
    <row r="23" spans="2:14" ht="16" customHeight="1">
      <c r="B23" s="94"/>
      <c r="C23" s="92" t="s">
        <v>113</v>
      </c>
      <c r="D23" s="92" t="s">
        <v>114</v>
      </c>
      <c r="E23" s="67"/>
      <c r="F23" s="67"/>
      <c r="G23" s="67"/>
      <c r="H23" s="67"/>
      <c r="I23" s="67"/>
      <c r="J23" s="67"/>
      <c r="K23" s="67"/>
      <c r="L23" s="67"/>
      <c r="M23" s="67"/>
      <c r="N23" s="11"/>
    </row>
    <row r="24" spans="2:14" ht="16" customHeight="1">
      <c r="B24" s="61" t="s">
        <v>118</v>
      </c>
      <c r="C24" s="41">
        <v>25</v>
      </c>
      <c r="D24" s="82">
        <f>C24 * PI() / 180</f>
        <v>0.43633231299858238</v>
      </c>
      <c r="E24" s="67"/>
      <c r="F24" s="67"/>
      <c r="G24" s="67"/>
      <c r="H24" s="67"/>
      <c r="I24" s="67"/>
      <c r="J24" s="67"/>
      <c r="K24" s="67"/>
      <c r="L24" s="67"/>
      <c r="M24" s="67"/>
      <c r="N24" s="11"/>
    </row>
    <row r="25" spans="2:14" ht="53" customHeight="1">
      <c r="B25" s="135" t="s">
        <v>140</v>
      </c>
      <c r="C25" s="136"/>
      <c r="D25" s="136"/>
      <c r="E25" s="136"/>
      <c r="F25" s="136"/>
      <c r="G25" s="136"/>
      <c r="H25" s="136"/>
      <c r="I25" s="136"/>
      <c r="J25" s="136"/>
      <c r="K25" s="136"/>
      <c r="L25" s="136"/>
      <c r="M25" s="136"/>
      <c r="N25" s="137"/>
    </row>
    <row r="26" spans="2:14" ht="52" customHeight="1">
      <c r="B26" s="155" t="s">
        <v>153</v>
      </c>
      <c r="C26" s="156"/>
      <c r="D26" s="156"/>
      <c r="E26" s="156"/>
      <c r="F26" s="156"/>
      <c r="G26" s="156"/>
      <c r="H26" s="156"/>
      <c r="I26" s="156"/>
      <c r="J26" s="156"/>
      <c r="K26" s="156"/>
      <c r="L26" s="156"/>
      <c r="M26" s="156"/>
      <c r="N26" s="184"/>
    </row>
    <row r="27" spans="2:14" ht="52" customHeight="1">
      <c r="B27" s="140" t="s">
        <v>119</v>
      </c>
      <c r="C27" s="141"/>
      <c r="D27" s="141"/>
      <c r="E27" s="141"/>
      <c r="F27" s="141"/>
      <c r="G27" s="141"/>
      <c r="H27" s="141"/>
      <c r="I27" s="141"/>
      <c r="J27" s="141"/>
      <c r="K27" s="141"/>
      <c r="L27" s="141"/>
      <c r="M27" s="141"/>
      <c r="N27" s="142"/>
    </row>
    <row r="28" spans="2:14" ht="51" customHeight="1">
      <c r="B28" s="155" t="s">
        <v>148</v>
      </c>
      <c r="C28" s="156"/>
      <c r="D28" s="156"/>
      <c r="E28" s="156"/>
      <c r="F28" s="156"/>
      <c r="G28" s="156"/>
      <c r="H28" s="156"/>
      <c r="I28" s="156"/>
      <c r="J28" s="156"/>
      <c r="K28" s="156"/>
      <c r="L28" s="156"/>
      <c r="M28" s="156"/>
      <c r="N28" s="184"/>
    </row>
    <row r="29" spans="2:14" ht="16" customHeight="1">
      <c r="B29" s="61" t="s">
        <v>132</v>
      </c>
      <c r="C29" s="101" t="s">
        <v>131</v>
      </c>
      <c r="D29" s="93">
        <v>5.8</v>
      </c>
      <c r="E29" s="93">
        <v>8.8000000000000007</v>
      </c>
      <c r="F29" s="93">
        <v>9.8000000000000007</v>
      </c>
      <c r="G29" s="67"/>
      <c r="H29" s="67"/>
      <c r="I29" s="67"/>
      <c r="J29" s="67"/>
      <c r="K29" s="67"/>
      <c r="L29" s="67"/>
      <c r="M29" s="67"/>
      <c r="N29" s="11"/>
    </row>
    <row r="30" spans="2:14" ht="16" customHeight="1">
      <c r="B30" s="61"/>
      <c r="C30" s="91" t="s">
        <v>129</v>
      </c>
      <c r="D30" s="91" t="s">
        <v>129</v>
      </c>
      <c r="E30" s="91" t="s">
        <v>129</v>
      </c>
      <c r="F30" s="91" t="s">
        <v>129</v>
      </c>
      <c r="G30" s="67"/>
      <c r="H30" s="67"/>
      <c r="I30" s="67"/>
      <c r="J30" s="67"/>
      <c r="K30" s="67"/>
      <c r="L30" s="67"/>
      <c r="M30" s="67"/>
      <c r="N30" s="11"/>
    </row>
    <row r="31" spans="2:14">
      <c r="B31" s="61" t="s">
        <v>46</v>
      </c>
      <c r="C31" s="109">
        <f>SUMPRODUCT(D31:F31, $D$36:$F$36)</f>
        <v>830</v>
      </c>
      <c r="D31" s="41">
        <v>520</v>
      </c>
      <c r="E31" s="41">
        <v>830</v>
      </c>
      <c r="F31" s="41">
        <v>900</v>
      </c>
      <c r="G31" s="67"/>
      <c r="H31" s="67"/>
      <c r="I31" s="67"/>
      <c r="J31" s="67"/>
      <c r="K31" s="67"/>
      <c r="L31" s="67"/>
      <c r="M31" s="67"/>
      <c r="N31" s="11"/>
    </row>
    <row r="32" spans="2:14" ht="16" customHeight="1">
      <c r="B32" s="61" t="s">
        <v>53</v>
      </c>
      <c r="C32" s="109">
        <f t="shared" ref="C32:C35" si="0">SUMPRODUCT(D32:F32, $D$36:$F$36)</f>
        <v>660</v>
      </c>
      <c r="D32" s="41">
        <v>420</v>
      </c>
      <c r="E32" s="41">
        <v>660</v>
      </c>
      <c r="F32" s="41">
        <v>720</v>
      </c>
      <c r="G32" s="67"/>
      <c r="H32" s="67"/>
      <c r="I32" s="67"/>
      <c r="J32" s="67"/>
      <c r="K32" s="67"/>
      <c r="L32" s="67"/>
      <c r="M32" s="67"/>
      <c r="N32" s="11"/>
    </row>
    <row r="33" spans="2:14">
      <c r="B33" s="61" t="s">
        <v>70</v>
      </c>
      <c r="C33" s="109">
        <f t="shared" si="0"/>
        <v>200000</v>
      </c>
      <c r="D33" s="41">
        <v>200000</v>
      </c>
      <c r="E33" s="41">
        <v>200000</v>
      </c>
      <c r="F33" s="41">
        <v>200000</v>
      </c>
      <c r="G33" s="67"/>
      <c r="H33" s="67"/>
      <c r="I33" s="67"/>
      <c r="J33" s="67"/>
      <c r="K33" s="67"/>
      <c r="L33" s="67"/>
      <c r="M33" s="67"/>
      <c r="N33" s="11"/>
    </row>
    <row r="34" spans="2:14" ht="16" customHeight="1">
      <c r="B34" s="61" t="s">
        <v>47</v>
      </c>
      <c r="C34" s="109">
        <f t="shared" si="0"/>
        <v>561</v>
      </c>
      <c r="D34" s="81">
        <f>0.85 * D32</f>
        <v>357</v>
      </c>
      <c r="E34" s="81">
        <f t="shared" ref="E34:F34" si="1">0.85 * E32</f>
        <v>561</v>
      </c>
      <c r="F34" s="81">
        <f t="shared" si="1"/>
        <v>612</v>
      </c>
      <c r="G34" s="67" t="s">
        <v>133</v>
      </c>
      <c r="H34" s="67"/>
      <c r="I34" s="67"/>
      <c r="J34" s="67"/>
      <c r="K34" s="67"/>
      <c r="L34" s="67"/>
      <c r="M34" s="67"/>
      <c r="N34" s="11"/>
    </row>
    <row r="35" spans="2:14" ht="16" customHeight="1">
      <c r="B35" s="61" t="s">
        <v>130</v>
      </c>
      <c r="C35" s="109">
        <f t="shared" si="0"/>
        <v>129</v>
      </c>
      <c r="D35" s="41">
        <v>81</v>
      </c>
      <c r="E35" s="41">
        <v>129</v>
      </c>
      <c r="F35" s="41">
        <v>140</v>
      </c>
      <c r="G35" s="67"/>
      <c r="H35" s="67"/>
      <c r="I35" s="67"/>
      <c r="J35" s="67"/>
      <c r="K35" s="67"/>
      <c r="L35" s="67"/>
      <c r="M35" s="67"/>
      <c r="N35" s="11"/>
    </row>
    <row r="36" spans="2:14" ht="16" customHeight="1">
      <c r="B36" s="10"/>
      <c r="C36" s="119"/>
      <c r="D36" s="41">
        <v>0</v>
      </c>
      <c r="E36" s="41">
        <v>1</v>
      </c>
      <c r="F36" s="41">
        <v>0</v>
      </c>
      <c r="G36" s="67"/>
      <c r="H36" s="67"/>
      <c r="I36" s="67"/>
      <c r="J36" s="67"/>
      <c r="K36" s="67"/>
      <c r="L36" s="67"/>
      <c r="M36" s="67"/>
      <c r="N36" s="11"/>
    </row>
    <row r="37" spans="2:14" ht="15" customHeight="1">
      <c r="B37" s="118"/>
      <c r="C37" s="102"/>
      <c r="D37" s="67"/>
      <c r="E37" s="67"/>
      <c r="F37" s="67"/>
      <c r="G37" s="67"/>
      <c r="H37" s="67"/>
      <c r="I37" s="67"/>
      <c r="J37" s="67"/>
      <c r="K37" s="67"/>
      <c r="L37" s="67"/>
      <c r="M37" s="67"/>
      <c r="N37" s="11"/>
    </row>
    <row r="38" spans="2:14" ht="16" customHeight="1">
      <c r="B38" s="61" t="s">
        <v>79</v>
      </c>
      <c r="C38" s="78">
        <f>msr * PI() * (d/2)^2</f>
        <v>90.477868423386042</v>
      </c>
      <c r="D38" s="67"/>
      <c r="E38" s="67"/>
      <c r="F38" s="67"/>
      <c r="G38" s="67"/>
      <c r="H38" s="67"/>
      <c r="I38" s="67"/>
      <c r="J38" s="67"/>
      <c r="K38" s="67"/>
      <c r="L38" s="67"/>
      <c r="M38" s="67"/>
      <c r="N38" s="11"/>
    </row>
    <row r="39" spans="2:14" ht="16" customHeight="1">
      <c r="B39" s="61" t="s">
        <v>73</v>
      </c>
      <c r="C39" s="78">
        <f>Sp * A * pr</f>
        <v>38068.563139139675</v>
      </c>
      <c r="D39" s="67"/>
      <c r="F39" s="67"/>
      <c r="G39" s="67"/>
      <c r="H39" s="67"/>
      <c r="I39" s="67"/>
      <c r="J39" s="67"/>
      <c r="K39" s="67"/>
      <c r="L39" s="67"/>
      <c r="M39" s="67"/>
      <c r="N39" s="11"/>
    </row>
    <row r="40" spans="2:14" ht="16" customHeight="1">
      <c r="B40" s="61" t="s">
        <v>120</v>
      </c>
      <c r="C40" s="81">
        <f xml:space="preserve"> Fmin * BL</f>
        <v>3000000</v>
      </c>
      <c r="D40" s="67"/>
      <c r="E40" s="67"/>
      <c r="F40" s="67"/>
      <c r="G40" s="67"/>
      <c r="H40" s="67"/>
      <c r="I40" s="67"/>
      <c r="J40" s="67"/>
      <c r="K40" s="67"/>
      <c r="L40" s="67"/>
      <c r="M40" s="67"/>
      <c r="N40" s="11"/>
    </row>
    <row r="41" spans="2:14" ht="16" customHeight="1">
      <c r="B41" s="61" t="s">
        <v>87</v>
      </c>
      <c r="C41" s="81">
        <f xml:space="preserve"> F * BL</f>
        <v>12000000</v>
      </c>
      <c r="D41" s="67"/>
      <c r="E41" s="67"/>
      <c r="F41" s="67"/>
      <c r="G41" s="67"/>
      <c r="H41" s="67"/>
      <c r="I41" s="67"/>
      <c r="J41" s="67"/>
      <c r="K41" s="67"/>
      <c r="L41" s="67"/>
      <c r="M41" s="67"/>
      <c r="N41" s="11"/>
    </row>
    <row r="42" spans="2:14" ht="16" customHeight="1">
      <c r="B42" s="61" t="s">
        <v>77</v>
      </c>
      <c r="C42" s="78">
        <f xml:space="preserve"> Bn * Yoall</f>
        <v>899.92871288667413</v>
      </c>
      <c r="D42" s="67"/>
      <c r="E42" s="67"/>
      <c r="F42" s="67"/>
      <c r="G42" s="67"/>
      <c r="H42" s="67"/>
      <c r="I42" s="67"/>
      <c r="J42" s="67"/>
      <c r="K42" s="67"/>
      <c r="L42" s="67"/>
      <c r="M42" s="67"/>
      <c r="N42" s="11"/>
    </row>
    <row r="43" spans="2:14" ht="16" customHeight="1">
      <c r="B43" s="61" t="s">
        <v>121</v>
      </c>
      <c r="C43" s="85">
        <f xml:space="preserve"> M / Z</f>
        <v>13334.389522374458</v>
      </c>
      <c r="D43" s="67"/>
      <c r="E43" s="67"/>
      <c r="F43" s="67"/>
      <c r="G43" s="67"/>
      <c r="H43" s="67"/>
      <c r="I43" s="67"/>
      <c r="J43" s="67"/>
      <c r="K43" s="67"/>
      <c r="L43" s="67"/>
      <c r="M43" s="67"/>
      <c r="N43" s="11"/>
    </row>
    <row r="44" spans="2:14">
      <c r="B44" s="61" t="s">
        <v>122</v>
      </c>
      <c r="C44" s="85">
        <f>Mmin / Z</f>
        <v>3333.5973805936146</v>
      </c>
      <c r="D44" s="67"/>
      <c r="E44" s="67"/>
      <c r="F44" s="67"/>
      <c r="G44" s="67"/>
      <c r="H44" s="67"/>
      <c r="I44" s="67"/>
      <c r="J44" s="67"/>
      <c r="K44" s="67"/>
      <c r="L44" s="67"/>
      <c r="M44" s="67"/>
      <c r="N44" s="11"/>
    </row>
    <row r="45" spans="2:14" ht="63" customHeight="1">
      <c r="B45" s="176" t="s">
        <v>126</v>
      </c>
      <c r="C45" s="177"/>
      <c r="D45" s="177"/>
      <c r="E45" s="177"/>
      <c r="F45" s="177"/>
      <c r="G45" s="177"/>
      <c r="H45" s="177"/>
      <c r="I45" s="177"/>
      <c r="J45" s="177"/>
      <c r="K45" s="177"/>
      <c r="L45" s="177"/>
      <c r="M45" s="177"/>
      <c r="N45" s="178"/>
    </row>
    <row r="46" spans="2:14" ht="69" customHeight="1">
      <c r="B46" s="179" t="s">
        <v>149</v>
      </c>
      <c r="C46" s="169"/>
      <c r="D46" s="169"/>
      <c r="E46" s="169"/>
      <c r="F46" s="169"/>
      <c r="G46" s="169"/>
      <c r="H46" s="169"/>
      <c r="I46" s="169"/>
      <c r="J46" s="169"/>
      <c r="K46" s="169"/>
      <c r="L46" s="169"/>
      <c r="M46" s="169"/>
      <c r="N46" s="180"/>
    </row>
    <row r="47" spans="2:14" ht="20">
      <c r="B47" s="121" t="s">
        <v>54</v>
      </c>
      <c r="C47" s="84" t="s">
        <v>55</v>
      </c>
      <c r="D47" s="67"/>
      <c r="E47" s="67"/>
      <c r="F47" s="67"/>
      <c r="G47" s="67"/>
      <c r="H47" s="67"/>
      <c r="I47" s="67"/>
      <c r="J47" s="67"/>
      <c r="K47" s="67"/>
      <c r="L47" s="67"/>
      <c r="M47" s="67"/>
      <c r="N47" s="11"/>
    </row>
    <row r="48" spans="2:14" ht="26" customHeight="1">
      <c r="B48" s="189" t="s">
        <v>49</v>
      </c>
      <c r="C48" s="175"/>
      <c r="D48" s="67"/>
      <c r="E48" s="67"/>
      <c r="F48" s="67"/>
      <c r="G48" s="67"/>
      <c r="H48" s="67"/>
      <c r="I48" s="67"/>
      <c r="J48" s="67"/>
      <c r="K48" s="67"/>
      <c r="L48" s="67"/>
      <c r="M48" s="67"/>
      <c r="N48" s="11"/>
    </row>
    <row r="49" spans="2:14" ht="33" customHeight="1">
      <c r="B49" s="122"/>
      <c r="C49" s="96"/>
      <c r="D49" s="67"/>
      <c r="E49" s="67"/>
      <c r="F49" s="67"/>
      <c r="G49" s="67"/>
      <c r="H49" s="67"/>
      <c r="I49" s="67"/>
      <c r="J49" s="67"/>
      <c r="K49" s="67"/>
      <c r="L49" s="67"/>
      <c r="M49" s="67"/>
      <c r="N49" s="11"/>
    </row>
    <row r="50" spans="2:14" ht="16" customHeight="1">
      <c r="B50" s="123">
        <v>150</v>
      </c>
      <c r="C50" s="45">
        <f>Sp / FS -B50</f>
        <v>224</v>
      </c>
      <c r="D50" s="67"/>
      <c r="E50" s="67"/>
      <c r="F50" s="67"/>
      <c r="G50" s="67"/>
      <c r="H50" s="67"/>
      <c r="I50" s="67"/>
      <c r="J50" s="67"/>
      <c r="K50" s="67"/>
      <c r="L50" s="67"/>
      <c r="M50" s="67"/>
      <c r="N50" s="11"/>
    </row>
    <row r="51" spans="2:14">
      <c r="B51" s="123">
        <f>(B50+B52)/2</f>
        <v>262</v>
      </c>
      <c r="C51" s="45">
        <f>Sp / FS -B51</f>
        <v>112</v>
      </c>
      <c r="D51" s="67"/>
      <c r="E51" s="67"/>
      <c r="F51" s="67"/>
      <c r="G51" s="67"/>
      <c r="H51" s="67"/>
      <c r="I51" s="67"/>
      <c r="J51" s="67"/>
      <c r="K51" s="67"/>
      <c r="L51" s="67"/>
      <c r="M51" s="67"/>
      <c r="N51" s="11"/>
    </row>
    <row r="52" spans="2:14">
      <c r="B52" s="123">
        <f>Sp/FS</f>
        <v>374</v>
      </c>
      <c r="C52" s="45">
        <f>Sp / FS -B52</f>
        <v>0</v>
      </c>
      <c r="D52" s="67"/>
      <c r="E52" s="67"/>
      <c r="F52" s="67"/>
      <c r="G52" s="67"/>
      <c r="H52" s="67"/>
      <c r="I52" s="67"/>
      <c r="J52" s="67"/>
      <c r="K52" s="67"/>
      <c r="L52" s="67"/>
      <c r="M52" s="67"/>
      <c r="N52" s="11"/>
    </row>
    <row r="53" spans="2:14" ht="27" customHeight="1">
      <c r="B53" s="189" t="s">
        <v>50</v>
      </c>
      <c r="C53" s="175"/>
      <c r="D53" s="67"/>
      <c r="E53" s="67"/>
      <c r="F53" s="67"/>
      <c r="G53" s="67"/>
      <c r="H53" s="67"/>
      <c r="I53" s="67"/>
      <c r="J53" s="67"/>
      <c r="K53" s="67"/>
      <c r="L53" s="67"/>
      <c r="M53" s="67"/>
      <c r="N53" s="11"/>
    </row>
    <row r="54" spans="2:14" ht="37" customHeight="1">
      <c r="B54" s="122"/>
      <c r="C54" s="96"/>
      <c r="D54" s="67"/>
      <c r="E54" s="67"/>
      <c r="F54" s="67"/>
      <c r="G54" s="67"/>
      <c r="H54" s="67"/>
      <c r="I54" s="67"/>
      <c r="J54" s="67"/>
      <c r="K54" s="67"/>
      <c r="L54" s="67"/>
      <c r="M54" s="67"/>
      <c r="N54" s="11"/>
    </row>
    <row r="55" spans="2:14">
      <c r="B55" s="123">
        <v>0</v>
      </c>
      <c r="C55" s="45">
        <f xml:space="preserve"> (Se)*(1 - (B55 / UTS)^2)</f>
        <v>129</v>
      </c>
      <c r="D55" s="67"/>
      <c r="E55" s="67"/>
      <c r="F55" s="67"/>
      <c r="G55" s="67"/>
      <c r="H55" s="67"/>
      <c r="I55" s="67"/>
      <c r="J55" s="67"/>
      <c r="K55" s="67"/>
      <c r="L55" s="67"/>
      <c r="M55" s="67"/>
      <c r="N55" s="11"/>
    </row>
    <row r="56" spans="2:14">
      <c r="B56" s="123">
        <f>B57/2</f>
        <v>207.5</v>
      </c>
      <c r="C56" s="45">
        <f xml:space="preserve"> (Se)*(1 - (B56 / UTS)^2)</f>
        <v>120.9375</v>
      </c>
      <c r="D56" s="67"/>
      <c r="E56" s="67"/>
      <c r="F56" s="67"/>
      <c r="G56" s="67"/>
      <c r="H56" s="67"/>
      <c r="I56" s="67"/>
      <c r="J56" s="67"/>
      <c r="K56" s="67"/>
      <c r="L56" s="67"/>
      <c r="M56" s="67"/>
      <c r="N56" s="11"/>
    </row>
    <row r="57" spans="2:14">
      <c r="B57" s="123">
        <f>(B55+B59)/2</f>
        <v>415</v>
      </c>
      <c r="C57" s="45">
        <f xml:space="preserve"> (Se)*(1 - (B57 / UTS)^2)</f>
        <v>96.75</v>
      </c>
      <c r="D57" s="67"/>
      <c r="E57" s="67"/>
      <c r="F57" s="67"/>
      <c r="G57" s="67"/>
      <c r="H57" s="67"/>
      <c r="I57" s="67"/>
      <c r="J57" s="67"/>
      <c r="K57" s="67"/>
      <c r="L57" s="67"/>
      <c r="M57" s="67"/>
      <c r="N57" s="11"/>
    </row>
    <row r="58" spans="2:14">
      <c r="B58" s="123">
        <f>(B57 + B59)/2</f>
        <v>622.5</v>
      </c>
      <c r="C58" s="45">
        <f xml:space="preserve"> (Se)*(1 - (B58 / UTS)^2)</f>
        <v>56.4375</v>
      </c>
      <c r="D58" s="67"/>
      <c r="E58" s="67"/>
      <c r="F58" s="67"/>
      <c r="G58" s="67"/>
      <c r="H58" s="67"/>
      <c r="I58" s="67"/>
      <c r="J58" s="67"/>
      <c r="K58" s="67"/>
      <c r="L58" s="67"/>
      <c r="M58" s="67"/>
      <c r="N58" s="11"/>
    </row>
    <row r="59" spans="2:14">
      <c r="B59" s="123">
        <f>UTS</f>
        <v>830</v>
      </c>
      <c r="C59" s="45">
        <f xml:space="preserve"> (Se)*(1 - (B59 / UTS)^2)</f>
        <v>0</v>
      </c>
      <c r="D59" s="67"/>
      <c r="E59" s="67"/>
      <c r="F59" s="67"/>
      <c r="G59" s="67"/>
      <c r="H59" s="67"/>
      <c r="I59" s="67"/>
      <c r="J59" s="67"/>
      <c r="K59" s="67"/>
      <c r="L59" s="67"/>
      <c r="M59" s="67"/>
      <c r="N59" s="11"/>
    </row>
    <row r="60" spans="2:14" ht="27" customHeight="1">
      <c r="B60" s="189" t="s">
        <v>51</v>
      </c>
      <c r="C60" s="175"/>
      <c r="D60" s="67"/>
      <c r="E60" s="67"/>
      <c r="F60" s="67"/>
      <c r="G60" s="67"/>
      <c r="H60" s="67"/>
      <c r="I60" s="67"/>
      <c r="J60" s="67"/>
      <c r="K60" s="67"/>
      <c r="L60" s="67"/>
      <c r="M60" s="67"/>
      <c r="N60" s="11"/>
    </row>
    <row r="61" spans="2:14" ht="36" customHeight="1">
      <c r="B61" s="122"/>
      <c r="C61" s="96"/>
      <c r="D61" s="67"/>
      <c r="E61" s="67"/>
      <c r="F61" s="67"/>
      <c r="G61" s="67"/>
      <c r="H61" s="67"/>
      <c r="I61" s="67"/>
      <c r="J61" s="67"/>
      <c r="K61" s="67"/>
      <c r="L61" s="67"/>
      <c r="M61" s="67"/>
      <c r="N61" s="11"/>
    </row>
    <row r="62" spans="2:14">
      <c r="B62" s="123">
        <v>0</v>
      </c>
      <c r="C62" s="79">
        <f xml:space="preserve"> (Se/FS)*(1 - (FS * B62 / UTS)^2)</f>
        <v>86</v>
      </c>
      <c r="D62" s="67"/>
      <c r="E62" s="67"/>
      <c r="F62" s="67"/>
      <c r="G62" s="67"/>
      <c r="H62" s="67"/>
      <c r="I62" s="67"/>
      <c r="J62" s="67"/>
      <c r="K62" s="67"/>
      <c r="L62" s="67"/>
      <c r="M62" s="67"/>
      <c r="N62" s="11"/>
    </row>
    <row r="63" spans="2:14">
      <c r="B63" s="124">
        <f>B64/2</f>
        <v>138.33333333333334</v>
      </c>
      <c r="C63" s="79">
        <f xml:space="preserve"> (Se/FS)*(1 - (FS * B63 / UTS)^2)</f>
        <v>80.625</v>
      </c>
      <c r="D63" s="67"/>
      <c r="E63" s="67"/>
      <c r="F63" s="67"/>
      <c r="G63" s="67"/>
      <c r="H63" s="67"/>
      <c r="I63" s="67"/>
      <c r="J63" s="67"/>
      <c r="K63" s="67"/>
      <c r="L63" s="67"/>
      <c r="M63" s="67"/>
      <c r="N63" s="11"/>
    </row>
    <row r="64" spans="2:14">
      <c r="B64" s="124">
        <f>(B62+B66)/2</f>
        <v>276.66666666666669</v>
      </c>
      <c r="C64" s="79">
        <f xml:space="preserve"> (Se/FS)*(1 - (FS * B64 / UTS)^2)</f>
        <v>64.5</v>
      </c>
      <c r="D64" s="67"/>
      <c r="E64" s="67"/>
      <c r="F64" s="67"/>
      <c r="G64" s="67"/>
      <c r="H64" s="67"/>
      <c r="I64" s="67"/>
      <c r="J64" s="67"/>
      <c r="K64" s="67"/>
      <c r="L64" s="67"/>
      <c r="M64" s="67"/>
      <c r="N64" s="11"/>
    </row>
    <row r="65" spans="2:14">
      <c r="B65" s="124">
        <f>(B64 + B66)/2</f>
        <v>415</v>
      </c>
      <c r="C65" s="79">
        <f xml:space="preserve"> (Se/FS)*(1 - (FS * B65 / UTS)^2)</f>
        <v>37.625</v>
      </c>
      <c r="D65" s="67"/>
      <c r="E65" s="67"/>
      <c r="F65" s="67"/>
      <c r="G65" s="67"/>
      <c r="H65" s="67"/>
      <c r="I65" s="67"/>
      <c r="J65" s="67"/>
      <c r="K65" s="67"/>
      <c r="L65" s="67"/>
      <c r="M65" s="67"/>
      <c r="N65" s="11"/>
    </row>
    <row r="66" spans="2:14">
      <c r="B66" s="125">
        <f>UTS/FS</f>
        <v>553.33333333333337</v>
      </c>
      <c r="C66" s="106">
        <f xml:space="preserve"> (Se/FS)*(1 - (FS * B66 / UTS)^2)</f>
        <v>0</v>
      </c>
      <c r="D66" s="67"/>
      <c r="E66" s="67"/>
      <c r="F66" s="67"/>
      <c r="G66" s="67"/>
      <c r="H66" s="67"/>
      <c r="I66" s="67"/>
      <c r="J66" s="67"/>
      <c r="K66" s="67"/>
      <c r="L66" s="67"/>
      <c r="M66" s="67"/>
      <c r="N66" s="11"/>
    </row>
    <row r="67" spans="2:14" ht="27" customHeight="1">
      <c r="B67" s="189" t="s">
        <v>52</v>
      </c>
      <c r="C67" s="175"/>
      <c r="D67" s="175"/>
      <c r="E67" s="67"/>
      <c r="F67" s="67"/>
      <c r="G67" s="67"/>
      <c r="H67" s="67"/>
      <c r="I67" s="67"/>
      <c r="J67" s="67"/>
      <c r="K67" s="67"/>
      <c r="L67" s="67"/>
      <c r="M67" s="67"/>
      <c r="N67" s="11"/>
    </row>
    <row r="68" spans="2:14" ht="29" customHeight="1">
      <c r="B68" s="126"/>
      <c r="C68" s="98"/>
      <c r="D68" s="97" t="s">
        <v>124</v>
      </c>
      <c r="E68" s="67"/>
      <c r="F68" s="67"/>
      <c r="G68" s="67"/>
      <c r="H68" s="67"/>
      <c r="I68" s="67"/>
      <c r="J68" s="67"/>
      <c r="K68" s="67"/>
      <c r="L68" s="67"/>
      <c r="M68" s="67"/>
      <c r="N68" s="11"/>
    </row>
    <row r="69" spans="2:14">
      <c r="B69" s="124">
        <f t="shared" ref="B69:B79" si="2">( Sy/FS) * COS(D69)</f>
        <v>2.694222958124177E-14</v>
      </c>
      <c r="C69" s="79">
        <f t="shared" ref="C69:C79" si="3">(Se / FS) * SIN(D69)</f>
        <v>86</v>
      </c>
      <c r="D69" s="83">
        <f>PI()/2</f>
        <v>1.5707963267948966</v>
      </c>
      <c r="E69" s="67"/>
      <c r="F69" s="67"/>
      <c r="G69" s="67"/>
      <c r="H69" s="67"/>
      <c r="I69" s="67"/>
      <c r="J69" s="67"/>
      <c r="K69" s="67"/>
      <c r="L69" s="67"/>
      <c r="M69" s="67"/>
      <c r="N69" s="11"/>
    </row>
    <row r="70" spans="2:14">
      <c r="B70" s="124">
        <f t="shared" si="2"/>
        <v>68.831164617701603</v>
      </c>
      <c r="C70" s="79">
        <f t="shared" si="3"/>
        <v>84.941197291181851</v>
      </c>
      <c r="D70" s="83">
        <f>D69 - PI()/20</f>
        <v>1.4137166941154069</v>
      </c>
      <c r="E70" s="67"/>
      <c r="F70" s="67"/>
      <c r="G70" s="67"/>
      <c r="H70" s="67"/>
      <c r="I70" s="67"/>
      <c r="J70" s="67"/>
      <c r="K70" s="67"/>
      <c r="L70" s="67"/>
      <c r="M70" s="67"/>
      <c r="N70" s="11"/>
    </row>
    <row r="71" spans="2:14">
      <c r="B71" s="124">
        <f t="shared" si="2"/>
        <v>135.96747752497689</v>
      </c>
      <c r="C71" s="79">
        <f t="shared" si="3"/>
        <v>81.790860401383199</v>
      </c>
      <c r="D71" s="83">
        <f>D70 - PI()/20</f>
        <v>1.2566370614359172</v>
      </c>
      <c r="E71" s="67"/>
      <c r="F71" s="67"/>
      <c r="G71" s="67"/>
      <c r="H71" s="67"/>
      <c r="I71" s="67"/>
      <c r="J71" s="67"/>
      <c r="K71" s="67"/>
      <c r="L71" s="67"/>
      <c r="M71" s="67"/>
      <c r="N71" s="11"/>
    </row>
    <row r="72" spans="2:14">
      <c r="B72" s="124">
        <f t="shared" si="2"/>
        <v>199.75581988540063</v>
      </c>
      <c r="C72" s="79">
        <f t="shared" si="3"/>
        <v>76.626561080199636</v>
      </c>
      <c r="D72" s="83">
        <f t="shared" ref="D72:D79" si="4">D71 - PI()/20</f>
        <v>1.0995574287564276</v>
      </c>
      <c r="E72" s="67"/>
      <c r="F72" s="67"/>
      <c r="G72" s="67"/>
      <c r="H72" s="67"/>
      <c r="I72" s="67"/>
      <c r="J72" s="67"/>
      <c r="K72" s="67"/>
      <c r="L72" s="67"/>
      <c r="M72" s="67"/>
      <c r="N72" s="11"/>
    </row>
    <row r="73" spans="2:14">
      <c r="B73" s="124">
        <f t="shared" si="2"/>
        <v>258.62551100868819</v>
      </c>
      <c r="C73" s="79">
        <f t="shared" si="3"/>
        <v>69.575461516245483</v>
      </c>
      <c r="D73" s="83">
        <f t="shared" si="4"/>
        <v>0.94247779607693793</v>
      </c>
      <c r="E73" s="67"/>
      <c r="F73" s="67"/>
      <c r="G73" s="67"/>
      <c r="H73" s="67"/>
      <c r="I73" s="67"/>
      <c r="J73" s="67"/>
      <c r="K73" s="67"/>
      <c r="L73" s="67"/>
      <c r="M73" s="67"/>
      <c r="N73" s="11"/>
    </row>
    <row r="74" spans="2:14">
      <c r="B74" s="124">
        <f t="shared" si="2"/>
        <v>311.12698372208092</v>
      </c>
      <c r="C74" s="79">
        <f t="shared" si="3"/>
        <v>60.811183182043081</v>
      </c>
      <c r="D74" s="83">
        <f t="shared" si="4"/>
        <v>0.78539816339744828</v>
      </c>
      <c r="E74" s="67"/>
      <c r="F74" s="67"/>
      <c r="G74" s="67"/>
      <c r="H74" s="67"/>
      <c r="I74" s="67"/>
      <c r="J74" s="67"/>
      <c r="K74" s="67"/>
      <c r="L74" s="67"/>
      <c r="M74" s="67"/>
      <c r="N74" s="11"/>
    </row>
    <row r="75" spans="2:14">
      <c r="B75" s="124">
        <f t="shared" si="2"/>
        <v>355.96747752497686</v>
      </c>
      <c r="C75" s="79">
        <f t="shared" si="3"/>
        <v>50.549531697152688</v>
      </c>
      <c r="D75" s="83">
        <f t="shared" si="4"/>
        <v>0.62831853071795862</v>
      </c>
      <c r="E75" s="67"/>
      <c r="F75" s="67"/>
      <c r="G75" s="67"/>
      <c r="H75" s="67"/>
      <c r="I75" s="67"/>
      <c r="J75" s="67"/>
      <c r="K75" s="67"/>
      <c r="L75" s="67"/>
      <c r="M75" s="67"/>
      <c r="N75" s="11"/>
    </row>
    <row r="76" spans="2:14">
      <c r="B76" s="124">
        <f t="shared" si="2"/>
        <v>392.04287064288189</v>
      </c>
      <c r="C76" s="79">
        <f t="shared" si="3"/>
        <v>39.043182977601028</v>
      </c>
      <c r="D76" s="83">
        <f t="shared" si="4"/>
        <v>0.47123889803846897</v>
      </c>
      <c r="E76" s="67"/>
      <c r="F76" s="67"/>
      <c r="G76" s="67"/>
      <c r="H76" s="67"/>
      <c r="I76" s="67"/>
      <c r="J76" s="67"/>
      <c r="K76" s="67"/>
      <c r="L76" s="67"/>
      <c r="M76" s="67"/>
      <c r="N76" s="11"/>
    </row>
    <row r="77" spans="2:14">
      <c r="B77" s="124">
        <f t="shared" si="2"/>
        <v>418.46486716986755</v>
      </c>
      <c r="C77" s="79">
        <f t="shared" si="3"/>
        <v>26.575461516245475</v>
      </c>
      <c r="D77" s="83">
        <f t="shared" si="4"/>
        <v>0.31415926535897931</v>
      </c>
      <c r="E77" s="67"/>
      <c r="F77" s="67"/>
      <c r="G77" s="67"/>
      <c r="H77" s="67"/>
      <c r="I77" s="67"/>
      <c r="J77" s="67"/>
      <c r="K77" s="67"/>
      <c r="L77" s="67"/>
      <c r="M77" s="67"/>
      <c r="N77" s="11"/>
    </row>
    <row r="78" spans="2:14">
      <c r="B78" s="124">
        <f t="shared" si="2"/>
        <v>434.58286986186062</v>
      </c>
      <c r="C78" s="79">
        <f t="shared" si="3"/>
        <v>13.453363993459854</v>
      </c>
      <c r="D78" s="83">
        <f t="shared" si="4"/>
        <v>0.15707963267948966</v>
      </c>
      <c r="E78" s="67"/>
      <c r="F78" s="67"/>
      <c r="G78" s="67"/>
      <c r="H78" s="67"/>
      <c r="I78" s="67"/>
      <c r="J78" s="67"/>
      <c r="K78" s="67"/>
      <c r="L78" s="67"/>
      <c r="M78" s="67"/>
      <c r="N78" s="11"/>
    </row>
    <row r="79" spans="2:14">
      <c r="B79" s="124">
        <f t="shared" si="2"/>
        <v>440</v>
      </c>
      <c r="C79" s="79">
        <f t="shared" si="3"/>
        <v>0</v>
      </c>
      <c r="D79" s="83">
        <f t="shared" si="4"/>
        <v>0</v>
      </c>
      <c r="E79" s="67"/>
      <c r="F79" s="67"/>
      <c r="G79" s="67"/>
      <c r="H79" s="67"/>
      <c r="I79" s="67"/>
      <c r="J79" s="67"/>
      <c r="K79" s="67"/>
      <c r="L79" s="67"/>
      <c r="M79" s="67"/>
      <c r="N79" s="11"/>
    </row>
    <row r="80" spans="2:14" ht="68" customHeight="1">
      <c r="B80" s="181" t="s">
        <v>125</v>
      </c>
      <c r="C80" s="182"/>
      <c r="D80" s="182"/>
      <c r="E80" s="182"/>
      <c r="F80" s="182"/>
      <c r="G80" s="182"/>
      <c r="H80" s="182"/>
      <c r="I80" s="182"/>
      <c r="J80" s="182"/>
      <c r="K80" s="182"/>
      <c r="L80" s="182"/>
      <c r="M80" s="182"/>
      <c r="N80" s="183"/>
    </row>
    <row r="81" spans="2:14" ht="81" customHeight="1">
      <c r="B81" s="155" t="s">
        <v>147</v>
      </c>
      <c r="C81" s="156"/>
      <c r="D81" s="156"/>
      <c r="E81" s="156"/>
      <c r="F81" s="156"/>
      <c r="G81" s="156"/>
      <c r="H81" s="156"/>
      <c r="I81" s="156"/>
      <c r="J81" s="156"/>
      <c r="K81" s="156"/>
      <c r="L81" s="156"/>
      <c r="M81" s="156"/>
      <c r="N81" s="184"/>
    </row>
    <row r="82" spans="2:14" ht="18">
      <c r="B82" s="61" t="s">
        <v>74</v>
      </c>
      <c r="C82" s="78" cm="1">
        <f t="array" ref="C82">(PI() * E * d * TAN(alpha)) / (2 * LN(((l * TAN(alpha) + dw - d)*(dw + d))/((l * TAN(alpha) + dw + d)*(dw - d))))</f>
        <v>2148442.7491968437</v>
      </c>
      <c r="D82" s="67"/>
      <c r="E82" s="67"/>
      <c r="F82" s="67"/>
      <c r="G82" s="67"/>
      <c r="H82" s="67"/>
      <c r="I82" s="67"/>
      <c r="J82" s="67"/>
      <c r="K82" s="67"/>
      <c r="L82" s="67"/>
      <c r="M82" s="67"/>
      <c r="N82" s="11"/>
    </row>
    <row r="83" spans="2:14" ht="18">
      <c r="B83" s="61" t="s">
        <v>75</v>
      </c>
      <c r="C83" s="78">
        <f>A * E / l</f>
        <v>441355.4557238344</v>
      </c>
      <c r="D83" s="67"/>
      <c r="E83" s="67"/>
      <c r="F83" s="67"/>
      <c r="G83" s="67"/>
      <c r="H83" s="67"/>
      <c r="I83" s="67"/>
      <c r="J83" s="67"/>
      <c r="K83" s="67"/>
      <c r="L83" s="67"/>
      <c r="M83" s="67"/>
      <c r="N83" s="11"/>
    </row>
    <row r="84" spans="2:14">
      <c r="B84" s="61" t="s">
        <v>78</v>
      </c>
      <c r="C84" s="82">
        <f xml:space="preserve"> kb / (kb + km)</f>
        <v>0.17042078988441978</v>
      </c>
      <c r="D84" s="67"/>
      <c r="E84" s="67"/>
      <c r="F84" s="67"/>
      <c r="G84" s="67"/>
      <c r="H84" s="67"/>
      <c r="I84" s="67"/>
      <c r="J84" s="67"/>
      <c r="K84" s="67"/>
      <c r="L84" s="67"/>
      <c r="M84" s="67"/>
      <c r="N84" s="11"/>
    </row>
    <row r="85" spans="2:14">
      <c r="B85" s="10"/>
      <c r="C85" s="67"/>
      <c r="D85" s="67"/>
      <c r="E85" s="67"/>
      <c r="F85" s="67"/>
      <c r="G85" s="67"/>
      <c r="H85" s="67"/>
      <c r="I85" s="67"/>
      <c r="J85" s="67"/>
      <c r="K85" s="67"/>
      <c r="L85" s="67"/>
      <c r="M85" s="67"/>
      <c r="N85" s="11"/>
    </row>
    <row r="86" spans="2:14">
      <c r="B86" s="127" t="s">
        <v>150</v>
      </c>
      <c r="C86" s="60" t="s">
        <v>151</v>
      </c>
      <c r="D86" s="67"/>
      <c r="E86" s="67"/>
      <c r="F86" s="67"/>
      <c r="G86" s="67"/>
      <c r="H86" s="67"/>
      <c r="I86" s="67"/>
      <c r="J86" s="67"/>
      <c r="K86" s="67"/>
      <c r="L86" s="67"/>
      <c r="M86" s="67"/>
      <c r="N86" s="11"/>
    </row>
    <row r="87" spans="2:14">
      <c r="B87" s="128">
        <v>0</v>
      </c>
      <c r="C87" s="45">
        <f xml:space="preserve"> kb *B87</f>
        <v>0</v>
      </c>
      <c r="D87" s="86" t="s">
        <v>71</v>
      </c>
      <c r="E87" s="67"/>
      <c r="F87" s="67"/>
      <c r="G87" s="67"/>
      <c r="H87" s="67"/>
      <c r="I87" s="67"/>
      <c r="J87" s="67"/>
      <c r="K87" s="67"/>
      <c r="L87" s="67"/>
      <c r="M87" s="67"/>
      <c r="N87" s="11"/>
    </row>
    <row r="88" spans="2:14">
      <c r="B88" s="128">
        <f>prf / kb</f>
        <v>8.625374999999999E-2</v>
      </c>
      <c r="C88" s="80">
        <f xml:space="preserve"> prf</f>
        <v>38068.563139139675</v>
      </c>
      <c r="D88" s="86" t="s">
        <v>90</v>
      </c>
      <c r="E88" s="67"/>
      <c r="F88" s="67"/>
      <c r="G88" s="67"/>
      <c r="H88" s="67"/>
      <c r="I88" s="67"/>
      <c r="J88" s="67"/>
      <c r="K88" s="67"/>
      <c r="L88" s="67"/>
      <c r="M88" s="67"/>
      <c r="N88" s="11"/>
    </row>
    <row r="89" spans="2:14">
      <c r="B89" s="128">
        <f>B90</f>
        <v>0.10397289245951906</v>
      </c>
      <c r="C89" s="80">
        <f xml:space="preserve"> kb *B89</f>
        <v>45889.003334396257</v>
      </c>
      <c r="D89" s="86" t="s">
        <v>72</v>
      </c>
      <c r="E89" s="67"/>
      <c r="F89" s="67"/>
      <c r="G89" s="67"/>
      <c r="H89" s="67"/>
      <c r="I89" s="67"/>
      <c r="J89" s="67"/>
      <c r="K89" s="67"/>
      <c r="L89" s="67"/>
      <c r="M89" s="67"/>
      <c r="N89" s="11"/>
    </row>
    <row r="90" spans="2:14">
      <c r="B90" s="128">
        <f>B88 +prf/km</f>
        <v>0.10397289245951906</v>
      </c>
      <c r="C90" s="81">
        <v>0</v>
      </c>
      <c r="D90" s="86" t="s">
        <v>88</v>
      </c>
      <c r="E90" s="67"/>
      <c r="F90" s="67"/>
      <c r="G90" s="67"/>
      <c r="H90" s="67"/>
      <c r="I90" s="67"/>
      <c r="J90" s="67"/>
      <c r="K90" s="67"/>
      <c r="L90" s="67"/>
      <c r="M90" s="67"/>
      <c r="N90" s="11"/>
    </row>
    <row r="91" spans="2:14">
      <c r="B91" s="128">
        <f>C91/kb</f>
        <v>9.1402564103368653E-2</v>
      </c>
      <c r="C91" s="78">
        <f>prf + P *  (kb)/(kb + km)</f>
        <v>40341.020334169261</v>
      </c>
      <c r="D91" s="86" t="s">
        <v>91</v>
      </c>
      <c r="E91" s="67"/>
      <c r="F91" s="67"/>
      <c r="G91" s="67"/>
      <c r="H91" s="67"/>
      <c r="I91" s="67"/>
      <c r="J91" s="67"/>
      <c r="K91" s="67"/>
      <c r="L91" s="67"/>
      <c r="M91" s="67"/>
      <c r="N91" s="11"/>
    </row>
    <row r="92" spans="2:14">
      <c r="B92" s="128">
        <f>B91</f>
        <v>9.1402564103368653E-2</v>
      </c>
      <c r="C92" s="78">
        <f>C88</f>
        <v>38068.563139139675</v>
      </c>
      <c r="D92" s="86" t="s">
        <v>89</v>
      </c>
      <c r="E92" s="67"/>
      <c r="F92" s="67"/>
      <c r="G92" s="67"/>
      <c r="H92" s="67"/>
      <c r="I92" s="67"/>
      <c r="J92" s="67"/>
      <c r="K92" s="67"/>
      <c r="L92" s="67"/>
      <c r="M92" s="67"/>
      <c r="N92" s="11"/>
    </row>
    <row r="93" spans="2:14">
      <c r="B93" s="128">
        <f>B92</f>
        <v>9.1402564103368653E-2</v>
      </c>
      <c r="C93" s="78">
        <f>prf - P *(km)/(kb + km)</f>
        <v>27006.630811794803</v>
      </c>
      <c r="D93" s="67"/>
      <c r="E93" s="67"/>
      <c r="F93" s="67"/>
      <c r="G93" s="67"/>
      <c r="H93" s="67"/>
      <c r="I93" s="67"/>
      <c r="J93" s="67"/>
      <c r="K93" s="67"/>
      <c r="L93" s="67"/>
      <c r="M93" s="67"/>
      <c r="N93" s="11"/>
    </row>
    <row r="94" spans="2:14">
      <c r="B94" s="104"/>
      <c r="D94" s="67"/>
      <c r="E94" s="67"/>
      <c r="F94" s="67"/>
      <c r="G94" s="67"/>
      <c r="H94" s="67"/>
      <c r="I94" s="67"/>
      <c r="J94" s="67"/>
      <c r="K94" s="67"/>
      <c r="L94" s="67"/>
      <c r="M94" s="67"/>
      <c r="N94" s="11"/>
    </row>
    <row r="95" spans="2:14">
      <c r="B95" s="94"/>
      <c r="C95" s="60" t="s">
        <v>86</v>
      </c>
      <c r="D95" s="67"/>
      <c r="E95" s="67"/>
      <c r="F95" s="67"/>
      <c r="G95" s="67"/>
      <c r="H95" s="67"/>
      <c r="I95" s="67"/>
      <c r="J95" s="67"/>
      <c r="K95" s="67"/>
      <c r="L95" s="67"/>
      <c r="M95" s="67"/>
      <c r="N95" s="11"/>
    </row>
    <row r="96" spans="2:14">
      <c r="B96" s="61" t="s">
        <v>80</v>
      </c>
      <c r="C96" s="78">
        <f>prf + P*rat</f>
        <v>40341.020334169261</v>
      </c>
      <c r="D96" s="67"/>
      <c r="E96" s="67"/>
      <c r="F96" s="67"/>
      <c r="G96" s="67"/>
      <c r="H96" s="67"/>
      <c r="I96" s="67"/>
      <c r="J96" s="67"/>
      <c r="K96" s="67"/>
      <c r="L96" s="67"/>
      <c r="M96" s="67"/>
      <c r="N96" s="11"/>
    </row>
    <row r="97" spans="2:14">
      <c r="B97" s="61" t="s">
        <v>81</v>
      </c>
      <c r="C97" s="78">
        <f>prf + Pmin*rat</f>
        <v>38636.677437897073</v>
      </c>
      <c r="D97" s="67"/>
      <c r="E97" s="67"/>
      <c r="F97" s="67"/>
      <c r="G97" s="67"/>
      <c r="H97" s="67"/>
      <c r="I97" s="67"/>
      <c r="J97" s="67"/>
      <c r="K97" s="67"/>
      <c r="L97" s="67"/>
      <c r="M97" s="67"/>
      <c r="N97" s="11"/>
    </row>
    <row r="98" spans="2:14">
      <c r="B98" s="105"/>
      <c r="C98" s="102"/>
      <c r="D98" s="67"/>
      <c r="E98" s="67"/>
      <c r="F98" s="67"/>
      <c r="G98" s="67"/>
      <c r="H98" s="67"/>
      <c r="I98" s="67"/>
      <c r="J98" s="67"/>
      <c r="K98" s="67"/>
      <c r="L98" s="67"/>
      <c r="M98" s="67"/>
      <c r="N98" s="11"/>
    </row>
    <row r="99" spans="2:14" ht="19">
      <c r="B99" s="94"/>
      <c r="C99" s="60" t="s">
        <v>92</v>
      </c>
      <c r="D99" s="67"/>
      <c r="E99" s="67"/>
      <c r="F99" s="67"/>
      <c r="G99" s="67"/>
      <c r="H99" s="67"/>
      <c r="I99" s="67"/>
      <c r="J99" s="67"/>
      <c r="K99" s="67"/>
      <c r="L99" s="67"/>
      <c r="M99" s="67"/>
      <c r="N99" s="11"/>
    </row>
    <row r="100" spans="2:14">
      <c r="B100" s="61" t="s">
        <v>82</v>
      </c>
      <c r="C100" s="78">
        <f xml:space="preserve"> C96/A</f>
        <v>445.86616635789596</v>
      </c>
      <c r="D100" s="67"/>
      <c r="E100" s="67"/>
      <c r="F100" s="67"/>
      <c r="G100" s="67"/>
      <c r="H100" s="67"/>
      <c r="I100" s="67"/>
      <c r="J100" s="67"/>
      <c r="K100" s="67"/>
      <c r="L100" s="67"/>
      <c r="M100" s="67"/>
      <c r="N100" s="11"/>
    </row>
    <row r="101" spans="2:14">
      <c r="B101" s="61" t="s">
        <v>83</v>
      </c>
      <c r="C101" s="78">
        <f>C97 / A</f>
        <v>427.02904158947399</v>
      </c>
      <c r="D101" s="67"/>
      <c r="E101" s="67"/>
      <c r="F101" s="67"/>
      <c r="G101" s="67"/>
      <c r="H101" s="67"/>
      <c r="I101" s="67"/>
      <c r="J101" s="67"/>
      <c r="K101" s="67"/>
      <c r="L101" s="67"/>
      <c r="M101" s="67"/>
      <c r="N101" s="11"/>
    </row>
    <row r="102" spans="2:14">
      <c r="B102" s="61" t="s">
        <v>84</v>
      </c>
      <c r="C102" s="78">
        <f>(C100 + C101)/2</f>
        <v>436.44760397368498</v>
      </c>
      <c r="D102" s="67"/>
      <c r="E102" s="67"/>
      <c r="F102" s="67"/>
      <c r="G102" s="67"/>
      <c r="H102" s="67"/>
      <c r="I102" s="67"/>
      <c r="J102" s="67"/>
      <c r="K102" s="67"/>
      <c r="L102" s="67"/>
      <c r="M102" s="67"/>
      <c r="N102" s="11"/>
    </row>
    <row r="103" spans="2:14">
      <c r="B103" s="61" t="s">
        <v>85</v>
      </c>
      <c r="C103" s="83">
        <f>(C100 - C101)/2</f>
        <v>9.4185623842109862</v>
      </c>
      <c r="D103" s="67"/>
      <c r="E103" s="67"/>
      <c r="F103" s="67"/>
      <c r="G103" s="67"/>
      <c r="H103" s="67"/>
      <c r="I103" s="67"/>
      <c r="J103" s="67"/>
      <c r="K103" s="67"/>
      <c r="L103" s="67"/>
      <c r="M103" s="67"/>
      <c r="N103" s="11"/>
    </row>
    <row r="104" spans="2:14">
      <c r="B104" s="61" t="s">
        <v>93</v>
      </c>
      <c r="C104" s="83">
        <f xml:space="preserve"> SQRT(Se^2/FS^2 - Se^2*C102^2/Sy^2)</f>
        <v>10.906099148881019</v>
      </c>
      <c r="D104" s="67"/>
      <c r="E104" s="67"/>
      <c r="F104" s="67"/>
      <c r="G104" s="67"/>
      <c r="H104" s="67"/>
      <c r="I104" s="67"/>
      <c r="J104" s="67"/>
      <c r="K104" s="67"/>
      <c r="L104" s="67"/>
      <c r="M104" s="67"/>
      <c r="N104" s="11"/>
    </row>
    <row r="105" spans="2:14">
      <c r="B105" s="61" t="s">
        <v>94</v>
      </c>
      <c r="C105" s="83">
        <f>C103 - C104</f>
        <v>-1.4875367646700326</v>
      </c>
      <c r="D105" s="67"/>
      <c r="E105" s="67"/>
      <c r="F105" s="67"/>
      <c r="G105" s="67"/>
      <c r="H105" s="67"/>
      <c r="I105" s="67"/>
      <c r="J105" s="67"/>
      <c r="K105" s="67"/>
      <c r="L105" s="67"/>
      <c r="M105" s="67"/>
      <c r="N105" s="11"/>
    </row>
    <row r="106" spans="2:14" ht="64" customHeight="1">
      <c r="B106" s="185" t="s">
        <v>145</v>
      </c>
      <c r="C106" s="186"/>
      <c r="D106" s="187"/>
      <c r="E106" s="187"/>
      <c r="F106" s="187"/>
      <c r="G106" s="187"/>
      <c r="H106" s="187"/>
      <c r="I106" s="187"/>
      <c r="J106" s="187"/>
      <c r="K106" s="187"/>
      <c r="L106" s="187"/>
      <c r="M106" s="187"/>
      <c r="N106" s="188"/>
    </row>
    <row r="107" spans="2:14" ht="107" customHeight="1">
      <c r="B107" s="132" t="s">
        <v>146</v>
      </c>
      <c r="C107" s="133"/>
      <c r="D107" s="133"/>
      <c r="E107" s="133"/>
      <c r="F107" s="133"/>
      <c r="G107" s="133"/>
      <c r="H107" s="133"/>
      <c r="I107" s="133"/>
      <c r="J107" s="133"/>
      <c r="K107" s="133"/>
      <c r="L107" s="133"/>
      <c r="M107" s="133"/>
      <c r="N107" s="134"/>
    </row>
    <row r="108" spans="2:14" ht="21" customHeight="1">
      <c r="B108" s="170" t="s">
        <v>143</v>
      </c>
      <c r="C108" s="171"/>
      <c r="D108" s="171"/>
      <c r="E108" s="171"/>
      <c r="F108" s="67"/>
      <c r="G108" s="171" t="s">
        <v>144</v>
      </c>
      <c r="H108" s="171"/>
      <c r="I108" s="171"/>
      <c r="J108" s="171"/>
      <c r="K108" s="67"/>
      <c r="L108" s="67"/>
      <c r="M108" s="67"/>
      <c r="N108" s="11"/>
    </row>
    <row r="109" spans="2:14">
      <c r="B109" s="129"/>
      <c r="C109" s="172" t="s">
        <v>141</v>
      </c>
      <c r="D109" s="173"/>
      <c r="E109" s="174"/>
      <c r="F109" s="67"/>
      <c r="G109" s="59"/>
      <c r="H109" s="175" t="s">
        <v>141</v>
      </c>
      <c r="I109" s="175"/>
      <c r="J109" s="175"/>
      <c r="K109" s="67"/>
      <c r="L109" s="67"/>
      <c r="M109" s="67"/>
      <c r="N109" s="11"/>
    </row>
    <row r="110" spans="2:14" ht="17">
      <c r="B110" s="130" t="s">
        <v>142</v>
      </c>
      <c r="C110" s="92">
        <v>5.8</v>
      </c>
      <c r="D110" s="92">
        <v>8.8000000000000007</v>
      </c>
      <c r="E110" s="92">
        <v>9.8000000000000007</v>
      </c>
      <c r="F110" s="67"/>
      <c r="G110" s="68" t="s">
        <v>69</v>
      </c>
      <c r="H110" s="92">
        <v>5.8</v>
      </c>
      <c r="I110" s="92">
        <v>8.8000000000000007</v>
      </c>
      <c r="J110" s="92">
        <v>9.8000000000000007</v>
      </c>
      <c r="K110" s="67"/>
      <c r="L110" s="67"/>
      <c r="M110" s="67"/>
      <c r="N110" s="11"/>
    </row>
    <row r="111" spans="2:14">
      <c r="B111" s="129">
        <v>1</v>
      </c>
      <c r="C111" s="45" t="s">
        <v>138</v>
      </c>
      <c r="D111" s="45" t="s">
        <v>139</v>
      </c>
      <c r="E111" s="45" t="s">
        <v>139</v>
      </c>
      <c r="F111" s="67"/>
      <c r="G111" s="68" t="s">
        <v>128</v>
      </c>
      <c r="H111" s="81">
        <v>8</v>
      </c>
      <c r="I111" s="81">
        <v>5</v>
      </c>
      <c r="J111" s="81">
        <v>5</v>
      </c>
      <c r="K111" s="67"/>
      <c r="L111" s="67"/>
      <c r="M111" s="67"/>
      <c r="N111" s="11"/>
    </row>
    <row r="112" spans="2:14">
      <c r="B112" s="129">
        <v>2</v>
      </c>
      <c r="C112" s="45" t="s">
        <v>134</v>
      </c>
      <c r="D112" s="45" t="s">
        <v>135</v>
      </c>
      <c r="E112" s="45" t="s">
        <v>135</v>
      </c>
      <c r="F112" s="67"/>
      <c r="G112" s="68" t="s">
        <v>136</v>
      </c>
      <c r="H112" s="81">
        <v>6</v>
      </c>
      <c r="I112" s="81">
        <v>4</v>
      </c>
      <c r="J112" s="81">
        <v>3</v>
      </c>
      <c r="K112" s="67"/>
      <c r="L112" s="67"/>
      <c r="M112" s="67"/>
      <c r="N112" s="11"/>
    </row>
    <row r="113" spans="1:14">
      <c r="B113" s="129">
        <v>3</v>
      </c>
      <c r="C113" s="45" t="s">
        <v>135</v>
      </c>
      <c r="D113" s="45" t="s">
        <v>127</v>
      </c>
      <c r="E113" s="45" t="s">
        <v>136</v>
      </c>
      <c r="F113" s="67"/>
      <c r="G113" s="68" t="s">
        <v>127</v>
      </c>
      <c r="H113" s="81">
        <v>4</v>
      </c>
      <c r="I113" s="81">
        <v>3</v>
      </c>
      <c r="J113" s="81">
        <v>3</v>
      </c>
      <c r="K113" s="67"/>
      <c r="L113" s="67"/>
      <c r="M113" s="67"/>
      <c r="N113" s="11"/>
    </row>
    <row r="114" spans="1:14">
      <c r="B114" s="129">
        <v>4</v>
      </c>
      <c r="C114" s="45" t="s">
        <v>127</v>
      </c>
      <c r="D114" s="45" t="s">
        <v>136</v>
      </c>
      <c r="E114" s="45" t="s">
        <v>136</v>
      </c>
      <c r="F114" s="67"/>
      <c r="G114" s="68" t="s">
        <v>135</v>
      </c>
      <c r="H114" s="81">
        <v>3</v>
      </c>
      <c r="I114" s="81">
        <v>2</v>
      </c>
      <c r="J114" s="81">
        <v>2</v>
      </c>
      <c r="K114" s="67"/>
      <c r="L114" s="67"/>
      <c r="M114" s="67"/>
      <c r="N114" s="11"/>
    </row>
    <row r="115" spans="1:14">
      <c r="B115" s="10"/>
      <c r="C115" s="67"/>
      <c r="D115" s="67"/>
      <c r="E115" s="67"/>
      <c r="F115" s="67"/>
      <c r="G115" s="68" t="s">
        <v>137</v>
      </c>
      <c r="H115" s="81">
        <v>3</v>
      </c>
      <c r="I115" s="81">
        <v>2</v>
      </c>
      <c r="J115" s="81">
        <v>2</v>
      </c>
      <c r="K115" s="67"/>
      <c r="L115" s="67"/>
      <c r="M115" s="67"/>
      <c r="N115" s="11"/>
    </row>
    <row r="116" spans="1:14">
      <c r="B116" s="10"/>
      <c r="C116" s="67"/>
      <c r="D116" s="67"/>
      <c r="E116" s="67"/>
      <c r="F116" s="67"/>
      <c r="G116" s="68" t="s">
        <v>134</v>
      </c>
      <c r="H116" s="81">
        <v>2</v>
      </c>
      <c r="I116" s="81">
        <v>2</v>
      </c>
      <c r="J116" s="81">
        <v>2</v>
      </c>
      <c r="K116" s="67"/>
      <c r="L116" s="67"/>
      <c r="M116" s="67"/>
      <c r="N116" s="11"/>
    </row>
    <row r="117" spans="1:14" ht="17" thickBot="1">
      <c r="B117" s="131"/>
      <c r="C117" s="15"/>
      <c r="D117" s="15"/>
      <c r="E117" s="15"/>
      <c r="F117" s="15"/>
      <c r="G117" s="15"/>
      <c r="H117" s="15"/>
      <c r="I117" s="15"/>
      <c r="J117" s="15"/>
      <c r="K117" s="15"/>
      <c r="L117" s="15"/>
      <c r="M117" s="15"/>
      <c r="N117" s="120"/>
    </row>
    <row r="121" spans="1:14">
      <c r="A121" s="67"/>
    </row>
    <row r="122" spans="1:14">
      <c r="A122" s="67"/>
    </row>
  </sheetData>
  <mergeCells count="21">
    <mergeCell ref="B27:N27"/>
    <mergeCell ref="B28:N28"/>
    <mergeCell ref="B2:N2"/>
    <mergeCell ref="B4:N4"/>
    <mergeCell ref="B5:N5"/>
    <mergeCell ref="B26:N26"/>
    <mergeCell ref="B25:N25"/>
    <mergeCell ref="B45:N45"/>
    <mergeCell ref="B46:N46"/>
    <mergeCell ref="B80:N80"/>
    <mergeCell ref="B81:N81"/>
    <mergeCell ref="B106:N106"/>
    <mergeCell ref="B60:C60"/>
    <mergeCell ref="B48:C48"/>
    <mergeCell ref="B53:C53"/>
    <mergeCell ref="B67:D67"/>
    <mergeCell ref="B108:E108"/>
    <mergeCell ref="G108:J108"/>
    <mergeCell ref="C109:E109"/>
    <mergeCell ref="H109:J109"/>
    <mergeCell ref="B107:N10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50</vt:i4>
      </vt:variant>
    </vt:vector>
  </HeadingPairs>
  <TitlesOfParts>
    <vt:vector size="52" baseType="lpstr">
      <vt:lpstr>Part A</vt:lpstr>
      <vt:lpstr>Part B</vt:lpstr>
      <vt:lpstr>'Part B'!A</vt:lpstr>
      <vt:lpstr>'Part B'!alpha</vt:lpstr>
      <vt:lpstr>'Part A'!b</vt:lpstr>
      <vt:lpstr>'Part B'!BL</vt:lpstr>
      <vt:lpstr>BL</vt:lpstr>
      <vt:lpstr>'Part B'!Bn</vt:lpstr>
      <vt:lpstr>'Part A'!d</vt:lpstr>
      <vt:lpstr>'Part B'!d</vt:lpstr>
      <vt:lpstr>'Part A'!delta_max</vt:lpstr>
      <vt:lpstr>dw</vt:lpstr>
      <vt:lpstr>'Part A'!E</vt:lpstr>
      <vt:lpstr>'Part B'!E</vt:lpstr>
      <vt:lpstr>'Part A'!F</vt:lpstr>
      <vt:lpstr>F</vt:lpstr>
      <vt:lpstr>Fmin</vt:lpstr>
      <vt:lpstr>'Part A'!FS</vt:lpstr>
      <vt:lpstr>'Part B'!FS</vt:lpstr>
      <vt:lpstr>'Part A'!ft</vt:lpstr>
      <vt:lpstr>'Part A'!G</vt:lpstr>
      <vt:lpstr>'Part A'!Jw</vt:lpstr>
      <vt:lpstr>'Part B'!kb</vt:lpstr>
      <vt:lpstr>'Part B'!km</vt:lpstr>
      <vt:lpstr>'Part A'!L</vt:lpstr>
      <vt:lpstr>'Part B'!l</vt:lpstr>
      <vt:lpstr>'Part A'!lp</vt:lpstr>
      <vt:lpstr>'Part A'!M</vt:lpstr>
      <vt:lpstr>M</vt:lpstr>
      <vt:lpstr>Mmin</vt:lpstr>
      <vt:lpstr>msr</vt:lpstr>
      <vt:lpstr>'Part A'!OR</vt:lpstr>
      <vt:lpstr>P</vt:lpstr>
      <vt:lpstr>'Part B'!Pmin</vt:lpstr>
      <vt:lpstr>pr</vt:lpstr>
      <vt:lpstr>prf</vt:lpstr>
      <vt:lpstr>'Part B'!rat</vt:lpstr>
      <vt:lpstr>'Part B'!rel</vt:lpstr>
      <vt:lpstr>'Part A'!rx</vt:lpstr>
      <vt:lpstr>'Part A'!ry</vt:lpstr>
      <vt:lpstr>'Part B'!Se</vt:lpstr>
      <vt:lpstr>'Part B'!SID</vt:lpstr>
      <vt:lpstr>'Part B'!Sp</vt:lpstr>
      <vt:lpstr>'Part B'!Sy</vt:lpstr>
      <vt:lpstr>'Part A'!T</vt:lpstr>
      <vt:lpstr>'Part A'!tall</vt:lpstr>
      <vt:lpstr>'Part A'!th</vt:lpstr>
      <vt:lpstr>theta_max</vt:lpstr>
      <vt:lpstr>'Part B'!UTS</vt:lpstr>
      <vt:lpstr>'Part B'!Yoall</vt:lpstr>
      <vt:lpstr>Z</vt:lpstr>
      <vt:lpstr>'Part A'!Zw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Leonard</dc:creator>
  <cp:lastModifiedBy>Gabriel Leonard</cp:lastModifiedBy>
  <dcterms:created xsi:type="dcterms:W3CDTF">2022-09-19T13:43:47Z</dcterms:created>
  <dcterms:modified xsi:type="dcterms:W3CDTF">2022-09-25T04:22:53Z</dcterms:modified>
</cp:coreProperties>
</file>