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<sst xmlns="http://schemas.openxmlformats.org/spreadsheetml/2006/main" count="2" uniqueCount="2">
  <si>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START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</si>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</sst>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1" numFmtId="1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</cols>
  <sheetData>
    <row r="1">
      <c r="A1" s="1" t="s">
        <v>0</v>
      </c>
      <c r="B1" s="2">
        <v>38353.0</v>
      </c>
      <c r="C1" s="1"/>
      <c r="D1" s="1" t="str">
        <f>IFERROR(__xludf.DUMMYFUNCTION("GOOGLEFINANCE(""CURRENCY:EURRON"", ""price"", B1, B2, ""DAILY"")"),"Date")</f>
        <v>Date</v>
      </c>
      <c r="E1" s="3" t="str">
        <f>IFERROR(__xludf.DUMMYFUNCTION("""COMPUTED_VALUE"""),"Close")</f>
        <v>Close</v>
      </c>
    </row>
    <row r="2">
      <c r="A2" s="1" t="s">
        <v>1</v>
      </c>
      <c r="B2" s="4">
        <f>TODAY()</f>
        <v>45900</v>
      </c>
      <c r="C2" s="1"/>
      <c r="D2" s="5">
        <f>IFERROR(__xludf.DUMMYFUNCTION("""COMPUTED_VALUE"""),38537.99861111111)</f>
        <v>38537.99861</v>
      </c>
      <c r="E2" s="3">
        <f>IFERROR(__xludf.DUMMYFUNCTION("""COMPUTED_VALUE"""),3.5872)</f>
        <v>3.5872</v>
      </c>
    </row>
    <row r="3">
      <c r="D3" s="6">
        <f>IFERROR(__xludf.DUMMYFUNCTION("""COMPUTED_VALUE"""),38538.99861111111)</f>
        <v>38538.99861</v>
      </c>
      <c r="E3" s="3">
        <f>IFERROR(__xludf.DUMMYFUNCTION("""COMPUTED_VALUE"""),3.5925)</f>
        <v>3.5925</v>
      </c>
    </row>
    <row r="4">
      <c r="D4" s="6">
        <f>IFERROR(__xludf.DUMMYFUNCTION("""COMPUTED_VALUE"""),38539.99861111111)</f>
        <v>38539.99861</v>
      </c>
      <c r="E4" s="3">
        <f>IFERROR(__xludf.DUMMYFUNCTION("""COMPUTED_VALUE"""),3.5872)</f>
        <v>3.5872</v>
      </c>
    </row>
    <row r="5">
      <c r="D5" s="6">
        <f>IFERROR(__xludf.DUMMYFUNCTION("""COMPUTED_VALUE"""),38540.99861111111)</f>
        <v>38540.99861</v>
      </c>
      <c r="E5" s="3">
        <f>IFERROR(__xludf.DUMMYFUNCTION("""COMPUTED_VALUE"""),3.5901)</f>
        <v>3.5901</v>
      </c>
    </row>
    <row r="6">
      <c r="D6" s="6">
        <f>IFERROR(__xludf.DUMMYFUNCTION("""COMPUTED_VALUE"""),38541.99861111111)</f>
        <v>38541.99861</v>
      </c>
      <c r="E6" s="3">
        <f>IFERROR(__xludf.DUMMYFUNCTION("""COMPUTED_VALUE"""),3.5756)</f>
        <v>3.5756</v>
      </c>
    </row>
    <row r="7">
      <c r="D7" s="6">
        <f>IFERROR(__xludf.DUMMYFUNCTION("""COMPUTED_VALUE"""),38544.99861111111)</f>
        <v>38544.99861</v>
      </c>
      <c r="E7" s="3">
        <f>IFERROR(__xludf.DUMMYFUNCTION("""COMPUTED_VALUE"""),3.5755)</f>
        <v>3.5755</v>
      </c>
    </row>
    <row r="8">
      <c r="D8" s="6">
        <f>IFERROR(__xludf.DUMMYFUNCTION("""COMPUTED_VALUE"""),38545.99861111111)</f>
        <v>38545.99861</v>
      </c>
      <c r="E8" s="3">
        <f>IFERROR(__xludf.DUMMYFUNCTION("""COMPUTED_VALUE"""),3.5691)</f>
        <v>3.5691</v>
      </c>
    </row>
    <row r="9">
      <c r="D9" s="6">
        <f>IFERROR(__xludf.DUMMYFUNCTION("""COMPUTED_VALUE"""),38546.99861111111)</f>
        <v>38546.99861</v>
      </c>
      <c r="E9" s="3">
        <f>IFERROR(__xludf.DUMMYFUNCTION("""COMPUTED_VALUE"""),3.5631)</f>
        <v>3.5631</v>
      </c>
    </row>
    <row r="10">
      <c r="D10" s="6">
        <f>IFERROR(__xludf.DUMMYFUNCTION("""COMPUTED_VALUE"""),38547.99861111111)</f>
        <v>38547.99861</v>
      </c>
      <c r="E10" s="3">
        <f>IFERROR(__xludf.DUMMYFUNCTION("""COMPUTED_VALUE"""),3.5609)</f>
        <v>3.5609</v>
      </c>
    </row>
    <row r="11">
      <c r="D11" s="6">
        <f>IFERROR(__xludf.DUMMYFUNCTION("""COMPUTED_VALUE"""),38548.99861111111)</f>
        <v>38548.99861</v>
      </c>
      <c r="E11" s="3">
        <f>IFERROR(__xludf.DUMMYFUNCTION("""COMPUTED_VALUE"""),3.5601)</f>
        <v>3.5601</v>
      </c>
    </row>
    <row r="12">
      <c r="D12" s="6">
        <f>IFERROR(__xludf.DUMMYFUNCTION("""COMPUTED_VALUE"""),38550.99861111111)</f>
        <v>38550.99861</v>
      </c>
      <c r="E12" s="3">
        <f>IFERROR(__xludf.DUMMYFUNCTION("""COMPUTED_VALUE"""),3.5601)</f>
        <v>3.5601</v>
      </c>
    </row>
    <row r="13">
      <c r="D13" s="6">
        <f>IFERROR(__xludf.DUMMYFUNCTION("""COMPUTED_VALUE"""),38551.99861111111)</f>
        <v>38551.99861</v>
      </c>
      <c r="E13" s="3">
        <f>IFERROR(__xludf.DUMMYFUNCTION("""COMPUTED_VALUE"""),3.556)</f>
        <v>3.556</v>
      </c>
    </row>
    <row r="14">
      <c r="D14" s="6">
        <f>IFERROR(__xludf.DUMMYFUNCTION("""COMPUTED_VALUE"""),38552.99861111111)</f>
        <v>38552.99861</v>
      </c>
      <c r="E14" s="3">
        <f>IFERROR(__xludf.DUMMYFUNCTION("""COMPUTED_VALUE"""),3.5545)</f>
        <v>3.5545</v>
      </c>
    </row>
    <row r="15">
      <c r="D15" s="6">
        <f>IFERROR(__xludf.DUMMYFUNCTION("""COMPUTED_VALUE"""),38553.99861111111)</f>
        <v>38553.99861</v>
      </c>
      <c r="E15" s="3">
        <f>IFERROR(__xludf.DUMMYFUNCTION("""COMPUTED_VALUE"""),3.552)</f>
        <v>3.552</v>
      </c>
    </row>
    <row r="16">
      <c r="D16" s="6">
        <f>IFERROR(__xludf.DUMMYFUNCTION("""COMPUTED_VALUE"""),38554.99861111111)</f>
        <v>38554.99861</v>
      </c>
      <c r="E16" s="3">
        <f>IFERROR(__xludf.DUMMYFUNCTION("""COMPUTED_VALUE"""),3.5525)</f>
        <v>3.5525</v>
      </c>
    </row>
    <row r="17">
      <c r="D17" s="6">
        <f>IFERROR(__xludf.DUMMYFUNCTION("""COMPUTED_VALUE"""),38555.99861111111)</f>
        <v>38555.99861</v>
      </c>
      <c r="E17" s="3">
        <f>IFERROR(__xludf.DUMMYFUNCTION("""COMPUTED_VALUE"""),3.5536)</f>
        <v>3.5536</v>
      </c>
    </row>
    <row r="18">
      <c r="D18" s="6">
        <f>IFERROR(__xludf.DUMMYFUNCTION("""COMPUTED_VALUE"""),38557.99861111111)</f>
        <v>38557.99861</v>
      </c>
      <c r="E18" s="3">
        <f>IFERROR(__xludf.DUMMYFUNCTION("""COMPUTED_VALUE"""),3.5099)</f>
        <v>3.5099</v>
      </c>
    </row>
    <row r="19">
      <c r="D19" s="6">
        <f>IFERROR(__xludf.DUMMYFUNCTION("""COMPUTED_VALUE"""),38558.99861111111)</f>
        <v>38558.99861</v>
      </c>
      <c r="E19" s="3">
        <f>IFERROR(__xludf.DUMMYFUNCTION("""COMPUTED_VALUE"""),3.545)</f>
        <v>3.545</v>
      </c>
    </row>
    <row r="20">
      <c r="D20" s="6">
        <f>IFERROR(__xludf.DUMMYFUNCTION("""COMPUTED_VALUE"""),38559.99861111111)</f>
        <v>38559.99861</v>
      </c>
      <c r="E20" s="3">
        <f>IFERROR(__xludf.DUMMYFUNCTION("""COMPUTED_VALUE"""),3.5433)</f>
        <v>3.5433</v>
      </c>
    </row>
    <row r="21">
      <c r="D21" s="6">
        <f>IFERROR(__xludf.DUMMYFUNCTION("""COMPUTED_VALUE"""),38560.99861111111)</f>
        <v>38560.99861</v>
      </c>
      <c r="E21" s="3">
        <f>IFERROR(__xludf.DUMMYFUNCTION("""COMPUTED_VALUE"""),3.5315)</f>
        <v>3.5315</v>
      </c>
    </row>
    <row r="22">
      <c r="D22" s="6">
        <f>IFERROR(__xludf.DUMMYFUNCTION("""COMPUTED_VALUE"""),38561.99861111111)</f>
        <v>38561.99861</v>
      </c>
      <c r="E22" s="3">
        <f>IFERROR(__xludf.DUMMYFUNCTION("""COMPUTED_VALUE"""),3.5119)</f>
        <v>3.5119</v>
      </c>
    </row>
    <row r="23">
      <c r="D23" s="6">
        <f>IFERROR(__xludf.DUMMYFUNCTION("""COMPUTED_VALUE"""),38562.99861111111)</f>
        <v>38562.99861</v>
      </c>
      <c r="E23" s="3">
        <f>IFERROR(__xludf.DUMMYFUNCTION("""COMPUTED_VALUE"""),3.5099)</f>
        <v>3.5099</v>
      </c>
    </row>
    <row r="24">
      <c r="D24" s="6">
        <f>IFERROR(__xludf.DUMMYFUNCTION("""COMPUTED_VALUE"""),38564.99861111111)</f>
        <v>38564.99861</v>
      </c>
      <c r="E24" s="3">
        <f>IFERROR(__xludf.DUMMYFUNCTION("""COMPUTED_VALUE"""),3.5099)</f>
        <v>3.5099</v>
      </c>
    </row>
    <row r="25">
      <c r="D25" s="6">
        <f>IFERROR(__xludf.DUMMYFUNCTION("""COMPUTED_VALUE"""),38565.99861111111)</f>
        <v>38565.99861</v>
      </c>
      <c r="E25" s="3">
        <f>IFERROR(__xludf.DUMMYFUNCTION("""COMPUTED_VALUE"""),3.5021)</f>
        <v>3.5021</v>
      </c>
    </row>
    <row r="26">
      <c r="D26" s="6">
        <f>IFERROR(__xludf.DUMMYFUNCTION("""COMPUTED_VALUE"""),38566.99861111111)</f>
        <v>38566.99861</v>
      </c>
      <c r="E26" s="3">
        <f>IFERROR(__xludf.DUMMYFUNCTION("""COMPUTED_VALUE"""),3.4844)</f>
        <v>3.4844</v>
      </c>
    </row>
    <row r="27">
      <c r="D27" s="6">
        <f>IFERROR(__xludf.DUMMYFUNCTION("""COMPUTED_VALUE"""),38567.99861111111)</f>
        <v>38567.99861</v>
      </c>
      <c r="E27" s="3">
        <f>IFERROR(__xludf.DUMMYFUNCTION("""COMPUTED_VALUE"""),3.4611)</f>
        <v>3.4611</v>
      </c>
    </row>
    <row r="28">
      <c r="D28" s="6">
        <f>IFERROR(__xludf.DUMMYFUNCTION("""COMPUTED_VALUE"""),38568.99861111111)</f>
        <v>38568.99861</v>
      </c>
      <c r="E28" s="3">
        <f>IFERROR(__xludf.DUMMYFUNCTION("""COMPUTED_VALUE"""),3.4428)</f>
        <v>3.4428</v>
      </c>
    </row>
    <row r="29">
      <c r="D29" s="6">
        <f>IFERROR(__xludf.DUMMYFUNCTION("""COMPUTED_VALUE"""),38569.99861111111)</f>
        <v>38569.99861</v>
      </c>
      <c r="E29" s="3">
        <f>IFERROR(__xludf.DUMMYFUNCTION("""COMPUTED_VALUE"""),3.4363)</f>
        <v>3.4363</v>
      </c>
    </row>
    <row r="30">
      <c r="D30" s="6">
        <f>IFERROR(__xludf.DUMMYFUNCTION("""COMPUTED_VALUE"""),38571.99861111111)</f>
        <v>38571.99861</v>
      </c>
      <c r="E30" s="3">
        <f>IFERROR(__xludf.DUMMYFUNCTION("""COMPUTED_VALUE"""),3.4363)</f>
        <v>3.4363</v>
      </c>
    </row>
    <row r="31">
      <c r="D31" s="6">
        <f>IFERROR(__xludf.DUMMYFUNCTION("""COMPUTED_VALUE"""),38572.99861111111)</f>
        <v>38572.99861</v>
      </c>
      <c r="E31" s="3">
        <f>IFERROR(__xludf.DUMMYFUNCTION("""COMPUTED_VALUE"""),3.4355)</f>
        <v>3.4355</v>
      </c>
    </row>
    <row r="32">
      <c r="D32" s="6">
        <f>IFERROR(__xludf.DUMMYFUNCTION("""COMPUTED_VALUE"""),38573.99861111111)</f>
        <v>38573.99861</v>
      </c>
      <c r="E32" s="3">
        <f>IFERROR(__xludf.DUMMYFUNCTION("""COMPUTED_VALUE"""),3.4224)</f>
        <v>3.4224</v>
      </c>
    </row>
    <row r="33">
      <c r="D33" s="6">
        <f>IFERROR(__xludf.DUMMYFUNCTION("""COMPUTED_VALUE"""),38574.99861111111)</f>
        <v>38574.99861</v>
      </c>
      <c r="E33" s="3">
        <f>IFERROR(__xludf.DUMMYFUNCTION("""COMPUTED_VALUE"""),3.415)</f>
        <v>3.415</v>
      </c>
    </row>
    <row r="34">
      <c r="D34" s="6">
        <f>IFERROR(__xludf.DUMMYFUNCTION("""COMPUTED_VALUE"""),38575.99861111111)</f>
        <v>38575.99861</v>
      </c>
      <c r="E34" s="3">
        <f>IFERROR(__xludf.DUMMYFUNCTION("""COMPUTED_VALUE"""),3.4215)</f>
        <v>3.4215</v>
      </c>
    </row>
    <row r="35">
      <c r="D35" s="6">
        <f>IFERROR(__xludf.DUMMYFUNCTION("""COMPUTED_VALUE"""),38576.99861111111)</f>
        <v>38576.99861</v>
      </c>
      <c r="E35" s="3">
        <f>IFERROR(__xludf.DUMMYFUNCTION("""COMPUTED_VALUE"""),3.5285)</f>
        <v>3.5285</v>
      </c>
    </row>
    <row r="36">
      <c r="D36" s="6">
        <f>IFERROR(__xludf.DUMMYFUNCTION("""COMPUTED_VALUE"""),38578.99861111111)</f>
        <v>38578.99861</v>
      </c>
      <c r="E36" s="3">
        <f>IFERROR(__xludf.DUMMYFUNCTION("""COMPUTED_VALUE"""),3.5285)</f>
        <v>3.5285</v>
      </c>
    </row>
    <row r="37">
      <c r="D37" s="6">
        <f>IFERROR(__xludf.DUMMYFUNCTION("""COMPUTED_VALUE"""),38579.99861111111)</f>
        <v>38579.99861</v>
      </c>
      <c r="E37" s="3">
        <f>IFERROR(__xludf.DUMMYFUNCTION("""COMPUTED_VALUE"""),3.5715)</f>
        <v>3.5715</v>
      </c>
    </row>
    <row r="38">
      <c r="D38" s="6">
        <f>IFERROR(__xludf.DUMMYFUNCTION("""COMPUTED_VALUE"""),38580.99861111111)</f>
        <v>38580.99861</v>
      </c>
      <c r="E38" s="3">
        <f>IFERROR(__xludf.DUMMYFUNCTION("""COMPUTED_VALUE"""),3.5325)</f>
        <v>3.5325</v>
      </c>
    </row>
    <row r="39">
      <c r="D39" s="6">
        <f>IFERROR(__xludf.DUMMYFUNCTION("""COMPUTED_VALUE"""),38581.99861111111)</f>
        <v>38581.99861</v>
      </c>
      <c r="E39" s="3">
        <f>IFERROR(__xludf.DUMMYFUNCTION("""COMPUTED_VALUE"""),3.554)</f>
        <v>3.554</v>
      </c>
    </row>
    <row r="40">
      <c r="D40" s="6">
        <f>IFERROR(__xludf.DUMMYFUNCTION("""COMPUTED_VALUE"""),38582.99861111111)</f>
        <v>38582.99861</v>
      </c>
      <c r="E40" s="3">
        <f>IFERROR(__xludf.DUMMYFUNCTION("""COMPUTED_VALUE"""),3.5666)</f>
        <v>3.5666</v>
      </c>
    </row>
    <row r="41">
      <c r="D41" s="6">
        <f>IFERROR(__xludf.DUMMYFUNCTION("""COMPUTED_VALUE"""),38583.99861111111)</f>
        <v>38583.99861</v>
      </c>
      <c r="E41" s="3">
        <f>IFERROR(__xludf.DUMMYFUNCTION("""COMPUTED_VALUE"""),3.5575)</f>
        <v>3.5575</v>
      </c>
    </row>
    <row r="42">
      <c r="D42" s="6">
        <f>IFERROR(__xludf.DUMMYFUNCTION("""COMPUTED_VALUE"""),38586.99861111111)</f>
        <v>38586.99861</v>
      </c>
      <c r="E42" s="3">
        <f>IFERROR(__xludf.DUMMYFUNCTION("""COMPUTED_VALUE"""),3.5148)</f>
        <v>3.5148</v>
      </c>
    </row>
    <row r="43">
      <c r="D43" s="6">
        <f>IFERROR(__xludf.DUMMYFUNCTION("""COMPUTED_VALUE"""),38587.99861111111)</f>
        <v>38587.99861</v>
      </c>
      <c r="E43" s="3">
        <f>IFERROR(__xludf.DUMMYFUNCTION("""COMPUTED_VALUE"""),3.5033)</f>
        <v>3.5033</v>
      </c>
    </row>
    <row r="44">
      <c r="D44" s="6">
        <f>IFERROR(__xludf.DUMMYFUNCTION("""COMPUTED_VALUE"""),38588.99861111111)</f>
        <v>38588.99861</v>
      </c>
      <c r="E44" s="3">
        <f>IFERROR(__xludf.DUMMYFUNCTION("""COMPUTED_VALUE"""),3.4991)</f>
        <v>3.4991</v>
      </c>
    </row>
    <row r="45">
      <c r="D45" s="6">
        <f>IFERROR(__xludf.DUMMYFUNCTION("""COMPUTED_VALUE"""),38589.99861111111)</f>
        <v>38589.99861</v>
      </c>
      <c r="E45" s="3">
        <f>IFERROR(__xludf.DUMMYFUNCTION("""COMPUTED_VALUE"""),3.5036)</f>
        <v>3.5036</v>
      </c>
    </row>
    <row r="46">
      <c r="D46" s="6">
        <f>IFERROR(__xludf.DUMMYFUNCTION("""COMPUTED_VALUE"""),38590.99861111111)</f>
        <v>38590.99861</v>
      </c>
      <c r="E46" s="3">
        <f>IFERROR(__xludf.DUMMYFUNCTION("""COMPUTED_VALUE"""),3.5313)</f>
        <v>3.5313</v>
      </c>
    </row>
    <row r="47">
      <c r="D47" s="6">
        <f>IFERROR(__xludf.DUMMYFUNCTION("""COMPUTED_VALUE"""),38593.99861111111)</f>
        <v>38593.99861</v>
      </c>
      <c r="E47" s="3">
        <f>IFERROR(__xludf.DUMMYFUNCTION("""COMPUTED_VALUE"""),3.5277)</f>
        <v>3.5277</v>
      </c>
    </row>
    <row r="48">
      <c r="D48" s="6">
        <f>IFERROR(__xludf.DUMMYFUNCTION("""COMPUTED_VALUE"""),38594.99861111111)</f>
        <v>38594.99861</v>
      </c>
      <c r="E48" s="3">
        <f>IFERROR(__xludf.DUMMYFUNCTION("""COMPUTED_VALUE"""),3.5122)</f>
        <v>3.5122</v>
      </c>
    </row>
    <row r="49">
      <c r="D49" s="6">
        <f>IFERROR(__xludf.DUMMYFUNCTION("""COMPUTED_VALUE"""),38595.99861111111)</f>
        <v>38595.99861</v>
      </c>
      <c r="E49" s="3">
        <f>IFERROR(__xludf.DUMMYFUNCTION("""COMPUTED_VALUE"""),3.5008)</f>
        <v>3.5008</v>
      </c>
    </row>
    <row r="50">
      <c r="D50" s="6">
        <f>IFERROR(__xludf.DUMMYFUNCTION("""COMPUTED_VALUE"""),38596.99861111111)</f>
        <v>38596.99861</v>
      </c>
      <c r="E50" s="3">
        <f>IFERROR(__xludf.DUMMYFUNCTION("""COMPUTED_VALUE"""),3.499)</f>
        <v>3.499</v>
      </c>
    </row>
    <row r="51">
      <c r="D51" s="6">
        <f>IFERROR(__xludf.DUMMYFUNCTION("""COMPUTED_VALUE"""),38597.99861111111)</f>
        <v>38597.99861</v>
      </c>
      <c r="E51" s="3">
        <f>IFERROR(__xludf.DUMMYFUNCTION("""COMPUTED_VALUE"""),3.504)</f>
        <v>3.504</v>
      </c>
    </row>
    <row r="52">
      <c r="D52" s="6">
        <f>IFERROR(__xludf.DUMMYFUNCTION("""COMPUTED_VALUE"""),38600.99861111111)</f>
        <v>38600.99861</v>
      </c>
      <c r="E52" s="3">
        <f>IFERROR(__xludf.DUMMYFUNCTION("""COMPUTED_VALUE"""),3.5037)</f>
        <v>3.5037</v>
      </c>
    </row>
    <row r="53">
      <c r="D53" s="6">
        <f>IFERROR(__xludf.DUMMYFUNCTION("""COMPUTED_VALUE"""),38601.99861111111)</f>
        <v>38601.99861</v>
      </c>
      <c r="E53" s="3">
        <f>IFERROR(__xludf.DUMMYFUNCTION("""COMPUTED_VALUE"""),3.4925)</f>
        <v>3.4925</v>
      </c>
    </row>
    <row r="54">
      <c r="D54" s="6">
        <f>IFERROR(__xludf.DUMMYFUNCTION("""COMPUTED_VALUE"""),38602.99861111111)</f>
        <v>38602.99861</v>
      </c>
      <c r="E54" s="3">
        <f>IFERROR(__xludf.DUMMYFUNCTION("""COMPUTED_VALUE"""),3.4945)</f>
        <v>3.4945</v>
      </c>
    </row>
    <row r="55">
      <c r="D55" s="6">
        <f>IFERROR(__xludf.DUMMYFUNCTION("""COMPUTED_VALUE"""),38603.99861111111)</f>
        <v>38603.99861</v>
      </c>
      <c r="E55" s="3">
        <f>IFERROR(__xludf.DUMMYFUNCTION("""COMPUTED_VALUE"""),3.4935)</f>
        <v>3.4935</v>
      </c>
    </row>
    <row r="56">
      <c r="D56" s="6">
        <f>IFERROR(__xludf.DUMMYFUNCTION("""COMPUTED_VALUE"""),38604.99861111111)</f>
        <v>38604.99861</v>
      </c>
      <c r="E56" s="3">
        <f>IFERROR(__xludf.DUMMYFUNCTION("""COMPUTED_VALUE"""),3.4879)</f>
        <v>3.4879</v>
      </c>
    </row>
    <row r="57">
      <c r="D57" s="6">
        <f>IFERROR(__xludf.DUMMYFUNCTION("""COMPUTED_VALUE"""),38607.99861111111)</f>
        <v>38607.99861</v>
      </c>
      <c r="E57" s="3">
        <f>IFERROR(__xludf.DUMMYFUNCTION("""COMPUTED_VALUE"""),3.4644)</f>
        <v>3.4644</v>
      </c>
    </row>
    <row r="58">
      <c r="D58" s="6">
        <f>IFERROR(__xludf.DUMMYFUNCTION("""COMPUTED_VALUE"""),38608.99861111111)</f>
        <v>38608.99861</v>
      </c>
      <c r="E58" s="3">
        <f>IFERROR(__xludf.DUMMYFUNCTION("""COMPUTED_VALUE"""),3.4873)</f>
        <v>3.4873</v>
      </c>
    </row>
    <row r="59">
      <c r="D59" s="6">
        <f>IFERROR(__xludf.DUMMYFUNCTION("""COMPUTED_VALUE"""),38609.99861111111)</f>
        <v>38609.99861</v>
      </c>
      <c r="E59" s="3">
        <f>IFERROR(__xludf.DUMMYFUNCTION("""COMPUTED_VALUE"""),3.4884)</f>
        <v>3.4884</v>
      </c>
    </row>
    <row r="60">
      <c r="D60" s="6">
        <f>IFERROR(__xludf.DUMMYFUNCTION("""COMPUTED_VALUE"""),38610.99861111111)</f>
        <v>38610.99861</v>
      </c>
      <c r="E60" s="3">
        <f>IFERROR(__xludf.DUMMYFUNCTION("""COMPUTED_VALUE"""),3.485)</f>
        <v>3.485</v>
      </c>
    </row>
    <row r="61">
      <c r="D61" s="6">
        <f>IFERROR(__xludf.DUMMYFUNCTION("""COMPUTED_VALUE"""),38611.99861111111)</f>
        <v>38611.99861</v>
      </c>
      <c r="E61" s="3">
        <f>IFERROR(__xludf.DUMMYFUNCTION("""COMPUTED_VALUE"""),3.4715)</f>
        <v>3.4715</v>
      </c>
    </row>
    <row r="62">
      <c r="D62" s="6">
        <f>IFERROR(__xludf.DUMMYFUNCTION("""COMPUTED_VALUE"""),38614.99861111111)</f>
        <v>38614.99861</v>
      </c>
      <c r="E62" s="3">
        <f>IFERROR(__xludf.DUMMYFUNCTION("""COMPUTED_VALUE"""),3.4711)</f>
        <v>3.4711</v>
      </c>
    </row>
    <row r="63">
      <c r="D63" s="6">
        <f>IFERROR(__xludf.DUMMYFUNCTION("""COMPUTED_VALUE"""),38615.99861111111)</f>
        <v>38615.99861</v>
      </c>
      <c r="E63" s="3">
        <f>IFERROR(__xludf.DUMMYFUNCTION("""COMPUTED_VALUE"""),3.4725)</f>
        <v>3.4725</v>
      </c>
    </row>
    <row r="64">
      <c r="D64" s="6">
        <f>IFERROR(__xludf.DUMMYFUNCTION("""COMPUTED_VALUE"""),38617.99861111111)</f>
        <v>38617.99861</v>
      </c>
      <c r="E64" s="3">
        <f>IFERROR(__xludf.DUMMYFUNCTION("""COMPUTED_VALUE"""),3.5477)</f>
        <v>3.5477</v>
      </c>
    </row>
    <row r="65">
      <c r="D65" s="6">
        <f>IFERROR(__xludf.DUMMYFUNCTION("""COMPUTED_VALUE"""),38618.99861111111)</f>
        <v>38618.99861</v>
      </c>
      <c r="E65" s="3">
        <f>IFERROR(__xludf.DUMMYFUNCTION("""COMPUTED_VALUE"""),3.5628)</f>
        <v>3.5628</v>
      </c>
    </row>
    <row r="66">
      <c r="D66" s="6">
        <f>IFERROR(__xludf.DUMMYFUNCTION("""COMPUTED_VALUE"""),38621.99861111111)</f>
        <v>38621.99861</v>
      </c>
      <c r="E66" s="3">
        <f>IFERROR(__xludf.DUMMYFUNCTION("""COMPUTED_VALUE"""),3.5605)</f>
        <v>3.5605</v>
      </c>
    </row>
    <row r="67">
      <c r="D67" s="6">
        <f>IFERROR(__xludf.DUMMYFUNCTION("""COMPUTED_VALUE"""),38622.99861111111)</f>
        <v>38622.99861</v>
      </c>
      <c r="E67" s="3">
        <f>IFERROR(__xludf.DUMMYFUNCTION("""COMPUTED_VALUE"""),3.5352)</f>
        <v>3.5352</v>
      </c>
    </row>
    <row r="68">
      <c r="D68" s="6">
        <f>IFERROR(__xludf.DUMMYFUNCTION("""COMPUTED_VALUE"""),38623.99861111111)</f>
        <v>38623.99861</v>
      </c>
      <c r="E68" s="3">
        <f>IFERROR(__xludf.DUMMYFUNCTION("""COMPUTED_VALUE"""),3.5322)</f>
        <v>3.5322</v>
      </c>
    </row>
    <row r="69">
      <c r="D69" s="6">
        <f>IFERROR(__xludf.DUMMYFUNCTION("""COMPUTED_VALUE"""),38624.99861111111)</f>
        <v>38624.99861</v>
      </c>
      <c r="E69" s="3">
        <f>IFERROR(__xludf.DUMMYFUNCTION("""COMPUTED_VALUE"""),3.5382)</f>
        <v>3.5382</v>
      </c>
    </row>
    <row r="70">
      <c r="D70" s="6">
        <f>IFERROR(__xludf.DUMMYFUNCTION("""COMPUTED_VALUE"""),38625.99861111111)</f>
        <v>38625.99861</v>
      </c>
      <c r="E70" s="3">
        <f>IFERROR(__xludf.DUMMYFUNCTION("""COMPUTED_VALUE"""),3.5427)</f>
        <v>3.5427</v>
      </c>
    </row>
    <row r="71">
      <c r="D71" s="6">
        <f>IFERROR(__xludf.DUMMYFUNCTION("""COMPUTED_VALUE"""),38628.99861111111)</f>
        <v>38628.99861</v>
      </c>
      <c r="E71" s="3">
        <f>IFERROR(__xludf.DUMMYFUNCTION("""COMPUTED_VALUE"""),3.5352)</f>
        <v>3.5352</v>
      </c>
    </row>
    <row r="72">
      <c r="D72" s="6">
        <f>IFERROR(__xludf.DUMMYFUNCTION("""COMPUTED_VALUE"""),38629.99861111111)</f>
        <v>38629.99861</v>
      </c>
      <c r="E72" s="3">
        <f>IFERROR(__xludf.DUMMYFUNCTION("""COMPUTED_VALUE"""),3.5455)</f>
        <v>3.5455</v>
      </c>
    </row>
    <row r="73">
      <c r="D73" s="6">
        <f>IFERROR(__xludf.DUMMYFUNCTION("""COMPUTED_VALUE"""),38630.99861111111)</f>
        <v>38630.99861</v>
      </c>
      <c r="E73" s="3">
        <f>IFERROR(__xludf.DUMMYFUNCTION("""COMPUTED_VALUE"""),3.5415)</f>
        <v>3.5415</v>
      </c>
    </row>
    <row r="74">
      <c r="D74" s="6">
        <f>IFERROR(__xludf.DUMMYFUNCTION("""COMPUTED_VALUE"""),38631.99861111111)</f>
        <v>38631.99861</v>
      </c>
      <c r="E74" s="3">
        <f>IFERROR(__xludf.DUMMYFUNCTION("""COMPUTED_VALUE"""),3.565)</f>
        <v>3.565</v>
      </c>
    </row>
    <row r="75">
      <c r="D75" s="6">
        <f>IFERROR(__xludf.DUMMYFUNCTION("""COMPUTED_VALUE"""),38632.99861111111)</f>
        <v>38632.99861</v>
      </c>
      <c r="E75" s="3">
        <f>IFERROR(__xludf.DUMMYFUNCTION("""COMPUTED_VALUE"""),3.5931)</f>
        <v>3.5931</v>
      </c>
    </row>
    <row r="76">
      <c r="D76" s="6">
        <f>IFERROR(__xludf.DUMMYFUNCTION("""COMPUTED_VALUE"""),38634.99861111111)</f>
        <v>38634.99861</v>
      </c>
      <c r="E76" s="3">
        <f>IFERROR(__xludf.DUMMYFUNCTION("""COMPUTED_VALUE"""),3.5931)</f>
        <v>3.5931</v>
      </c>
    </row>
    <row r="77">
      <c r="D77" s="6">
        <f>IFERROR(__xludf.DUMMYFUNCTION("""COMPUTED_VALUE"""),38635.99861111111)</f>
        <v>38635.99861</v>
      </c>
      <c r="E77" s="3">
        <f>IFERROR(__xludf.DUMMYFUNCTION("""COMPUTED_VALUE"""),3.5887)</f>
        <v>3.5887</v>
      </c>
    </row>
    <row r="78">
      <c r="D78" s="6">
        <f>IFERROR(__xludf.DUMMYFUNCTION("""COMPUTED_VALUE"""),38636.99861111111)</f>
        <v>38636.99861</v>
      </c>
      <c r="E78" s="3">
        <f>IFERROR(__xludf.DUMMYFUNCTION("""COMPUTED_VALUE"""),3.5895)</f>
        <v>3.5895</v>
      </c>
    </row>
    <row r="79">
      <c r="D79" s="6">
        <f>IFERROR(__xludf.DUMMYFUNCTION("""COMPUTED_VALUE"""),38637.99861111111)</f>
        <v>38637.99861</v>
      </c>
      <c r="E79" s="3">
        <f>IFERROR(__xludf.DUMMYFUNCTION("""COMPUTED_VALUE"""),3.5841)</f>
        <v>3.5841</v>
      </c>
    </row>
    <row r="80">
      <c r="D80" s="6">
        <f>IFERROR(__xludf.DUMMYFUNCTION("""COMPUTED_VALUE"""),38638.99861111111)</f>
        <v>38638.99861</v>
      </c>
      <c r="E80" s="3">
        <f>IFERROR(__xludf.DUMMYFUNCTION("""COMPUTED_VALUE"""),3.5957)</f>
        <v>3.5957</v>
      </c>
    </row>
    <row r="81">
      <c r="D81" s="6">
        <f>IFERROR(__xludf.DUMMYFUNCTION("""COMPUTED_VALUE"""),38639.99861111111)</f>
        <v>38639.99861</v>
      </c>
      <c r="E81" s="3">
        <f>IFERROR(__xludf.DUMMYFUNCTION("""COMPUTED_VALUE"""),3.6026)</f>
        <v>3.6026</v>
      </c>
    </row>
    <row r="82">
      <c r="D82" s="6">
        <f>IFERROR(__xludf.DUMMYFUNCTION("""COMPUTED_VALUE"""),38642.99861111111)</f>
        <v>38642.99861</v>
      </c>
      <c r="E82" s="3">
        <f>IFERROR(__xludf.DUMMYFUNCTION("""COMPUTED_VALUE"""),3.6017)</f>
        <v>3.6017</v>
      </c>
    </row>
    <row r="83">
      <c r="D83" s="6">
        <f>IFERROR(__xludf.DUMMYFUNCTION("""COMPUTED_VALUE"""),38643.99861111111)</f>
        <v>38643.99861</v>
      </c>
      <c r="E83" s="3">
        <f>IFERROR(__xludf.DUMMYFUNCTION("""COMPUTED_VALUE"""),3.6004)</f>
        <v>3.6004</v>
      </c>
    </row>
    <row r="84">
      <c r="D84" s="6">
        <f>IFERROR(__xludf.DUMMYFUNCTION("""COMPUTED_VALUE"""),38644.99861111111)</f>
        <v>38644.99861</v>
      </c>
      <c r="E84" s="3">
        <f>IFERROR(__xludf.DUMMYFUNCTION("""COMPUTED_VALUE"""),3.5902)</f>
        <v>3.5902</v>
      </c>
    </row>
    <row r="85">
      <c r="D85" s="6">
        <f>IFERROR(__xludf.DUMMYFUNCTION("""COMPUTED_VALUE"""),38645.99861111111)</f>
        <v>38645.99861</v>
      </c>
      <c r="E85" s="3">
        <f>IFERROR(__xludf.DUMMYFUNCTION("""COMPUTED_VALUE"""),3.5935)</f>
        <v>3.5935</v>
      </c>
    </row>
    <row r="86">
      <c r="D86" s="6">
        <f>IFERROR(__xludf.DUMMYFUNCTION("""COMPUTED_VALUE"""),38646.99861111111)</f>
        <v>38646.99861</v>
      </c>
      <c r="E86" s="3">
        <f>IFERROR(__xludf.DUMMYFUNCTION("""COMPUTED_VALUE"""),3.599)</f>
        <v>3.599</v>
      </c>
    </row>
    <row r="87">
      <c r="D87" s="6">
        <f>IFERROR(__xludf.DUMMYFUNCTION("""COMPUTED_VALUE"""),38649.99861111111)</f>
        <v>38649.99861</v>
      </c>
      <c r="E87" s="3">
        <f>IFERROR(__xludf.DUMMYFUNCTION("""COMPUTED_VALUE"""),3.602)</f>
        <v>3.602</v>
      </c>
    </row>
    <row r="88">
      <c r="D88" s="6">
        <f>IFERROR(__xludf.DUMMYFUNCTION("""COMPUTED_VALUE"""),38650.99861111111)</f>
        <v>38650.99861</v>
      </c>
      <c r="E88" s="3">
        <f>IFERROR(__xludf.DUMMYFUNCTION("""COMPUTED_VALUE"""),3.603)</f>
        <v>3.603</v>
      </c>
    </row>
    <row r="89">
      <c r="D89" s="6">
        <f>IFERROR(__xludf.DUMMYFUNCTION("""COMPUTED_VALUE"""),38651.99861111111)</f>
        <v>38651.99861</v>
      </c>
      <c r="E89" s="3">
        <f>IFERROR(__xludf.DUMMYFUNCTION("""COMPUTED_VALUE"""),3.5977)</f>
        <v>3.5977</v>
      </c>
    </row>
    <row r="90">
      <c r="D90" s="6">
        <f>IFERROR(__xludf.DUMMYFUNCTION("""COMPUTED_VALUE"""),38652.99861111111)</f>
        <v>38652.99861</v>
      </c>
      <c r="E90" s="3">
        <f>IFERROR(__xludf.DUMMYFUNCTION("""COMPUTED_VALUE"""),3.6059)</f>
        <v>3.6059</v>
      </c>
    </row>
    <row r="91">
      <c r="D91" s="6">
        <f>IFERROR(__xludf.DUMMYFUNCTION("""COMPUTED_VALUE"""),38653.99861111111)</f>
        <v>38653.99861</v>
      </c>
      <c r="E91" s="3">
        <f>IFERROR(__xludf.DUMMYFUNCTION("""COMPUTED_VALUE"""),3.6349)</f>
        <v>3.6349</v>
      </c>
    </row>
    <row r="92">
      <c r="D92" s="6">
        <f>IFERROR(__xludf.DUMMYFUNCTION("""COMPUTED_VALUE"""),38656.99861111111)</f>
        <v>38656.99861</v>
      </c>
      <c r="E92" s="3">
        <f>IFERROR(__xludf.DUMMYFUNCTION("""COMPUTED_VALUE"""),3.65)</f>
        <v>3.65</v>
      </c>
    </row>
    <row r="93">
      <c r="D93" s="6">
        <f>IFERROR(__xludf.DUMMYFUNCTION("""COMPUTED_VALUE"""),38657.99861111111)</f>
        <v>38657.99861</v>
      </c>
      <c r="E93" s="3">
        <f>IFERROR(__xludf.DUMMYFUNCTION("""COMPUTED_VALUE"""),3.6568)</f>
        <v>3.6568</v>
      </c>
    </row>
    <row r="94">
      <c r="D94" s="6">
        <f>IFERROR(__xludf.DUMMYFUNCTION("""COMPUTED_VALUE"""),38658.99861111111)</f>
        <v>38658.99861</v>
      </c>
      <c r="E94" s="3">
        <f>IFERROR(__xludf.DUMMYFUNCTION("""COMPUTED_VALUE"""),3.6546)</f>
        <v>3.6546</v>
      </c>
    </row>
    <row r="95">
      <c r="D95" s="6">
        <f>IFERROR(__xludf.DUMMYFUNCTION("""COMPUTED_VALUE"""),38659.99861111111)</f>
        <v>38659.99861</v>
      </c>
      <c r="E95" s="3">
        <f>IFERROR(__xludf.DUMMYFUNCTION("""COMPUTED_VALUE"""),3.6483)</f>
        <v>3.6483</v>
      </c>
    </row>
    <row r="96">
      <c r="D96" s="6">
        <f>IFERROR(__xludf.DUMMYFUNCTION("""COMPUTED_VALUE"""),38660.99861111111)</f>
        <v>38660.99861</v>
      </c>
      <c r="E96" s="3">
        <f>IFERROR(__xludf.DUMMYFUNCTION("""COMPUTED_VALUE"""),3.6463)</f>
        <v>3.6463</v>
      </c>
    </row>
    <row r="97">
      <c r="D97" s="6">
        <f>IFERROR(__xludf.DUMMYFUNCTION("""COMPUTED_VALUE"""),38663.99861111111)</f>
        <v>38663.99861</v>
      </c>
      <c r="E97" s="3">
        <f>IFERROR(__xludf.DUMMYFUNCTION("""COMPUTED_VALUE"""),3.6812)</f>
        <v>3.6812</v>
      </c>
    </row>
    <row r="98">
      <c r="D98" s="6">
        <f>IFERROR(__xludf.DUMMYFUNCTION("""COMPUTED_VALUE"""),38664.99861111111)</f>
        <v>38664.99861</v>
      </c>
      <c r="E98" s="3">
        <f>IFERROR(__xludf.DUMMYFUNCTION("""COMPUTED_VALUE"""),3.6822)</f>
        <v>3.6822</v>
      </c>
    </row>
    <row r="99">
      <c r="D99" s="6">
        <f>IFERROR(__xludf.DUMMYFUNCTION("""COMPUTED_VALUE"""),38665.99861111111)</f>
        <v>38665.99861</v>
      </c>
      <c r="E99" s="3">
        <f>IFERROR(__xludf.DUMMYFUNCTION("""COMPUTED_VALUE"""),3.6603)</f>
        <v>3.6603</v>
      </c>
    </row>
    <row r="100">
      <c r="D100" s="6">
        <f>IFERROR(__xludf.DUMMYFUNCTION("""COMPUTED_VALUE"""),38666.99861111111)</f>
        <v>38666.99861</v>
      </c>
      <c r="E100" s="3">
        <f>IFERROR(__xludf.DUMMYFUNCTION("""COMPUTED_VALUE"""),3.6597)</f>
        <v>3.6597</v>
      </c>
    </row>
    <row r="101">
      <c r="D101" s="6">
        <f>IFERROR(__xludf.DUMMYFUNCTION("""COMPUTED_VALUE"""),38667.99861111111)</f>
        <v>38667.99861</v>
      </c>
      <c r="E101" s="3">
        <f>IFERROR(__xludf.DUMMYFUNCTION("""COMPUTED_VALUE"""),3.6196)</f>
        <v>3.6196</v>
      </c>
    </row>
    <row r="102">
      <c r="D102" s="6">
        <f>IFERROR(__xludf.DUMMYFUNCTION("""COMPUTED_VALUE"""),38670.99861111111)</f>
        <v>38670.99861</v>
      </c>
      <c r="E102" s="3">
        <f>IFERROR(__xludf.DUMMYFUNCTION("""COMPUTED_VALUE"""),3.6208)</f>
        <v>3.6208</v>
      </c>
    </row>
    <row r="103">
      <c r="D103" s="6">
        <f>IFERROR(__xludf.DUMMYFUNCTION("""COMPUTED_VALUE"""),38671.99861111111)</f>
        <v>38671.99861</v>
      </c>
      <c r="E103" s="3">
        <f>IFERROR(__xludf.DUMMYFUNCTION("""COMPUTED_VALUE"""),3.6452)</f>
        <v>3.6452</v>
      </c>
    </row>
    <row r="104">
      <c r="D104" s="6">
        <f>IFERROR(__xludf.DUMMYFUNCTION("""COMPUTED_VALUE"""),38672.99861111111)</f>
        <v>38672.99861</v>
      </c>
      <c r="E104" s="3">
        <f>IFERROR(__xludf.DUMMYFUNCTION("""COMPUTED_VALUE"""),3.6345)</f>
        <v>3.6345</v>
      </c>
    </row>
    <row r="105">
      <c r="D105" s="6">
        <f>IFERROR(__xludf.DUMMYFUNCTION("""COMPUTED_VALUE"""),38673.99861111111)</f>
        <v>38673.99861</v>
      </c>
      <c r="E105" s="3">
        <f>IFERROR(__xludf.DUMMYFUNCTION("""COMPUTED_VALUE"""),3.6335)</f>
        <v>3.6335</v>
      </c>
    </row>
    <row r="106">
      <c r="D106" s="6">
        <f>IFERROR(__xludf.DUMMYFUNCTION("""COMPUTED_VALUE"""),38674.99861111111)</f>
        <v>38674.99861</v>
      </c>
      <c r="E106" s="3">
        <f>IFERROR(__xludf.DUMMYFUNCTION("""COMPUTED_VALUE"""),3.6274)</f>
        <v>3.6274</v>
      </c>
    </row>
    <row r="107">
      <c r="D107" s="6">
        <f>IFERROR(__xludf.DUMMYFUNCTION("""COMPUTED_VALUE"""),38676.99861111111)</f>
        <v>38676.99861</v>
      </c>
      <c r="E107" s="3">
        <f>IFERROR(__xludf.DUMMYFUNCTION("""COMPUTED_VALUE"""),3.6274)</f>
        <v>3.6274</v>
      </c>
    </row>
    <row r="108">
      <c r="D108" s="6">
        <f>IFERROR(__xludf.DUMMYFUNCTION("""COMPUTED_VALUE"""),38677.99861111111)</f>
        <v>38677.99861</v>
      </c>
      <c r="E108" s="3">
        <f>IFERROR(__xludf.DUMMYFUNCTION("""COMPUTED_VALUE"""),3.6491)</f>
        <v>3.6491</v>
      </c>
    </row>
    <row r="109">
      <c r="D109" s="6">
        <f>IFERROR(__xludf.DUMMYFUNCTION("""COMPUTED_VALUE"""),38678.99861111111)</f>
        <v>38678.99861</v>
      </c>
      <c r="E109" s="3">
        <f>IFERROR(__xludf.DUMMYFUNCTION("""COMPUTED_VALUE"""),3.6526)</f>
        <v>3.6526</v>
      </c>
    </row>
    <row r="110">
      <c r="D110" s="6">
        <f>IFERROR(__xludf.DUMMYFUNCTION("""COMPUTED_VALUE"""),38679.99861111111)</f>
        <v>38679.99861</v>
      </c>
      <c r="E110" s="3">
        <f>IFERROR(__xludf.DUMMYFUNCTION("""COMPUTED_VALUE"""),3.6649)</f>
        <v>3.6649</v>
      </c>
    </row>
    <row r="111">
      <c r="D111" s="6">
        <f>IFERROR(__xludf.DUMMYFUNCTION("""COMPUTED_VALUE"""),38680.99861111111)</f>
        <v>38680.99861</v>
      </c>
      <c r="E111" s="3">
        <f>IFERROR(__xludf.DUMMYFUNCTION("""COMPUTED_VALUE"""),3.6566)</f>
        <v>3.6566</v>
      </c>
    </row>
    <row r="112">
      <c r="D112" s="6">
        <f>IFERROR(__xludf.DUMMYFUNCTION("""COMPUTED_VALUE"""),38681.99861111111)</f>
        <v>38681.99861</v>
      </c>
      <c r="E112" s="3">
        <f>IFERROR(__xludf.DUMMYFUNCTION("""COMPUTED_VALUE"""),3.6545)</f>
        <v>3.6545</v>
      </c>
    </row>
    <row r="113">
      <c r="D113" s="6">
        <f>IFERROR(__xludf.DUMMYFUNCTION("""COMPUTED_VALUE"""),38683.99861111111)</f>
        <v>38683.99861</v>
      </c>
      <c r="E113" s="3">
        <f>IFERROR(__xludf.DUMMYFUNCTION("""COMPUTED_VALUE"""),3.6545)</f>
        <v>3.6545</v>
      </c>
    </row>
    <row r="114">
      <c r="D114" s="6">
        <f>IFERROR(__xludf.DUMMYFUNCTION("""COMPUTED_VALUE"""),38684.99861111111)</f>
        <v>38684.99861</v>
      </c>
      <c r="E114" s="3">
        <f>IFERROR(__xludf.DUMMYFUNCTION("""COMPUTED_VALUE"""),3.6562)</f>
        <v>3.6562</v>
      </c>
    </row>
    <row r="115">
      <c r="D115" s="6">
        <f>IFERROR(__xludf.DUMMYFUNCTION("""COMPUTED_VALUE"""),38685.99861111111)</f>
        <v>38685.99861</v>
      </c>
      <c r="E115" s="3">
        <f>IFERROR(__xludf.DUMMYFUNCTION("""COMPUTED_VALUE"""),3.6373)</f>
        <v>3.6373</v>
      </c>
    </row>
    <row r="116">
      <c r="D116" s="6">
        <f>IFERROR(__xludf.DUMMYFUNCTION("""COMPUTED_VALUE"""),38686.99861111111)</f>
        <v>38686.99861</v>
      </c>
      <c r="E116" s="3">
        <f>IFERROR(__xludf.DUMMYFUNCTION("""COMPUTED_VALUE"""),3.6495)</f>
        <v>3.6495</v>
      </c>
    </row>
    <row r="117">
      <c r="D117" s="6">
        <f>IFERROR(__xludf.DUMMYFUNCTION("""COMPUTED_VALUE"""),38687.99861111111)</f>
        <v>38687.99861</v>
      </c>
      <c r="E117" s="3">
        <f>IFERROR(__xludf.DUMMYFUNCTION("""COMPUTED_VALUE"""),3.6508)</f>
        <v>3.6508</v>
      </c>
    </row>
    <row r="118">
      <c r="D118" s="6">
        <f>IFERROR(__xludf.DUMMYFUNCTION("""COMPUTED_VALUE"""),38688.99861111111)</f>
        <v>38688.99861</v>
      </c>
      <c r="E118" s="3">
        <f>IFERROR(__xludf.DUMMYFUNCTION("""COMPUTED_VALUE"""),3.6528)</f>
        <v>3.6528</v>
      </c>
    </row>
    <row r="119">
      <c r="D119" s="6">
        <f>IFERROR(__xludf.DUMMYFUNCTION("""COMPUTED_VALUE"""),38691.99861111111)</f>
        <v>38691.99861</v>
      </c>
      <c r="E119" s="3">
        <f>IFERROR(__xludf.DUMMYFUNCTION("""COMPUTED_VALUE"""),3.654)</f>
        <v>3.654</v>
      </c>
    </row>
    <row r="120">
      <c r="D120" s="6">
        <f>IFERROR(__xludf.DUMMYFUNCTION("""COMPUTED_VALUE"""),38692.99861111111)</f>
        <v>38692.99861</v>
      </c>
      <c r="E120" s="3">
        <f>IFERROR(__xludf.DUMMYFUNCTION("""COMPUTED_VALUE"""),3.6398)</f>
        <v>3.6398</v>
      </c>
    </row>
    <row r="121">
      <c r="D121" s="6">
        <f>IFERROR(__xludf.DUMMYFUNCTION("""COMPUTED_VALUE"""),38693.99861111111)</f>
        <v>38693.99861</v>
      </c>
      <c r="E121" s="3">
        <f>IFERROR(__xludf.DUMMYFUNCTION("""COMPUTED_VALUE"""),3.6475)</f>
        <v>3.6475</v>
      </c>
    </row>
    <row r="122">
      <c r="D122" s="6">
        <f>IFERROR(__xludf.DUMMYFUNCTION("""COMPUTED_VALUE"""),38694.99861111111)</f>
        <v>38694.99861</v>
      </c>
      <c r="E122" s="3">
        <f>IFERROR(__xludf.DUMMYFUNCTION("""COMPUTED_VALUE"""),3.634)</f>
        <v>3.634</v>
      </c>
    </row>
    <row r="123">
      <c r="D123" s="6">
        <f>IFERROR(__xludf.DUMMYFUNCTION("""COMPUTED_VALUE"""),38695.99861111111)</f>
        <v>38695.99861</v>
      </c>
      <c r="E123" s="3">
        <f>IFERROR(__xludf.DUMMYFUNCTION("""COMPUTED_VALUE"""),3.6335)</f>
        <v>3.6335</v>
      </c>
    </row>
    <row r="124">
      <c r="D124" s="6">
        <f>IFERROR(__xludf.DUMMYFUNCTION("""COMPUTED_VALUE"""),38697.99861111111)</f>
        <v>38697.99861</v>
      </c>
      <c r="E124" s="3">
        <f>IFERROR(__xludf.DUMMYFUNCTION("""COMPUTED_VALUE"""),3.6335)</f>
        <v>3.6335</v>
      </c>
    </row>
    <row r="125">
      <c r="D125" s="6">
        <f>IFERROR(__xludf.DUMMYFUNCTION("""COMPUTED_VALUE"""),38698.99861111111)</f>
        <v>38698.99861</v>
      </c>
      <c r="E125" s="3">
        <f>IFERROR(__xludf.DUMMYFUNCTION("""COMPUTED_VALUE"""),3.6335)</f>
        <v>3.6335</v>
      </c>
    </row>
    <row r="126">
      <c r="D126" s="6">
        <f>IFERROR(__xludf.DUMMYFUNCTION("""COMPUTED_VALUE"""),38699.99861111111)</f>
        <v>38699.99861</v>
      </c>
      <c r="E126" s="3">
        <f>IFERROR(__xludf.DUMMYFUNCTION("""COMPUTED_VALUE"""),3.639)</f>
        <v>3.639</v>
      </c>
    </row>
    <row r="127">
      <c r="D127" s="6">
        <f>IFERROR(__xludf.DUMMYFUNCTION("""COMPUTED_VALUE"""),38700.99861111111)</f>
        <v>38700.99861</v>
      </c>
      <c r="E127" s="3">
        <f>IFERROR(__xludf.DUMMYFUNCTION("""COMPUTED_VALUE"""),3.6426)</f>
        <v>3.6426</v>
      </c>
    </row>
    <row r="128">
      <c r="D128" s="6">
        <f>IFERROR(__xludf.DUMMYFUNCTION("""COMPUTED_VALUE"""),38701.99861111111)</f>
        <v>38701.99861</v>
      </c>
      <c r="E128" s="3">
        <f>IFERROR(__xludf.DUMMYFUNCTION("""COMPUTED_VALUE"""),3.6372)</f>
        <v>3.6372</v>
      </c>
    </row>
    <row r="129">
      <c r="D129" s="6">
        <f>IFERROR(__xludf.DUMMYFUNCTION("""COMPUTED_VALUE"""),38702.99861111111)</f>
        <v>38702.99861</v>
      </c>
      <c r="E129" s="3">
        <f>IFERROR(__xludf.DUMMYFUNCTION("""COMPUTED_VALUE"""),3.6503)</f>
        <v>3.6503</v>
      </c>
    </row>
    <row r="130">
      <c r="D130" s="6">
        <f>IFERROR(__xludf.DUMMYFUNCTION("""COMPUTED_VALUE"""),38704.99861111111)</f>
        <v>38704.99861</v>
      </c>
      <c r="E130" s="3">
        <f>IFERROR(__xludf.DUMMYFUNCTION("""COMPUTED_VALUE"""),3.6503)</f>
        <v>3.6503</v>
      </c>
    </row>
    <row r="131">
      <c r="D131" s="6">
        <f>IFERROR(__xludf.DUMMYFUNCTION("""COMPUTED_VALUE"""),38705.99861111111)</f>
        <v>38705.99861</v>
      </c>
      <c r="E131" s="3">
        <f>IFERROR(__xludf.DUMMYFUNCTION("""COMPUTED_VALUE"""),3.6485)</f>
        <v>3.6485</v>
      </c>
    </row>
    <row r="132">
      <c r="D132" s="6">
        <f>IFERROR(__xludf.DUMMYFUNCTION("""COMPUTED_VALUE"""),38706.99861111111)</f>
        <v>38706.99861</v>
      </c>
      <c r="E132" s="3">
        <f>IFERROR(__xludf.DUMMYFUNCTION("""COMPUTED_VALUE"""),3.6511)</f>
        <v>3.6511</v>
      </c>
    </row>
    <row r="133">
      <c r="D133" s="6">
        <f>IFERROR(__xludf.DUMMYFUNCTION("""COMPUTED_VALUE"""),38707.99861111111)</f>
        <v>38707.99861</v>
      </c>
      <c r="E133" s="3">
        <f>IFERROR(__xludf.DUMMYFUNCTION("""COMPUTED_VALUE"""),3.6514)</f>
        <v>3.6514</v>
      </c>
    </row>
    <row r="134">
      <c r="D134" s="6">
        <f>IFERROR(__xludf.DUMMYFUNCTION("""COMPUTED_VALUE"""),38708.99861111111)</f>
        <v>38708.99861</v>
      </c>
      <c r="E134" s="3">
        <f>IFERROR(__xludf.DUMMYFUNCTION("""COMPUTED_VALUE"""),3.6535)</f>
        <v>3.6535</v>
      </c>
    </row>
    <row r="135">
      <c r="D135" s="6">
        <f>IFERROR(__xludf.DUMMYFUNCTION("""COMPUTED_VALUE"""),38709.99861111111)</f>
        <v>38709.99861</v>
      </c>
      <c r="E135" s="3">
        <f>IFERROR(__xludf.DUMMYFUNCTION("""COMPUTED_VALUE"""),3.6574)</f>
        <v>3.6574</v>
      </c>
    </row>
    <row r="136">
      <c r="D136" s="6">
        <f>IFERROR(__xludf.DUMMYFUNCTION("""COMPUTED_VALUE"""),38712.99861111111)</f>
        <v>38712.99861</v>
      </c>
      <c r="E136" s="3">
        <f>IFERROR(__xludf.DUMMYFUNCTION("""COMPUTED_VALUE"""),3.6851)</f>
        <v>3.6851</v>
      </c>
    </row>
    <row r="137">
      <c r="D137" s="6">
        <f>IFERROR(__xludf.DUMMYFUNCTION("""COMPUTED_VALUE"""),38713.99861111111)</f>
        <v>38713.99861</v>
      </c>
      <c r="E137" s="3">
        <f>IFERROR(__xludf.DUMMYFUNCTION("""COMPUTED_VALUE"""),3.6546)</f>
        <v>3.6546</v>
      </c>
    </row>
    <row r="138">
      <c r="D138" s="6">
        <f>IFERROR(__xludf.DUMMYFUNCTION("""COMPUTED_VALUE"""),38714.99861111111)</f>
        <v>38714.99861</v>
      </c>
      <c r="E138" s="3">
        <f>IFERROR(__xludf.DUMMYFUNCTION("""COMPUTED_VALUE"""),3.6851)</f>
        <v>3.6851</v>
      </c>
    </row>
    <row r="139">
      <c r="D139" s="6">
        <f>IFERROR(__xludf.DUMMYFUNCTION("""COMPUTED_VALUE"""),38715.99861111111)</f>
        <v>38715.99861</v>
      </c>
      <c r="E139" s="3">
        <f>IFERROR(__xludf.DUMMYFUNCTION("""COMPUTED_VALUE"""),3.6855)</f>
        <v>3.6855</v>
      </c>
    </row>
    <row r="140">
      <c r="D140" s="6">
        <f>IFERROR(__xludf.DUMMYFUNCTION("""COMPUTED_VALUE"""),38716.99861111111)</f>
        <v>38716.99861</v>
      </c>
      <c r="E140" s="3">
        <f>IFERROR(__xludf.DUMMYFUNCTION("""COMPUTED_VALUE"""),3.666)</f>
        <v>3.666</v>
      </c>
    </row>
    <row r="141">
      <c r="D141" s="6">
        <f>IFERROR(__xludf.DUMMYFUNCTION("""COMPUTED_VALUE"""),38719.99861111111)</f>
        <v>38719.99861</v>
      </c>
      <c r="E141" s="3">
        <f>IFERROR(__xludf.DUMMYFUNCTION("""COMPUTED_VALUE"""),3.6739)</f>
        <v>3.6739</v>
      </c>
    </row>
    <row r="142">
      <c r="D142" s="6">
        <f>IFERROR(__xludf.DUMMYFUNCTION("""COMPUTED_VALUE"""),38720.99861111111)</f>
        <v>38720.99861</v>
      </c>
      <c r="E142" s="3">
        <f>IFERROR(__xludf.DUMMYFUNCTION("""COMPUTED_VALUE"""),3.6648)</f>
        <v>3.6648</v>
      </c>
    </row>
    <row r="143">
      <c r="D143" s="6">
        <f>IFERROR(__xludf.DUMMYFUNCTION("""COMPUTED_VALUE"""),38721.99861111111)</f>
        <v>38721.99861</v>
      </c>
      <c r="E143" s="3">
        <f>IFERROR(__xludf.DUMMYFUNCTION("""COMPUTED_VALUE"""),3.6747)</f>
        <v>3.6747</v>
      </c>
    </row>
    <row r="144">
      <c r="D144" s="6">
        <f>IFERROR(__xludf.DUMMYFUNCTION("""COMPUTED_VALUE"""),38722.99861111111)</f>
        <v>38722.99861</v>
      </c>
      <c r="E144" s="3">
        <f>IFERROR(__xludf.DUMMYFUNCTION("""COMPUTED_VALUE"""),3.6748)</f>
        <v>3.6748</v>
      </c>
    </row>
    <row r="145">
      <c r="D145" s="6">
        <f>IFERROR(__xludf.DUMMYFUNCTION("""COMPUTED_VALUE"""),38723.99861111111)</f>
        <v>38723.99861</v>
      </c>
      <c r="E145" s="3">
        <f>IFERROR(__xludf.DUMMYFUNCTION("""COMPUTED_VALUE"""),3.6815)</f>
        <v>3.6815</v>
      </c>
    </row>
    <row r="146">
      <c r="D146" s="6">
        <f>IFERROR(__xludf.DUMMYFUNCTION("""COMPUTED_VALUE"""),38726.99861111111)</f>
        <v>38726.99861</v>
      </c>
      <c r="E146" s="3">
        <f>IFERROR(__xludf.DUMMYFUNCTION("""COMPUTED_VALUE"""),3.674)</f>
        <v>3.674</v>
      </c>
    </row>
    <row r="147">
      <c r="D147" s="6">
        <f>IFERROR(__xludf.DUMMYFUNCTION("""COMPUTED_VALUE"""),38727.99861111111)</f>
        <v>38727.99861</v>
      </c>
      <c r="E147" s="3">
        <f>IFERROR(__xludf.DUMMYFUNCTION("""COMPUTED_VALUE"""),3.6403)</f>
        <v>3.6403</v>
      </c>
    </row>
    <row r="148">
      <c r="D148" s="6">
        <f>IFERROR(__xludf.DUMMYFUNCTION("""COMPUTED_VALUE"""),38728.99861111111)</f>
        <v>38728.99861</v>
      </c>
      <c r="E148" s="3">
        <f>IFERROR(__xludf.DUMMYFUNCTION("""COMPUTED_VALUE"""),3.6207)</f>
        <v>3.6207</v>
      </c>
    </row>
    <row r="149">
      <c r="D149" s="6">
        <f>IFERROR(__xludf.DUMMYFUNCTION("""COMPUTED_VALUE"""),38729.99861111111)</f>
        <v>38729.99861</v>
      </c>
      <c r="E149" s="3">
        <f>IFERROR(__xludf.DUMMYFUNCTION("""COMPUTED_VALUE"""),3.6268)</f>
        <v>3.6268</v>
      </c>
    </row>
    <row r="150">
      <c r="D150" s="6">
        <f>IFERROR(__xludf.DUMMYFUNCTION("""COMPUTED_VALUE"""),38730.99861111111)</f>
        <v>38730.99861</v>
      </c>
      <c r="E150" s="3">
        <f>IFERROR(__xludf.DUMMYFUNCTION("""COMPUTED_VALUE"""),3.6333)</f>
        <v>3.6333</v>
      </c>
    </row>
    <row r="151">
      <c r="D151" s="6">
        <f>IFERROR(__xludf.DUMMYFUNCTION("""COMPUTED_VALUE"""),38732.99861111111)</f>
        <v>38732.99861</v>
      </c>
      <c r="E151" s="3">
        <f>IFERROR(__xludf.DUMMYFUNCTION("""COMPUTED_VALUE"""),3.6333)</f>
        <v>3.6333</v>
      </c>
    </row>
    <row r="152">
      <c r="D152" s="6">
        <f>IFERROR(__xludf.DUMMYFUNCTION("""COMPUTED_VALUE"""),38733.99861111111)</f>
        <v>38733.99861</v>
      </c>
      <c r="E152" s="3">
        <f>IFERROR(__xludf.DUMMYFUNCTION("""COMPUTED_VALUE"""),3.621)</f>
        <v>3.621</v>
      </c>
    </row>
    <row r="153">
      <c r="D153" s="6">
        <f>IFERROR(__xludf.DUMMYFUNCTION("""COMPUTED_VALUE"""),38734.99861111111)</f>
        <v>38734.99861</v>
      </c>
      <c r="E153" s="3">
        <f>IFERROR(__xludf.DUMMYFUNCTION("""COMPUTED_VALUE"""),3.6452)</f>
        <v>3.6452</v>
      </c>
    </row>
    <row r="154">
      <c r="D154" s="6">
        <f>IFERROR(__xludf.DUMMYFUNCTION("""COMPUTED_VALUE"""),38735.99861111111)</f>
        <v>38735.99861</v>
      </c>
      <c r="E154" s="3">
        <f>IFERROR(__xludf.DUMMYFUNCTION("""COMPUTED_VALUE"""),3.6431)</f>
        <v>3.6431</v>
      </c>
    </row>
    <row r="155">
      <c r="D155" s="6">
        <f>IFERROR(__xludf.DUMMYFUNCTION("""COMPUTED_VALUE"""),38736.99861111111)</f>
        <v>38736.99861</v>
      </c>
      <c r="E155" s="3">
        <f>IFERROR(__xludf.DUMMYFUNCTION("""COMPUTED_VALUE"""),3.6368)</f>
        <v>3.6368</v>
      </c>
    </row>
    <row r="156">
      <c r="D156" s="6">
        <f>IFERROR(__xludf.DUMMYFUNCTION("""COMPUTED_VALUE"""),38737.99861111111)</f>
        <v>38737.99861</v>
      </c>
      <c r="E156" s="3">
        <f>IFERROR(__xludf.DUMMYFUNCTION("""COMPUTED_VALUE"""),3.6379)</f>
        <v>3.6379</v>
      </c>
    </row>
    <row r="157">
      <c r="D157" s="6">
        <f>IFERROR(__xludf.DUMMYFUNCTION("""COMPUTED_VALUE"""),38739.99861111111)</f>
        <v>38739.99861</v>
      </c>
      <c r="E157" s="3">
        <f>IFERROR(__xludf.DUMMYFUNCTION("""COMPUTED_VALUE"""),3.6379)</f>
        <v>3.6379</v>
      </c>
    </row>
    <row r="158">
      <c r="D158" s="6">
        <f>IFERROR(__xludf.DUMMYFUNCTION("""COMPUTED_VALUE"""),38740.99861111111)</f>
        <v>38740.99861</v>
      </c>
      <c r="E158" s="3">
        <f>IFERROR(__xludf.DUMMYFUNCTION("""COMPUTED_VALUE"""),3.6305)</f>
        <v>3.6305</v>
      </c>
    </row>
    <row r="159">
      <c r="D159" s="6">
        <f>IFERROR(__xludf.DUMMYFUNCTION("""COMPUTED_VALUE"""),38741.99861111111)</f>
        <v>38741.99861</v>
      </c>
      <c r="E159" s="3">
        <f>IFERROR(__xludf.DUMMYFUNCTION("""COMPUTED_VALUE"""),3.6191)</f>
        <v>3.6191</v>
      </c>
    </row>
    <row r="160">
      <c r="D160" s="6">
        <f>IFERROR(__xludf.DUMMYFUNCTION("""COMPUTED_VALUE"""),38742.99861111111)</f>
        <v>38742.99861</v>
      </c>
      <c r="E160" s="3">
        <f>IFERROR(__xludf.DUMMYFUNCTION("""COMPUTED_VALUE"""),3.6257)</f>
        <v>3.6257</v>
      </c>
    </row>
    <row r="161">
      <c r="D161" s="6">
        <f>IFERROR(__xludf.DUMMYFUNCTION("""COMPUTED_VALUE"""),38743.99861111111)</f>
        <v>38743.99861</v>
      </c>
      <c r="E161" s="3">
        <f>IFERROR(__xludf.DUMMYFUNCTION("""COMPUTED_VALUE"""),3.6146)</f>
        <v>3.6146</v>
      </c>
    </row>
    <row r="162">
      <c r="D162" s="6">
        <f>IFERROR(__xludf.DUMMYFUNCTION("""COMPUTED_VALUE"""),38744.99861111111)</f>
        <v>38744.99861</v>
      </c>
      <c r="E162" s="3">
        <f>IFERROR(__xludf.DUMMYFUNCTION("""COMPUTED_VALUE"""),3.6237)</f>
        <v>3.6237</v>
      </c>
    </row>
    <row r="163">
      <c r="D163" s="6">
        <f>IFERROR(__xludf.DUMMYFUNCTION("""COMPUTED_VALUE"""),38746.99861111111)</f>
        <v>38746.99861</v>
      </c>
      <c r="E163" s="3">
        <f>IFERROR(__xludf.DUMMYFUNCTION("""COMPUTED_VALUE"""),3.597)</f>
        <v>3.597</v>
      </c>
    </row>
    <row r="164">
      <c r="D164" s="6">
        <f>IFERROR(__xludf.DUMMYFUNCTION("""COMPUTED_VALUE"""),38747.99861111111)</f>
        <v>38747.99861</v>
      </c>
      <c r="E164" s="3">
        <f>IFERROR(__xludf.DUMMYFUNCTION("""COMPUTED_VALUE"""),3.6049)</f>
        <v>3.6049</v>
      </c>
    </row>
    <row r="165">
      <c r="D165" s="6">
        <f>IFERROR(__xludf.DUMMYFUNCTION("""COMPUTED_VALUE"""),38748.99861111111)</f>
        <v>38748.99861</v>
      </c>
      <c r="E165" s="3">
        <f>IFERROR(__xludf.DUMMYFUNCTION("""COMPUTED_VALUE"""),3.6047)</f>
        <v>3.6047</v>
      </c>
    </row>
    <row r="166">
      <c r="D166" s="6">
        <f>IFERROR(__xludf.DUMMYFUNCTION("""COMPUTED_VALUE"""),38749.99861111111)</f>
        <v>38749.99861</v>
      </c>
      <c r="E166" s="3">
        <f>IFERROR(__xludf.DUMMYFUNCTION("""COMPUTED_VALUE"""),3.6049)</f>
        <v>3.6049</v>
      </c>
    </row>
    <row r="167">
      <c r="D167" s="6">
        <f>IFERROR(__xludf.DUMMYFUNCTION("""COMPUTED_VALUE"""),38750.99861111111)</f>
        <v>38750.99861</v>
      </c>
      <c r="E167" s="3">
        <f>IFERROR(__xludf.DUMMYFUNCTION("""COMPUTED_VALUE"""),3.6012)</f>
        <v>3.6012</v>
      </c>
    </row>
    <row r="168">
      <c r="D168" s="6">
        <f>IFERROR(__xludf.DUMMYFUNCTION("""COMPUTED_VALUE"""),38751.99861111111)</f>
        <v>38751.99861</v>
      </c>
      <c r="E168" s="3">
        <f>IFERROR(__xludf.DUMMYFUNCTION("""COMPUTED_VALUE"""),3.597)</f>
        <v>3.597</v>
      </c>
    </row>
    <row r="169">
      <c r="D169" s="6">
        <f>IFERROR(__xludf.DUMMYFUNCTION("""COMPUTED_VALUE"""),38754.99861111111)</f>
        <v>38754.99861</v>
      </c>
      <c r="E169" s="3">
        <f>IFERROR(__xludf.DUMMYFUNCTION("""COMPUTED_VALUE"""),3.5862)</f>
        <v>3.5862</v>
      </c>
    </row>
    <row r="170">
      <c r="D170" s="6">
        <f>IFERROR(__xludf.DUMMYFUNCTION("""COMPUTED_VALUE"""),38755.99861111111)</f>
        <v>38755.99861</v>
      </c>
      <c r="E170" s="3">
        <f>IFERROR(__xludf.DUMMYFUNCTION("""COMPUTED_VALUE"""),3.5868)</f>
        <v>3.5868</v>
      </c>
    </row>
    <row r="171">
      <c r="D171" s="6">
        <f>IFERROR(__xludf.DUMMYFUNCTION("""COMPUTED_VALUE"""),38756.99861111111)</f>
        <v>38756.99861</v>
      </c>
      <c r="E171" s="3">
        <f>IFERROR(__xludf.DUMMYFUNCTION("""COMPUTED_VALUE"""),3.5658)</f>
        <v>3.5658</v>
      </c>
    </row>
    <row r="172">
      <c r="D172" s="6">
        <f>IFERROR(__xludf.DUMMYFUNCTION("""COMPUTED_VALUE"""),38757.99861111111)</f>
        <v>38757.99861</v>
      </c>
      <c r="E172" s="3">
        <f>IFERROR(__xludf.DUMMYFUNCTION("""COMPUTED_VALUE"""),3.573)</f>
        <v>3.573</v>
      </c>
    </row>
    <row r="173">
      <c r="D173" s="6">
        <f>IFERROR(__xludf.DUMMYFUNCTION("""COMPUTED_VALUE"""),38758.99861111111)</f>
        <v>38758.99861</v>
      </c>
      <c r="E173" s="3">
        <f>IFERROR(__xludf.DUMMYFUNCTION("""COMPUTED_VALUE"""),3.5328)</f>
        <v>3.5328</v>
      </c>
    </row>
    <row r="174">
      <c r="D174" s="6">
        <f>IFERROR(__xludf.DUMMYFUNCTION("""COMPUTED_VALUE"""),38761.99861111111)</f>
        <v>38761.99861</v>
      </c>
      <c r="E174" s="3">
        <f>IFERROR(__xludf.DUMMYFUNCTION("""COMPUTED_VALUE"""),3.5333)</f>
        <v>3.5333</v>
      </c>
    </row>
    <row r="175">
      <c r="D175" s="6">
        <f>IFERROR(__xludf.DUMMYFUNCTION("""COMPUTED_VALUE"""),38762.99861111111)</f>
        <v>38762.99861</v>
      </c>
      <c r="E175" s="3">
        <f>IFERROR(__xludf.DUMMYFUNCTION("""COMPUTED_VALUE"""),3.5219)</f>
        <v>3.5219</v>
      </c>
    </row>
    <row r="176">
      <c r="D176" s="6">
        <f>IFERROR(__xludf.DUMMYFUNCTION("""COMPUTED_VALUE"""),38763.99861111111)</f>
        <v>38763.99861</v>
      </c>
      <c r="E176" s="3">
        <f>IFERROR(__xludf.DUMMYFUNCTION("""COMPUTED_VALUE"""),3.5217)</f>
        <v>3.5217</v>
      </c>
    </row>
    <row r="177">
      <c r="D177" s="6">
        <f>IFERROR(__xludf.DUMMYFUNCTION("""COMPUTED_VALUE"""),38764.99861111111)</f>
        <v>38764.99861</v>
      </c>
      <c r="E177" s="3">
        <f>IFERROR(__xludf.DUMMYFUNCTION("""COMPUTED_VALUE"""),3.5212)</f>
        <v>3.5212</v>
      </c>
    </row>
    <row r="178">
      <c r="D178" s="6">
        <f>IFERROR(__xludf.DUMMYFUNCTION("""COMPUTED_VALUE"""),38765.99861111111)</f>
        <v>38765.99861</v>
      </c>
      <c r="E178" s="3">
        <f>IFERROR(__xludf.DUMMYFUNCTION("""COMPUTED_VALUE"""),3.5085)</f>
        <v>3.5085</v>
      </c>
    </row>
    <row r="179">
      <c r="D179" s="6">
        <f>IFERROR(__xludf.DUMMYFUNCTION("""COMPUTED_VALUE"""),38768.99861111111)</f>
        <v>38768.99861</v>
      </c>
      <c r="E179" s="3">
        <f>IFERROR(__xludf.DUMMYFUNCTION("""COMPUTED_VALUE"""),3.5004)</f>
        <v>3.5004</v>
      </c>
    </row>
    <row r="180">
      <c r="D180" s="6">
        <f>IFERROR(__xludf.DUMMYFUNCTION("""COMPUTED_VALUE"""),38769.99861111111)</f>
        <v>38769.99861</v>
      </c>
      <c r="E180" s="3">
        <f>IFERROR(__xludf.DUMMYFUNCTION("""COMPUTED_VALUE"""),3.4901)</f>
        <v>3.4901</v>
      </c>
    </row>
    <row r="181">
      <c r="D181" s="6">
        <f>IFERROR(__xludf.DUMMYFUNCTION("""COMPUTED_VALUE"""),38770.99861111111)</f>
        <v>38770.99861</v>
      </c>
      <c r="E181" s="3">
        <f>IFERROR(__xludf.DUMMYFUNCTION("""COMPUTED_VALUE"""),3.4888)</f>
        <v>3.4888</v>
      </c>
    </row>
    <row r="182">
      <c r="D182" s="6">
        <f>IFERROR(__xludf.DUMMYFUNCTION("""COMPUTED_VALUE"""),38771.99861111111)</f>
        <v>38771.99861</v>
      </c>
      <c r="E182" s="3">
        <f>IFERROR(__xludf.DUMMYFUNCTION("""COMPUTED_VALUE"""),3.491)</f>
        <v>3.491</v>
      </c>
    </row>
    <row r="183">
      <c r="D183" s="6">
        <f>IFERROR(__xludf.DUMMYFUNCTION("""COMPUTED_VALUE"""),38772.99861111111)</f>
        <v>38772.99861</v>
      </c>
      <c r="E183" s="3">
        <f>IFERROR(__xludf.DUMMYFUNCTION("""COMPUTED_VALUE"""),3.5001)</f>
        <v>3.5001</v>
      </c>
    </row>
    <row r="184">
      <c r="D184" s="6">
        <f>IFERROR(__xludf.DUMMYFUNCTION("""COMPUTED_VALUE"""),38774.99861111111)</f>
        <v>38774.99861</v>
      </c>
      <c r="E184" s="3">
        <f>IFERROR(__xludf.DUMMYFUNCTION("""COMPUTED_VALUE"""),3.5001)</f>
        <v>3.5001</v>
      </c>
    </row>
    <row r="185">
      <c r="D185" s="6">
        <f>IFERROR(__xludf.DUMMYFUNCTION("""COMPUTED_VALUE"""),38775.99861111111)</f>
        <v>38775.99861</v>
      </c>
      <c r="E185" s="3">
        <f>IFERROR(__xludf.DUMMYFUNCTION("""COMPUTED_VALUE"""),3.499)</f>
        <v>3.499</v>
      </c>
    </row>
    <row r="186">
      <c r="D186" s="6">
        <f>IFERROR(__xludf.DUMMYFUNCTION("""COMPUTED_VALUE"""),38776.99861111111)</f>
        <v>38776.99861</v>
      </c>
      <c r="E186" s="3">
        <f>IFERROR(__xludf.DUMMYFUNCTION("""COMPUTED_VALUE"""),3.491)</f>
        <v>3.491</v>
      </c>
    </row>
    <row r="187">
      <c r="D187" s="6">
        <f>IFERROR(__xludf.DUMMYFUNCTION("""COMPUTED_VALUE"""),38777.99861111111)</f>
        <v>38777.99861</v>
      </c>
      <c r="E187" s="3">
        <f>IFERROR(__xludf.DUMMYFUNCTION("""COMPUTED_VALUE"""),3.465)</f>
        <v>3.465</v>
      </c>
    </row>
    <row r="188">
      <c r="D188" s="6">
        <f>IFERROR(__xludf.DUMMYFUNCTION("""COMPUTED_VALUE"""),38778.99861111111)</f>
        <v>38778.99861</v>
      </c>
      <c r="E188" s="3">
        <f>IFERROR(__xludf.DUMMYFUNCTION("""COMPUTED_VALUE"""),3.4716)</f>
        <v>3.4716</v>
      </c>
    </row>
    <row r="189">
      <c r="D189" s="6">
        <f>IFERROR(__xludf.DUMMYFUNCTION("""COMPUTED_VALUE"""),38779.99861111111)</f>
        <v>38779.99861</v>
      </c>
      <c r="E189" s="3">
        <f>IFERROR(__xludf.DUMMYFUNCTION("""COMPUTED_VALUE"""),3.4703)</f>
        <v>3.4703</v>
      </c>
    </row>
    <row r="190">
      <c r="D190" s="6">
        <f>IFERROR(__xludf.DUMMYFUNCTION("""COMPUTED_VALUE"""),38781.99861111111)</f>
        <v>38781.99861</v>
      </c>
      <c r="E190" s="3">
        <f>IFERROR(__xludf.DUMMYFUNCTION("""COMPUTED_VALUE"""),3.4703)</f>
        <v>3.4703</v>
      </c>
    </row>
    <row r="191">
      <c r="D191" s="6">
        <f>IFERROR(__xludf.DUMMYFUNCTION("""COMPUTED_VALUE"""),38782.99861111111)</f>
        <v>38782.99861</v>
      </c>
      <c r="E191" s="3">
        <f>IFERROR(__xludf.DUMMYFUNCTION("""COMPUTED_VALUE"""),3.4728)</f>
        <v>3.4728</v>
      </c>
    </row>
    <row r="192">
      <c r="D192" s="6">
        <f>IFERROR(__xludf.DUMMYFUNCTION("""COMPUTED_VALUE"""),38783.99861111111)</f>
        <v>38783.99861</v>
      </c>
      <c r="E192" s="3">
        <f>IFERROR(__xludf.DUMMYFUNCTION("""COMPUTED_VALUE"""),3.4727)</f>
        <v>3.4727</v>
      </c>
    </row>
    <row r="193">
      <c r="D193" s="6">
        <f>IFERROR(__xludf.DUMMYFUNCTION("""COMPUTED_VALUE"""),38784.99861111111)</f>
        <v>38784.99861</v>
      </c>
      <c r="E193" s="3">
        <f>IFERROR(__xludf.DUMMYFUNCTION("""COMPUTED_VALUE"""),3.4804)</f>
        <v>3.4804</v>
      </c>
    </row>
    <row r="194">
      <c r="D194" s="6">
        <f>IFERROR(__xludf.DUMMYFUNCTION("""COMPUTED_VALUE"""),38785.99861111111)</f>
        <v>38785.99861</v>
      </c>
      <c r="E194" s="3">
        <f>IFERROR(__xludf.DUMMYFUNCTION("""COMPUTED_VALUE"""),3.4896)</f>
        <v>3.4896</v>
      </c>
    </row>
    <row r="195">
      <c r="D195" s="6">
        <f>IFERROR(__xludf.DUMMYFUNCTION("""COMPUTED_VALUE"""),38786.99861111111)</f>
        <v>38786.99861</v>
      </c>
      <c r="E195" s="3">
        <f>IFERROR(__xludf.DUMMYFUNCTION("""COMPUTED_VALUE"""),3.4988)</f>
        <v>3.4988</v>
      </c>
    </row>
    <row r="196">
      <c r="D196" s="6">
        <f>IFERROR(__xludf.DUMMYFUNCTION("""COMPUTED_VALUE"""),38788.99861111111)</f>
        <v>38788.99861</v>
      </c>
      <c r="E196" s="3">
        <f>IFERROR(__xludf.DUMMYFUNCTION("""COMPUTED_VALUE"""),3.4988)</f>
        <v>3.4988</v>
      </c>
    </row>
    <row r="197">
      <c r="D197" s="6">
        <f>IFERROR(__xludf.DUMMYFUNCTION("""COMPUTED_VALUE"""),38789.99861111111)</f>
        <v>38789.99861</v>
      </c>
      <c r="E197" s="3">
        <f>IFERROR(__xludf.DUMMYFUNCTION("""COMPUTED_VALUE"""),3.4957)</f>
        <v>3.4957</v>
      </c>
    </row>
    <row r="198">
      <c r="D198" s="6">
        <f>IFERROR(__xludf.DUMMYFUNCTION("""COMPUTED_VALUE"""),38790.99861111111)</f>
        <v>38790.99861</v>
      </c>
      <c r="E198" s="3">
        <f>IFERROR(__xludf.DUMMYFUNCTION("""COMPUTED_VALUE"""),3.5292)</f>
        <v>3.5292</v>
      </c>
    </row>
    <row r="199">
      <c r="D199" s="6">
        <f>IFERROR(__xludf.DUMMYFUNCTION("""COMPUTED_VALUE"""),38791.99861111111)</f>
        <v>38791.99861</v>
      </c>
      <c r="E199" s="3">
        <f>IFERROR(__xludf.DUMMYFUNCTION("""COMPUTED_VALUE"""),3.5333)</f>
        <v>3.5333</v>
      </c>
    </row>
    <row r="200">
      <c r="D200" s="6">
        <f>IFERROR(__xludf.DUMMYFUNCTION("""COMPUTED_VALUE"""),38792.99861111111)</f>
        <v>38792.99861</v>
      </c>
      <c r="E200" s="3">
        <f>IFERROR(__xludf.DUMMYFUNCTION("""COMPUTED_VALUE"""),3.5099)</f>
        <v>3.5099</v>
      </c>
    </row>
    <row r="201">
      <c r="D201" s="6">
        <f>IFERROR(__xludf.DUMMYFUNCTION("""COMPUTED_VALUE"""),38793.99861111111)</f>
        <v>38793.99861</v>
      </c>
      <c r="E201" s="3">
        <f>IFERROR(__xludf.DUMMYFUNCTION("""COMPUTED_VALUE"""),3.5066)</f>
        <v>3.5066</v>
      </c>
    </row>
    <row r="202">
      <c r="D202" s="6">
        <f>IFERROR(__xludf.DUMMYFUNCTION("""COMPUTED_VALUE"""),38795.99861111111)</f>
        <v>38795.99861</v>
      </c>
      <c r="E202" s="3">
        <f>IFERROR(__xludf.DUMMYFUNCTION("""COMPUTED_VALUE"""),3.5066)</f>
        <v>3.5066</v>
      </c>
    </row>
    <row r="203">
      <c r="D203" s="6">
        <f>IFERROR(__xludf.DUMMYFUNCTION("""COMPUTED_VALUE"""),38796.99861111111)</f>
        <v>38796.99861</v>
      </c>
      <c r="E203" s="3">
        <f>IFERROR(__xludf.DUMMYFUNCTION("""COMPUTED_VALUE"""),3.5087)</f>
        <v>3.5087</v>
      </c>
    </row>
    <row r="204">
      <c r="D204" s="6">
        <f>IFERROR(__xludf.DUMMYFUNCTION("""COMPUTED_VALUE"""),38797.99861111111)</f>
        <v>38797.99861</v>
      </c>
      <c r="E204" s="3">
        <f>IFERROR(__xludf.DUMMYFUNCTION("""COMPUTED_VALUE"""),3.5057)</f>
        <v>3.5057</v>
      </c>
    </row>
    <row r="205">
      <c r="D205" s="6">
        <f>IFERROR(__xludf.DUMMYFUNCTION("""COMPUTED_VALUE"""),38798.99861111111)</f>
        <v>38798.99861</v>
      </c>
      <c r="E205" s="3">
        <f>IFERROR(__xludf.DUMMYFUNCTION("""COMPUTED_VALUE"""),3.5069)</f>
        <v>3.5069</v>
      </c>
    </row>
    <row r="206">
      <c r="D206" s="6">
        <f>IFERROR(__xludf.DUMMYFUNCTION("""COMPUTED_VALUE"""),38799.99861111111)</f>
        <v>38799.99861</v>
      </c>
      <c r="E206" s="3">
        <f>IFERROR(__xludf.DUMMYFUNCTION("""COMPUTED_VALUE"""),3.5199)</f>
        <v>3.5199</v>
      </c>
    </row>
    <row r="207">
      <c r="D207" s="6">
        <f>IFERROR(__xludf.DUMMYFUNCTION("""COMPUTED_VALUE"""),38800.99861111111)</f>
        <v>38800.99861</v>
      </c>
      <c r="E207" s="3">
        <f>IFERROR(__xludf.DUMMYFUNCTION("""COMPUTED_VALUE"""),3.5006)</f>
        <v>3.5006</v>
      </c>
    </row>
    <row r="208">
      <c r="D208" s="6">
        <f>IFERROR(__xludf.DUMMYFUNCTION("""COMPUTED_VALUE"""),38802.99861111111)</f>
        <v>38802.99861</v>
      </c>
      <c r="E208" s="3">
        <f>IFERROR(__xludf.DUMMYFUNCTION("""COMPUTED_VALUE"""),3.498)</f>
        <v>3.498</v>
      </c>
    </row>
    <row r="209">
      <c r="D209" s="6">
        <f>IFERROR(__xludf.DUMMYFUNCTION("""COMPUTED_VALUE"""),38803.99861111111)</f>
        <v>38803.99861</v>
      </c>
      <c r="E209" s="3">
        <f>IFERROR(__xludf.DUMMYFUNCTION("""COMPUTED_VALUE"""),3.498)</f>
        <v>3.498</v>
      </c>
    </row>
    <row r="210">
      <c r="D210" s="6">
        <f>IFERROR(__xludf.DUMMYFUNCTION("""COMPUTED_VALUE"""),38804.99861111111)</f>
        <v>38804.99861</v>
      </c>
      <c r="E210" s="3">
        <f>IFERROR(__xludf.DUMMYFUNCTION("""COMPUTED_VALUE"""),3.5153)</f>
        <v>3.5153</v>
      </c>
    </row>
    <row r="211">
      <c r="D211" s="6">
        <f>IFERROR(__xludf.DUMMYFUNCTION("""COMPUTED_VALUE"""),38805.99861111111)</f>
        <v>38805.99861</v>
      </c>
      <c r="E211" s="3">
        <f>IFERROR(__xludf.DUMMYFUNCTION("""COMPUTED_VALUE"""),3.5158)</f>
        <v>3.5158</v>
      </c>
    </row>
    <row r="212">
      <c r="D212" s="6">
        <f>IFERROR(__xludf.DUMMYFUNCTION("""COMPUTED_VALUE"""),38806.99861111111)</f>
        <v>38806.99861</v>
      </c>
      <c r="E212" s="3">
        <f>IFERROR(__xludf.DUMMYFUNCTION("""COMPUTED_VALUE"""),3.522)</f>
        <v>3.522</v>
      </c>
    </row>
    <row r="213">
      <c r="D213" s="6">
        <f>IFERROR(__xludf.DUMMYFUNCTION("""COMPUTED_VALUE"""),38807.99861111111)</f>
        <v>38807.99861</v>
      </c>
      <c r="E213" s="3">
        <f>IFERROR(__xludf.DUMMYFUNCTION("""COMPUTED_VALUE"""),3.5107)</f>
        <v>3.5107</v>
      </c>
    </row>
    <row r="214">
      <c r="D214" s="6">
        <f>IFERROR(__xludf.DUMMYFUNCTION("""COMPUTED_VALUE"""),38809.99861111111)</f>
        <v>38809.99861</v>
      </c>
      <c r="E214" s="3">
        <f>IFERROR(__xludf.DUMMYFUNCTION("""COMPUTED_VALUE"""),3.5107)</f>
        <v>3.5107</v>
      </c>
    </row>
    <row r="215">
      <c r="D215" s="6">
        <f>IFERROR(__xludf.DUMMYFUNCTION("""COMPUTED_VALUE"""),38810.99861111111)</f>
        <v>38810.99861</v>
      </c>
      <c r="E215" s="3">
        <f>IFERROR(__xludf.DUMMYFUNCTION("""COMPUTED_VALUE"""),3.5065)</f>
        <v>3.5065</v>
      </c>
    </row>
    <row r="216">
      <c r="D216" s="6">
        <f>IFERROR(__xludf.DUMMYFUNCTION("""COMPUTED_VALUE"""),38811.99861111111)</f>
        <v>38811.99861</v>
      </c>
      <c r="E216" s="3">
        <f>IFERROR(__xludf.DUMMYFUNCTION("""COMPUTED_VALUE"""),3.5052)</f>
        <v>3.5052</v>
      </c>
    </row>
    <row r="217">
      <c r="D217" s="6">
        <f>IFERROR(__xludf.DUMMYFUNCTION("""COMPUTED_VALUE"""),38812.99861111111)</f>
        <v>38812.99861</v>
      </c>
      <c r="E217" s="3">
        <f>IFERROR(__xludf.DUMMYFUNCTION("""COMPUTED_VALUE"""),3.519)</f>
        <v>3.519</v>
      </c>
    </row>
    <row r="218">
      <c r="D218" s="6">
        <f>IFERROR(__xludf.DUMMYFUNCTION("""COMPUTED_VALUE"""),38813.99861111111)</f>
        <v>38813.99861</v>
      </c>
      <c r="E218" s="3">
        <f>IFERROR(__xludf.DUMMYFUNCTION("""COMPUTED_VALUE"""),3.5139)</f>
        <v>3.5139</v>
      </c>
    </row>
    <row r="219">
      <c r="D219" s="6">
        <f>IFERROR(__xludf.DUMMYFUNCTION("""COMPUTED_VALUE"""),38814.99861111111)</f>
        <v>38814.99861</v>
      </c>
      <c r="E219" s="3">
        <f>IFERROR(__xludf.DUMMYFUNCTION("""COMPUTED_VALUE"""),3.4984)</f>
        <v>3.4984</v>
      </c>
    </row>
    <row r="220">
      <c r="D220" s="6">
        <f>IFERROR(__xludf.DUMMYFUNCTION("""COMPUTED_VALUE"""),38816.99861111111)</f>
        <v>38816.99861</v>
      </c>
      <c r="E220" s="3">
        <f>IFERROR(__xludf.DUMMYFUNCTION("""COMPUTED_VALUE"""),3.4984)</f>
        <v>3.4984</v>
      </c>
    </row>
    <row r="221">
      <c r="D221" s="6">
        <f>IFERROR(__xludf.DUMMYFUNCTION("""COMPUTED_VALUE"""),38817.99861111111)</f>
        <v>38817.99861</v>
      </c>
      <c r="E221" s="3">
        <f>IFERROR(__xludf.DUMMYFUNCTION("""COMPUTED_VALUE"""),3.4894)</f>
        <v>3.4894</v>
      </c>
    </row>
    <row r="222">
      <c r="D222" s="6">
        <f>IFERROR(__xludf.DUMMYFUNCTION("""COMPUTED_VALUE"""),38818.99861111111)</f>
        <v>38818.99861</v>
      </c>
      <c r="E222" s="3">
        <f>IFERROR(__xludf.DUMMYFUNCTION("""COMPUTED_VALUE"""),3.4878)</f>
        <v>3.4878</v>
      </c>
    </row>
    <row r="223">
      <c r="D223" s="6">
        <f>IFERROR(__xludf.DUMMYFUNCTION("""COMPUTED_VALUE"""),38819.99861111111)</f>
        <v>38819.99861</v>
      </c>
      <c r="E223" s="3">
        <f>IFERROR(__xludf.DUMMYFUNCTION("""COMPUTED_VALUE"""),3.483)</f>
        <v>3.483</v>
      </c>
    </row>
    <row r="224">
      <c r="D224" s="6">
        <f>IFERROR(__xludf.DUMMYFUNCTION("""COMPUTED_VALUE"""),38820.99861111111)</f>
        <v>38820.99861</v>
      </c>
      <c r="E224" s="3">
        <f>IFERROR(__xludf.DUMMYFUNCTION("""COMPUTED_VALUE"""),3.479)</f>
        <v>3.479</v>
      </c>
    </row>
    <row r="225">
      <c r="D225" s="6">
        <f>IFERROR(__xludf.DUMMYFUNCTION("""COMPUTED_VALUE"""),38821.99861111111)</f>
        <v>38821.99861</v>
      </c>
      <c r="E225" s="3">
        <f>IFERROR(__xludf.DUMMYFUNCTION("""COMPUTED_VALUE"""),3.479)</f>
        <v>3.479</v>
      </c>
    </row>
    <row r="226">
      <c r="D226" s="6">
        <f>IFERROR(__xludf.DUMMYFUNCTION("""COMPUTED_VALUE"""),38823.99861111111)</f>
        <v>38823.99861</v>
      </c>
      <c r="E226" s="3">
        <f>IFERROR(__xludf.DUMMYFUNCTION("""COMPUTED_VALUE"""),3.479)</f>
        <v>3.479</v>
      </c>
    </row>
    <row r="227">
      <c r="D227" s="6">
        <f>IFERROR(__xludf.DUMMYFUNCTION("""COMPUTED_VALUE"""),38824.99861111111)</f>
        <v>38824.99861</v>
      </c>
      <c r="E227" s="3">
        <f>IFERROR(__xludf.DUMMYFUNCTION("""COMPUTED_VALUE"""),3.477)</f>
        <v>3.477</v>
      </c>
    </row>
    <row r="228">
      <c r="D228" s="6">
        <f>IFERROR(__xludf.DUMMYFUNCTION("""COMPUTED_VALUE"""),38825.99861111111)</f>
        <v>38825.99861</v>
      </c>
      <c r="E228" s="3">
        <f>IFERROR(__xludf.DUMMYFUNCTION("""COMPUTED_VALUE"""),3.485)</f>
        <v>3.485</v>
      </c>
    </row>
    <row r="229">
      <c r="D229" s="6">
        <f>IFERROR(__xludf.DUMMYFUNCTION("""COMPUTED_VALUE"""),38826.99861111111)</f>
        <v>38826.99861</v>
      </c>
      <c r="E229" s="3">
        <f>IFERROR(__xludf.DUMMYFUNCTION("""COMPUTED_VALUE"""),3.477)</f>
        <v>3.477</v>
      </c>
    </row>
    <row r="230">
      <c r="D230" s="6">
        <f>IFERROR(__xludf.DUMMYFUNCTION("""COMPUTED_VALUE"""),38827.99861111111)</f>
        <v>38827.99861</v>
      </c>
      <c r="E230" s="3">
        <f>IFERROR(__xludf.DUMMYFUNCTION("""COMPUTED_VALUE"""),3.4742)</f>
        <v>3.4742</v>
      </c>
    </row>
    <row r="231">
      <c r="D231" s="6">
        <f>IFERROR(__xludf.DUMMYFUNCTION("""COMPUTED_VALUE"""),38828.99861111111)</f>
        <v>38828.99861</v>
      </c>
      <c r="E231" s="3">
        <f>IFERROR(__xludf.DUMMYFUNCTION("""COMPUTED_VALUE"""),3.4575)</f>
        <v>3.4575</v>
      </c>
    </row>
    <row r="232">
      <c r="D232" s="6">
        <f>IFERROR(__xludf.DUMMYFUNCTION("""COMPUTED_VALUE"""),38830.99861111111)</f>
        <v>38830.99861</v>
      </c>
      <c r="E232" s="3">
        <f>IFERROR(__xludf.DUMMYFUNCTION("""COMPUTED_VALUE"""),3.4534)</f>
        <v>3.4534</v>
      </c>
    </row>
    <row r="233">
      <c r="D233" s="6">
        <f>IFERROR(__xludf.DUMMYFUNCTION("""COMPUTED_VALUE"""),38831.99861111111)</f>
        <v>38831.99861</v>
      </c>
      <c r="E233" s="3">
        <f>IFERROR(__xludf.DUMMYFUNCTION("""COMPUTED_VALUE"""),3.4534)</f>
        <v>3.4534</v>
      </c>
    </row>
    <row r="234">
      <c r="D234" s="6">
        <f>IFERROR(__xludf.DUMMYFUNCTION("""COMPUTED_VALUE"""),38832.99861111111)</f>
        <v>38832.99861</v>
      </c>
      <c r="E234" s="3">
        <f>IFERROR(__xludf.DUMMYFUNCTION("""COMPUTED_VALUE"""),3.4519)</f>
        <v>3.4519</v>
      </c>
    </row>
    <row r="235">
      <c r="D235" s="6">
        <f>IFERROR(__xludf.DUMMYFUNCTION("""COMPUTED_VALUE"""),38833.99861111111)</f>
        <v>38833.99861</v>
      </c>
      <c r="E235" s="3">
        <f>IFERROR(__xludf.DUMMYFUNCTION("""COMPUTED_VALUE"""),3.4569)</f>
        <v>3.4569</v>
      </c>
    </row>
    <row r="236">
      <c r="D236" s="6">
        <f>IFERROR(__xludf.DUMMYFUNCTION("""COMPUTED_VALUE"""),38834.99861111111)</f>
        <v>38834.99861</v>
      </c>
      <c r="E236" s="3">
        <f>IFERROR(__xludf.DUMMYFUNCTION("""COMPUTED_VALUE"""),3.4677)</f>
        <v>3.4677</v>
      </c>
    </row>
    <row r="237">
      <c r="D237" s="6">
        <f>IFERROR(__xludf.DUMMYFUNCTION("""COMPUTED_VALUE"""),38835.99861111111)</f>
        <v>38835.99861</v>
      </c>
      <c r="E237" s="3">
        <f>IFERROR(__xludf.DUMMYFUNCTION("""COMPUTED_VALUE"""),3.4682)</f>
        <v>3.4682</v>
      </c>
    </row>
    <row r="238">
      <c r="D238" s="6">
        <f>IFERROR(__xludf.DUMMYFUNCTION("""COMPUTED_VALUE"""),38837.99861111111)</f>
        <v>38837.99861</v>
      </c>
      <c r="E238" s="3">
        <f>IFERROR(__xludf.DUMMYFUNCTION("""COMPUTED_VALUE"""),3.4682)</f>
        <v>3.4682</v>
      </c>
    </row>
    <row r="239">
      <c r="D239" s="6">
        <f>IFERROR(__xludf.DUMMYFUNCTION("""COMPUTED_VALUE"""),38838.99861111111)</f>
        <v>38838.99861</v>
      </c>
      <c r="E239" s="3">
        <f>IFERROR(__xludf.DUMMYFUNCTION("""COMPUTED_VALUE"""),3.4682)</f>
        <v>3.4682</v>
      </c>
    </row>
    <row r="240">
      <c r="D240" s="6">
        <f>IFERROR(__xludf.DUMMYFUNCTION("""COMPUTED_VALUE"""),38839.99861111111)</f>
        <v>38839.99861</v>
      </c>
      <c r="E240" s="3">
        <f>IFERROR(__xludf.DUMMYFUNCTION("""COMPUTED_VALUE"""),3.4692)</f>
        <v>3.4692</v>
      </c>
    </row>
    <row r="241">
      <c r="D241" s="6">
        <f>IFERROR(__xludf.DUMMYFUNCTION("""COMPUTED_VALUE"""),38840.99861111111)</f>
        <v>38840.99861</v>
      </c>
      <c r="E241" s="3">
        <f>IFERROR(__xludf.DUMMYFUNCTION("""COMPUTED_VALUE"""),3.4562)</f>
        <v>3.4562</v>
      </c>
    </row>
    <row r="242">
      <c r="D242" s="6">
        <f>IFERROR(__xludf.DUMMYFUNCTION("""COMPUTED_VALUE"""),38841.99861111111)</f>
        <v>38841.99861</v>
      </c>
      <c r="E242" s="3">
        <f>IFERROR(__xludf.DUMMYFUNCTION("""COMPUTED_VALUE"""),3.458)</f>
        <v>3.458</v>
      </c>
    </row>
    <row r="243">
      <c r="D243" s="6">
        <f>IFERROR(__xludf.DUMMYFUNCTION("""COMPUTED_VALUE"""),38842.99861111111)</f>
        <v>38842.99861</v>
      </c>
      <c r="E243" s="3">
        <f>IFERROR(__xludf.DUMMYFUNCTION("""COMPUTED_VALUE"""),3.4586)</f>
        <v>3.4586</v>
      </c>
    </row>
    <row r="244">
      <c r="D244" s="6">
        <f>IFERROR(__xludf.DUMMYFUNCTION("""COMPUTED_VALUE"""),38845.99861111111)</f>
        <v>38845.99861</v>
      </c>
      <c r="E244" s="3">
        <f>IFERROR(__xludf.DUMMYFUNCTION("""COMPUTED_VALUE"""),3.4601)</f>
        <v>3.4601</v>
      </c>
    </row>
    <row r="245">
      <c r="D245" s="6">
        <f>IFERROR(__xludf.DUMMYFUNCTION("""COMPUTED_VALUE"""),38846.99861111111)</f>
        <v>38846.99861</v>
      </c>
      <c r="E245" s="3">
        <f>IFERROR(__xludf.DUMMYFUNCTION("""COMPUTED_VALUE"""),3.455)</f>
        <v>3.455</v>
      </c>
    </row>
    <row r="246">
      <c r="D246" s="6">
        <f>IFERROR(__xludf.DUMMYFUNCTION("""COMPUTED_VALUE"""),38847.99861111111)</f>
        <v>38847.99861</v>
      </c>
      <c r="E246" s="3">
        <f>IFERROR(__xludf.DUMMYFUNCTION("""COMPUTED_VALUE"""),3.4577)</f>
        <v>3.4577</v>
      </c>
    </row>
    <row r="247">
      <c r="D247" s="6">
        <f>IFERROR(__xludf.DUMMYFUNCTION("""COMPUTED_VALUE"""),38848.99861111111)</f>
        <v>38848.99861</v>
      </c>
      <c r="E247" s="3">
        <f>IFERROR(__xludf.DUMMYFUNCTION("""COMPUTED_VALUE"""),3.46)</f>
        <v>3.46</v>
      </c>
    </row>
    <row r="248">
      <c r="D248" s="6">
        <f>IFERROR(__xludf.DUMMYFUNCTION("""COMPUTED_VALUE"""),38849.99861111111)</f>
        <v>38849.99861</v>
      </c>
      <c r="E248" s="3">
        <f>IFERROR(__xludf.DUMMYFUNCTION("""COMPUTED_VALUE"""),3.4574)</f>
        <v>3.4574</v>
      </c>
    </row>
    <row r="249">
      <c r="D249" s="6">
        <f>IFERROR(__xludf.DUMMYFUNCTION("""COMPUTED_VALUE"""),38851.99861111111)</f>
        <v>38851.99861</v>
      </c>
      <c r="E249" s="3">
        <f>IFERROR(__xludf.DUMMYFUNCTION("""COMPUTED_VALUE"""),3.528)</f>
        <v>3.528</v>
      </c>
    </row>
    <row r="250">
      <c r="D250" s="6">
        <f>IFERROR(__xludf.DUMMYFUNCTION("""COMPUTED_VALUE"""),38852.99861111111)</f>
        <v>38852.99861</v>
      </c>
      <c r="E250" s="3">
        <f>IFERROR(__xludf.DUMMYFUNCTION("""COMPUTED_VALUE"""),3.528)</f>
        <v>3.528</v>
      </c>
    </row>
    <row r="251">
      <c r="D251" s="6">
        <f>IFERROR(__xludf.DUMMYFUNCTION("""COMPUTED_VALUE"""),38853.99861111111)</f>
        <v>38853.99861</v>
      </c>
      <c r="E251" s="3">
        <f>IFERROR(__xludf.DUMMYFUNCTION("""COMPUTED_VALUE"""),3.5468)</f>
        <v>3.5468</v>
      </c>
    </row>
    <row r="252">
      <c r="D252" s="6">
        <f>IFERROR(__xludf.DUMMYFUNCTION("""COMPUTED_VALUE"""),38854.99861111111)</f>
        <v>38854.99861</v>
      </c>
      <c r="E252" s="3">
        <f>IFERROR(__xludf.DUMMYFUNCTION("""COMPUTED_VALUE"""),3.5083)</f>
        <v>3.5083</v>
      </c>
    </row>
    <row r="253">
      <c r="D253" s="6">
        <f>IFERROR(__xludf.DUMMYFUNCTION("""COMPUTED_VALUE"""),38855.99861111111)</f>
        <v>38855.99861</v>
      </c>
      <c r="E253" s="3">
        <f>IFERROR(__xludf.DUMMYFUNCTION("""COMPUTED_VALUE"""),3.5074)</f>
        <v>3.5074</v>
      </c>
    </row>
    <row r="254">
      <c r="D254" s="6">
        <f>IFERROR(__xludf.DUMMYFUNCTION("""COMPUTED_VALUE"""),38856.99861111111)</f>
        <v>38856.99861</v>
      </c>
      <c r="E254" s="3">
        <f>IFERROR(__xludf.DUMMYFUNCTION("""COMPUTED_VALUE"""),3.5258)</f>
        <v>3.5258</v>
      </c>
    </row>
    <row r="255">
      <c r="D255" s="6">
        <f>IFERROR(__xludf.DUMMYFUNCTION("""COMPUTED_VALUE"""),38858.99861111111)</f>
        <v>38858.99861</v>
      </c>
      <c r="E255" s="3">
        <f>IFERROR(__xludf.DUMMYFUNCTION("""COMPUTED_VALUE"""),3.5258)</f>
        <v>3.5258</v>
      </c>
    </row>
    <row r="256">
      <c r="D256" s="6">
        <f>IFERROR(__xludf.DUMMYFUNCTION("""COMPUTED_VALUE"""),38859.99861111111)</f>
        <v>38859.99861</v>
      </c>
      <c r="E256" s="3">
        <f>IFERROR(__xludf.DUMMYFUNCTION("""COMPUTED_VALUE"""),3.5179)</f>
        <v>3.5179</v>
      </c>
    </row>
    <row r="257">
      <c r="D257" s="6">
        <f>IFERROR(__xludf.DUMMYFUNCTION("""COMPUTED_VALUE"""),38860.99861111111)</f>
        <v>38860.99861</v>
      </c>
      <c r="E257" s="3">
        <f>IFERROR(__xludf.DUMMYFUNCTION("""COMPUTED_VALUE"""),3.541)</f>
        <v>3.541</v>
      </c>
    </row>
    <row r="258">
      <c r="D258" s="6">
        <f>IFERROR(__xludf.DUMMYFUNCTION("""COMPUTED_VALUE"""),38861.99861111111)</f>
        <v>38861.99861</v>
      </c>
      <c r="E258" s="3">
        <f>IFERROR(__xludf.DUMMYFUNCTION("""COMPUTED_VALUE"""),3.5408)</f>
        <v>3.5408</v>
      </c>
    </row>
    <row r="259">
      <c r="D259" s="6">
        <f>IFERROR(__xludf.DUMMYFUNCTION("""COMPUTED_VALUE"""),38862.99861111111)</f>
        <v>38862.99861</v>
      </c>
      <c r="E259" s="3">
        <f>IFERROR(__xludf.DUMMYFUNCTION("""COMPUTED_VALUE"""),3.5408)</f>
        <v>3.5408</v>
      </c>
    </row>
    <row r="260">
      <c r="D260" s="6">
        <f>IFERROR(__xludf.DUMMYFUNCTION("""COMPUTED_VALUE"""),38863.99861111111)</f>
        <v>38863.99861</v>
      </c>
      <c r="E260" s="3">
        <f>IFERROR(__xludf.DUMMYFUNCTION("""COMPUTED_VALUE"""),3.5342)</f>
        <v>3.5342</v>
      </c>
    </row>
    <row r="261">
      <c r="D261" s="6">
        <f>IFERROR(__xludf.DUMMYFUNCTION("""COMPUTED_VALUE"""),38865.99861111111)</f>
        <v>38865.99861</v>
      </c>
      <c r="E261" s="3">
        <f>IFERROR(__xludf.DUMMYFUNCTION("""COMPUTED_VALUE"""),3.5099)</f>
        <v>3.5099</v>
      </c>
    </row>
    <row r="262">
      <c r="D262" s="6">
        <f>IFERROR(__xludf.DUMMYFUNCTION("""COMPUTED_VALUE"""),38866.99861111111)</f>
        <v>38866.99861</v>
      </c>
      <c r="E262" s="3">
        <f>IFERROR(__xludf.DUMMYFUNCTION("""COMPUTED_VALUE"""),3.5099)</f>
        <v>3.5099</v>
      </c>
    </row>
    <row r="263">
      <c r="D263" s="6">
        <f>IFERROR(__xludf.DUMMYFUNCTION("""COMPUTED_VALUE"""),38867.99861111111)</f>
        <v>38867.99861</v>
      </c>
      <c r="E263" s="3">
        <f>IFERROR(__xludf.DUMMYFUNCTION("""COMPUTED_VALUE"""),3.511)</f>
        <v>3.511</v>
      </c>
    </row>
    <row r="264">
      <c r="D264" s="6">
        <f>IFERROR(__xludf.DUMMYFUNCTION("""COMPUTED_VALUE"""),38868.99861111111)</f>
        <v>38868.99861</v>
      </c>
      <c r="E264" s="3">
        <f>IFERROR(__xludf.DUMMYFUNCTION("""COMPUTED_VALUE"""),3.5346)</f>
        <v>3.5346</v>
      </c>
    </row>
    <row r="265">
      <c r="D265" s="6">
        <f>IFERROR(__xludf.DUMMYFUNCTION("""COMPUTED_VALUE"""),38869.99861111111)</f>
        <v>38869.99861</v>
      </c>
      <c r="E265" s="3">
        <f>IFERROR(__xludf.DUMMYFUNCTION("""COMPUTED_VALUE"""),3.5306)</f>
        <v>3.5306</v>
      </c>
    </row>
    <row r="266">
      <c r="D266" s="6">
        <f>IFERROR(__xludf.DUMMYFUNCTION("""COMPUTED_VALUE"""),38870.99861111111)</f>
        <v>38870.99861</v>
      </c>
      <c r="E266" s="3">
        <f>IFERROR(__xludf.DUMMYFUNCTION("""COMPUTED_VALUE"""),3.523)</f>
        <v>3.523</v>
      </c>
    </row>
    <row r="267">
      <c r="D267" s="6">
        <f>IFERROR(__xludf.DUMMYFUNCTION("""COMPUTED_VALUE"""),38872.99861111111)</f>
        <v>38872.99861</v>
      </c>
      <c r="E267" s="3">
        <f>IFERROR(__xludf.DUMMYFUNCTION("""COMPUTED_VALUE"""),3.5199)</f>
        <v>3.5199</v>
      </c>
    </row>
    <row r="268">
      <c r="D268" s="6">
        <f>IFERROR(__xludf.DUMMYFUNCTION("""COMPUTED_VALUE"""),38873.99861111111)</f>
        <v>38873.99861</v>
      </c>
      <c r="E268" s="3">
        <f>IFERROR(__xludf.DUMMYFUNCTION("""COMPUTED_VALUE"""),3.5136)</f>
        <v>3.5136</v>
      </c>
    </row>
    <row r="269">
      <c r="D269" s="6">
        <f>IFERROR(__xludf.DUMMYFUNCTION("""COMPUTED_VALUE"""),38874.99861111111)</f>
        <v>38874.99861</v>
      </c>
      <c r="E269" s="3">
        <f>IFERROR(__xludf.DUMMYFUNCTION("""COMPUTED_VALUE"""),3.518)</f>
        <v>3.518</v>
      </c>
    </row>
    <row r="270">
      <c r="D270" s="6">
        <f>IFERROR(__xludf.DUMMYFUNCTION("""COMPUTED_VALUE"""),38875.99861111111)</f>
        <v>38875.99861</v>
      </c>
      <c r="E270" s="3">
        <f>IFERROR(__xludf.DUMMYFUNCTION("""COMPUTED_VALUE"""),3.5136)</f>
        <v>3.5136</v>
      </c>
    </row>
    <row r="271">
      <c r="D271" s="6">
        <f>IFERROR(__xludf.DUMMYFUNCTION("""COMPUTED_VALUE"""),38876.99861111111)</f>
        <v>38876.99861</v>
      </c>
      <c r="E271" s="3">
        <f>IFERROR(__xludf.DUMMYFUNCTION("""COMPUTED_VALUE"""),3.5093)</f>
        <v>3.5093</v>
      </c>
    </row>
    <row r="272">
      <c r="D272" s="6">
        <f>IFERROR(__xludf.DUMMYFUNCTION("""COMPUTED_VALUE"""),38877.99861111111)</f>
        <v>38877.99861</v>
      </c>
      <c r="E272" s="3">
        <f>IFERROR(__xludf.DUMMYFUNCTION("""COMPUTED_VALUE"""),3.5126)</f>
        <v>3.5126</v>
      </c>
    </row>
    <row r="273">
      <c r="D273" s="6">
        <f>IFERROR(__xludf.DUMMYFUNCTION("""COMPUTED_VALUE"""),38879.99861111111)</f>
        <v>38879.99861</v>
      </c>
      <c r="E273" s="3">
        <f>IFERROR(__xludf.DUMMYFUNCTION("""COMPUTED_VALUE"""),3.5126)</f>
        <v>3.5126</v>
      </c>
    </row>
    <row r="274">
      <c r="D274" s="6">
        <f>IFERROR(__xludf.DUMMYFUNCTION("""COMPUTED_VALUE"""),38880.99861111111)</f>
        <v>38880.99861</v>
      </c>
      <c r="E274" s="3">
        <f>IFERROR(__xludf.DUMMYFUNCTION("""COMPUTED_VALUE"""),3.5066)</f>
        <v>3.5066</v>
      </c>
    </row>
    <row r="275">
      <c r="D275" s="6">
        <f>IFERROR(__xludf.DUMMYFUNCTION("""COMPUTED_VALUE"""),38881.99861111111)</f>
        <v>38881.99861</v>
      </c>
      <c r="E275" s="3">
        <f>IFERROR(__xludf.DUMMYFUNCTION("""COMPUTED_VALUE"""),3.5191)</f>
        <v>3.5191</v>
      </c>
    </row>
    <row r="276">
      <c r="D276" s="6">
        <f>IFERROR(__xludf.DUMMYFUNCTION("""COMPUTED_VALUE"""),38882.99861111111)</f>
        <v>38882.99861</v>
      </c>
      <c r="E276" s="3">
        <f>IFERROR(__xludf.DUMMYFUNCTION("""COMPUTED_VALUE"""),3.5289)</f>
        <v>3.5289</v>
      </c>
    </row>
    <row r="277">
      <c r="D277" s="6">
        <f>IFERROR(__xludf.DUMMYFUNCTION("""COMPUTED_VALUE"""),38883.99861111111)</f>
        <v>38883.99861</v>
      </c>
      <c r="E277" s="3">
        <f>IFERROR(__xludf.DUMMYFUNCTION("""COMPUTED_VALUE"""),3.5175)</f>
        <v>3.5175</v>
      </c>
    </row>
    <row r="278">
      <c r="D278" s="6">
        <f>IFERROR(__xludf.DUMMYFUNCTION("""COMPUTED_VALUE"""),38884.99861111111)</f>
        <v>38884.99861</v>
      </c>
      <c r="E278" s="3">
        <f>IFERROR(__xludf.DUMMYFUNCTION("""COMPUTED_VALUE"""),3.5199)</f>
        <v>3.5199</v>
      </c>
    </row>
    <row r="279">
      <c r="D279" s="6">
        <f>IFERROR(__xludf.DUMMYFUNCTION("""COMPUTED_VALUE"""),38886.99861111111)</f>
        <v>38886.99861</v>
      </c>
      <c r="E279" s="3">
        <f>IFERROR(__xludf.DUMMYFUNCTION("""COMPUTED_VALUE"""),3.5193)</f>
        <v>3.5193</v>
      </c>
    </row>
    <row r="280">
      <c r="D280" s="6">
        <f>IFERROR(__xludf.DUMMYFUNCTION("""COMPUTED_VALUE"""),38887.99861111111)</f>
        <v>38887.99861</v>
      </c>
      <c r="E280" s="3">
        <f>IFERROR(__xludf.DUMMYFUNCTION("""COMPUTED_VALUE"""),3.5193)</f>
        <v>3.5193</v>
      </c>
    </row>
    <row r="281">
      <c r="D281" s="6">
        <f>IFERROR(__xludf.DUMMYFUNCTION("""COMPUTED_VALUE"""),38888.99861111111)</f>
        <v>38888.99861</v>
      </c>
      <c r="E281" s="3">
        <f>IFERROR(__xludf.DUMMYFUNCTION("""COMPUTED_VALUE"""),3.5185)</f>
        <v>3.5185</v>
      </c>
    </row>
    <row r="282">
      <c r="D282" s="6">
        <f>IFERROR(__xludf.DUMMYFUNCTION("""COMPUTED_VALUE"""),38889.99861111111)</f>
        <v>38889.99861</v>
      </c>
      <c r="E282" s="3">
        <f>IFERROR(__xludf.DUMMYFUNCTION("""COMPUTED_VALUE"""),3.5771)</f>
        <v>3.5771</v>
      </c>
    </row>
    <row r="283">
      <c r="D283" s="6">
        <f>IFERROR(__xludf.DUMMYFUNCTION("""COMPUTED_VALUE"""),38890.99861111111)</f>
        <v>38890.99861</v>
      </c>
      <c r="E283" s="3">
        <f>IFERROR(__xludf.DUMMYFUNCTION("""COMPUTED_VALUE"""),3.588)</f>
        <v>3.588</v>
      </c>
    </row>
    <row r="284">
      <c r="D284" s="6">
        <f>IFERROR(__xludf.DUMMYFUNCTION("""COMPUTED_VALUE"""),38891.99861111111)</f>
        <v>38891.99861</v>
      </c>
      <c r="E284" s="3">
        <f>IFERROR(__xludf.DUMMYFUNCTION("""COMPUTED_VALUE"""),3.6046)</f>
        <v>3.6046</v>
      </c>
    </row>
    <row r="285">
      <c r="D285" s="6">
        <f>IFERROR(__xludf.DUMMYFUNCTION("""COMPUTED_VALUE"""),38893.99861111111)</f>
        <v>38893.99861</v>
      </c>
      <c r="E285" s="3">
        <f>IFERROR(__xludf.DUMMYFUNCTION("""COMPUTED_VALUE"""),3.6046)</f>
        <v>3.6046</v>
      </c>
    </row>
    <row r="286">
      <c r="D286" s="6">
        <f>IFERROR(__xludf.DUMMYFUNCTION("""COMPUTED_VALUE"""),38894.99861111111)</f>
        <v>38894.99861</v>
      </c>
      <c r="E286" s="3">
        <f>IFERROR(__xludf.DUMMYFUNCTION("""COMPUTED_VALUE"""),3.6177)</f>
        <v>3.6177</v>
      </c>
    </row>
    <row r="287">
      <c r="D287" s="6">
        <f>IFERROR(__xludf.DUMMYFUNCTION("""COMPUTED_VALUE"""),38895.99861111111)</f>
        <v>38895.99861</v>
      </c>
      <c r="E287" s="3">
        <f>IFERROR(__xludf.DUMMYFUNCTION("""COMPUTED_VALUE"""),3.6144)</f>
        <v>3.6144</v>
      </c>
    </row>
    <row r="288">
      <c r="D288" s="6">
        <f>IFERROR(__xludf.DUMMYFUNCTION("""COMPUTED_VALUE"""),38896.99861111111)</f>
        <v>38896.99861</v>
      </c>
      <c r="E288" s="3">
        <f>IFERROR(__xludf.DUMMYFUNCTION("""COMPUTED_VALUE"""),3.5919)</f>
        <v>3.5919</v>
      </c>
    </row>
    <row r="289">
      <c r="D289" s="6">
        <f>IFERROR(__xludf.DUMMYFUNCTION("""COMPUTED_VALUE"""),38897.99861111111)</f>
        <v>38897.99861</v>
      </c>
      <c r="E289" s="3">
        <f>IFERROR(__xludf.DUMMYFUNCTION("""COMPUTED_VALUE"""),3.5795)</f>
        <v>3.5795</v>
      </c>
    </row>
    <row r="290">
      <c r="D290" s="6">
        <f>IFERROR(__xludf.DUMMYFUNCTION("""COMPUTED_VALUE"""),38898.99861111111)</f>
        <v>38898.99861</v>
      </c>
      <c r="E290" s="3">
        <f>IFERROR(__xludf.DUMMYFUNCTION("""COMPUTED_VALUE"""),3.581)</f>
        <v>3.581</v>
      </c>
    </row>
    <row r="291">
      <c r="D291" s="6">
        <f>IFERROR(__xludf.DUMMYFUNCTION("""COMPUTED_VALUE"""),38900.99861111111)</f>
        <v>38900.99861</v>
      </c>
      <c r="E291" s="3">
        <f>IFERROR(__xludf.DUMMYFUNCTION("""COMPUTED_VALUE"""),3.5857)</f>
        <v>3.5857</v>
      </c>
    </row>
    <row r="292">
      <c r="D292" s="6">
        <f>IFERROR(__xludf.DUMMYFUNCTION("""COMPUTED_VALUE"""),38901.99861111111)</f>
        <v>38901.99861</v>
      </c>
      <c r="E292" s="3">
        <f>IFERROR(__xludf.DUMMYFUNCTION("""COMPUTED_VALUE"""),3.5748)</f>
        <v>3.5748</v>
      </c>
    </row>
    <row r="293">
      <c r="D293" s="6">
        <f>IFERROR(__xludf.DUMMYFUNCTION("""COMPUTED_VALUE"""),38902.99861111111)</f>
        <v>38902.99861</v>
      </c>
      <c r="E293" s="3">
        <f>IFERROR(__xludf.DUMMYFUNCTION("""COMPUTED_VALUE"""),3.5574)</f>
        <v>3.5574</v>
      </c>
    </row>
    <row r="294">
      <c r="D294" s="6">
        <f>IFERROR(__xludf.DUMMYFUNCTION("""COMPUTED_VALUE"""),38903.99861111111)</f>
        <v>38903.99861</v>
      </c>
      <c r="E294" s="3">
        <f>IFERROR(__xludf.DUMMYFUNCTION("""COMPUTED_VALUE"""),3.552)</f>
        <v>3.552</v>
      </c>
    </row>
    <row r="295">
      <c r="D295" s="6">
        <f>IFERROR(__xludf.DUMMYFUNCTION("""COMPUTED_VALUE"""),38904.99861111111)</f>
        <v>38904.99861</v>
      </c>
      <c r="E295" s="3">
        <f>IFERROR(__xludf.DUMMYFUNCTION("""COMPUTED_VALUE"""),3.576)</f>
        <v>3.576</v>
      </c>
    </row>
    <row r="296">
      <c r="D296" s="6">
        <f>IFERROR(__xludf.DUMMYFUNCTION("""COMPUTED_VALUE"""),38905.99861111111)</f>
        <v>38905.99861</v>
      </c>
      <c r="E296" s="3">
        <f>IFERROR(__xludf.DUMMYFUNCTION("""COMPUTED_VALUE"""),3.5857)</f>
        <v>3.5857</v>
      </c>
    </row>
    <row r="297">
      <c r="D297" s="6">
        <f>IFERROR(__xludf.DUMMYFUNCTION("""COMPUTED_VALUE"""),38907.99861111111)</f>
        <v>38907.99861</v>
      </c>
      <c r="E297" s="3">
        <f>IFERROR(__xludf.DUMMYFUNCTION("""COMPUTED_VALUE"""),3.5707)</f>
        <v>3.5707</v>
      </c>
    </row>
    <row r="298">
      <c r="D298" s="6">
        <f>IFERROR(__xludf.DUMMYFUNCTION("""COMPUTED_VALUE"""),38908.99861111111)</f>
        <v>38908.99861</v>
      </c>
      <c r="E298" s="3">
        <f>IFERROR(__xludf.DUMMYFUNCTION("""COMPUTED_VALUE"""),3.5761)</f>
        <v>3.5761</v>
      </c>
    </row>
    <row r="299">
      <c r="D299" s="6">
        <f>IFERROR(__xludf.DUMMYFUNCTION("""COMPUTED_VALUE"""),38909.99861111111)</f>
        <v>38909.99861</v>
      </c>
      <c r="E299" s="3">
        <f>IFERROR(__xludf.DUMMYFUNCTION("""COMPUTED_VALUE"""),3.58)</f>
        <v>3.58</v>
      </c>
    </row>
    <row r="300">
      <c r="D300" s="6">
        <f>IFERROR(__xludf.DUMMYFUNCTION("""COMPUTED_VALUE"""),38910.99861111111)</f>
        <v>38910.99861</v>
      </c>
      <c r="E300" s="3">
        <f>IFERROR(__xludf.DUMMYFUNCTION("""COMPUTED_VALUE"""),3.5666)</f>
        <v>3.5666</v>
      </c>
    </row>
    <row r="301">
      <c r="D301" s="6">
        <f>IFERROR(__xludf.DUMMYFUNCTION("""COMPUTED_VALUE"""),38911.99861111111)</f>
        <v>38911.99861</v>
      </c>
      <c r="E301" s="3">
        <f>IFERROR(__xludf.DUMMYFUNCTION("""COMPUTED_VALUE"""),3.5671)</f>
        <v>3.5671</v>
      </c>
    </row>
    <row r="302">
      <c r="D302" s="6">
        <f>IFERROR(__xludf.DUMMYFUNCTION("""COMPUTED_VALUE"""),38912.99861111111)</f>
        <v>38912.99861</v>
      </c>
      <c r="E302" s="3">
        <f>IFERROR(__xludf.DUMMYFUNCTION("""COMPUTED_VALUE"""),3.5923)</f>
        <v>3.5923</v>
      </c>
    </row>
    <row r="303">
      <c r="D303" s="6">
        <f>IFERROR(__xludf.DUMMYFUNCTION("""COMPUTED_VALUE"""),38914.99861111111)</f>
        <v>38914.99861</v>
      </c>
      <c r="E303" s="3">
        <f>IFERROR(__xludf.DUMMYFUNCTION("""COMPUTED_VALUE"""),3.5846)</f>
        <v>3.5846</v>
      </c>
    </row>
    <row r="304">
      <c r="D304" s="6">
        <f>IFERROR(__xludf.DUMMYFUNCTION("""COMPUTED_VALUE"""),38915.99861111111)</f>
        <v>38915.99861</v>
      </c>
      <c r="E304" s="3">
        <f>IFERROR(__xludf.DUMMYFUNCTION("""COMPUTED_VALUE"""),3.5846)</f>
        <v>3.5846</v>
      </c>
    </row>
    <row r="305">
      <c r="D305" s="6">
        <f>IFERROR(__xludf.DUMMYFUNCTION("""COMPUTED_VALUE"""),38916.99861111111)</f>
        <v>38916.99861</v>
      </c>
      <c r="E305" s="3">
        <f>IFERROR(__xludf.DUMMYFUNCTION("""COMPUTED_VALUE"""),3.5913)</f>
        <v>3.5913</v>
      </c>
    </row>
    <row r="306">
      <c r="D306" s="6">
        <f>IFERROR(__xludf.DUMMYFUNCTION("""COMPUTED_VALUE"""),38917.99861111111)</f>
        <v>38917.99861</v>
      </c>
      <c r="E306" s="3">
        <f>IFERROR(__xludf.DUMMYFUNCTION("""COMPUTED_VALUE"""),3.5894)</f>
        <v>3.5894</v>
      </c>
    </row>
    <row r="307">
      <c r="D307" s="6">
        <f>IFERROR(__xludf.DUMMYFUNCTION("""COMPUTED_VALUE"""),38918.99861111111)</f>
        <v>38918.99861</v>
      </c>
      <c r="E307" s="3">
        <f>IFERROR(__xludf.DUMMYFUNCTION("""COMPUTED_VALUE"""),3.5857)</f>
        <v>3.5857</v>
      </c>
    </row>
    <row r="308">
      <c r="D308" s="6">
        <f>IFERROR(__xludf.DUMMYFUNCTION("""COMPUTED_VALUE"""),38919.99861111111)</f>
        <v>38919.99861</v>
      </c>
      <c r="E308" s="3">
        <f>IFERROR(__xludf.DUMMYFUNCTION("""COMPUTED_VALUE"""),3.5569)</f>
        <v>3.5569</v>
      </c>
    </row>
    <row r="309">
      <c r="D309" s="6">
        <f>IFERROR(__xludf.DUMMYFUNCTION("""COMPUTED_VALUE"""),38922.99861111111)</f>
        <v>38922.99861</v>
      </c>
      <c r="E309" s="3">
        <f>IFERROR(__xludf.DUMMYFUNCTION("""COMPUTED_VALUE"""),3.5746)</f>
        <v>3.5746</v>
      </c>
    </row>
    <row r="310">
      <c r="D310" s="6">
        <f>IFERROR(__xludf.DUMMYFUNCTION("""COMPUTED_VALUE"""),38923.99861111111)</f>
        <v>38923.99861</v>
      </c>
      <c r="E310" s="3">
        <f>IFERROR(__xludf.DUMMYFUNCTION("""COMPUTED_VALUE"""),3.5551)</f>
        <v>3.5551</v>
      </c>
    </row>
    <row r="311">
      <c r="D311" s="6">
        <f>IFERROR(__xludf.DUMMYFUNCTION("""COMPUTED_VALUE"""),38924.99861111111)</f>
        <v>38924.99861</v>
      </c>
      <c r="E311" s="3">
        <f>IFERROR(__xludf.DUMMYFUNCTION("""COMPUTED_VALUE"""),3.544)</f>
        <v>3.544</v>
      </c>
    </row>
    <row r="312">
      <c r="D312" s="6">
        <f>IFERROR(__xludf.DUMMYFUNCTION("""COMPUTED_VALUE"""),38925.99861111111)</f>
        <v>38925.99861</v>
      </c>
      <c r="E312" s="3">
        <f>IFERROR(__xludf.DUMMYFUNCTION("""COMPUTED_VALUE"""),3.5377)</f>
        <v>3.5377</v>
      </c>
    </row>
    <row r="313">
      <c r="D313" s="6">
        <f>IFERROR(__xludf.DUMMYFUNCTION("""COMPUTED_VALUE"""),38926.99861111111)</f>
        <v>38926.99861</v>
      </c>
      <c r="E313" s="3">
        <f>IFERROR(__xludf.DUMMYFUNCTION("""COMPUTED_VALUE"""),3.5462)</f>
        <v>3.5462</v>
      </c>
    </row>
    <row r="314">
      <c r="D314" s="6">
        <f>IFERROR(__xludf.DUMMYFUNCTION("""COMPUTED_VALUE"""),38928.99861111111)</f>
        <v>38928.99861</v>
      </c>
      <c r="E314" s="3">
        <f>IFERROR(__xludf.DUMMYFUNCTION("""COMPUTED_VALUE"""),3.5462)</f>
        <v>3.5462</v>
      </c>
    </row>
    <row r="315">
      <c r="D315" s="6">
        <f>IFERROR(__xludf.DUMMYFUNCTION("""COMPUTED_VALUE"""),38929.99861111111)</f>
        <v>38929.99861</v>
      </c>
      <c r="E315" s="3">
        <f>IFERROR(__xludf.DUMMYFUNCTION("""COMPUTED_VALUE"""),3.5418)</f>
        <v>3.5418</v>
      </c>
    </row>
    <row r="316">
      <c r="D316" s="6">
        <f>IFERROR(__xludf.DUMMYFUNCTION("""COMPUTED_VALUE"""),38930.99861111111)</f>
        <v>38930.99861</v>
      </c>
      <c r="E316" s="3">
        <f>IFERROR(__xludf.DUMMYFUNCTION("""COMPUTED_VALUE"""),3.5386)</f>
        <v>3.5386</v>
      </c>
    </row>
    <row r="317">
      <c r="D317" s="6">
        <f>IFERROR(__xludf.DUMMYFUNCTION("""COMPUTED_VALUE"""),38931.99861111111)</f>
        <v>38931.99861</v>
      </c>
      <c r="E317" s="3">
        <f>IFERROR(__xludf.DUMMYFUNCTION("""COMPUTED_VALUE"""),3.5352)</f>
        <v>3.5352</v>
      </c>
    </row>
    <row r="318">
      <c r="D318" s="6">
        <f>IFERROR(__xludf.DUMMYFUNCTION("""COMPUTED_VALUE"""),38932.99861111111)</f>
        <v>38932.99861</v>
      </c>
      <c r="E318" s="3">
        <f>IFERROR(__xludf.DUMMYFUNCTION("""COMPUTED_VALUE"""),3.5339)</f>
        <v>3.5339</v>
      </c>
    </row>
    <row r="319">
      <c r="D319" s="6">
        <f>IFERROR(__xludf.DUMMYFUNCTION("""COMPUTED_VALUE"""),38933.99861111111)</f>
        <v>38933.99861</v>
      </c>
      <c r="E319" s="3">
        <f>IFERROR(__xludf.DUMMYFUNCTION("""COMPUTED_VALUE"""),3.5178)</f>
        <v>3.5178</v>
      </c>
    </row>
    <row r="320">
      <c r="D320" s="6">
        <f>IFERROR(__xludf.DUMMYFUNCTION("""COMPUTED_VALUE"""),38936.99861111111)</f>
        <v>38936.99861</v>
      </c>
      <c r="E320" s="3">
        <f>IFERROR(__xludf.DUMMYFUNCTION("""COMPUTED_VALUE"""),3.5205)</f>
        <v>3.5205</v>
      </c>
    </row>
    <row r="321">
      <c r="D321" s="6">
        <f>IFERROR(__xludf.DUMMYFUNCTION("""COMPUTED_VALUE"""),38937.99861111111)</f>
        <v>38937.99861</v>
      </c>
      <c r="E321" s="3">
        <f>IFERROR(__xludf.DUMMYFUNCTION("""COMPUTED_VALUE"""),3.5071)</f>
        <v>3.5071</v>
      </c>
    </row>
    <row r="322">
      <c r="D322" s="6">
        <f>IFERROR(__xludf.DUMMYFUNCTION("""COMPUTED_VALUE"""),38938.99861111111)</f>
        <v>38938.99861</v>
      </c>
      <c r="E322" s="3">
        <f>IFERROR(__xludf.DUMMYFUNCTION("""COMPUTED_VALUE"""),3.5131)</f>
        <v>3.5131</v>
      </c>
    </row>
    <row r="323">
      <c r="D323" s="6">
        <f>IFERROR(__xludf.DUMMYFUNCTION("""COMPUTED_VALUE"""),38939.99861111111)</f>
        <v>38939.99861</v>
      </c>
      <c r="E323" s="3">
        <f>IFERROR(__xludf.DUMMYFUNCTION("""COMPUTED_VALUE"""),3.5054)</f>
        <v>3.5054</v>
      </c>
    </row>
    <row r="324">
      <c r="D324" s="6">
        <f>IFERROR(__xludf.DUMMYFUNCTION("""COMPUTED_VALUE"""),38940.99861111111)</f>
        <v>38940.99861</v>
      </c>
      <c r="E324" s="3">
        <f>IFERROR(__xludf.DUMMYFUNCTION("""COMPUTED_VALUE"""),3.5148)</f>
        <v>3.5148</v>
      </c>
    </row>
    <row r="325">
      <c r="D325" s="6">
        <f>IFERROR(__xludf.DUMMYFUNCTION("""COMPUTED_VALUE"""),38943.99861111111)</f>
        <v>38943.99861</v>
      </c>
      <c r="E325" s="3">
        <f>IFERROR(__xludf.DUMMYFUNCTION("""COMPUTED_VALUE"""),3.5275)</f>
        <v>3.5275</v>
      </c>
    </row>
    <row r="326">
      <c r="D326" s="6">
        <f>IFERROR(__xludf.DUMMYFUNCTION("""COMPUTED_VALUE"""),38944.99861111111)</f>
        <v>38944.99861</v>
      </c>
      <c r="E326" s="3">
        <f>IFERROR(__xludf.DUMMYFUNCTION("""COMPUTED_VALUE"""),3.5248)</f>
        <v>3.5248</v>
      </c>
    </row>
    <row r="327">
      <c r="D327" s="6">
        <f>IFERROR(__xludf.DUMMYFUNCTION("""COMPUTED_VALUE"""),38945.99861111111)</f>
        <v>38945.99861</v>
      </c>
      <c r="E327" s="3">
        <f>IFERROR(__xludf.DUMMYFUNCTION("""COMPUTED_VALUE"""),3.5149)</f>
        <v>3.5149</v>
      </c>
    </row>
    <row r="328">
      <c r="D328" s="6">
        <f>IFERROR(__xludf.DUMMYFUNCTION("""COMPUTED_VALUE"""),38946.99861111111)</f>
        <v>38946.99861</v>
      </c>
      <c r="E328" s="3">
        <f>IFERROR(__xludf.DUMMYFUNCTION("""COMPUTED_VALUE"""),3.5149)</f>
        <v>3.5149</v>
      </c>
    </row>
    <row r="329">
      <c r="D329" s="6">
        <f>IFERROR(__xludf.DUMMYFUNCTION("""COMPUTED_VALUE"""),38947.99861111111)</f>
        <v>38947.99861</v>
      </c>
      <c r="E329" s="3">
        <f>IFERROR(__xludf.DUMMYFUNCTION("""COMPUTED_VALUE"""),3.5078)</f>
        <v>3.5078</v>
      </c>
    </row>
    <row r="330">
      <c r="D330" s="6">
        <f>IFERROR(__xludf.DUMMYFUNCTION("""COMPUTED_VALUE"""),38950.99861111111)</f>
        <v>38950.99861</v>
      </c>
      <c r="E330" s="3">
        <f>IFERROR(__xludf.DUMMYFUNCTION("""COMPUTED_VALUE"""),3.5188)</f>
        <v>3.5188</v>
      </c>
    </row>
    <row r="331">
      <c r="D331" s="6">
        <f>IFERROR(__xludf.DUMMYFUNCTION("""COMPUTED_VALUE"""),38951.99861111111)</f>
        <v>38951.99861</v>
      </c>
      <c r="E331" s="3">
        <f>IFERROR(__xludf.DUMMYFUNCTION("""COMPUTED_VALUE"""),3.5202)</f>
        <v>3.5202</v>
      </c>
    </row>
    <row r="332">
      <c r="D332" s="6">
        <f>IFERROR(__xludf.DUMMYFUNCTION("""COMPUTED_VALUE"""),38952.99861111111)</f>
        <v>38952.99861</v>
      </c>
      <c r="E332" s="3">
        <f>IFERROR(__xludf.DUMMYFUNCTION("""COMPUTED_VALUE"""),3.5206)</f>
        <v>3.5206</v>
      </c>
    </row>
    <row r="333">
      <c r="D333" s="6">
        <f>IFERROR(__xludf.DUMMYFUNCTION("""COMPUTED_VALUE"""),38953.99861111111)</f>
        <v>38953.99861</v>
      </c>
      <c r="E333" s="3">
        <f>IFERROR(__xludf.DUMMYFUNCTION("""COMPUTED_VALUE"""),3.5241)</f>
        <v>3.5241</v>
      </c>
    </row>
    <row r="334">
      <c r="D334" s="6">
        <f>IFERROR(__xludf.DUMMYFUNCTION("""COMPUTED_VALUE"""),38954.99861111111)</f>
        <v>38954.99861</v>
      </c>
      <c r="E334" s="3">
        <f>IFERROR(__xludf.DUMMYFUNCTION("""COMPUTED_VALUE"""),3.5253)</f>
        <v>3.5253</v>
      </c>
    </row>
    <row r="335">
      <c r="D335" s="6">
        <f>IFERROR(__xludf.DUMMYFUNCTION("""COMPUTED_VALUE"""),38957.99861111111)</f>
        <v>38957.99861</v>
      </c>
      <c r="E335" s="3">
        <f>IFERROR(__xludf.DUMMYFUNCTION("""COMPUTED_VALUE"""),3.5207)</f>
        <v>3.5207</v>
      </c>
    </row>
    <row r="336">
      <c r="D336" s="6">
        <f>IFERROR(__xludf.DUMMYFUNCTION("""COMPUTED_VALUE"""),38958.99861111111)</f>
        <v>38958.99861</v>
      </c>
      <c r="E336" s="3">
        <f>IFERROR(__xludf.DUMMYFUNCTION("""COMPUTED_VALUE"""),3.5117)</f>
        <v>3.5117</v>
      </c>
    </row>
    <row r="337">
      <c r="D337" s="6">
        <f>IFERROR(__xludf.DUMMYFUNCTION("""COMPUTED_VALUE"""),38959.99861111111)</f>
        <v>38959.99861</v>
      </c>
      <c r="E337" s="3">
        <f>IFERROR(__xludf.DUMMYFUNCTION("""COMPUTED_VALUE"""),3.5216)</f>
        <v>3.5216</v>
      </c>
    </row>
    <row r="338">
      <c r="D338" s="6">
        <f>IFERROR(__xludf.DUMMYFUNCTION("""COMPUTED_VALUE"""),38960.99861111111)</f>
        <v>38960.99861</v>
      </c>
      <c r="E338" s="3">
        <f>IFERROR(__xludf.DUMMYFUNCTION("""COMPUTED_VALUE"""),3.5273)</f>
        <v>3.5273</v>
      </c>
    </row>
    <row r="339">
      <c r="D339" s="6">
        <f>IFERROR(__xludf.DUMMYFUNCTION("""COMPUTED_VALUE"""),38961.99861111111)</f>
        <v>38961.99861</v>
      </c>
      <c r="E339" s="3">
        <f>IFERROR(__xludf.DUMMYFUNCTION("""COMPUTED_VALUE"""),3.5216)</f>
        <v>3.5216</v>
      </c>
    </row>
    <row r="340">
      <c r="D340" s="6">
        <f>IFERROR(__xludf.DUMMYFUNCTION("""COMPUTED_VALUE"""),38964.99861111111)</f>
        <v>38964.99861</v>
      </c>
      <c r="E340" s="3">
        <f>IFERROR(__xludf.DUMMYFUNCTION("""COMPUTED_VALUE"""),3.5172)</f>
        <v>3.5172</v>
      </c>
    </row>
    <row r="341">
      <c r="D341" s="6">
        <f>IFERROR(__xludf.DUMMYFUNCTION("""COMPUTED_VALUE"""),38965.99861111111)</f>
        <v>38965.99861</v>
      </c>
      <c r="E341" s="3">
        <f>IFERROR(__xludf.DUMMYFUNCTION("""COMPUTED_VALUE"""),3.5155)</f>
        <v>3.5155</v>
      </c>
    </row>
    <row r="342">
      <c r="D342" s="6">
        <f>IFERROR(__xludf.DUMMYFUNCTION("""COMPUTED_VALUE"""),38966.99861111111)</f>
        <v>38966.99861</v>
      </c>
      <c r="E342" s="3">
        <f>IFERROR(__xludf.DUMMYFUNCTION("""COMPUTED_VALUE"""),3.5128)</f>
        <v>3.5128</v>
      </c>
    </row>
    <row r="343">
      <c r="D343" s="6">
        <f>IFERROR(__xludf.DUMMYFUNCTION("""COMPUTED_VALUE"""),38967.99861111111)</f>
        <v>38967.99861</v>
      </c>
      <c r="E343" s="3">
        <f>IFERROR(__xludf.DUMMYFUNCTION("""COMPUTED_VALUE"""),3.5131)</f>
        <v>3.5131</v>
      </c>
    </row>
    <row r="344">
      <c r="D344" s="6">
        <f>IFERROR(__xludf.DUMMYFUNCTION("""COMPUTED_VALUE"""),38968.99861111111)</f>
        <v>38968.99861</v>
      </c>
      <c r="E344" s="3">
        <f>IFERROR(__xludf.DUMMYFUNCTION("""COMPUTED_VALUE"""),3.5147)</f>
        <v>3.5147</v>
      </c>
    </row>
    <row r="345">
      <c r="D345" s="6">
        <f>IFERROR(__xludf.DUMMYFUNCTION("""COMPUTED_VALUE"""),38970.99861111111)</f>
        <v>38970.99861</v>
      </c>
      <c r="E345" s="3">
        <f>IFERROR(__xludf.DUMMYFUNCTION("""COMPUTED_VALUE"""),3.514)</f>
        <v>3.514</v>
      </c>
    </row>
    <row r="346">
      <c r="D346" s="6">
        <f>IFERROR(__xludf.DUMMYFUNCTION("""COMPUTED_VALUE"""),38971.99861111111)</f>
        <v>38971.99861</v>
      </c>
      <c r="E346" s="3">
        <f>IFERROR(__xludf.DUMMYFUNCTION("""COMPUTED_VALUE"""),3.514)</f>
        <v>3.514</v>
      </c>
    </row>
    <row r="347">
      <c r="D347" s="6">
        <f>IFERROR(__xludf.DUMMYFUNCTION("""COMPUTED_VALUE"""),38972.99861111111)</f>
        <v>38972.99861</v>
      </c>
      <c r="E347" s="3">
        <f>IFERROR(__xludf.DUMMYFUNCTION("""COMPUTED_VALUE"""),3.5096)</f>
        <v>3.5096</v>
      </c>
    </row>
    <row r="348">
      <c r="D348" s="6">
        <f>IFERROR(__xludf.DUMMYFUNCTION("""COMPUTED_VALUE"""),38973.99861111111)</f>
        <v>38973.99861</v>
      </c>
      <c r="E348" s="3">
        <f>IFERROR(__xludf.DUMMYFUNCTION("""COMPUTED_VALUE"""),3.5047)</f>
        <v>3.5047</v>
      </c>
    </row>
    <row r="349">
      <c r="D349" s="6">
        <f>IFERROR(__xludf.DUMMYFUNCTION("""COMPUTED_VALUE"""),38974.99861111111)</f>
        <v>38974.99861</v>
      </c>
      <c r="E349" s="3">
        <f>IFERROR(__xludf.DUMMYFUNCTION("""COMPUTED_VALUE"""),3.4977)</f>
        <v>3.4977</v>
      </c>
    </row>
    <row r="350">
      <c r="D350" s="6">
        <f>IFERROR(__xludf.DUMMYFUNCTION("""COMPUTED_VALUE"""),38975.99861111111)</f>
        <v>38975.99861</v>
      </c>
      <c r="E350" s="3">
        <f>IFERROR(__xludf.DUMMYFUNCTION("""COMPUTED_VALUE"""),3.4977)</f>
        <v>3.4977</v>
      </c>
    </row>
    <row r="351">
      <c r="D351" s="6">
        <f>IFERROR(__xludf.DUMMYFUNCTION("""COMPUTED_VALUE"""),38977.99861111111)</f>
        <v>38977.99861</v>
      </c>
      <c r="E351" s="3">
        <f>IFERROR(__xludf.DUMMYFUNCTION("""COMPUTED_VALUE"""),3.4892)</f>
        <v>3.4892</v>
      </c>
    </row>
    <row r="352">
      <c r="D352" s="6">
        <f>IFERROR(__xludf.DUMMYFUNCTION("""COMPUTED_VALUE"""),38978.99861111111)</f>
        <v>38978.99861</v>
      </c>
      <c r="E352" s="3">
        <f>IFERROR(__xludf.DUMMYFUNCTION("""COMPUTED_VALUE"""),3.4892)</f>
        <v>3.4892</v>
      </c>
    </row>
    <row r="353">
      <c r="D353" s="6">
        <f>IFERROR(__xludf.DUMMYFUNCTION("""COMPUTED_VALUE"""),38979.99861111111)</f>
        <v>38979.99861</v>
      </c>
      <c r="E353" s="3">
        <f>IFERROR(__xludf.DUMMYFUNCTION("""COMPUTED_VALUE"""),3.517)</f>
        <v>3.517</v>
      </c>
    </row>
    <row r="354">
      <c r="D354" s="6">
        <f>IFERROR(__xludf.DUMMYFUNCTION("""COMPUTED_VALUE"""),38980.99861111111)</f>
        <v>38980.99861</v>
      </c>
      <c r="E354" s="3">
        <f>IFERROR(__xludf.DUMMYFUNCTION("""COMPUTED_VALUE"""),3.5281)</f>
        <v>3.5281</v>
      </c>
    </row>
    <row r="355">
      <c r="D355" s="6">
        <f>IFERROR(__xludf.DUMMYFUNCTION("""COMPUTED_VALUE"""),38981.99861111111)</f>
        <v>38981.99861</v>
      </c>
      <c r="E355" s="3">
        <f>IFERROR(__xludf.DUMMYFUNCTION("""COMPUTED_VALUE"""),3.5248)</f>
        <v>3.5248</v>
      </c>
    </row>
    <row r="356">
      <c r="D356" s="6">
        <f>IFERROR(__xludf.DUMMYFUNCTION("""COMPUTED_VALUE"""),38982.99861111111)</f>
        <v>38982.99861</v>
      </c>
      <c r="E356" s="3">
        <f>IFERROR(__xludf.DUMMYFUNCTION("""COMPUTED_VALUE"""),3.5245)</f>
        <v>3.5245</v>
      </c>
    </row>
    <row r="357">
      <c r="D357" s="6">
        <f>IFERROR(__xludf.DUMMYFUNCTION("""COMPUTED_VALUE"""),38984.99861111111)</f>
        <v>38984.99861</v>
      </c>
      <c r="E357" s="3">
        <f>IFERROR(__xludf.DUMMYFUNCTION("""COMPUTED_VALUE"""),3.5245)</f>
        <v>3.5245</v>
      </c>
    </row>
    <row r="358">
      <c r="D358" s="6">
        <f>IFERROR(__xludf.DUMMYFUNCTION("""COMPUTED_VALUE"""),38985.99861111111)</f>
        <v>38985.99861</v>
      </c>
      <c r="E358" s="3">
        <f>IFERROR(__xludf.DUMMYFUNCTION("""COMPUTED_VALUE"""),3.5544)</f>
        <v>3.5544</v>
      </c>
    </row>
    <row r="359">
      <c r="D359" s="6">
        <f>IFERROR(__xludf.DUMMYFUNCTION("""COMPUTED_VALUE"""),38986.99861111111)</f>
        <v>38986.99861</v>
      </c>
      <c r="E359" s="3">
        <f>IFERROR(__xludf.DUMMYFUNCTION("""COMPUTED_VALUE"""),3.5544)</f>
        <v>3.5544</v>
      </c>
    </row>
    <row r="360">
      <c r="D360" s="6">
        <f>IFERROR(__xludf.DUMMYFUNCTION("""COMPUTED_VALUE"""),38987.99861111111)</f>
        <v>38987.99861</v>
      </c>
      <c r="E360" s="3">
        <f>IFERROR(__xludf.DUMMYFUNCTION("""COMPUTED_VALUE"""),3.5239)</f>
        <v>3.5239</v>
      </c>
    </row>
    <row r="361">
      <c r="D361" s="6">
        <f>IFERROR(__xludf.DUMMYFUNCTION("""COMPUTED_VALUE"""),38988.99861111111)</f>
        <v>38988.99861</v>
      </c>
      <c r="E361" s="3">
        <f>IFERROR(__xludf.DUMMYFUNCTION("""COMPUTED_VALUE"""),3.5327)</f>
        <v>3.5327</v>
      </c>
    </row>
    <row r="362">
      <c r="D362" s="6">
        <f>IFERROR(__xludf.DUMMYFUNCTION("""COMPUTED_VALUE"""),38989.99861111111)</f>
        <v>38989.99861</v>
      </c>
      <c r="E362" s="3">
        <f>IFERROR(__xludf.DUMMYFUNCTION("""COMPUTED_VALUE"""),3.5341)</f>
        <v>3.5341</v>
      </c>
    </row>
    <row r="363">
      <c r="D363" s="6">
        <f>IFERROR(__xludf.DUMMYFUNCTION("""COMPUTED_VALUE"""),38991.99861111111)</f>
        <v>38991.99861</v>
      </c>
      <c r="E363" s="3">
        <f>IFERROR(__xludf.DUMMYFUNCTION("""COMPUTED_VALUE"""),3.5278)</f>
        <v>3.5278</v>
      </c>
    </row>
    <row r="364">
      <c r="D364" s="6">
        <f>IFERROR(__xludf.DUMMYFUNCTION("""COMPUTED_VALUE"""),38992.99861111111)</f>
        <v>38992.99861</v>
      </c>
      <c r="E364" s="3">
        <f>IFERROR(__xludf.DUMMYFUNCTION("""COMPUTED_VALUE"""),3.5278)</f>
        <v>3.5278</v>
      </c>
    </row>
    <row r="365">
      <c r="D365" s="6">
        <f>IFERROR(__xludf.DUMMYFUNCTION("""COMPUTED_VALUE"""),38993.99861111111)</f>
        <v>38993.99861</v>
      </c>
      <c r="E365" s="3">
        <f>IFERROR(__xludf.DUMMYFUNCTION("""COMPUTED_VALUE"""),3.5278)</f>
        <v>3.5278</v>
      </c>
    </row>
    <row r="366">
      <c r="D366" s="6">
        <f>IFERROR(__xludf.DUMMYFUNCTION("""COMPUTED_VALUE"""),38994.99861111111)</f>
        <v>38994.99861</v>
      </c>
      <c r="E366" s="3">
        <f>IFERROR(__xludf.DUMMYFUNCTION("""COMPUTED_VALUE"""),3.5266)</f>
        <v>3.5266</v>
      </c>
    </row>
    <row r="367">
      <c r="D367" s="6">
        <f>IFERROR(__xludf.DUMMYFUNCTION("""COMPUTED_VALUE"""),38995.99861111111)</f>
        <v>38995.99861</v>
      </c>
      <c r="E367" s="3">
        <f>IFERROR(__xludf.DUMMYFUNCTION("""COMPUTED_VALUE"""),3.5257)</f>
        <v>3.5257</v>
      </c>
    </row>
    <row r="368">
      <c r="D368" s="6">
        <f>IFERROR(__xludf.DUMMYFUNCTION("""COMPUTED_VALUE"""),38996.99861111111)</f>
        <v>38996.99861</v>
      </c>
      <c r="E368" s="3">
        <f>IFERROR(__xludf.DUMMYFUNCTION("""COMPUTED_VALUE"""),3.5071)</f>
        <v>3.5071</v>
      </c>
    </row>
    <row r="369">
      <c r="D369" s="6">
        <f>IFERROR(__xludf.DUMMYFUNCTION("""COMPUTED_VALUE"""),38998.99861111111)</f>
        <v>38998.99861</v>
      </c>
      <c r="E369" s="3">
        <f>IFERROR(__xludf.DUMMYFUNCTION("""COMPUTED_VALUE"""),3.5071)</f>
        <v>3.5071</v>
      </c>
    </row>
    <row r="370">
      <c r="D370" s="6">
        <f>IFERROR(__xludf.DUMMYFUNCTION("""COMPUTED_VALUE"""),38999.99861111111)</f>
        <v>38999.99861</v>
      </c>
      <c r="E370" s="3">
        <f>IFERROR(__xludf.DUMMYFUNCTION("""COMPUTED_VALUE"""),3.5079)</f>
        <v>3.5079</v>
      </c>
    </row>
    <row r="371">
      <c r="D371" s="6">
        <f>IFERROR(__xludf.DUMMYFUNCTION("""COMPUTED_VALUE"""),39000.99861111111)</f>
        <v>39000.99861</v>
      </c>
      <c r="E371" s="3">
        <f>IFERROR(__xludf.DUMMYFUNCTION("""COMPUTED_VALUE"""),3.5079)</f>
        <v>3.5079</v>
      </c>
    </row>
    <row r="372">
      <c r="D372" s="6">
        <f>IFERROR(__xludf.DUMMYFUNCTION("""COMPUTED_VALUE"""),39001.99861111111)</f>
        <v>39001.99861</v>
      </c>
      <c r="E372" s="3">
        <f>IFERROR(__xludf.DUMMYFUNCTION("""COMPUTED_VALUE"""),3.5033)</f>
        <v>3.5033</v>
      </c>
    </row>
    <row r="373">
      <c r="D373" s="6">
        <f>IFERROR(__xludf.DUMMYFUNCTION("""COMPUTED_VALUE"""),39002.99861111111)</f>
        <v>39002.99861</v>
      </c>
      <c r="E373" s="3">
        <f>IFERROR(__xludf.DUMMYFUNCTION("""COMPUTED_VALUE"""),3.4984)</f>
        <v>3.4984</v>
      </c>
    </row>
    <row r="374">
      <c r="D374" s="6">
        <f>IFERROR(__xludf.DUMMYFUNCTION("""COMPUTED_VALUE"""),39003.99861111111)</f>
        <v>39003.99861</v>
      </c>
      <c r="E374" s="3">
        <f>IFERROR(__xludf.DUMMYFUNCTION("""COMPUTED_VALUE"""),3.5015)</f>
        <v>3.5015</v>
      </c>
    </row>
    <row r="375">
      <c r="D375" s="6">
        <f>IFERROR(__xludf.DUMMYFUNCTION("""COMPUTED_VALUE"""),39005.99861111111)</f>
        <v>39005.99861</v>
      </c>
      <c r="E375" s="3">
        <f>IFERROR(__xludf.DUMMYFUNCTION("""COMPUTED_VALUE"""),3.5)</f>
        <v>3.5</v>
      </c>
    </row>
    <row r="376">
      <c r="D376" s="6">
        <f>IFERROR(__xludf.DUMMYFUNCTION("""COMPUTED_VALUE"""),39006.99861111111)</f>
        <v>39006.99861</v>
      </c>
      <c r="E376" s="3">
        <f>IFERROR(__xludf.DUMMYFUNCTION("""COMPUTED_VALUE"""),3.5)</f>
        <v>3.5</v>
      </c>
    </row>
    <row r="377">
      <c r="D377" s="6">
        <f>IFERROR(__xludf.DUMMYFUNCTION("""COMPUTED_VALUE"""),39007.99861111111)</f>
        <v>39007.99861</v>
      </c>
      <c r="E377" s="3">
        <f>IFERROR(__xludf.DUMMYFUNCTION("""COMPUTED_VALUE"""),3.492)</f>
        <v>3.492</v>
      </c>
    </row>
    <row r="378">
      <c r="D378" s="6">
        <f>IFERROR(__xludf.DUMMYFUNCTION("""COMPUTED_VALUE"""),39008.99861111111)</f>
        <v>39008.99861</v>
      </c>
      <c r="E378" s="3">
        <f>IFERROR(__xludf.DUMMYFUNCTION("""COMPUTED_VALUE"""),3.5161)</f>
        <v>3.5161</v>
      </c>
    </row>
    <row r="379">
      <c r="D379" s="6">
        <f>IFERROR(__xludf.DUMMYFUNCTION("""COMPUTED_VALUE"""),39009.99861111111)</f>
        <v>39009.99861</v>
      </c>
      <c r="E379" s="3">
        <f>IFERROR(__xludf.DUMMYFUNCTION("""COMPUTED_VALUE"""),3.5161)</f>
        <v>3.5161</v>
      </c>
    </row>
    <row r="380">
      <c r="D380" s="6">
        <f>IFERROR(__xludf.DUMMYFUNCTION("""COMPUTED_VALUE"""),39010.99861111111)</f>
        <v>39010.99861</v>
      </c>
      <c r="E380" s="3">
        <f>IFERROR(__xludf.DUMMYFUNCTION("""COMPUTED_VALUE"""),3.5117)</f>
        <v>3.5117</v>
      </c>
    </row>
    <row r="381">
      <c r="D381" s="6">
        <f>IFERROR(__xludf.DUMMYFUNCTION("""COMPUTED_VALUE"""),39012.99861111111)</f>
        <v>39012.99861</v>
      </c>
      <c r="E381" s="3">
        <f>IFERROR(__xludf.DUMMYFUNCTION("""COMPUTED_VALUE"""),3.5117)</f>
        <v>3.5117</v>
      </c>
    </row>
    <row r="382">
      <c r="D382" s="6">
        <f>IFERROR(__xludf.DUMMYFUNCTION("""COMPUTED_VALUE"""),39013.99861111111)</f>
        <v>39013.99861</v>
      </c>
      <c r="E382" s="3">
        <f>IFERROR(__xludf.DUMMYFUNCTION("""COMPUTED_VALUE"""),3.506)</f>
        <v>3.506</v>
      </c>
    </row>
    <row r="383">
      <c r="D383" s="6">
        <f>IFERROR(__xludf.DUMMYFUNCTION("""COMPUTED_VALUE"""),39014.99861111111)</f>
        <v>39014.99861</v>
      </c>
      <c r="E383" s="3">
        <f>IFERROR(__xludf.DUMMYFUNCTION("""COMPUTED_VALUE"""),3.5264)</f>
        <v>3.5264</v>
      </c>
    </row>
    <row r="384">
      <c r="D384" s="6">
        <f>IFERROR(__xludf.DUMMYFUNCTION("""COMPUTED_VALUE"""),39015.99861111111)</f>
        <v>39015.99861</v>
      </c>
      <c r="E384" s="3">
        <f>IFERROR(__xludf.DUMMYFUNCTION("""COMPUTED_VALUE"""),3.5283)</f>
        <v>3.5283</v>
      </c>
    </row>
    <row r="385">
      <c r="D385" s="6">
        <f>IFERROR(__xludf.DUMMYFUNCTION("""COMPUTED_VALUE"""),39016.99861111111)</f>
        <v>39016.99861</v>
      </c>
      <c r="E385" s="3">
        <f>IFERROR(__xludf.DUMMYFUNCTION("""COMPUTED_VALUE"""),3.5091)</f>
        <v>3.5091</v>
      </c>
    </row>
    <row r="386">
      <c r="D386" s="6">
        <f>IFERROR(__xludf.DUMMYFUNCTION("""COMPUTED_VALUE"""),39017.99861111111)</f>
        <v>39017.99861</v>
      </c>
      <c r="E386" s="3">
        <f>IFERROR(__xludf.DUMMYFUNCTION("""COMPUTED_VALUE"""),3.5039)</f>
        <v>3.5039</v>
      </c>
    </row>
    <row r="387">
      <c r="D387" s="6">
        <f>IFERROR(__xludf.DUMMYFUNCTION("""COMPUTED_VALUE"""),39020.99861111111)</f>
        <v>39020.99861</v>
      </c>
      <c r="E387" s="3">
        <f>IFERROR(__xludf.DUMMYFUNCTION("""COMPUTED_VALUE"""),3.518)</f>
        <v>3.518</v>
      </c>
    </row>
    <row r="388">
      <c r="D388" s="6">
        <f>IFERROR(__xludf.DUMMYFUNCTION("""COMPUTED_VALUE"""),39021.99861111111)</f>
        <v>39021.99861</v>
      </c>
      <c r="E388" s="3">
        <f>IFERROR(__xludf.DUMMYFUNCTION("""COMPUTED_VALUE"""),3.5131)</f>
        <v>3.5131</v>
      </c>
    </row>
    <row r="389">
      <c r="D389" s="6">
        <f>IFERROR(__xludf.DUMMYFUNCTION("""COMPUTED_VALUE"""),39022.99861111111)</f>
        <v>39022.99861</v>
      </c>
      <c r="E389" s="3">
        <f>IFERROR(__xludf.DUMMYFUNCTION("""COMPUTED_VALUE"""),3.5149)</f>
        <v>3.5149</v>
      </c>
    </row>
    <row r="390">
      <c r="D390" s="6">
        <f>IFERROR(__xludf.DUMMYFUNCTION("""COMPUTED_VALUE"""),39023.99861111111)</f>
        <v>39023.99861</v>
      </c>
      <c r="E390" s="3">
        <f>IFERROR(__xludf.DUMMYFUNCTION("""COMPUTED_VALUE"""),3.5071)</f>
        <v>3.5071</v>
      </c>
    </row>
    <row r="391">
      <c r="D391" s="6">
        <f>IFERROR(__xludf.DUMMYFUNCTION("""COMPUTED_VALUE"""),39024.99861111111)</f>
        <v>39024.99861</v>
      </c>
      <c r="E391" s="3">
        <f>IFERROR(__xludf.DUMMYFUNCTION("""COMPUTED_VALUE"""),3.5115)</f>
        <v>3.5115</v>
      </c>
    </row>
    <row r="392">
      <c r="D392" s="6">
        <f>IFERROR(__xludf.DUMMYFUNCTION("""COMPUTED_VALUE"""),39026.99861111111)</f>
        <v>39026.99861</v>
      </c>
      <c r="E392" s="3">
        <f>IFERROR(__xludf.DUMMYFUNCTION("""COMPUTED_VALUE"""),3.5115)</f>
        <v>3.5115</v>
      </c>
    </row>
    <row r="393">
      <c r="D393" s="6">
        <f>IFERROR(__xludf.DUMMYFUNCTION("""COMPUTED_VALUE"""),39027.99861111111)</f>
        <v>39027.99861</v>
      </c>
      <c r="E393" s="3">
        <f>IFERROR(__xludf.DUMMYFUNCTION("""COMPUTED_VALUE"""),3.5115)</f>
        <v>3.5115</v>
      </c>
    </row>
    <row r="394">
      <c r="D394" s="6">
        <f>IFERROR(__xludf.DUMMYFUNCTION("""COMPUTED_VALUE"""),39028.99861111111)</f>
        <v>39028.99861</v>
      </c>
      <c r="E394" s="3">
        <f>IFERROR(__xludf.DUMMYFUNCTION("""COMPUTED_VALUE"""),3.502)</f>
        <v>3.502</v>
      </c>
    </row>
    <row r="395">
      <c r="D395" s="6">
        <f>IFERROR(__xludf.DUMMYFUNCTION("""COMPUTED_VALUE"""),39029.99861111111)</f>
        <v>39029.99861</v>
      </c>
      <c r="E395" s="3">
        <f>IFERROR(__xludf.DUMMYFUNCTION("""COMPUTED_VALUE"""),3.4998)</f>
        <v>3.4998</v>
      </c>
    </row>
    <row r="396">
      <c r="D396" s="6">
        <f>IFERROR(__xludf.DUMMYFUNCTION("""COMPUTED_VALUE"""),39030.99861111111)</f>
        <v>39030.99861</v>
      </c>
      <c r="E396" s="3">
        <f>IFERROR(__xludf.DUMMYFUNCTION("""COMPUTED_VALUE"""),3.5044)</f>
        <v>3.5044</v>
      </c>
    </row>
    <row r="397">
      <c r="D397" s="6">
        <f>IFERROR(__xludf.DUMMYFUNCTION("""COMPUTED_VALUE"""),39031.99861111111)</f>
        <v>39031.99861</v>
      </c>
      <c r="E397" s="3">
        <f>IFERROR(__xludf.DUMMYFUNCTION("""COMPUTED_VALUE"""),3.505)</f>
        <v>3.505</v>
      </c>
    </row>
    <row r="398">
      <c r="D398" s="6">
        <f>IFERROR(__xludf.DUMMYFUNCTION("""COMPUTED_VALUE"""),39033.99861111111)</f>
        <v>39033.99861</v>
      </c>
      <c r="E398" s="3">
        <f>IFERROR(__xludf.DUMMYFUNCTION("""COMPUTED_VALUE"""),3.5115)</f>
        <v>3.5115</v>
      </c>
    </row>
    <row r="399">
      <c r="D399" s="6">
        <f>IFERROR(__xludf.DUMMYFUNCTION("""COMPUTED_VALUE"""),39034.99861111111)</f>
        <v>39034.99861</v>
      </c>
      <c r="E399" s="3">
        <f>IFERROR(__xludf.DUMMYFUNCTION("""COMPUTED_VALUE"""),3.502)</f>
        <v>3.502</v>
      </c>
    </row>
    <row r="400">
      <c r="D400" s="6">
        <f>IFERROR(__xludf.DUMMYFUNCTION("""COMPUTED_VALUE"""),39035.99861111111)</f>
        <v>39035.99861</v>
      </c>
      <c r="E400" s="3">
        <f>IFERROR(__xludf.DUMMYFUNCTION("""COMPUTED_VALUE"""),3.5037)</f>
        <v>3.5037</v>
      </c>
    </row>
    <row r="401">
      <c r="D401" s="6">
        <f>IFERROR(__xludf.DUMMYFUNCTION("""COMPUTED_VALUE"""),39036.99861111111)</f>
        <v>39036.99861</v>
      </c>
      <c r="E401" s="3">
        <f>IFERROR(__xludf.DUMMYFUNCTION("""COMPUTED_VALUE"""),3.4882)</f>
        <v>3.4882</v>
      </c>
    </row>
    <row r="402">
      <c r="D402" s="6">
        <f>IFERROR(__xludf.DUMMYFUNCTION("""COMPUTED_VALUE"""),39037.99861111111)</f>
        <v>39037.99861</v>
      </c>
      <c r="E402" s="3">
        <f>IFERROR(__xludf.DUMMYFUNCTION("""COMPUTED_VALUE"""),3.4884)</f>
        <v>3.4884</v>
      </c>
    </row>
    <row r="403">
      <c r="D403" s="6">
        <f>IFERROR(__xludf.DUMMYFUNCTION("""COMPUTED_VALUE"""),39038.99861111111)</f>
        <v>39038.99861</v>
      </c>
      <c r="E403" s="3">
        <f>IFERROR(__xludf.DUMMYFUNCTION("""COMPUTED_VALUE"""),3.4788)</f>
        <v>3.4788</v>
      </c>
    </row>
    <row r="404">
      <c r="D404" s="6">
        <f>IFERROR(__xludf.DUMMYFUNCTION("""COMPUTED_VALUE"""),39040.99861111111)</f>
        <v>39040.99861</v>
      </c>
      <c r="E404" s="3">
        <f>IFERROR(__xludf.DUMMYFUNCTION("""COMPUTED_VALUE"""),3.4788)</f>
        <v>3.4788</v>
      </c>
    </row>
    <row r="405">
      <c r="D405" s="6">
        <f>IFERROR(__xludf.DUMMYFUNCTION("""COMPUTED_VALUE"""),39041.99861111111)</f>
        <v>39041.99861</v>
      </c>
      <c r="E405" s="3">
        <f>IFERROR(__xludf.DUMMYFUNCTION("""COMPUTED_VALUE"""),3.4851)</f>
        <v>3.4851</v>
      </c>
    </row>
    <row r="406">
      <c r="D406" s="6">
        <f>IFERROR(__xludf.DUMMYFUNCTION("""COMPUTED_VALUE"""),39042.99861111111)</f>
        <v>39042.99861</v>
      </c>
      <c r="E406" s="3">
        <f>IFERROR(__xludf.DUMMYFUNCTION("""COMPUTED_VALUE"""),3.4826)</f>
        <v>3.4826</v>
      </c>
    </row>
    <row r="407">
      <c r="D407" s="6">
        <f>IFERROR(__xludf.DUMMYFUNCTION("""COMPUTED_VALUE"""),39043.99861111111)</f>
        <v>39043.99861</v>
      </c>
      <c r="E407" s="3">
        <f>IFERROR(__xludf.DUMMYFUNCTION("""COMPUTED_VALUE"""),3.4842)</f>
        <v>3.4842</v>
      </c>
    </row>
    <row r="408">
      <c r="D408" s="6">
        <f>IFERROR(__xludf.DUMMYFUNCTION("""COMPUTED_VALUE"""),39044.99861111111)</f>
        <v>39044.99861</v>
      </c>
      <c r="E408" s="3">
        <f>IFERROR(__xludf.DUMMYFUNCTION("""COMPUTED_VALUE"""),3.4929)</f>
        <v>3.4929</v>
      </c>
    </row>
    <row r="409">
      <c r="D409" s="6">
        <f>IFERROR(__xludf.DUMMYFUNCTION("""COMPUTED_VALUE"""),39045.99861111111)</f>
        <v>39045.99861</v>
      </c>
      <c r="E409" s="3">
        <f>IFERROR(__xludf.DUMMYFUNCTION("""COMPUTED_VALUE"""),3.4831)</f>
        <v>3.4831</v>
      </c>
    </row>
    <row r="410">
      <c r="D410" s="6">
        <f>IFERROR(__xludf.DUMMYFUNCTION("""COMPUTED_VALUE"""),39047.99861111111)</f>
        <v>39047.99861</v>
      </c>
      <c r="E410" s="3">
        <f>IFERROR(__xludf.DUMMYFUNCTION("""COMPUTED_VALUE"""),3.4831)</f>
        <v>3.4831</v>
      </c>
    </row>
    <row r="411">
      <c r="D411" s="6">
        <f>IFERROR(__xludf.DUMMYFUNCTION("""COMPUTED_VALUE"""),39048.99861111111)</f>
        <v>39048.99861</v>
      </c>
      <c r="E411" s="3">
        <f>IFERROR(__xludf.DUMMYFUNCTION("""COMPUTED_VALUE"""),3.4831)</f>
        <v>3.4831</v>
      </c>
    </row>
    <row r="412">
      <c r="D412" s="6">
        <f>IFERROR(__xludf.DUMMYFUNCTION("""COMPUTED_VALUE"""),39049.99861111111)</f>
        <v>39049.99861</v>
      </c>
      <c r="E412" s="3">
        <f>IFERROR(__xludf.DUMMYFUNCTION("""COMPUTED_VALUE"""),3.4633)</f>
        <v>3.4633</v>
      </c>
    </row>
    <row r="413">
      <c r="D413" s="6">
        <f>IFERROR(__xludf.DUMMYFUNCTION("""COMPUTED_VALUE"""),39050.99861111111)</f>
        <v>39050.99861</v>
      </c>
      <c r="E413" s="3">
        <f>IFERROR(__xludf.DUMMYFUNCTION("""COMPUTED_VALUE"""),3.4635)</f>
        <v>3.4635</v>
      </c>
    </row>
    <row r="414">
      <c r="D414" s="6">
        <f>IFERROR(__xludf.DUMMYFUNCTION("""COMPUTED_VALUE"""),39051.99861111111)</f>
        <v>39051.99861</v>
      </c>
      <c r="E414" s="3">
        <f>IFERROR(__xludf.DUMMYFUNCTION("""COMPUTED_VALUE"""),3.4516)</f>
        <v>3.4516</v>
      </c>
    </row>
    <row r="415">
      <c r="D415" s="6">
        <f>IFERROR(__xludf.DUMMYFUNCTION("""COMPUTED_VALUE"""),39052.99861111111)</f>
        <v>39052.99861</v>
      </c>
      <c r="E415" s="3">
        <f>IFERROR(__xludf.DUMMYFUNCTION("""COMPUTED_VALUE"""),3.4516)</f>
        <v>3.4516</v>
      </c>
    </row>
    <row r="416">
      <c r="D416" s="6">
        <f>IFERROR(__xludf.DUMMYFUNCTION("""COMPUTED_VALUE"""),39055.99861111111)</f>
        <v>39055.99861</v>
      </c>
      <c r="E416" s="3">
        <f>IFERROR(__xludf.DUMMYFUNCTION("""COMPUTED_VALUE"""),3.4177)</f>
        <v>3.4177</v>
      </c>
    </row>
    <row r="417">
      <c r="D417" s="6">
        <f>IFERROR(__xludf.DUMMYFUNCTION("""COMPUTED_VALUE"""),39056.99861111111)</f>
        <v>39056.99861</v>
      </c>
      <c r="E417" s="3">
        <f>IFERROR(__xludf.DUMMYFUNCTION("""COMPUTED_VALUE"""),3.4314)</f>
        <v>3.4314</v>
      </c>
    </row>
    <row r="418">
      <c r="D418" s="6">
        <f>IFERROR(__xludf.DUMMYFUNCTION("""COMPUTED_VALUE"""),39057.99861111111)</f>
        <v>39057.99861</v>
      </c>
      <c r="E418" s="3">
        <f>IFERROR(__xludf.DUMMYFUNCTION("""COMPUTED_VALUE"""),3.4279)</f>
        <v>3.4279</v>
      </c>
    </row>
    <row r="419">
      <c r="D419" s="6">
        <f>IFERROR(__xludf.DUMMYFUNCTION("""COMPUTED_VALUE"""),39058.99861111111)</f>
        <v>39058.99861</v>
      </c>
      <c r="E419" s="3">
        <f>IFERROR(__xludf.DUMMYFUNCTION("""COMPUTED_VALUE"""),3.4212)</f>
        <v>3.4212</v>
      </c>
    </row>
    <row r="420">
      <c r="D420" s="6">
        <f>IFERROR(__xludf.DUMMYFUNCTION("""COMPUTED_VALUE"""),39059.99861111111)</f>
        <v>39059.99861</v>
      </c>
      <c r="E420" s="3">
        <f>IFERROR(__xludf.DUMMYFUNCTION("""COMPUTED_VALUE"""),3.4232)</f>
        <v>3.4232</v>
      </c>
    </row>
    <row r="421">
      <c r="D421" s="6">
        <f>IFERROR(__xludf.DUMMYFUNCTION("""COMPUTED_VALUE"""),39061.99861111111)</f>
        <v>39061.99861</v>
      </c>
      <c r="E421" s="3">
        <f>IFERROR(__xludf.DUMMYFUNCTION("""COMPUTED_VALUE"""),3.4232)</f>
        <v>3.4232</v>
      </c>
    </row>
    <row r="422">
      <c r="D422" s="6">
        <f>IFERROR(__xludf.DUMMYFUNCTION("""COMPUTED_VALUE"""),39062.99861111111)</f>
        <v>39062.99861</v>
      </c>
      <c r="E422" s="3">
        <f>IFERROR(__xludf.DUMMYFUNCTION("""COMPUTED_VALUE"""),3.4212)</f>
        <v>3.4212</v>
      </c>
    </row>
    <row r="423">
      <c r="D423" s="6">
        <f>IFERROR(__xludf.DUMMYFUNCTION("""COMPUTED_VALUE"""),39063.99861111111)</f>
        <v>39063.99861</v>
      </c>
      <c r="E423" s="3">
        <f>IFERROR(__xludf.DUMMYFUNCTION("""COMPUTED_VALUE"""),3.4253)</f>
        <v>3.4253</v>
      </c>
    </row>
    <row r="424">
      <c r="D424" s="6">
        <f>IFERROR(__xludf.DUMMYFUNCTION("""COMPUTED_VALUE"""),39064.99861111111)</f>
        <v>39064.99861</v>
      </c>
      <c r="E424" s="3">
        <f>IFERROR(__xludf.DUMMYFUNCTION("""COMPUTED_VALUE"""),3.4273)</f>
        <v>3.4273</v>
      </c>
    </row>
    <row r="425">
      <c r="D425" s="6">
        <f>IFERROR(__xludf.DUMMYFUNCTION("""COMPUTED_VALUE"""),39065.99861111111)</f>
        <v>39065.99861</v>
      </c>
      <c r="E425" s="3">
        <f>IFERROR(__xludf.DUMMYFUNCTION("""COMPUTED_VALUE"""),3.4256)</f>
        <v>3.4256</v>
      </c>
    </row>
    <row r="426">
      <c r="D426" s="6">
        <f>IFERROR(__xludf.DUMMYFUNCTION("""COMPUTED_VALUE"""),39066.99861111111)</f>
        <v>39066.99861</v>
      </c>
      <c r="E426" s="3">
        <f>IFERROR(__xludf.DUMMYFUNCTION("""COMPUTED_VALUE"""),3.4227)</f>
        <v>3.4227</v>
      </c>
    </row>
    <row r="427">
      <c r="D427" s="6">
        <f>IFERROR(__xludf.DUMMYFUNCTION("""COMPUTED_VALUE"""),39068.99861111111)</f>
        <v>39068.99861</v>
      </c>
      <c r="E427" s="3">
        <f>IFERROR(__xludf.DUMMYFUNCTION("""COMPUTED_VALUE"""),3.4227)</f>
        <v>3.4227</v>
      </c>
    </row>
    <row r="428">
      <c r="D428" s="6">
        <f>IFERROR(__xludf.DUMMYFUNCTION("""COMPUTED_VALUE"""),39069.99861111111)</f>
        <v>39069.99861</v>
      </c>
      <c r="E428" s="3">
        <f>IFERROR(__xludf.DUMMYFUNCTION("""COMPUTED_VALUE"""),3.4216)</f>
        <v>3.4216</v>
      </c>
    </row>
    <row r="429">
      <c r="D429" s="6">
        <f>IFERROR(__xludf.DUMMYFUNCTION("""COMPUTED_VALUE"""),39070.99861111111)</f>
        <v>39070.99861</v>
      </c>
      <c r="E429" s="3">
        <f>IFERROR(__xludf.DUMMYFUNCTION("""COMPUTED_VALUE"""),3.4163)</f>
        <v>3.4163</v>
      </c>
    </row>
    <row r="430">
      <c r="D430" s="6">
        <f>IFERROR(__xludf.DUMMYFUNCTION("""COMPUTED_VALUE"""),39071.99861111111)</f>
        <v>39071.99861</v>
      </c>
      <c r="E430" s="3">
        <f>IFERROR(__xludf.DUMMYFUNCTION("""COMPUTED_VALUE"""),3.4137)</f>
        <v>3.4137</v>
      </c>
    </row>
    <row r="431">
      <c r="D431" s="6">
        <f>IFERROR(__xludf.DUMMYFUNCTION("""COMPUTED_VALUE"""),39072.99861111111)</f>
        <v>39072.99861</v>
      </c>
      <c r="E431" s="3">
        <f>IFERROR(__xludf.DUMMYFUNCTION("""COMPUTED_VALUE"""),3.3851)</f>
        <v>3.3851</v>
      </c>
    </row>
    <row r="432">
      <c r="D432" s="6">
        <f>IFERROR(__xludf.DUMMYFUNCTION("""COMPUTED_VALUE"""),39073.99861111111)</f>
        <v>39073.99861</v>
      </c>
      <c r="E432" s="3">
        <f>IFERROR(__xludf.DUMMYFUNCTION("""COMPUTED_VALUE"""),3.3442)</f>
        <v>3.3442</v>
      </c>
    </row>
    <row r="433">
      <c r="D433" s="6">
        <f>IFERROR(__xludf.DUMMYFUNCTION("""COMPUTED_VALUE"""),39075.99861111111)</f>
        <v>39075.99861</v>
      </c>
      <c r="E433" s="3">
        <f>IFERROR(__xludf.DUMMYFUNCTION("""COMPUTED_VALUE"""),3.3442)</f>
        <v>3.3442</v>
      </c>
    </row>
    <row r="434">
      <c r="D434" s="6">
        <f>IFERROR(__xludf.DUMMYFUNCTION("""COMPUTED_VALUE"""),39076.99861111111)</f>
        <v>39076.99861</v>
      </c>
      <c r="E434" s="3">
        <f>IFERROR(__xludf.DUMMYFUNCTION("""COMPUTED_VALUE"""),3.3442)</f>
        <v>3.3442</v>
      </c>
    </row>
    <row r="435">
      <c r="D435" s="6">
        <f>IFERROR(__xludf.DUMMYFUNCTION("""COMPUTED_VALUE"""),39077.99861111111)</f>
        <v>39077.99861</v>
      </c>
      <c r="E435" s="3">
        <f>IFERROR(__xludf.DUMMYFUNCTION("""COMPUTED_VALUE"""),3.3839)</f>
        <v>3.3839</v>
      </c>
    </row>
    <row r="436">
      <c r="D436" s="6">
        <f>IFERROR(__xludf.DUMMYFUNCTION("""COMPUTED_VALUE"""),39078.99861111111)</f>
        <v>39078.99861</v>
      </c>
      <c r="E436" s="3">
        <f>IFERROR(__xludf.DUMMYFUNCTION("""COMPUTED_VALUE"""),3.3445)</f>
        <v>3.3445</v>
      </c>
    </row>
    <row r="437">
      <c r="D437" s="6">
        <f>IFERROR(__xludf.DUMMYFUNCTION("""COMPUTED_VALUE"""),39079.99861111111)</f>
        <v>39079.99861</v>
      </c>
      <c r="E437" s="3">
        <f>IFERROR(__xludf.DUMMYFUNCTION("""COMPUTED_VALUE"""),3.3648)</f>
        <v>3.3648</v>
      </c>
    </row>
    <row r="438">
      <c r="D438" s="6">
        <f>IFERROR(__xludf.DUMMYFUNCTION("""COMPUTED_VALUE"""),39080.99861111111)</f>
        <v>39080.99861</v>
      </c>
      <c r="E438" s="3">
        <f>IFERROR(__xludf.DUMMYFUNCTION("""COMPUTED_VALUE"""),3.3839)</f>
        <v>3.3839</v>
      </c>
    </row>
    <row r="439">
      <c r="D439" s="6">
        <f>IFERROR(__xludf.DUMMYFUNCTION("""COMPUTED_VALUE"""),39082.99861111111)</f>
        <v>39082.99861</v>
      </c>
      <c r="E439" s="3">
        <f>IFERROR(__xludf.DUMMYFUNCTION("""COMPUTED_VALUE"""),3.3787)</f>
        <v>3.3787</v>
      </c>
    </row>
    <row r="440">
      <c r="D440" s="6">
        <f>IFERROR(__xludf.DUMMYFUNCTION("""COMPUTED_VALUE"""),39083.99861111111)</f>
        <v>39083.99861</v>
      </c>
      <c r="E440" s="3">
        <f>IFERROR(__xludf.DUMMYFUNCTION("""COMPUTED_VALUE"""),3.3787)</f>
        <v>3.3787</v>
      </c>
    </row>
    <row r="441">
      <c r="D441" s="6">
        <f>IFERROR(__xludf.DUMMYFUNCTION("""COMPUTED_VALUE"""),39084.99861111111)</f>
        <v>39084.99861</v>
      </c>
      <c r="E441" s="3">
        <f>IFERROR(__xludf.DUMMYFUNCTION("""COMPUTED_VALUE"""),3.3817)</f>
        <v>3.3817</v>
      </c>
    </row>
    <row r="442">
      <c r="D442" s="6">
        <f>IFERROR(__xludf.DUMMYFUNCTION("""COMPUTED_VALUE"""),39085.99861111111)</f>
        <v>39085.99861</v>
      </c>
      <c r="E442" s="3">
        <f>IFERROR(__xludf.DUMMYFUNCTION("""COMPUTED_VALUE"""),3.3587)</f>
        <v>3.3587</v>
      </c>
    </row>
    <row r="443">
      <c r="D443" s="6">
        <f>IFERROR(__xludf.DUMMYFUNCTION("""COMPUTED_VALUE"""),39086.99861111111)</f>
        <v>39086.99861</v>
      </c>
      <c r="E443" s="3">
        <f>IFERROR(__xludf.DUMMYFUNCTION("""COMPUTED_VALUE"""),3.359)</f>
        <v>3.359</v>
      </c>
    </row>
    <row r="444">
      <c r="D444" s="6">
        <f>IFERROR(__xludf.DUMMYFUNCTION("""COMPUTED_VALUE"""),39087.99861111111)</f>
        <v>39087.99861</v>
      </c>
      <c r="E444" s="3">
        <f>IFERROR(__xludf.DUMMYFUNCTION("""COMPUTED_VALUE"""),3.3699)</f>
        <v>3.3699</v>
      </c>
    </row>
    <row r="445">
      <c r="D445" s="6">
        <f>IFERROR(__xludf.DUMMYFUNCTION("""COMPUTED_VALUE"""),39089.99861111111)</f>
        <v>39089.99861</v>
      </c>
      <c r="E445" s="3">
        <f>IFERROR(__xludf.DUMMYFUNCTION("""COMPUTED_VALUE"""),3.3699)</f>
        <v>3.3699</v>
      </c>
    </row>
    <row r="446">
      <c r="D446" s="6">
        <f>IFERROR(__xludf.DUMMYFUNCTION("""COMPUTED_VALUE"""),39090.99861111111)</f>
        <v>39090.99861</v>
      </c>
      <c r="E446" s="3">
        <f>IFERROR(__xludf.DUMMYFUNCTION("""COMPUTED_VALUE"""),3.3718)</f>
        <v>3.3718</v>
      </c>
    </row>
    <row r="447">
      <c r="D447" s="6">
        <f>IFERROR(__xludf.DUMMYFUNCTION("""COMPUTED_VALUE"""),39091.99861111111)</f>
        <v>39091.99861</v>
      </c>
      <c r="E447" s="3">
        <f>IFERROR(__xludf.DUMMYFUNCTION("""COMPUTED_VALUE"""),3.3811)</f>
        <v>3.3811</v>
      </c>
    </row>
    <row r="448">
      <c r="D448" s="6">
        <f>IFERROR(__xludf.DUMMYFUNCTION("""COMPUTED_VALUE"""),39092.99861111111)</f>
        <v>39092.99861</v>
      </c>
      <c r="E448" s="3">
        <f>IFERROR(__xludf.DUMMYFUNCTION("""COMPUTED_VALUE"""),3.4041)</f>
        <v>3.4041</v>
      </c>
    </row>
    <row r="449">
      <c r="D449" s="6">
        <f>IFERROR(__xludf.DUMMYFUNCTION("""COMPUTED_VALUE"""),39093.99861111111)</f>
        <v>39093.99861</v>
      </c>
      <c r="E449" s="3">
        <f>IFERROR(__xludf.DUMMYFUNCTION("""COMPUTED_VALUE"""),3.4002)</f>
        <v>3.4002</v>
      </c>
    </row>
    <row r="450">
      <c r="D450" s="6">
        <f>IFERROR(__xludf.DUMMYFUNCTION("""COMPUTED_VALUE"""),39094.99861111111)</f>
        <v>39094.99861</v>
      </c>
      <c r="E450" s="3">
        <f>IFERROR(__xludf.DUMMYFUNCTION("""COMPUTED_VALUE"""),3.392)</f>
        <v>3.392</v>
      </c>
    </row>
    <row r="451">
      <c r="D451" s="6">
        <f>IFERROR(__xludf.DUMMYFUNCTION("""COMPUTED_VALUE"""),39097.99861111111)</f>
        <v>39097.99861</v>
      </c>
      <c r="E451" s="3">
        <f>IFERROR(__xludf.DUMMYFUNCTION("""COMPUTED_VALUE"""),3.3965)</f>
        <v>3.3965</v>
      </c>
    </row>
    <row r="452">
      <c r="D452" s="6">
        <f>IFERROR(__xludf.DUMMYFUNCTION("""COMPUTED_VALUE"""),39098.99861111111)</f>
        <v>39098.99861</v>
      </c>
      <c r="E452" s="3">
        <f>IFERROR(__xludf.DUMMYFUNCTION("""COMPUTED_VALUE"""),3.3809)</f>
        <v>3.3809</v>
      </c>
    </row>
    <row r="453">
      <c r="D453" s="6">
        <f>IFERROR(__xludf.DUMMYFUNCTION("""COMPUTED_VALUE"""),39099.99861111111)</f>
        <v>39099.99861</v>
      </c>
      <c r="E453" s="3">
        <f>IFERROR(__xludf.DUMMYFUNCTION("""COMPUTED_VALUE"""),3.3821)</f>
        <v>3.3821</v>
      </c>
    </row>
    <row r="454">
      <c r="D454" s="6">
        <f>IFERROR(__xludf.DUMMYFUNCTION("""COMPUTED_VALUE"""),39100.99861111111)</f>
        <v>39100.99861</v>
      </c>
      <c r="E454" s="3">
        <f>IFERROR(__xludf.DUMMYFUNCTION("""COMPUTED_VALUE"""),3.39)</f>
        <v>3.39</v>
      </c>
    </row>
    <row r="455">
      <c r="D455" s="6">
        <f>IFERROR(__xludf.DUMMYFUNCTION("""COMPUTED_VALUE"""),39101.99861111111)</f>
        <v>39101.99861</v>
      </c>
      <c r="E455" s="3">
        <f>IFERROR(__xludf.DUMMYFUNCTION("""COMPUTED_VALUE"""),3.3814)</f>
        <v>3.3814</v>
      </c>
    </row>
    <row r="456">
      <c r="D456" s="6">
        <f>IFERROR(__xludf.DUMMYFUNCTION("""COMPUTED_VALUE"""),39103.99861111111)</f>
        <v>39103.99861</v>
      </c>
      <c r="E456" s="3">
        <f>IFERROR(__xludf.DUMMYFUNCTION("""COMPUTED_VALUE"""),3.3814)</f>
        <v>3.3814</v>
      </c>
    </row>
    <row r="457">
      <c r="D457" s="6">
        <f>IFERROR(__xludf.DUMMYFUNCTION("""COMPUTED_VALUE"""),39104.99861111111)</f>
        <v>39104.99861</v>
      </c>
      <c r="E457" s="3">
        <f>IFERROR(__xludf.DUMMYFUNCTION("""COMPUTED_VALUE"""),3.3742)</f>
        <v>3.3742</v>
      </c>
    </row>
    <row r="458">
      <c r="D458" s="6">
        <f>IFERROR(__xludf.DUMMYFUNCTION("""COMPUTED_VALUE"""),39105.99861111111)</f>
        <v>39105.99861</v>
      </c>
      <c r="E458" s="3">
        <f>IFERROR(__xludf.DUMMYFUNCTION("""COMPUTED_VALUE"""),3.368)</f>
        <v>3.368</v>
      </c>
    </row>
    <row r="459">
      <c r="D459" s="6">
        <f>IFERROR(__xludf.DUMMYFUNCTION("""COMPUTED_VALUE"""),39106.99861111111)</f>
        <v>39106.99861</v>
      </c>
      <c r="E459" s="3">
        <f>IFERROR(__xludf.DUMMYFUNCTION("""COMPUTED_VALUE"""),3.3924)</f>
        <v>3.3924</v>
      </c>
    </row>
    <row r="460">
      <c r="D460" s="6">
        <f>IFERROR(__xludf.DUMMYFUNCTION("""COMPUTED_VALUE"""),39107.99861111111)</f>
        <v>39107.99861</v>
      </c>
      <c r="E460" s="3">
        <f>IFERROR(__xludf.DUMMYFUNCTION("""COMPUTED_VALUE"""),3.3804)</f>
        <v>3.3804</v>
      </c>
    </row>
    <row r="461">
      <c r="D461" s="6">
        <f>IFERROR(__xludf.DUMMYFUNCTION("""COMPUTED_VALUE"""),39108.99861111111)</f>
        <v>39108.99861</v>
      </c>
      <c r="E461" s="3">
        <f>IFERROR(__xludf.DUMMYFUNCTION("""COMPUTED_VALUE"""),3.3839)</f>
        <v>3.3839</v>
      </c>
    </row>
    <row r="462">
      <c r="D462" s="6">
        <f>IFERROR(__xludf.DUMMYFUNCTION("""COMPUTED_VALUE"""),39110.99861111111)</f>
        <v>39110.99861</v>
      </c>
      <c r="E462" s="3">
        <f>IFERROR(__xludf.DUMMYFUNCTION("""COMPUTED_VALUE"""),3.3839)</f>
        <v>3.3839</v>
      </c>
    </row>
    <row r="463">
      <c r="D463" s="6">
        <f>IFERROR(__xludf.DUMMYFUNCTION("""COMPUTED_VALUE"""),39111.99861111111)</f>
        <v>39111.99861</v>
      </c>
      <c r="E463" s="3">
        <f>IFERROR(__xludf.DUMMYFUNCTION("""COMPUTED_VALUE"""),3.405)</f>
        <v>3.405</v>
      </c>
    </row>
    <row r="464">
      <c r="D464" s="6">
        <f>IFERROR(__xludf.DUMMYFUNCTION("""COMPUTED_VALUE"""),39112.99861111111)</f>
        <v>39112.99861</v>
      </c>
      <c r="E464" s="3">
        <f>IFERROR(__xludf.DUMMYFUNCTION("""COMPUTED_VALUE"""),3.401)</f>
        <v>3.401</v>
      </c>
    </row>
    <row r="465">
      <c r="D465" s="6">
        <f>IFERROR(__xludf.DUMMYFUNCTION("""COMPUTED_VALUE"""),39113.99861111111)</f>
        <v>39113.99861</v>
      </c>
      <c r="E465" s="3">
        <f>IFERROR(__xludf.DUMMYFUNCTION("""COMPUTED_VALUE"""),3.398)</f>
        <v>3.398</v>
      </c>
    </row>
    <row r="466">
      <c r="D466" s="6">
        <f>IFERROR(__xludf.DUMMYFUNCTION("""COMPUTED_VALUE"""),39114.99861111111)</f>
        <v>39114.99861</v>
      </c>
      <c r="E466" s="3">
        <f>IFERROR(__xludf.DUMMYFUNCTION("""COMPUTED_VALUE"""),3.4025)</f>
        <v>3.4025</v>
      </c>
    </row>
    <row r="467">
      <c r="D467" s="6">
        <f>IFERROR(__xludf.DUMMYFUNCTION("""COMPUTED_VALUE"""),39115.99861111111)</f>
        <v>39115.99861</v>
      </c>
      <c r="E467" s="3">
        <f>IFERROR(__xludf.DUMMYFUNCTION("""COMPUTED_VALUE"""),3.377)</f>
        <v>3.377</v>
      </c>
    </row>
    <row r="468">
      <c r="D468" s="6">
        <f>IFERROR(__xludf.DUMMYFUNCTION("""COMPUTED_VALUE"""),39117.99861111111)</f>
        <v>39117.99861</v>
      </c>
      <c r="E468" s="3">
        <f>IFERROR(__xludf.DUMMYFUNCTION("""COMPUTED_VALUE"""),3.3783)</f>
        <v>3.3783</v>
      </c>
    </row>
    <row r="469">
      <c r="D469" s="6">
        <f>IFERROR(__xludf.DUMMYFUNCTION("""COMPUTED_VALUE"""),39118.99861111111)</f>
        <v>39118.99861</v>
      </c>
      <c r="E469" s="3">
        <f>IFERROR(__xludf.DUMMYFUNCTION("""COMPUTED_VALUE"""),3.3783)</f>
        <v>3.3783</v>
      </c>
    </row>
    <row r="470">
      <c r="D470" s="6">
        <f>IFERROR(__xludf.DUMMYFUNCTION("""COMPUTED_VALUE"""),39119.99861111111)</f>
        <v>39119.99861</v>
      </c>
      <c r="E470" s="3">
        <f>IFERROR(__xludf.DUMMYFUNCTION("""COMPUTED_VALUE"""),3.3719)</f>
        <v>3.3719</v>
      </c>
    </row>
    <row r="471">
      <c r="D471" s="6">
        <f>IFERROR(__xludf.DUMMYFUNCTION("""COMPUTED_VALUE"""),39120.99861111111)</f>
        <v>39120.99861</v>
      </c>
      <c r="E471" s="3">
        <f>IFERROR(__xludf.DUMMYFUNCTION("""COMPUTED_VALUE"""),3.3604)</f>
        <v>3.3604</v>
      </c>
    </row>
    <row r="472">
      <c r="D472" s="6">
        <f>IFERROR(__xludf.DUMMYFUNCTION("""COMPUTED_VALUE"""),39121.99861111111)</f>
        <v>39121.99861</v>
      </c>
      <c r="E472" s="3">
        <f>IFERROR(__xludf.DUMMYFUNCTION("""COMPUTED_VALUE"""),3.3625)</f>
        <v>3.3625</v>
      </c>
    </row>
    <row r="473">
      <c r="D473" s="6">
        <f>IFERROR(__xludf.DUMMYFUNCTION("""COMPUTED_VALUE"""),39122.99861111111)</f>
        <v>39122.99861</v>
      </c>
      <c r="E473" s="3">
        <f>IFERROR(__xludf.DUMMYFUNCTION("""COMPUTED_VALUE"""),3.3709)</f>
        <v>3.3709</v>
      </c>
    </row>
    <row r="474">
      <c r="D474" s="6">
        <f>IFERROR(__xludf.DUMMYFUNCTION("""COMPUTED_VALUE"""),39124.99861111111)</f>
        <v>39124.99861</v>
      </c>
      <c r="E474" s="3">
        <f>IFERROR(__xludf.DUMMYFUNCTION("""COMPUTED_VALUE"""),3.3709)</f>
        <v>3.3709</v>
      </c>
    </row>
    <row r="475">
      <c r="D475" s="6">
        <f>IFERROR(__xludf.DUMMYFUNCTION("""COMPUTED_VALUE"""),39125.99861111111)</f>
        <v>39125.99861</v>
      </c>
      <c r="E475" s="3">
        <f>IFERROR(__xludf.DUMMYFUNCTION("""COMPUTED_VALUE"""),3.386)</f>
        <v>3.386</v>
      </c>
    </row>
    <row r="476">
      <c r="D476" s="6">
        <f>IFERROR(__xludf.DUMMYFUNCTION("""COMPUTED_VALUE"""),39126.99861111111)</f>
        <v>39126.99861</v>
      </c>
      <c r="E476" s="3">
        <f>IFERROR(__xludf.DUMMYFUNCTION("""COMPUTED_VALUE"""),3.3843)</f>
        <v>3.3843</v>
      </c>
    </row>
    <row r="477">
      <c r="D477" s="6">
        <f>IFERROR(__xludf.DUMMYFUNCTION("""COMPUTED_VALUE"""),39127.99861111111)</f>
        <v>39127.99861</v>
      </c>
      <c r="E477" s="3">
        <f>IFERROR(__xludf.DUMMYFUNCTION("""COMPUTED_VALUE"""),3.3822)</f>
        <v>3.3822</v>
      </c>
    </row>
    <row r="478">
      <c r="D478" s="6">
        <f>IFERROR(__xludf.DUMMYFUNCTION("""COMPUTED_VALUE"""),39128.99861111111)</f>
        <v>39128.99861</v>
      </c>
      <c r="E478" s="3">
        <f>IFERROR(__xludf.DUMMYFUNCTION("""COMPUTED_VALUE"""),3.3701)</f>
        <v>3.3701</v>
      </c>
    </row>
    <row r="479">
      <c r="D479" s="6">
        <f>IFERROR(__xludf.DUMMYFUNCTION("""COMPUTED_VALUE"""),39129.99861111111)</f>
        <v>39129.99861</v>
      </c>
      <c r="E479" s="3">
        <f>IFERROR(__xludf.DUMMYFUNCTION("""COMPUTED_VALUE"""),3.3695)</f>
        <v>3.3695</v>
      </c>
    </row>
    <row r="480">
      <c r="D480" s="6">
        <f>IFERROR(__xludf.DUMMYFUNCTION("""COMPUTED_VALUE"""),39131.99861111111)</f>
        <v>39131.99861</v>
      </c>
      <c r="E480" s="3">
        <f>IFERROR(__xludf.DUMMYFUNCTION("""COMPUTED_VALUE"""),3.3695)</f>
        <v>3.3695</v>
      </c>
    </row>
    <row r="481">
      <c r="D481" s="6">
        <f>IFERROR(__xludf.DUMMYFUNCTION("""COMPUTED_VALUE"""),39132.99861111111)</f>
        <v>39132.99861</v>
      </c>
      <c r="E481" s="3">
        <f>IFERROR(__xludf.DUMMYFUNCTION("""COMPUTED_VALUE"""),3.37)</f>
        <v>3.37</v>
      </c>
    </row>
    <row r="482">
      <c r="D482" s="6">
        <f>IFERROR(__xludf.DUMMYFUNCTION("""COMPUTED_VALUE"""),39133.99861111111)</f>
        <v>39133.99861</v>
      </c>
      <c r="E482" s="3">
        <f>IFERROR(__xludf.DUMMYFUNCTION("""COMPUTED_VALUE"""),3.3713)</f>
        <v>3.3713</v>
      </c>
    </row>
    <row r="483">
      <c r="D483" s="6">
        <f>IFERROR(__xludf.DUMMYFUNCTION("""COMPUTED_VALUE"""),39134.99861111111)</f>
        <v>39134.99861</v>
      </c>
      <c r="E483" s="3">
        <f>IFERROR(__xludf.DUMMYFUNCTION("""COMPUTED_VALUE"""),3.3756)</f>
        <v>3.3756</v>
      </c>
    </row>
    <row r="484">
      <c r="D484" s="6">
        <f>IFERROR(__xludf.DUMMYFUNCTION("""COMPUTED_VALUE"""),39135.99861111111)</f>
        <v>39135.99861</v>
      </c>
      <c r="E484" s="3">
        <f>IFERROR(__xludf.DUMMYFUNCTION("""COMPUTED_VALUE"""),3.37)</f>
        <v>3.37</v>
      </c>
    </row>
    <row r="485">
      <c r="D485" s="6">
        <f>IFERROR(__xludf.DUMMYFUNCTION("""COMPUTED_VALUE"""),39136.99861111111)</f>
        <v>39136.99861</v>
      </c>
      <c r="E485" s="3">
        <f>IFERROR(__xludf.DUMMYFUNCTION("""COMPUTED_VALUE"""),3.3698)</f>
        <v>3.3698</v>
      </c>
    </row>
    <row r="486">
      <c r="D486" s="6">
        <f>IFERROR(__xludf.DUMMYFUNCTION("""COMPUTED_VALUE"""),39138.99861111111)</f>
        <v>39138.99861</v>
      </c>
      <c r="E486" s="3">
        <f>IFERROR(__xludf.DUMMYFUNCTION("""COMPUTED_VALUE"""),3.3698)</f>
        <v>3.3698</v>
      </c>
    </row>
    <row r="487">
      <c r="D487" s="6">
        <f>IFERROR(__xludf.DUMMYFUNCTION("""COMPUTED_VALUE"""),39139.99861111111)</f>
        <v>39139.99861</v>
      </c>
      <c r="E487" s="3">
        <f>IFERROR(__xludf.DUMMYFUNCTION("""COMPUTED_VALUE"""),3.3687)</f>
        <v>3.3687</v>
      </c>
    </row>
    <row r="488">
      <c r="D488" s="6">
        <f>IFERROR(__xludf.DUMMYFUNCTION("""COMPUTED_VALUE"""),39140.99861111111)</f>
        <v>39140.99861</v>
      </c>
      <c r="E488" s="3">
        <f>IFERROR(__xludf.DUMMYFUNCTION("""COMPUTED_VALUE"""),3.3687)</f>
        <v>3.3687</v>
      </c>
    </row>
    <row r="489">
      <c r="D489" s="6">
        <f>IFERROR(__xludf.DUMMYFUNCTION("""COMPUTED_VALUE"""),39141.99861111111)</f>
        <v>39141.99861</v>
      </c>
      <c r="E489" s="3">
        <f>IFERROR(__xludf.DUMMYFUNCTION("""COMPUTED_VALUE"""),3.3907)</f>
        <v>3.3907</v>
      </c>
    </row>
    <row r="490">
      <c r="D490" s="6">
        <f>IFERROR(__xludf.DUMMYFUNCTION("""COMPUTED_VALUE"""),39142.99861111111)</f>
        <v>39142.99861</v>
      </c>
      <c r="E490" s="3">
        <f>IFERROR(__xludf.DUMMYFUNCTION("""COMPUTED_VALUE"""),3.3908)</f>
        <v>3.3908</v>
      </c>
    </row>
    <row r="491">
      <c r="D491" s="6">
        <f>IFERROR(__xludf.DUMMYFUNCTION("""COMPUTED_VALUE"""),39143.99861111111)</f>
        <v>39143.99861</v>
      </c>
      <c r="E491" s="3">
        <f>IFERROR(__xludf.DUMMYFUNCTION("""COMPUTED_VALUE"""),3.3877)</f>
        <v>3.3877</v>
      </c>
    </row>
    <row r="492">
      <c r="D492" s="6">
        <f>IFERROR(__xludf.DUMMYFUNCTION("""COMPUTED_VALUE"""),39145.99861111111)</f>
        <v>39145.99861</v>
      </c>
      <c r="E492" s="3">
        <f>IFERROR(__xludf.DUMMYFUNCTION("""COMPUTED_VALUE"""),3.3877)</f>
        <v>3.3877</v>
      </c>
    </row>
    <row r="493">
      <c r="D493" s="6">
        <f>IFERROR(__xludf.DUMMYFUNCTION("""COMPUTED_VALUE"""),39146.99861111111)</f>
        <v>39146.99861</v>
      </c>
      <c r="E493" s="3">
        <f>IFERROR(__xludf.DUMMYFUNCTION("""COMPUTED_VALUE"""),3.3841)</f>
        <v>3.3841</v>
      </c>
    </row>
    <row r="494">
      <c r="D494" s="6">
        <f>IFERROR(__xludf.DUMMYFUNCTION("""COMPUTED_VALUE"""),39147.99861111111)</f>
        <v>39147.99861</v>
      </c>
      <c r="E494" s="3">
        <f>IFERROR(__xludf.DUMMYFUNCTION("""COMPUTED_VALUE"""),3.3888)</f>
        <v>3.3888</v>
      </c>
    </row>
    <row r="495">
      <c r="D495" s="6">
        <f>IFERROR(__xludf.DUMMYFUNCTION("""COMPUTED_VALUE"""),39148.99861111111)</f>
        <v>39148.99861</v>
      </c>
      <c r="E495" s="3">
        <f>IFERROR(__xludf.DUMMYFUNCTION("""COMPUTED_VALUE"""),3.3801)</f>
        <v>3.3801</v>
      </c>
    </row>
    <row r="496">
      <c r="D496" s="6">
        <f>IFERROR(__xludf.DUMMYFUNCTION("""COMPUTED_VALUE"""),39149.99861111111)</f>
        <v>39149.99861</v>
      </c>
      <c r="E496" s="3">
        <f>IFERROR(__xludf.DUMMYFUNCTION("""COMPUTED_VALUE"""),3.38)</f>
        <v>3.38</v>
      </c>
    </row>
    <row r="497">
      <c r="D497" s="6">
        <f>IFERROR(__xludf.DUMMYFUNCTION("""COMPUTED_VALUE"""),39150.99861111111)</f>
        <v>39150.99861</v>
      </c>
      <c r="E497" s="3">
        <f>IFERROR(__xludf.DUMMYFUNCTION("""COMPUTED_VALUE"""),3.3706)</f>
        <v>3.3706</v>
      </c>
    </row>
    <row r="498">
      <c r="D498" s="6">
        <f>IFERROR(__xludf.DUMMYFUNCTION("""COMPUTED_VALUE"""),39152.99861111111)</f>
        <v>39152.99861</v>
      </c>
      <c r="E498" s="3">
        <f>IFERROR(__xludf.DUMMYFUNCTION("""COMPUTED_VALUE"""),3.3706)</f>
        <v>3.3706</v>
      </c>
    </row>
    <row r="499">
      <c r="D499" s="6">
        <f>IFERROR(__xludf.DUMMYFUNCTION("""COMPUTED_VALUE"""),39153.99861111111)</f>
        <v>39153.99861</v>
      </c>
      <c r="E499" s="3">
        <f>IFERROR(__xludf.DUMMYFUNCTION("""COMPUTED_VALUE"""),3.3631)</f>
        <v>3.3631</v>
      </c>
    </row>
    <row r="500">
      <c r="D500" s="6">
        <f>IFERROR(__xludf.DUMMYFUNCTION("""COMPUTED_VALUE"""),39154.99861111111)</f>
        <v>39154.99861</v>
      </c>
      <c r="E500" s="3">
        <f>IFERROR(__xludf.DUMMYFUNCTION("""COMPUTED_VALUE"""),3.3646)</f>
        <v>3.3646</v>
      </c>
    </row>
    <row r="501">
      <c r="D501" s="6">
        <f>IFERROR(__xludf.DUMMYFUNCTION("""COMPUTED_VALUE"""),39155.99861111111)</f>
        <v>39155.99861</v>
      </c>
      <c r="E501" s="3">
        <f>IFERROR(__xludf.DUMMYFUNCTION("""COMPUTED_VALUE"""),3.3649)</f>
        <v>3.3649</v>
      </c>
    </row>
    <row r="502">
      <c r="D502" s="6">
        <f>IFERROR(__xludf.DUMMYFUNCTION("""COMPUTED_VALUE"""),39156.99861111111)</f>
        <v>39156.99861</v>
      </c>
      <c r="E502" s="3">
        <f>IFERROR(__xludf.DUMMYFUNCTION("""COMPUTED_VALUE"""),3.3646)</f>
        <v>3.3646</v>
      </c>
    </row>
    <row r="503">
      <c r="D503" s="6">
        <f>IFERROR(__xludf.DUMMYFUNCTION("""COMPUTED_VALUE"""),39157.99861111111)</f>
        <v>39157.99861</v>
      </c>
      <c r="E503" s="3">
        <f>IFERROR(__xludf.DUMMYFUNCTION("""COMPUTED_VALUE"""),3.3603)</f>
        <v>3.3603</v>
      </c>
    </row>
    <row r="504">
      <c r="D504" s="6">
        <f>IFERROR(__xludf.DUMMYFUNCTION("""COMPUTED_VALUE"""),39159.99861111111)</f>
        <v>39159.99861</v>
      </c>
      <c r="E504" s="3">
        <f>IFERROR(__xludf.DUMMYFUNCTION("""COMPUTED_VALUE"""),3.3603)</f>
        <v>3.3603</v>
      </c>
    </row>
    <row r="505">
      <c r="D505" s="6">
        <f>IFERROR(__xludf.DUMMYFUNCTION("""COMPUTED_VALUE"""),39160.99861111111)</f>
        <v>39160.99861</v>
      </c>
      <c r="E505" s="3">
        <f>IFERROR(__xludf.DUMMYFUNCTION("""COMPUTED_VALUE"""),3.356)</f>
        <v>3.356</v>
      </c>
    </row>
    <row r="506">
      <c r="D506" s="6">
        <f>IFERROR(__xludf.DUMMYFUNCTION("""COMPUTED_VALUE"""),39161.99861111111)</f>
        <v>39161.99861</v>
      </c>
      <c r="E506" s="3">
        <f>IFERROR(__xludf.DUMMYFUNCTION("""COMPUTED_VALUE"""),3.335)</f>
        <v>3.335</v>
      </c>
    </row>
    <row r="507">
      <c r="D507" s="6">
        <f>IFERROR(__xludf.DUMMYFUNCTION("""COMPUTED_VALUE"""),39162.99861111111)</f>
        <v>39162.99861</v>
      </c>
      <c r="E507" s="3">
        <f>IFERROR(__xludf.DUMMYFUNCTION("""COMPUTED_VALUE"""),3.3459)</f>
        <v>3.3459</v>
      </c>
    </row>
    <row r="508">
      <c r="D508" s="6">
        <f>IFERROR(__xludf.DUMMYFUNCTION("""COMPUTED_VALUE"""),39163.99861111111)</f>
        <v>39163.99861</v>
      </c>
      <c r="E508" s="3">
        <f>IFERROR(__xludf.DUMMYFUNCTION("""COMPUTED_VALUE"""),3.341)</f>
        <v>3.341</v>
      </c>
    </row>
    <row r="509">
      <c r="D509" s="6">
        <f>IFERROR(__xludf.DUMMYFUNCTION("""COMPUTED_VALUE"""),39164.99861111111)</f>
        <v>39164.99861</v>
      </c>
      <c r="E509" s="3">
        <f>IFERROR(__xludf.DUMMYFUNCTION("""COMPUTED_VALUE"""),3.3547)</f>
        <v>3.3547</v>
      </c>
    </row>
    <row r="510">
      <c r="D510" s="6">
        <f>IFERROR(__xludf.DUMMYFUNCTION("""COMPUTED_VALUE"""),39166.99861111111)</f>
        <v>39166.99861</v>
      </c>
      <c r="E510" s="3">
        <f>IFERROR(__xludf.DUMMYFUNCTION("""COMPUTED_VALUE"""),3.3547)</f>
        <v>3.3547</v>
      </c>
    </row>
    <row r="511">
      <c r="D511" s="6">
        <f>IFERROR(__xludf.DUMMYFUNCTION("""COMPUTED_VALUE"""),39167.99861111111)</f>
        <v>39167.99861</v>
      </c>
      <c r="E511" s="3">
        <f>IFERROR(__xludf.DUMMYFUNCTION("""COMPUTED_VALUE"""),3.3515)</f>
        <v>3.3515</v>
      </c>
    </row>
    <row r="512">
      <c r="D512" s="6">
        <f>IFERROR(__xludf.DUMMYFUNCTION("""COMPUTED_VALUE"""),39168.99861111111)</f>
        <v>39168.99861</v>
      </c>
      <c r="E512" s="3">
        <f>IFERROR(__xludf.DUMMYFUNCTION("""COMPUTED_VALUE"""),3.359)</f>
        <v>3.359</v>
      </c>
    </row>
    <row r="513">
      <c r="D513" s="6">
        <f>IFERROR(__xludf.DUMMYFUNCTION("""COMPUTED_VALUE"""),39169.99861111111)</f>
        <v>39169.99861</v>
      </c>
      <c r="E513" s="3">
        <f>IFERROR(__xludf.DUMMYFUNCTION("""COMPUTED_VALUE"""),3.3593)</f>
        <v>3.3593</v>
      </c>
    </row>
    <row r="514">
      <c r="D514" s="6">
        <f>IFERROR(__xludf.DUMMYFUNCTION("""COMPUTED_VALUE"""),39170.99861111111)</f>
        <v>39170.99861</v>
      </c>
      <c r="E514" s="3">
        <f>IFERROR(__xludf.DUMMYFUNCTION("""COMPUTED_VALUE"""),3.3599)</f>
        <v>3.3599</v>
      </c>
    </row>
    <row r="515">
      <c r="D515" s="6">
        <f>IFERROR(__xludf.DUMMYFUNCTION("""COMPUTED_VALUE"""),39171.99861111111)</f>
        <v>39171.99861</v>
      </c>
      <c r="E515" s="3">
        <f>IFERROR(__xludf.DUMMYFUNCTION("""COMPUTED_VALUE"""),3.3529)</f>
        <v>3.3529</v>
      </c>
    </row>
    <row r="516">
      <c r="D516" s="6">
        <f>IFERROR(__xludf.DUMMYFUNCTION("""COMPUTED_VALUE"""),39173.99861111111)</f>
        <v>39173.99861</v>
      </c>
      <c r="E516" s="3">
        <f>IFERROR(__xludf.DUMMYFUNCTION("""COMPUTED_VALUE"""),3.3529)</f>
        <v>3.3529</v>
      </c>
    </row>
    <row r="517">
      <c r="D517" s="6">
        <f>IFERROR(__xludf.DUMMYFUNCTION("""COMPUTED_VALUE"""),39174.99861111111)</f>
        <v>39174.99861</v>
      </c>
      <c r="E517" s="3">
        <f>IFERROR(__xludf.DUMMYFUNCTION("""COMPUTED_VALUE"""),3.3451)</f>
        <v>3.3451</v>
      </c>
    </row>
    <row r="518">
      <c r="D518" s="6">
        <f>IFERROR(__xludf.DUMMYFUNCTION("""COMPUTED_VALUE"""),39175.99861111111)</f>
        <v>39175.99861</v>
      </c>
      <c r="E518" s="3">
        <f>IFERROR(__xludf.DUMMYFUNCTION("""COMPUTED_VALUE"""),3.3318)</f>
        <v>3.3318</v>
      </c>
    </row>
    <row r="519">
      <c r="D519" s="6">
        <f>IFERROR(__xludf.DUMMYFUNCTION("""COMPUTED_VALUE"""),39176.99861111111)</f>
        <v>39176.99861</v>
      </c>
      <c r="E519" s="3">
        <f>IFERROR(__xludf.DUMMYFUNCTION("""COMPUTED_VALUE"""),3.327)</f>
        <v>3.327</v>
      </c>
    </row>
    <row r="520">
      <c r="D520" s="6">
        <f>IFERROR(__xludf.DUMMYFUNCTION("""COMPUTED_VALUE"""),39177.99861111111)</f>
        <v>39177.99861</v>
      </c>
      <c r="E520" s="3">
        <f>IFERROR(__xludf.DUMMYFUNCTION("""COMPUTED_VALUE"""),3.3265)</f>
        <v>3.3265</v>
      </c>
    </row>
    <row r="521">
      <c r="D521" s="6">
        <f>IFERROR(__xludf.DUMMYFUNCTION("""COMPUTED_VALUE"""),39178.99861111111)</f>
        <v>39178.99861</v>
      </c>
      <c r="E521" s="3">
        <f>IFERROR(__xludf.DUMMYFUNCTION("""COMPUTED_VALUE"""),3.3294)</f>
        <v>3.3294</v>
      </c>
    </row>
    <row r="522">
      <c r="D522" s="6">
        <f>IFERROR(__xludf.DUMMYFUNCTION("""COMPUTED_VALUE"""),39180.99861111111)</f>
        <v>39180.99861</v>
      </c>
      <c r="E522" s="3">
        <f>IFERROR(__xludf.DUMMYFUNCTION("""COMPUTED_VALUE"""),3.3451)</f>
        <v>3.3451</v>
      </c>
    </row>
    <row r="523">
      <c r="D523" s="6">
        <f>IFERROR(__xludf.DUMMYFUNCTION("""COMPUTED_VALUE"""),39181.99861111111)</f>
        <v>39181.99861</v>
      </c>
      <c r="E523" s="3">
        <f>IFERROR(__xludf.DUMMYFUNCTION("""COMPUTED_VALUE"""),3.3317)</f>
        <v>3.3317</v>
      </c>
    </row>
    <row r="524">
      <c r="D524" s="6">
        <f>IFERROR(__xludf.DUMMYFUNCTION("""COMPUTED_VALUE"""),39182.99861111111)</f>
        <v>39182.99861</v>
      </c>
      <c r="E524" s="3">
        <f>IFERROR(__xludf.DUMMYFUNCTION("""COMPUTED_VALUE"""),3.3375)</f>
        <v>3.3375</v>
      </c>
    </row>
    <row r="525">
      <c r="D525" s="6">
        <f>IFERROR(__xludf.DUMMYFUNCTION("""COMPUTED_VALUE"""),39183.99861111111)</f>
        <v>39183.99861</v>
      </c>
      <c r="E525" s="3">
        <f>IFERROR(__xludf.DUMMYFUNCTION("""COMPUTED_VALUE"""),3.3329)</f>
        <v>3.3329</v>
      </c>
    </row>
    <row r="526">
      <c r="D526" s="6">
        <f>IFERROR(__xludf.DUMMYFUNCTION("""COMPUTED_VALUE"""),39184.99861111111)</f>
        <v>39184.99861</v>
      </c>
      <c r="E526" s="3">
        <f>IFERROR(__xludf.DUMMYFUNCTION("""COMPUTED_VALUE"""),3.3296)</f>
        <v>3.3296</v>
      </c>
    </row>
    <row r="527">
      <c r="D527" s="6">
        <f>IFERROR(__xludf.DUMMYFUNCTION("""COMPUTED_VALUE"""),39185.99861111111)</f>
        <v>39185.99861</v>
      </c>
      <c r="E527" s="3">
        <f>IFERROR(__xludf.DUMMYFUNCTION("""COMPUTED_VALUE"""),3.3341)</f>
        <v>3.3341</v>
      </c>
    </row>
    <row r="528">
      <c r="D528" s="6">
        <f>IFERROR(__xludf.DUMMYFUNCTION("""COMPUTED_VALUE"""),39188.99861111111)</f>
        <v>39188.99861</v>
      </c>
      <c r="E528" s="3">
        <f>IFERROR(__xludf.DUMMYFUNCTION("""COMPUTED_VALUE"""),3.3286)</f>
        <v>3.3286</v>
      </c>
    </row>
    <row r="529">
      <c r="D529" s="6">
        <f>IFERROR(__xludf.DUMMYFUNCTION("""COMPUTED_VALUE"""),39189.99861111111)</f>
        <v>39189.99861</v>
      </c>
      <c r="E529" s="3">
        <f>IFERROR(__xludf.DUMMYFUNCTION("""COMPUTED_VALUE"""),3.3249)</f>
        <v>3.3249</v>
      </c>
    </row>
    <row r="530">
      <c r="D530" s="6">
        <f>IFERROR(__xludf.DUMMYFUNCTION("""COMPUTED_VALUE"""),39190.99861111111)</f>
        <v>39190.99861</v>
      </c>
      <c r="E530" s="3">
        <f>IFERROR(__xludf.DUMMYFUNCTION("""COMPUTED_VALUE"""),3.3185)</f>
        <v>3.3185</v>
      </c>
    </row>
    <row r="531">
      <c r="D531" s="6">
        <f>IFERROR(__xludf.DUMMYFUNCTION("""COMPUTED_VALUE"""),39191.99861111111)</f>
        <v>39191.99861</v>
      </c>
      <c r="E531" s="3">
        <f>IFERROR(__xludf.DUMMYFUNCTION("""COMPUTED_VALUE"""),3.326)</f>
        <v>3.326</v>
      </c>
    </row>
    <row r="532">
      <c r="D532" s="6">
        <f>IFERROR(__xludf.DUMMYFUNCTION("""COMPUTED_VALUE"""),39192.99861111111)</f>
        <v>39192.99861</v>
      </c>
      <c r="E532" s="3">
        <f>IFERROR(__xludf.DUMMYFUNCTION("""COMPUTED_VALUE"""),3.3256)</f>
        <v>3.3256</v>
      </c>
    </row>
    <row r="533">
      <c r="D533" s="6">
        <f>IFERROR(__xludf.DUMMYFUNCTION("""COMPUTED_VALUE"""),39194.99861111111)</f>
        <v>39194.99861</v>
      </c>
      <c r="E533" s="3">
        <f>IFERROR(__xludf.DUMMYFUNCTION("""COMPUTED_VALUE"""),3.3256)</f>
        <v>3.3256</v>
      </c>
    </row>
    <row r="534">
      <c r="D534" s="6">
        <f>IFERROR(__xludf.DUMMYFUNCTION("""COMPUTED_VALUE"""),39195.99861111111)</f>
        <v>39195.99861</v>
      </c>
      <c r="E534" s="3">
        <f>IFERROR(__xludf.DUMMYFUNCTION("""COMPUTED_VALUE"""),3.3287)</f>
        <v>3.3287</v>
      </c>
    </row>
    <row r="535">
      <c r="D535" s="6">
        <f>IFERROR(__xludf.DUMMYFUNCTION("""COMPUTED_VALUE"""),39196.99861111111)</f>
        <v>39196.99861</v>
      </c>
      <c r="E535" s="3">
        <f>IFERROR(__xludf.DUMMYFUNCTION("""COMPUTED_VALUE"""),3.3282)</f>
        <v>3.3282</v>
      </c>
    </row>
    <row r="536">
      <c r="D536" s="6">
        <f>IFERROR(__xludf.DUMMYFUNCTION("""COMPUTED_VALUE"""),39197.99861111111)</f>
        <v>39197.99861</v>
      </c>
      <c r="E536" s="3">
        <f>IFERROR(__xludf.DUMMYFUNCTION("""COMPUTED_VALUE"""),3.3281)</f>
        <v>3.3281</v>
      </c>
    </row>
    <row r="537">
      <c r="D537" s="6">
        <f>IFERROR(__xludf.DUMMYFUNCTION("""COMPUTED_VALUE"""),39198.99861111111)</f>
        <v>39198.99861</v>
      </c>
      <c r="E537" s="3">
        <f>IFERROR(__xludf.DUMMYFUNCTION("""COMPUTED_VALUE"""),3.319)</f>
        <v>3.319</v>
      </c>
    </row>
    <row r="538">
      <c r="D538" s="6">
        <f>IFERROR(__xludf.DUMMYFUNCTION("""COMPUTED_VALUE"""),39199.99861111111)</f>
        <v>39199.99861</v>
      </c>
      <c r="E538" s="3">
        <f>IFERROR(__xludf.DUMMYFUNCTION("""COMPUTED_VALUE"""),3.3151)</f>
        <v>3.3151</v>
      </c>
    </row>
    <row r="539">
      <c r="D539" s="6">
        <f>IFERROR(__xludf.DUMMYFUNCTION("""COMPUTED_VALUE"""),39201.99861111111)</f>
        <v>39201.99861</v>
      </c>
      <c r="E539" s="3">
        <f>IFERROR(__xludf.DUMMYFUNCTION("""COMPUTED_VALUE"""),3.3151)</f>
        <v>3.3151</v>
      </c>
    </row>
    <row r="540">
      <c r="D540" s="6">
        <f>IFERROR(__xludf.DUMMYFUNCTION("""COMPUTED_VALUE"""),39202.99861111111)</f>
        <v>39202.99861</v>
      </c>
      <c r="E540" s="3">
        <f>IFERROR(__xludf.DUMMYFUNCTION("""COMPUTED_VALUE"""),3.3159)</f>
        <v>3.3159</v>
      </c>
    </row>
    <row r="541">
      <c r="D541" s="6">
        <f>IFERROR(__xludf.DUMMYFUNCTION("""COMPUTED_VALUE"""),39203.99861111111)</f>
        <v>39203.99861</v>
      </c>
      <c r="E541" s="3">
        <f>IFERROR(__xludf.DUMMYFUNCTION("""COMPUTED_VALUE"""),3.3111)</f>
        <v>3.3111</v>
      </c>
    </row>
    <row r="542">
      <c r="D542" s="6">
        <f>IFERROR(__xludf.DUMMYFUNCTION("""COMPUTED_VALUE"""),39204.99861111111)</f>
        <v>39204.99861</v>
      </c>
      <c r="E542" s="3">
        <f>IFERROR(__xludf.DUMMYFUNCTION("""COMPUTED_VALUE"""),3.3189)</f>
        <v>3.3189</v>
      </c>
    </row>
    <row r="543">
      <c r="D543" s="6">
        <f>IFERROR(__xludf.DUMMYFUNCTION("""COMPUTED_VALUE"""),39205.99861111111)</f>
        <v>39205.99861</v>
      </c>
      <c r="E543" s="3">
        <f>IFERROR(__xludf.DUMMYFUNCTION("""COMPUTED_VALUE"""),3.315)</f>
        <v>3.315</v>
      </c>
    </row>
    <row r="544">
      <c r="D544" s="6">
        <f>IFERROR(__xludf.DUMMYFUNCTION("""COMPUTED_VALUE"""),39206.99861111111)</f>
        <v>39206.99861</v>
      </c>
      <c r="E544" s="3">
        <f>IFERROR(__xludf.DUMMYFUNCTION("""COMPUTED_VALUE"""),3.3111)</f>
        <v>3.3111</v>
      </c>
    </row>
    <row r="545">
      <c r="D545" s="6">
        <f>IFERROR(__xludf.DUMMYFUNCTION("""COMPUTED_VALUE"""),39208.99861111111)</f>
        <v>39208.99861</v>
      </c>
      <c r="E545" s="3">
        <f>IFERROR(__xludf.DUMMYFUNCTION("""COMPUTED_VALUE"""),3.3118)</f>
        <v>3.3118</v>
      </c>
    </row>
    <row r="546">
      <c r="D546" s="6">
        <f>IFERROR(__xludf.DUMMYFUNCTION("""COMPUTED_VALUE"""),39209.99861111111)</f>
        <v>39209.99861</v>
      </c>
      <c r="E546" s="3">
        <f>IFERROR(__xludf.DUMMYFUNCTION("""COMPUTED_VALUE"""),3.3118)</f>
        <v>3.3118</v>
      </c>
    </row>
    <row r="547">
      <c r="D547" s="6">
        <f>IFERROR(__xludf.DUMMYFUNCTION("""COMPUTED_VALUE"""),39210.99861111111)</f>
        <v>39210.99861</v>
      </c>
      <c r="E547" s="3">
        <f>IFERROR(__xludf.DUMMYFUNCTION("""COMPUTED_VALUE"""),3.2994)</f>
        <v>3.2994</v>
      </c>
    </row>
    <row r="548">
      <c r="D548" s="6">
        <f>IFERROR(__xludf.DUMMYFUNCTION("""COMPUTED_VALUE"""),39211.99861111111)</f>
        <v>39211.99861</v>
      </c>
      <c r="E548" s="3">
        <f>IFERROR(__xludf.DUMMYFUNCTION("""COMPUTED_VALUE"""),3.2772)</f>
        <v>3.2772</v>
      </c>
    </row>
    <row r="549">
      <c r="D549" s="6">
        <f>IFERROR(__xludf.DUMMYFUNCTION("""COMPUTED_VALUE"""),39212.99861111111)</f>
        <v>39212.99861</v>
      </c>
      <c r="E549" s="3">
        <f>IFERROR(__xludf.DUMMYFUNCTION("""COMPUTED_VALUE"""),3.2785)</f>
        <v>3.2785</v>
      </c>
    </row>
    <row r="550">
      <c r="D550" s="6">
        <f>IFERROR(__xludf.DUMMYFUNCTION("""COMPUTED_VALUE"""),39213.99861111111)</f>
        <v>39213.99861</v>
      </c>
      <c r="E550" s="3">
        <f>IFERROR(__xludf.DUMMYFUNCTION("""COMPUTED_VALUE"""),3.2721)</f>
        <v>3.2721</v>
      </c>
    </row>
    <row r="551">
      <c r="D551" s="6">
        <f>IFERROR(__xludf.DUMMYFUNCTION("""COMPUTED_VALUE"""),39215.99861111111)</f>
        <v>39215.99861</v>
      </c>
      <c r="E551" s="3">
        <f>IFERROR(__xludf.DUMMYFUNCTION("""COMPUTED_VALUE"""),3.2721)</f>
        <v>3.2721</v>
      </c>
    </row>
    <row r="552">
      <c r="D552" s="6">
        <f>IFERROR(__xludf.DUMMYFUNCTION("""COMPUTED_VALUE"""),39216.99861111111)</f>
        <v>39216.99861</v>
      </c>
      <c r="E552" s="3">
        <f>IFERROR(__xludf.DUMMYFUNCTION("""COMPUTED_VALUE"""),3.2765)</f>
        <v>3.2765</v>
      </c>
    </row>
    <row r="553">
      <c r="D553" s="6">
        <f>IFERROR(__xludf.DUMMYFUNCTION("""COMPUTED_VALUE"""),39217.99861111111)</f>
        <v>39217.99861</v>
      </c>
      <c r="E553" s="3">
        <f>IFERROR(__xludf.DUMMYFUNCTION("""COMPUTED_VALUE"""),3.27)</f>
        <v>3.27</v>
      </c>
    </row>
    <row r="554">
      <c r="D554" s="6">
        <f>IFERROR(__xludf.DUMMYFUNCTION("""COMPUTED_VALUE"""),39218.99861111111)</f>
        <v>39218.99861</v>
      </c>
      <c r="E554" s="3">
        <f>IFERROR(__xludf.DUMMYFUNCTION("""COMPUTED_VALUE"""),3.2716)</f>
        <v>3.2716</v>
      </c>
    </row>
    <row r="555">
      <c r="D555" s="6">
        <f>IFERROR(__xludf.DUMMYFUNCTION("""COMPUTED_VALUE"""),39219.99861111111)</f>
        <v>39219.99861</v>
      </c>
      <c r="E555" s="3">
        <f>IFERROR(__xludf.DUMMYFUNCTION("""COMPUTED_VALUE"""),3.2765)</f>
        <v>3.2765</v>
      </c>
    </row>
    <row r="556">
      <c r="D556" s="6">
        <f>IFERROR(__xludf.DUMMYFUNCTION("""COMPUTED_VALUE"""),39220.99861111111)</f>
        <v>39220.99861</v>
      </c>
      <c r="E556" s="3">
        <f>IFERROR(__xludf.DUMMYFUNCTION("""COMPUTED_VALUE"""),3.2661)</f>
        <v>3.2661</v>
      </c>
    </row>
    <row r="557">
      <c r="D557" s="6">
        <f>IFERROR(__xludf.DUMMYFUNCTION("""COMPUTED_VALUE"""),39222.99861111111)</f>
        <v>39222.99861</v>
      </c>
      <c r="E557" s="3">
        <f>IFERROR(__xludf.DUMMYFUNCTION("""COMPUTED_VALUE"""),3.2661)</f>
        <v>3.2661</v>
      </c>
    </row>
    <row r="558">
      <c r="D558" s="6">
        <f>IFERROR(__xludf.DUMMYFUNCTION("""COMPUTED_VALUE"""),39223.99861111111)</f>
        <v>39223.99861</v>
      </c>
      <c r="E558" s="3">
        <f>IFERROR(__xludf.DUMMYFUNCTION("""COMPUTED_VALUE"""),3.2561)</f>
        <v>3.2561</v>
      </c>
    </row>
    <row r="559">
      <c r="D559" s="6">
        <f>IFERROR(__xludf.DUMMYFUNCTION("""COMPUTED_VALUE"""),39224.99861111111)</f>
        <v>39224.99861</v>
      </c>
      <c r="E559" s="3">
        <f>IFERROR(__xludf.DUMMYFUNCTION("""COMPUTED_VALUE"""),3.2548)</f>
        <v>3.2548</v>
      </c>
    </row>
    <row r="560">
      <c r="D560" s="6">
        <f>IFERROR(__xludf.DUMMYFUNCTION("""COMPUTED_VALUE"""),39225.99861111111)</f>
        <v>39225.99861</v>
      </c>
      <c r="E560" s="3">
        <f>IFERROR(__xludf.DUMMYFUNCTION("""COMPUTED_VALUE"""),3.2678)</f>
        <v>3.2678</v>
      </c>
    </row>
    <row r="561">
      <c r="D561" s="6">
        <f>IFERROR(__xludf.DUMMYFUNCTION("""COMPUTED_VALUE"""),39226.99861111111)</f>
        <v>39226.99861</v>
      </c>
      <c r="E561" s="3">
        <f>IFERROR(__xludf.DUMMYFUNCTION("""COMPUTED_VALUE"""),3.2668)</f>
        <v>3.2668</v>
      </c>
    </row>
    <row r="562">
      <c r="D562" s="6">
        <f>IFERROR(__xludf.DUMMYFUNCTION("""COMPUTED_VALUE"""),39227.99861111111)</f>
        <v>39227.99861</v>
      </c>
      <c r="E562" s="3">
        <f>IFERROR(__xludf.DUMMYFUNCTION("""COMPUTED_VALUE"""),3.2691)</f>
        <v>3.2691</v>
      </c>
    </row>
    <row r="563">
      <c r="D563" s="6">
        <f>IFERROR(__xludf.DUMMYFUNCTION("""COMPUTED_VALUE"""),39229.99861111111)</f>
        <v>39229.99861</v>
      </c>
      <c r="E563" s="3">
        <f>IFERROR(__xludf.DUMMYFUNCTION("""COMPUTED_VALUE"""),3.2691)</f>
        <v>3.2691</v>
      </c>
    </row>
    <row r="564">
      <c r="D564" s="6">
        <f>IFERROR(__xludf.DUMMYFUNCTION("""COMPUTED_VALUE"""),39230.99861111111)</f>
        <v>39230.99861</v>
      </c>
      <c r="E564" s="3">
        <f>IFERROR(__xludf.DUMMYFUNCTION("""COMPUTED_VALUE"""),3.2378)</f>
        <v>3.2378</v>
      </c>
    </row>
    <row r="565">
      <c r="D565" s="6">
        <f>IFERROR(__xludf.DUMMYFUNCTION("""COMPUTED_VALUE"""),39231.99861111111)</f>
        <v>39231.99861</v>
      </c>
      <c r="E565" s="3">
        <f>IFERROR(__xludf.DUMMYFUNCTION("""COMPUTED_VALUE"""),3.2613)</f>
        <v>3.2613</v>
      </c>
    </row>
    <row r="566">
      <c r="D566" s="6">
        <f>IFERROR(__xludf.DUMMYFUNCTION("""COMPUTED_VALUE"""),39232.99861111111)</f>
        <v>39232.99861</v>
      </c>
      <c r="E566" s="3">
        <f>IFERROR(__xludf.DUMMYFUNCTION("""COMPUTED_VALUE"""),3.2679)</f>
        <v>3.2679</v>
      </c>
    </row>
    <row r="567">
      <c r="D567" s="6">
        <f>IFERROR(__xludf.DUMMYFUNCTION("""COMPUTED_VALUE"""),39233.99861111111)</f>
        <v>39233.99861</v>
      </c>
      <c r="E567" s="3">
        <f>IFERROR(__xludf.DUMMYFUNCTION("""COMPUTED_VALUE"""),3.2654)</f>
        <v>3.2654</v>
      </c>
    </row>
    <row r="568">
      <c r="D568" s="6">
        <f>IFERROR(__xludf.DUMMYFUNCTION("""COMPUTED_VALUE"""),39234.99861111111)</f>
        <v>39234.99861</v>
      </c>
      <c r="E568" s="3">
        <f>IFERROR(__xludf.DUMMYFUNCTION("""COMPUTED_VALUE"""),3.2595)</f>
        <v>3.2595</v>
      </c>
    </row>
    <row r="569">
      <c r="D569" s="6">
        <f>IFERROR(__xludf.DUMMYFUNCTION("""COMPUTED_VALUE"""),39236.99861111111)</f>
        <v>39236.99861</v>
      </c>
      <c r="E569" s="3">
        <f>IFERROR(__xludf.DUMMYFUNCTION("""COMPUTED_VALUE"""),3.2595)</f>
        <v>3.2595</v>
      </c>
    </row>
    <row r="570">
      <c r="D570" s="6">
        <f>IFERROR(__xludf.DUMMYFUNCTION("""COMPUTED_VALUE"""),39237.99861111111)</f>
        <v>39237.99861</v>
      </c>
      <c r="E570" s="3">
        <f>IFERROR(__xludf.DUMMYFUNCTION("""COMPUTED_VALUE"""),3.2593)</f>
        <v>3.2593</v>
      </c>
    </row>
    <row r="571">
      <c r="D571" s="6">
        <f>IFERROR(__xludf.DUMMYFUNCTION("""COMPUTED_VALUE"""),39238.99861111111)</f>
        <v>39238.99861</v>
      </c>
      <c r="E571" s="3">
        <f>IFERROR(__xludf.DUMMYFUNCTION("""COMPUTED_VALUE"""),3.2495)</f>
        <v>3.2495</v>
      </c>
    </row>
    <row r="572">
      <c r="D572" s="6">
        <f>IFERROR(__xludf.DUMMYFUNCTION("""COMPUTED_VALUE"""),39239.99861111111)</f>
        <v>39239.99861</v>
      </c>
      <c r="E572" s="3">
        <f>IFERROR(__xludf.DUMMYFUNCTION("""COMPUTED_VALUE"""),3.2517)</f>
        <v>3.2517</v>
      </c>
    </row>
    <row r="573">
      <c r="D573" s="6">
        <f>IFERROR(__xludf.DUMMYFUNCTION("""COMPUTED_VALUE"""),39240.99861111111)</f>
        <v>39240.99861</v>
      </c>
      <c r="E573" s="3">
        <f>IFERROR(__xludf.DUMMYFUNCTION("""COMPUTED_VALUE"""),3.2596)</f>
        <v>3.2596</v>
      </c>
    </row>
    <row r="574">
      <c r="D574" s="6">
        <f>IFERROR(__xludf.DUMMYFUNCTION("""COMPUTED_VALUE"""),39241.99861111111)</f>
        <v>39241.99861</v>
      </c>
      <c r="E574" s="3">
        <f>IFERROR(__xludf.DUMMYFUNCTION("""COMPUTED_VALUE"""),3.2766)</f>
        <v>3.2766</v>
      </c>
    </row>
    <row r="575">
      <c r="D575" s="6">
        <f>IFERROR(__xludf.DUMMYFUNCTION("""COMPUTED_VALUE"""),39244.99861111111)</f>
        <v>39244.99861</v>
      </c>
      <c r="E575" s="3">
        <f>IFERROR(__xludf.DUMMYFUNCTION("""COMPUTED_VALUE"""),3.277)</f>
        <v>3.277</v>
      </c>
    </row>
    <row r="576">
      <c r="D576" s="6">
        <f>IFERROR(__xludf.DUMMYFUNCTION("""COMPUTED_VALUE"""),39245.99861111111)</f>
        <v>39245.99861</v>
      </c>
      <c r="E576" s="3">
        <f>IFERROR(__xludf.DUMMYFUNCTION("""COMPUTED_VALUE"""),3.2646)</f>
        <v>3.2646</v>
      </c>
    </row>
    <row r="577">
      <c r="D577" s="6">
        <f>IFERROR(__xludf.DUMMYFUNCTION("""COMPUTED_VALUE"""),39246.99861111111)</f>
        <v>39246.99861</v>
      </c>
      <c r="E577" s="3">
        <f>IFERROR(__xludf.DUMMYFUNCTION("""COMPUTED_VALUE"""),3.252)</f>
        <v>3.252</v>
      </c>
    </row>
    <row r="578">
      <c r="D578" s="6">
        <f>IFERROR(__xludf.DUMMYFUNCTION("""COMPUTED_VALUE"""),39247.99861111111)</f>
        <v>39247.99861</v>
      </c>
      <c r="E578" s="3">
        <f>IFERROR(__xludf.DUMMYFUNCTION("""COMPUTED_VALUE"""),3.2535)</f>
        <v>3.2535</v>
      </c>
    </row>
    <row r="579">
      <c r="D579" s="6">
        <f>IFERROR(__xludf.DUMMYFUNCTION("""COMPUTED_VALUE"""),39248.99861111111)</f>
        <v>39248.99861</v>
      </c>
      <c r="E579" s="3">
        <f>IFERROR(__xludf.DUMMYFUNCTION("""COMPUTED_VALUE"""),3.2309)</f>
        <v>3.2309</v>
      </c>
    </row>
    <row r="580">
      <c r="D580" s="6">
        <f>IFERROR(__xludf.DUMMYFUNCTION("""COMPUTED_VALUE"""),39250.99861111111)</f>
        <v>39250.99861</v>
      </c>
      <c r="E580" s="3">
        <f>IFERROR(__xludf.DUMMYFUNCTION("""COMPUTED_VALUE"""),3.2309)</f>
        <v>3.2309</v>
      </c>
    </row>
    <row r="581">
      <c r="D581" s="6">
        <f>IFERROR(__xludf.DUMMYFUNCTION("""COMPUTED_VALUE"""),39251.99861111111)</f>
        <v>39251.99861</v>
      </c>
      <c r="E581" s="3">
        <f>IFERROR(__xludf.DUMMYFUNCTION("""COMPUTED_VALUE"""),3.2076)</f>
        <v>3.2076</v>
      </c>
    </row>
    <row r="582">
      <c r="D582" s="6">
        <f>IFERROR(__xludf.DUMMYFUNCTION("""COMPUTED_VALUE"""),39252.99861111111)</f>
        <v>39252.99861</v>
      </c>
      <c r="E582" s="3">
        <f>IFERROR(__xludf.DUMMYFUNCTION("""COMPUTED_VALUE"""),3.2064)</f>
        <v>3.2064</v>
      </c>
    </row>
    <row r="583">
      <c r="D583" s="6">
        <f>IFERROR(__xludf.DUMMYFUNCTION("""COMPUTED_VALUE"""),39253.99861111111)</f>
        <v>39253.99861</v>
      </c>
      <c r="E583" s="3">
        <f>IFERROR(__xludf.DUMMYFUNCTION("""COMPUTED_VALUE"""),3.2)</f>
        <v>3.2</v>
      </c>
    </row>
    <row r="584">
      <c r="D584" s="6">
        <f>IFERROR(__xludf.DUMMYFUNCTION("""COMPUTED_VALUE"""),39254.99861111111)</f>
        <v>39254.99861</v>
      </c>
      <c r="E584" s="3">
        <f>IFERROR(__xludf.DUMMYFUNCTION("""COMPUTED_VALUE"""),3.1933)</f>
        <v>3.1933</v>
      </c>
    </row>
    <row r="585">
      <c r="D585" s="6">
        <f>IFERROR(__xludf.DUMMYFUNCTION("""COMPUTED_VALUE"""),39255.99861111111)</f>
        <v>39255.99861</v>
      </c>
      <c r="E585" s="3">
        <f>IFERROR(__xludf.DUMMYFUNCTION("""COMPUTED_VALUE"""),3.1872)</f>
        <v>3.1872</v>
      </c>
    </row>
    <row r="586">
      <c r="D586" s="6">
        <f>IFERROR(__xludf.DUMMYFUNCTION("""COMPUTED_VALUE"""),39257.99861111111)</f>
        <v>39257.99861</v>
      </c>
      <c r="E586" s="3">
        <f>IFERROR(__xludf.DUMMYFUNCTION("""COMPUTED_VALUE"""),3.1872)</f>
        <v>3.1872</v>
      </c>
    </row>
    <row r="587">
      <c r="D587" s="6">
        <f>IFERROR(__xludf.DUMMYFUNCTION("""COMPUTED_VALUE"""),39258.99861111111)</f>
        <v>39258.99861</v>
      </c>
      <c r="E587" s="3">
        <f>IFERROR(__xludf.DUMMYFUNCTION("""COMPUTED_VALUE"""),3.1702)</f>
        <v>3.1702</v>
      </c>
    </row>
    <row r="588">
      <c r="D588" s="6">
        <f>IFERROR(__xludf.DUMMYFUNCTION("""COMPUTED_VALUE"""),39259.99861111111)</f>
        <v>39259.99861</v>
      </c>
      <c r="E588" s="3">
        <f>IFERROR(__xludf.DUMMYFUNCTION("""COMPUTED_VALUE"""),3.1733)</f>
        <v>3.1733</v>
      </c>
    </row>
    <row r="589">
      <c r="D589" s="6">
        <f>IFERROR(__xludf.DUMMYFUNCTION("""COMPUTED_VALUE"""),39260.99861111111)</f>
        <v>39260.99861</v>
      </c>
      <c r="E589" s="3">
        <f>IFERROR(__xludf.DUMMYFUNCTION("""COMPUTED_VALUE"""),3.1622)</f>
        <v>3.1622</v>
      </c>
    </row>
    <row r="590">
      <c r="D590" s="6">
        <f>IFERROR(__xludf.DUMMYFUNCTION("""COMPUTED_VALUE"""),39261.99861111111)</f>
        <v>39261.99861</v>
      </c>
      <c r="E590" s="3">
        <f>IFERROR(__xludf.DUMMYFUNCTION("""COMPUTED_VALUE"""),3.1621)</f>
        <v>3.1621</v>
      </c>
    </row>
    <row r="591">
      <c r="D591" s="6">
        <f>IFERROR(__xludf.DUMMYFUNCTION("""COMPUTED_VALUE"""),39262.99861111111)</f>
        <v>39262.99861</v>
      </c>
      <c r="E591" s="3">
        <f>IFERROR(__xludf.DUMMYFUNCTION("""COMPUTED_VALUE"""),3.1169)</f>
        <v>3.1169</v>
      </c>
    </row>
    <row r="592">
      <c r="D592" s="6">
        <f>IFERROR(__xludf.DUMMYFUNCTION("""COMPUTED_VALUE"""),39264.99861111111)</f>
        <v>39264.99861</v>
      </c>
      <c r="E592" s="3">
        <f>IFERROR(__xludf.DUMMYFUNCTION("""COMPUTED_VALUE"""),3.1169)</f>
        <v>3.1169</v>
      </c>
    </row>
    <row r="593">
      <c r="D593" s="6">
        <f>IFERROR(__xludf.DUMMYFUNCTION("""COMPUTED_VALUE"""),39265.99861111111)</f>
        <v>39265.99861</v>
      </c>
      <c r="E593" s="3">
        <f>IFERROR(__xludf.DUMMYFUNCTION("""COMPUTED_VALUE"""),3.1047)</f>
        <v>3.1047</v>
      </c>
    </row>
    <row r="594">
      <c r="D594" s="6">
        <f>IFERROR(__xludf.DUMMYFUNCTION("""COMPUTED_VALUE"""),39266.99861111111)</f>
        <v>39266.99861</v>
      </c>
      <c r="E594" s="3">
        <f>IFERROR(__xludf.DUMMYFUNCTION("""COMPUTED_VALUE"""),3.1189)</f>
        <v>3.1189</v>
      </c>
    </row>
    <row r="595">
      <c r="D595" s="6">
        <f>IFERROR(__xludf.DUMMYFUNCTION("""COMPUTED_VALUE"""),39267.99861111111)</f>
        <v>39267.99861</v>
      </c>
      <c r="E595" s="3">
        <f>IFERROR(__xludf.DUMMYFUNCTION("""COMPUTED_VALUE"""),3.1314)</f>
        <v>3.1314</v>
      </c>
    </row>
    <row r="596">
      <c r="D596" s="6">
        <f>IFERROR(__xludf.DUMMYFUNCTION("""COMPUTED_VALUE"""),39268.99861111111)</f>
        <v>39268.99861</v>
      </c>
      <c r="E596" s="3">
        <f>IFERROR(__xludf.DUMMYFUNCTION("""COMPUTED_VALUE"""),3.1351)</f>
        <v>3.1351</v>
      </c>
    </row>
    <row r="597">
      <c r="D597" s="6">
        <f>IFERROR(__xludf.DUMMYFUNCTION("""COMPUTED_VALUE"""),39269.99861111111)</f>
        <v>39269.99861</v>
      </c>
      <c r="E597" s="3">
        <f>IFERROR(__xludf.DUMMYFUNCTION("""COMPUTED_VALUE"""),3.113)</f>
        <v>3.113</v>
      </c>
    </row>
    <row r="598">
      <c r="D598" s="6">
        <f>IFERROR(__xludf.DUMMYFUNCTION("""COMPUTED_VALUE"""),39271.99861111111)</f>
        <v>39271.99861</v>
      </c>
      <c r="E598" s="3">
        <f>IFERROR(__xludf.DUMMYFUNCTION("""COMPUTED_VALUE"""),3.082)</f>
        <v>3.082</v>
      </c>
    </row>
    <row r="599">
      <c r="D599" s="6">
        <f>IFERROR(__xludf.DUMMYFUNCTION("""COMPUTED_VALUE"""),39272.99861111111)</f>
        <v>39272.99861</v>
      </c>
      <c r="E599" s="3">
        <f>IFERROR(__xludf.DUMMYFUNCTION("""COMPUTED_VALUE"""),3.1103)</f>
        <v>3.1103</v>
      </c>
    </row>
    <row r="600">
      <c r="D600" s="6">
        <f>IFERROR(__xludf.DUMMYFUNCTION("""COMPUTED_VALUE"""),39273.99861111111)</f>
        <v>39273.99861</v>
      </c>
      <c r="E600" s="3">
        <f>IFERROR(__xludf.DUMMYFUNCTION("""COMPUTED_VALUE"""),3.1319)</f>
        <v>3.1319</v>
      </c>
    </row>
    <row r="601">
      <c r="D601" s="6">
        <f>IFERROR(__xludf.DUMMYFUNCTION("""COMPUTED_VALUE"""),39274.99861111111)</f>
        <v>39274.99861</v>
      </c>
      <c r="E601" s="3">
        <f>IFERROR(__xludf.DUMMYFUNCTION("""COMPUTED_VALUE"""),3.1272)</f>
        <v>3.1272</v>
      </c>
    </row>
    <row r="602">
      <c r="D602" s="6">
        <f>IFERROR(__xludf.DUMMYFUNCTION("""COMPUTED_VALUE"""),39275.99861111111)</f>
        <v>39275.99861</v>
      </c>
      <c r="E602" s="3">
        <f>IFERROR(__xludf.DUMMYFUNCTION("""COMPUTED_VALUE"""),3.1221)</f>
        <v>3.1221</v>
      </c>
    </row>
    <row r="603">
      <c r="D603" s="6">
        <f>IFERROR(__xludf.DUMMYFUNCTION("""COMPUTED_VALUE"""),39276.99861111111)</f>
        <v>39276.99861</v>
      </c>
      <c r="E603" s="3">
        <f>IFERROR(__xludf.DUMMYFUNCTION("""COMPUTED_VALUE"""),3.1286)</f>
        <v>3.1286</v>
      </c>
    </row>
    <row r="604">
      <c r="D604" s="6">
        <f>IFERROR(__xludf.DUMMYFUNCTION("""COMPUTED_VALUE"""),39278.99861111111)</f>
        <v>39278.99861</v>
      </c>
      <c r="E604" s="3">
        <f>IFERROR(__xludf.DUMMYFUNCTION("""COMPUTED_VALUE"""),3.1286)</f>
        <v>3.1286</v>
      </c>
    </row>
    <row r="605">
      <c r="D605" s="6">
        <f>IFERROR(__xludf.DUMMYFUNCTION("""COMPUTED_VALUE"""),39279.99861111111)</f>
        <v>39279.99861</v>
      </c>
      <c r="E605" s="3">
        <f>IFERROR(__xludf.DUMMYFUNCTION("""COMPUTED_VALUE"""),3.12)</f>
        <v>3.12</v>
      </c>
    </row>
    <row r="606">
      <c r="D606" s="6">
        <f>IFERROR(__xludf.DUMMYFUNCTION("""COMPUTED_VALUE"""),39280.99861111111)</f>
        <v>39280.99861</v>
      </c>
      <c r="E606" s="3">
        <f>IFERROR(__xludf.DUMMYFUNCTION("""COMPUTED_VALUE"""),3.124)</f>
        <v>3.124</v>
      </c>
    </row>
    <row r="607">
      <c r="D607" s="6">
        <f>IFERROR(__xludf.DUMMYFUNCTION("""COMPUTED_VALUE"""),39281.99861111111)</f>
        <v>39281.99861</v>
      </c>
      <c r="E607" s="3">
        <f>IFERROR(__xludf.DUMMYFUNCTION("""COMPUTED_VALUE"""),3.1198)</f>
        <v>3.1198</v>
      </c>
    </row>
    <row r="608">
      <c r="D608" s="6">
        <f>IFERROR(__xludf.DUMMYFUNCTION("""COMPUTED_VALUE"""),39282.99861111111)</f>
        <v>39282.99861</v>
      </c>
      <c r="E608" s="3">
        <f>IFERROR(__xludf.DUMMYFUNCTION("""COMPUTED_VALUE"""),3.1232)</f>
        <v>3.1232</v>
      </c>
    </row>
    <row r="609">
      <c r="D609" s="6">
        <f>IFERROR(__xludf.DUMMYFUNCTION("""COMPUTED_VALUE"""),39283.99861111111)</f>
        <v>39283.99861</v>
      </c>
      <c r="E609" s="3">
        <f>IFERROR(__xludf.DUMMYFUNCTION("""COMPUTED_VALUE"""),3.1234)</f>
        <v>3.1234</v>
      </c>
    </row>
    <row r="610">
      <c r="D610" s="6">
        <f>IFERROR(__xludf.DUMMYFUNCTION("""COMPUTED_VALUE"""),39285.99861111111)</f>
        <v>39285.99861</v>
      </c>
      <c r="E610" s="3">
        <f>IFERROR(__xludf.DUMMYFUNCTION("""COMPUTED_VALUE"""),3.1234)</f>
        <v>3.1234</v>
      </c>
    </row>
    <row r="611">
      <c r="D611" s="6">
        <f>IFERROR(__xludf.DUMMYFUNCTION("""COMPUTED_VALUE"""),39286.99861111111)</f>
        <v>39286.99861</v>
      </c>
      <c r="E611" s="3">
        <f>IFERROR(__xludf.DUMMYFUNCTION("""COMPUTED_VALUE"""),3.1215)</f>
        <v>3.1215</v>
      </c>
    </row>
    <row r="612">
      <c r="D612" s="6">
        <f>IFERROR(__xludf.DUMMYFUNCTION("""COMPUTED_VALUE"""),39287.99861111111)</f>
        <v>39287.99861</v>
      </c>
      <c r="E612" s="3">
        <f>IFERROR(__xludf.DUMMYFUNCTION("""COMPUTED_VALUE"""),3.1185)</f>
        <v>3.1185</v>
      </c>
    </row>
    <row r="613">
      <c r="D613" s="6">
        <f>IFERROR(__xludf.DUMMYFUNCTION("""COMPUTED_VALUE"""),39288.99861111111)</f>
        <v>39288.99861</v>
      </c>
      <c r="E613" s="3">
        <f>IFERROR(__xludf.DUMMYFUNCTION("""COMPUTED_VALUE"""),3.1196)</f>
        <v>3.1196</v>
      </c>
    </row>
    <row r="614">
      <c r="D614" s="6">
        <f>IFERROR(__xludf.DUMMYFUNCTION("""COMPUTED_VALUE"""),39289.99861111111)</f>
        <v>39289.99861</v>
      </c>
      <c r="E614" s="3">
        <f>IFERROR(__xludf.DUMMYFUNCTION("""COMPUTED_VALUE"""),3.1239)</f>
        <v>3.1239</v>
      </c>
    </row>
    <row r="615">
      <c r="D615" s="6">
        <f>IFERROR(__xludf.DUMMYFUNCTION("""COMPUTED_VALUE"""),39290.99861111111)</f>
        <v>39290.99861</v>
      </c>
      <c r="E615" s="3">
        <f>IFERROR(__xludf.DUMMYFUNCTION("""COMPUTED_VALUE"""),3.165)</f>
        <v>3.165</v>
      </c>
    </row>
    <row r="616">
      <c r="D616" s="6">
        <f>IFERROR(__xludf.DUMMYFUNCTION("""COMPUTED_VALUE"""),39292.99861111111)</f>
        <v>39292.99861</v>
      </c>
      <c r="E616" s="3">
        <f>IFERROR(__xludf.DUMMYFUNCTION("""COMPUTED_VALUE"""),3.165)</f>
        <v>3.165</v>
      </c>
    </row>
    <row r="617">
      <c r="D617" s="6">
        <f>IFERROR(__xludf.DUMMYFUNCTION("""COMPUTED_VALUE"""),39293.99861111111)</f>
        <v>39293.99861</v>
      </c>
      <c r="E617" s="3">
        <f>IFERROR(__xludf.DUMMYFUNCTION("""COMPUTED_VALUE"""),3.165)</f>
        <v>3.165</v>
      </c>
    </row>
    <row r="618">
      <c r="D618" s="6">
        <f>IFERROR(__xludf.DUMMYFUNCTION("""COMPUTED_VALUE"""),39294.99861111111)</f>
        <v>39294.99861</v>
      </c>
      <c r="E618" s="3">
        <f>IFERROR(__xludf.DUMMYFUNCTION("""COMPUTED_VALUE"""),3.155)</f>
        <v>3.155</v>
      </c>
    </row>
    <row r="619">
      <c r="D619" s="6">
        <f>IFERROR(__xludf.DUMMYFUNCTION("""COMPUTED_VALUE"""),39295.99861111111)</f>
        <v>39295.99861</v>
      </c>
      <c r="E619" s="3">
        <f>IFERROR(__xludf.DUMMYFUNCTION("""COMPUTED_VALUE"""),3.1708)</f>
        <v>3.1708</v>
      </c>
    </row>
    <row r="620">
      <c r="D620" s="6">
        <f>IFERROR(__xludf.DUMMYFUNCTION("""COMPUTED_VALUE"""),39296.99861111111)</f>
        <v>39296.99861</v>
      </c>
      <c r="E620" s="3">
        <f>IFERROR(__xludf.DUMMYFUNCTION("""COMPUTED_VALUE"""),3.167)</f>
        <v>3.167</v>
      </c>
    </row>
    <row r="621">
      <c r="D621" s="6">
        <f>IFERROR(__xludf.DUMMYFUNCTION("""COMPUTED_VALUE"""),39297.99861111111)</f>
        <v>39297.99861</v>
      </c>
      <c r="E621" s="3">
        <f>IFERROR(__xludf.DUMMYFUNCTION("""COMPUTED_VALUE"""),3.1596)</f>
        <v>3.1596</v>
      </c>
    </row>
    <row r="622">
      <c r="D622" s="6">
        <f>IFERROR(__xludf.DUMMYFUNCTION("""COMPUTED_VALUE"""),39299.99861111111)</f>
        <v>39299.99861</v>
      </c>
      <c r="E622" s="3">
        <f>IFERROR(__xludf.DUMMYFUNCTION("""COMPUTED_VALUE"""),3.1596)</f>
        <v>3.1596</v>
      </c>
    </row>
    <row r="623">
      <c r="D623" s="6">
        <f>IFERROR(__xludf.DUMMYFUNCTION("""COMPUTED_VALUE"""),39300.99861111111)</f>
        <v>39300.99861</v>
      </c>
      <c r="E623" s="3">
        <f>IFERROR(__xludf.DUMMYFUNCTION("""COMPUTED_VALUE"""),3.1599)</f>
        <v>3.1599</v>
      </c>
    </row>
    <row r="624">
      <c r="D624" s="6">
        <f>IFERROR(__xludf.DUMMYFUNCTION("""COMPUTED_VALUE"""),39301.99861111111)</f>
        <v>39301.99861</v>
      </c>
      <c r="E624" s="3">
        <f>IFERROR(__xludf.DUMMYFUNCTION("""COMPUTED_VALUE"""),3.1691)</f>
        <v>3.1691</v>
      </c>
    </row>
    <row r="625">
      <c r="D625" s="6">
        <f>IFERROR(__xludf.DUMMYFUNCTION("""COMPUTED_VALUE"""),39302.99861111111)</f>
        <v>39302.99861</v>
      </c>
      <c r="E625" s="3">
        <f>IFERROR(__xludf.DUMMYFUNCTION("""COMPUTED_VALUE"""),3.1709)</f>
        <v>3.1709</v>
      </c>
    </row>
    <row r="626">
      <c r="D626" s="6">
        <f>IFERROR(__xludf.DUMMYFUNCTION("""COMPUTED_VALUE"""),39303.99861111111)</f>
        <v>39303.99861</v>
      </c>
      <c r="E626" s="3">
        <f>IFERROR(__xludf.DUMMYFUNCTION("""COMPUTED_VALUE"""),3.1619)</f>
        <v>3.1619</v>
      </c>
    </row>
    <row r="627">
      <c r="D627" s="6">
        <f>IFERROR(__xludf.DUMMYFUNCTION("""COMPUTED_VALUE"""),39304.99861111111)</f>
        <v>39304.99861</v>
      </c>
      <c r="E627" s="3">
        <f>IFERROR(__xludf.DUMMYFUNCTION("""COMPUTED_VALUE"""),3.1874)</f>
        <v>3.1874</v>
      </c>
    </row>
    <row r="628">
      <c r="D628" s="6">
        <f>IFERROR(__xludf.DUMMYFUNCTION("""COMPUTED_VALUE"""),39306.99861111111)</f>
        <v>39306.99861</v>
      </c>
      <c r="E628" s="3">
        <f>IFERROR(__xludf.DUMMYFUNCTION("""COMPUTED_VALUE"""),3.1567)</f>
        <v>3.1567</v>
      </c>
    </row>
    <row r="629">
      <c r="D629" s="6">
        <f>IFERROR(__xludf.DUMMYFUNCTION("""COMPUTED_VALUE"""),39307.99861111111)</f>
        <v>39307.99861</v>
      </c>
      <c r="E629" s="3">
        <f>IFERROR(__xludf.DUMMYFUNCTION("""COMPUTED_VALUE"""),3.1939)</f>
        <v>3.1939</v>
      </c>
    </row>
    <row r="630">
      <c r="D630" s="6">
        <f>IFERROR(__xludf.DUMMYFUNCTION("""COMPUTED_VALUE"""),39308.99861111111)</f>
        <v>39308.99861</v>
      </c>
      <c r="E630" s="3">
        <f>IFERROR(__xludf.DUMMYFUNCTION("""COMPUTED_VALUE"""),3.1891)</f>
        <v>3.1891</v>
      </c>
    </row>
    <row r="631">
      <c r="D631" s="6">
        <f>IFERROR(__xludf.DUMMYFUNCTION("""COMPUTED_VALUE"""),39309.99861111111)</f>
        <v>39309.99861</v>
      </c>
      <c r="E631" s="3">
        <f>IFERROR(__xludf.DUMMYFUNCTION("""COMPUTED_VALUE"""),3.1925)</f>
        <v>3.1925</v>
      </c>
    </row>
    <row r="632">
      <c r="D632" s="6">
        <f>IFERROR(__xludf.DUMMYFUNCTION("""COMPUTED_VALUE"""),39310.99861111111)</f>
        <v>39310.99861</v>
      </c>
      <c r="E632" s="3">
        <f>IFERROR(__xludf.DUMMYFUNCTION("""COMPUTED_VALUE"""),3.2457)</f>
        <v>3.2457</v>
      </c>
    </row>
    <row r="633">
      <c r="D633" s="6">
        <f>IFERROR(__xludf.DUMMYFUNCTION("""COMPUTED_VALUE"""),39311.99861111111)</f>
        <v>39311.99861</v>
      </c>
      <c r="E633" s="3">
        <f>IFERROR(__xludf.DUMMYFUNCTION("""COMPUTED_VALUE"""),3.2451)</f>
        <v>3.2451</v>
      </c>
    </row>
    <row r="634">
      <c r="D634" s="6">
        <f>IFERROR(__xludf.DUMMYFUNCTION("""COMPUTED_VALUE"""),39313.99861111111)</f>
        <v>39313.99861</v>
      </c>
      <c r="E634" s="3">
        <f>IFERROR(__xludf.DUMMYFUNCTION("""COMPUTED_VALUE"""),3.2451)</f>
        <v>3.2451</v>
      </c>
    </row>
    <row r="635">
      <c r="D635" s="6">
        <f>IFERROR(__xludf.DUMMYFUNCTION("""COMPUTED_VALUE"""),39314.99861111111)</f>
        <v>39314.99861</v>
      </c>
      <c r="E635" s="3">
        <f>IFERROR(__xludf.DUMMYFUNCTION("""COMPUTED_VALUE"""),3.2585)</f>
        <v>3.2585</v>
      </c>
    </row>
    <row r="636">
      <c r="D636" s="6">
        <f>IFERROR(__xludf.DUMMYFUNCTION("""COMPUTED_VALUE"""),39315.99861111111)</f>
        <v>39315.99861</v>
      </c>
      <c r="E636" s="3">
        <f>IFERROR(__xludf.DUMMYFUNCTION("""COMPUTED_VALUE"""),3.2741)</f>
        <v>3.2741</v>
      </c>
    </row>
    <row r="637">
      <c r="D637" s="6">
        <f>IFERROR(__xludf.DUMMYFUNCTION("""COMPUTED_VALUE"""),39316.99861111111)</f>
        <v>39316.99861</v>
      </c>
      <c r="E637" s="3">
        <f>IFERROR(__xludf.DUMMYFUNCTION("""COMPUTED_VALUE"""),3.2556)</f>
        <v>3.2556</v>
      </c>
    </row>
    <row r="638">
      <c r="D638" s="6">
        <f>IFERROR(__xludf.DUMMYFUNCTION("""COMPUTED_VALUE"""),39317.99861111111)</f>
        <v>39317.99861</v>
      </c>
      <c r="E638" s="3">
        <f>IFERROR(__xludf.DUMMYFUNCTION("""COMPUTED_VALUE"""),3.2547)</f>
        <v>3.2547</v>
      </c>
    </row>
    <row r="639">
      <c r="D639" s="6">
        <f>IFERROR(__xludf.DUMMYFUNCTION("""COMPUTED_VALUE"""),39318.99861111111)</f>
        <v>39318.99861</v>
      </c>
      <c r="E639" s="3">
        <f>IFERROR(__xludf.DUMMYFUNCTION("""COMPUTED_VALUE"""),3.2449)</f>
        <v>3.2449</v>
      </c>
    </row>
    <row r="640">
      <c r="D640" s="6">
        <f>IFERROR(__xludf.DUMMYFUNCTION("""COMPUTED_VALUE"""),39320.99861111111)</f>
        <v>39320.99861</v>
      </c>
      <c r="E640" s="3">
        <f>IFERROR(__xludf.DUMMYFUNCTION("""COMPUTED_VALUE"""),3.2449)</f>
        <v>3.2449</v>
      </c>
    </row>
    <row r="641">
      <c r="D641" s="6">
        <f>IFERROR(__xludf.DUMMYFUNCTION("""COMPUTED_VALUE"""),39321.99861111111)</f>
        <v>39321.99861</v>
      </c>
      <c r="E641" s="3">
        <f>IFERROR(__xludf.DUMMYFUNCTION("""COMPUTED_VALUE"""),3.2551)</f>
        <v>3.2551</v>
      </c>
    </row>
    <row r="642">
      <c r="D642" s="6">
        <f>IFERROR(__xludf.DUMMYFUNCTION("""COMPUTED_VALUE"""),39322.99861111111)</f>
        <v>39322.99861</v>
      </c>
      <c r="E642" s="3">
        <f>IFERROR(__xludf.DUMMYFUNCTION("""COMPUTED_VALUE"""),3.2409)</f>
        <v>3.2409</v>
      </c>
    </row>
    <row r="643">
      <c r="D643" s="6">
        <f>IFERROR(__xludf.DUMMYFUNCTION("""COMPUTED_VALUE"""),39323.99861111111)</f>
        <v>39323.99861</v>
      </c>
      <c r="E643" s="3">
        <f>IFERROR(__xludf.DUMMYFUNCTION("""COMPUTED_VALUE"""),3.2454)</f>
        <v>3.2454</v>
      </c>
    </row>
    <row r="644">
      <c r="D644" s="6">
        <f>IFERROR(__xludf.DUMMYFUNCTION("""COMPUTED_VALUE"""),39324.99861111111)</f>
        <v>39324.99861</v>
      </c>
      <c r="E644" s="3">
        <f>IFERROR(__xludf.DUMMYFUNCTION("""COMPUTED_VALUE"""),3.2499)</f>
        <v>3.2499</v>
      </c>
    </row>
    <row r="645">
      <c r="D645" s="6">
        <f>IFERROR(__xludf.DUMMYFUNCTION("""COMPUTED_VALUE"""),39325.99861111111)</f>
        <v>39325.99861</v>
      </c>
      <c r="E645" s="3">
        <f>IFERROR(__xludf.DUMMYFUNCTION("""COMPUTED_VALUE"""),3.2576)</f>
        <v>3.2576</v>
      </c>
    </row>
    <row r="646">
      <c r="D646" s="6">
        <f>IFERROR(__xludf.DUMMYFUNCTION("""COMPUTED_VALUE"""),39327.99861111111)</f>
        <v>39327.99861</v>
      </c>
      <c r="E646" s="3">
        <f>IFERROR(__xludf.DUMMYFUNCTION("""COMPUTED_VALUE"""),3.2319)</f>
        <v>3.2319</v>
      </c>
    </row>
    <row r="647">
      <c r="D647" s="6">
        <f>IFERROR(__xludf.DUMMYFUNCTION("""COMPUTED_VALUE"""),39328.99861111111)</f>
        <v>39328.99861</v>
      </c>
      <c r="E647" s="3">
        <f>IFERROR(__xludf.DUMMYFUNCTION("""COMPUTED_VALUE"""),3.2639)</f>
        <v>3.2639</v>
      </c>
    </row>
    <row r="648">
      <c r="D648" s="6">
        <f>IFERROR(__xludf.DUMMYFUNCTION("""COMPUTED_VALUE"""),39329.99861111111)</f>
        <v>39329.99861</v>
      </c>
      <c r="E648" s="3">
        <f>IFERROR(__xludf.DUMMYFUNCTION("""COMPUTED_VALUE"""),3.2632)</f>
        <v>3.2632</v>
      </c>
    </row>
    <row r="649">
      <c r="D649" s="6">
        <f>IFERROR(__xludf.DUMMYFUNCTION("""COMPUTED_VALUE"""),39330.99861111111)</f>
        <v>39330.99861</v>
      </c>
      <c r="E649" s="3">
        <f>IFERROR(__xludf.DUMMYFUNCTION("""COMPUTED_VALUE"""),3.3018)</f>
        <v>3.3018</v>
      </c>
    </row>
    <row r="650">
      <c r="D650" s="6">
        <f>IFERROR(__xludf.DUMMYFUNCTION("""COMPUTED_VALUE"""),39331.99861111111)</f>
        <v>39331.99861</v>
      </c>
      <c r="E650" s="3">
        <f>IFERROR(__xludf.DUMMYFUNCTION("""COMPUTED_VALUE"""),3.3148)</f>
        <v>3.3148</v>
      </c>
    </row>
    <row r="651">
      <c r="D651" s="6">
        <f>IFERROR(__xludf.DUMMYFUNCTION("""COMPUTED_VALUE"""),39332.99861111111)</f>
        <v>39332.99861</v>
      </c>
      <c r="E651" s="3">
        <f>IFERROR(__xludf.DUMMYFUNCTION("""COMPUTED_VALUE"""),3.299)</f>
        <v>3.299</v>
      </c>
    </row>
    <row r="652">
      <c r="D652" s="6">
        <f>IFERROR(__xludf.DUMMYFUNCTION("""COMPUTED_VALUE"""),39334.99861111111)</f>
        <v>39334.99861</v>
      </c>
      <c r="E652" s="3">
        <f>IFERROR(__xludf.DUMMYFUNCTION("""COMPUTED_VALUE"""),3.2623)</f>
        <v>3.2623</v>
      </c>
    </row>
    <row r="653">
      <c r="D653" s="6">
        <f>IFERROR(__xludf.DUMMYFUNCTION("""COMPUTED_VALUE"""),39336.99861111111)</f>
        <v>39336.99861</v>
      </c>
      <c r="E653" s="3">
        <f>IFERROR(__xludf.DUMMYFUNCTION("""COMPUTED_VALUE"""),3.3071)</f>
        <v>3.3071</v>
      </c>
    </row>
    <row r="654">
      <c r="D654" s="6">
        <f>IFERROR(__xludf.DUMMYFUNCTION("""COMPUTED_VALUE"""),39337.99861111111)</f>
        <v>39337.99861</v>
      </c>
      <c r="E654" s="3">
        <f>IFERROR(__xludf.DUMMYFUNCTION("""COMPUTED_VALUE"""),3.312)</f>
        <v>3.312</v>
      </c>
    </row>
    <row r="655">
      <c r="D655" s="6">
        <f>IFERROR(__xludf.DUMMYFUNCTION("""COMPUTED_VALUE"""),39338.99861111111)</f>
        <v>39338.99861</v>
      </c>
      <c r="E655" s="3">
        <f>IFERROR(__xludf.DUMMYFUNCTION("""COMPUTED_VALUE"""),3.3262)</f>
        <v>3.3262</v>
      </c>
    </row>
    <row r="656">
      <c r="D656" s="6">
        <f>IFERROR(__xludf.DUMMYFUNCTION("""COMPUTED_VALUE"""),39339.99861111111)</f>
        <v>39339.99861</v>
      </c>
      <c r="E656" s="3">
        <f>IFERROR(__xludf.DUMMYFUNCTION("""COMPUTED_VALUE"""),3.3527)</f>
        <v>3.3527</v>
      </c>
    </row>
    <row r="657">
      <c r="D657" s="6">
        <f>IFERROR(__xludf.DUMMYFUNCTION("""COMPUTED_VALUE"""),39341.99861111111)</f>
        <v>39341.99861</v>
      </c>
      <c r="E657" s="3">
        <f>IFERROR(__xludf.DUMMYFUNCTION("""COMPUTED_VALUE"""),3.3527)</f>
        <v>3.3527</v>
      </c>
    </row>
    <row r="658">
      <c r="D658" s="6">
        <f>IFERROR(__xludf.DUMMYFUNCTION("""COMPUTED_VALUE"""),39342.99861111111)</f>
        <v>39342.99861</v>
      </c>
      <c r="E658" s="3">
        <f>IFERROR(__xludf.DUMMYFUNCTION("""COMPUTED_VALUE"""),3.3807)</f>
        <v>3.3807</v>
      </c>
    </row>
    <row r="659">
      <c r="D659" s="6">
        <f>IFERROR(__xludf.DUMMYFUNCTION("""COMPUTED_VALUE"""),39343.99861111111)</f>
        <v>39343.99861</v>
      </c>
      <c r="E659" s="3">
        <f>IFERROR(__xludf.DUMMYFUNCTION("""COMPUTED_VALUE"""),3.374)</f>
        <v>3.374</v>
      </c>
    </row>
    <row r="660">
      <c r="D660" s="6">
        <f>IFERROR(__xludf.DUMMYFUNCTION("""COMPUTED_VALUE"""),39344.99861111111)</f>
        <v>39344.99861</v>
      </c>
      <c r="E660" s="3">
        <f>IFERROR(__xludf.DUMMYFUNCTION("""COMPUTED_VALUE"""),3.3574)</f>
        <v>3.3574</v>
      </c>
    </row>
    <row r="661">
      <c r="D661" s="6">
        <f>IFERROR(__xludf.DUMMYFUNCTION("""COMPUTED_VALUE"""),39345.99861111111)</f>
        <v>39345.99861</v>
      </c>
      <c r="E661" s="3">
        <f>IFERROR(__xludf.DUMMYFUNCTION("""COMPUTED_VALUE"""),3.4)</f>
        <v>3.4</v>
      </c>
    </row>
    <row r="662">
      <c r="D662" s="6">
        <f>IFERROR(__xludf.DUMMYFUNCTION("""COMPUTED_VALUE"""),39346.99861111111)</f>
        <v>39346.99861</v>
      </c>
      <c r="E662" s="3">
        <f>IFERROR(__xludf.DUMMYFUNCTION("""COMPUTED_VALUE"""),3.3812)</f>
        <v>3.3812</v>
      </c>
    </row>
    <row r="663">
      <c r="D663" s="6">
        <f>IFERROR(__xludf.DUMMYFUNCTION("""COMPUTED_VALUE"""),39348.99861111111)</f>
        <v>39348.99861</v>
      </c>
      <c r="E663" s="3">
        <f>IFERROR(__xludf.DUMMYFUNCTION("""COMPUTED_VALUE"""),3.3812)</f>
        <v>3.3812</v>
      </c>
    </row>
    <row r="664">
      <c r="D664" s="6">
        <f>IFERROR(__xludf.DUMMYFUNCTION("""COMPUTED_VALUE"""),39349.99861111111)</f>
        <v>39349.99861</v>
      </c>
      <c r="E664" s="3">
        <f>IFERROR(__xludf.DUMMYFUNCTION("""COMPUTED_VALUE"""),3.3798)</f>
        <v>3.3798</v>
      </c>
    </row>
    <row r="665">
      <c r="D665" s="6">
        <f>IFERROR(__xludf.DUMMYFUNCTION("""COMPUTED_VALUE"""),39350.99861111111)</f>
        <v>39350.99861</v>
      </c>
      <c r="E665" s="3">
        <f>IFERROR(__xludf.DUMMYFUNCTION("""COMPUTED_VALUE"""),3.3832)</f>
        <v>3.3832</v>
      </c>
    </row>
    <row r="666">
      <c r="D666" s="6">
        <f>IFERROR(__xludf.DUMMYFUNCTION("""COMPUTED_VALUE"""),39351.99861111111)</f>
        <v>39351.99861</v>
      </c>
      <c r="E666" s="3">
        <f>IFERROR(__xludf.DUMMYFUNCTION("""COMPUTED_VALUE"""),3.3742)</f>
        <v>3.3742</v>
      </c>
    </row>
    <row r="667">
      <c r="D667" s="6">
        <f>IFERROR(__xludf.DUMMYFUNCTION("""COMPUTED_VALUE"""),39352.99861111111)</f>
        <v>39352.99861</v>
      </c>
      <c r="E667" s="3">
        <f>IFERROR(__xludf.DUMMYFUNCTION("""COMPUTED_VALUE"""),3.3668)</f>
        <v>3.3668</v>
      </c>
    </row>
    <row r="668">
      <c r="D668" s="6">
        <f>IFERROR(__xludf.DUMMYFUNCTION("""COMPUTED_VALUE"""),39353.99861111111)</f>
        <v>39353.99861</v>
      </c>
      <c r="E668" s="3">
        <f>IFERROR(__xludf.DUMMYFUNCTION("""COMPUTED_VALUE"""),3.3365)</f>
        <v>3.3365</v>
      </c>
    </row>
    <row r="669">
      <c r="D669" s="6">
        <f>IFERROR(__xludf.DUMMYFUNCTION("""COMPUTED_VALUE"""),39355.99861111111)</f>
        <v>39355.99861</v>
      </c>
      <c r="E669" s="3">
        <f>IFERROR(__xludf.DUMMYFUNCTION("""COMPUTED_VALUE"""),3.3365)</f>
        <v>3.3365</v>
      </c>
    </row>
    <row r="670">
      <c r="D670" s="6">
        <f>IFERROR(__xludf.DUMMYFUNCTION("""COMPUTED_VALUE"""),39356.99861111111)</f>
        <v>39356.99861</v>
      </c>
      <c r="E670" s="3">
        <f>IFERROR(__xludf.DUMMYFUNCTION("""COMPUTED_VALUE"""),3.3522)</f>
        <v>3.3522</v>
      </c>
    </row>
    <row r="671">
      <c r="D671" s="6">
        <f>IFERROR(__xludf.DUMMYFUNCTION("""COMPUTED_VALUE"""),39357.99861111111)</f>
        <v>39357.99861</v>
      </c>
      <c r="E671" s="3">
        <f>IFERROR(__xludf.DUMMYFUNCTION("""COMPUTED_VALUE"""),3.3477)</f>
        <v>3.3477</v>
      </c>
    </row>
    <row r="672">
      <c r="D672" s="6">
        <f>IFERROR(__xludf.DUMMYFUNCTION("""COMPUTED_VALUE"""),39358.99861111111)</f>
        <v>39358.99861</v>
      </c>
      <c r="E672" s="3">
        <f>IFERROR(__xludf.DUMMYFUNCTION("""COMPUTED_VALUE"""),3.3166)</f>
        <v>3.3166</v>
      </c>
    </row>
    <row r="673">
      <c r="D673" s="6">
        <f>IFERROR(__xludf.DUMMYFUNCTION("""COMPUTED_VALUE"""),39359.99861111111)</f>
        <v>39359.99861</v>
      </c>
      <c r="E673" s="3">
        <f>IFERROR(__xludf.DUMMYFUNCTION("""COMPUTED_VALUE"""),3.3616)</f>
        <v>3.3616</v>
      </c>
    </row>
    <row r="674">
      <c r="D674" s="6">
        <f>IFERROR(__xludf.DUMMYFUNCTION("""COMPUTED_VALUE"""),39360.99861111111)</f>
        <v>39360.99861</v>
      </c>
      <c r="E674" s="3">
        <f>IFERROR(__xludf.DUMMYFUNCTION("""COMPUTED_VALUE"""),3.3492)</f>
        <v>3.3492</v>
      </c>
    </row>
    <row r="675">
      <c r="D675" s="6">
        <f>IFERROR(__xludf.DUMMYFUNCTION("""COMPUTED_VALUE"""),39362.99861111111)</f>
        <v>39362.99861</v>
      </c>
      <c r="E675" s="3">
        <f>IFERROR(__xludf.DUMMYFUNCTION("""COMPUTED_VALUE"""),3.3492)</f>
        <v>3.3492</v>
      </c>
    </row>
    <row r="676">
      <c r="D676" s="6">
        <f>IFERROR(__xludf.DUMMYFUNCTION("""COMPUTED_VALUE"""),39363.99861111111)</f>
        <v>39363.99861</v>
      </c>
      <c r="E676" s="3">
        <f>IFERROR(__xludf.DUMMYFUNCTION("""COMPUTED_VALUE"""),3.3414)</f>
        <v>3.3414</v>
      </c>
    </row>
    <row r="677">
      <c r="D677" s="6">
        <f>IFERROR(__xludf.DUMMYFUNCTION("""COMPUTED_VALUE"""),39364.99861111111)</f>
        <v>39364.99861</v>
      </c>
      <c r="E677" s="3">
        <f>IFERROR(__xludf.DUMMYFUNCTION("""COMPUTED_VALUE"""),3.3457)</f>
        <v>3.3457</v>
      </c>
    </row>
    <row r="678">
      <c r="D678" s="6">
        <f>IFERROR(__xludf.DUMMYFUNCTION("""COMPUTED_VALUE"""),39365.99861111111)</f>
        <v>39365.99861</v>
      </c>
      <c r="E678" s="3">
        <f>IFERROR(__xludf.DUMMYFUNCTION("""COMPUTED_VALUE"""),3.3238)</f>
        <v>3.3238</v>
      </c>
    </row>
    <row r="679">
      <c r="D679" s="6">
        <f>IFERROR(__xludf.DUMMYFUNCTION("""COMPUTED_VALUE"""),39366.99861111111)</f>
        <v>39366.99861</v>
      </c>
      <c r="E679" s="3">
        <f>IFERROR(__xludf.DUMMYFUNCTION("""COMPUTED_VALUE"""),3.3207)</f>
        <v>3.3207</v>
      </c>
    </row>
    <row r="680">
      <c r="D680" s="6">
        <f>IFERROR(__xludf.DUMMYFUNCTION("""COMPUTED_VALUE"""),39367.99861111111)</f>
        <v>39367.99861</v>
      </c>
      <c r="E680" s="3">
        <f>IFERROR(__xludf.DUMMYFUNCTION("""COMPUTED_VALUE"""),3.3294)</f>
        <v>3.3294</v>
      </c>
    </row>
    <row r="681">
      <c r="D681" s="6">
        <f>IFERROR(__xludf.DUMMYFUNCTION("""COMPUTED_VALUE"""),39370.99861111111)</f>
        <v>39370.99861</v>
      </c>
      <c r="E681" s="3">
        <f>IFERROR(__xludf.DUMMYFUNCTION("""COMPUTED_VALUE"""),3.3303)</f>
        <v>3.3303</v>
      </c>
    </row>
    <row r="682">
      <c r="D682" s="6">
        <f>IFERROR(__xludf.DUMMYFUNCTION("""COMPUTED_VALUE"""),39371.99861111111)</f>
        <v>39371.99861</v>
      </c>
      <c r="E682" s="3">
        <f>IFERROR(__xludf.DUMMYFUNCTION("""COMPUTED_VALUE"""),3.3414)</f>
        <v>3.3414</v>
      </c>
    </row>
    <row r="683">
      <c r="D683" s="6">
        <f>IFERROR(__xludf.DUMMYFUNCTION("""COMPUTED_VALUE"""),39372.99861111111)</f>
        <v>39372.99861</v>
      </c>
      <c r="E683" s="3">
        <f>IFERROR(__xludf.DUMMYFUNCTION("""COMPUTED_VALUE"""),3.3359)</f>
        <v>3.3359</v>
      </c>
    </row>
    <row r="684">
      <c r="D684" s="6">
        <f>IFERROR(__xludf.DUMMYFUNCTION("""COMPUTED_VALUE"""),39373.99861111111)</f>
        <v>39373.99861</v>
      </c>
      <c r="E684" s="3">
        <f>IFERROR(__xludf.DUMMYFUNCTION("""COMPUTED_VALUE"""),3.3509)</f>
        <v>3.3509</v>
      </c>
    </row>
    <row r="685">
      <c r="D685" s="6">
        <f>IFERROR(__xludf.DUMMYFUNCTION("""COMPUTED_VALUE"""),39374.99861111111)</f>
        <v>39374.99861</v>
      </c>
      <c r="E685" s="3">
        <f>IFERROR(__xludf.DUMMYFUNCTION("""COMPUTED_VALUE"""),3.3554)</f>
        <v>3.3554</v>
      </c>
    </row>
    <row r="686">
      <c r="D686" s="6">
        <f>IFERROR(__xludf.DUMMYFUNCTION("""COMPUTED_VALUE"""),39376.99861111111)</f>
        <v>39376.99861</v>
      </c>
      <c r="E686" s="3">
        <f>IFERROR(__xludf.DUMMYFUNCTION("""COMPUTED_VALUE"""),3.3216)</f>
        <v>3.3216</v>
      </c>
    </row>
    <row r="687">
      <c r="D687" s="6">
        <f>IFERROR(__xludf.DUMMYFUNCTION("""COMPUTED_VALUE"""),39377.99861111111)</f>
        <v>39377.99861</v>
      </c>
      <c r="E687" s="3">
        <f>IFERROR(__xludf.DUMMYFUNCTION("""COMPUTED_VALUE"""),3.3807)</f>
        <v>3.3807</v>
      </c>
    </row>
    <row r="688">
      <c r="D688" s="6">
        <f>IFERROR(__xludf.DUMMYFUNCTION("""COMPUTED_VALUE"""),39378.99861111111)</f>
        <v>39378.99861</v>
      </c>
      <c r="E688" s="3">
        <f>IFERROR(__xludf.DUMMYFUNCTION("""COMPUTED_VALUE"""),3.3599)</f>
        <v>3.3599</v>
      </c>
    </row>
    <row r="689">
      <c r="D689" s="6">
        <f>IFERROR(__xludf.DUMMYFUNCTION("""COMPUTED_VALUE"""),39379.99861111111)</f>
        <v>39379.99861</v>
      </c>
      <c r="E689" s="3">
        <f>IFERROR(__xludf.DUMMYFUNCTION("""COMPUTED_VALUE"""),3.3481)</f>
        <v>3.3481</v>
      </c>
    </row>
    <row r="690">
      <c r="D690" s="6">
        <f>IFERROR(__xludf.DUMMYFUNCTION("""COMPUTED_VALUE"""),39380.99861111111)</f>
        <v>39380.99861</v>
      </c>
      <c r="E690" s="3">
        <f>IFERROR(__xludf.DUMMYFUNCTION("""COMPUTED_VALUE"""),3.3382)</f>
        <v>3.3382</v>
      </c>
    </row>
    <row r="691">
      <c r="D691" s="6">
        <f>IFERROR(__xludf.DUMMYFUNCTION("""COMPUTED_VALUE"""),39381.99861111111)</f>
        <v>39381.99861</v>
      </c>
      <c r="E691" s="3">
        <f>IFERROR(__xludf.DUMMYFUNCTION("""COMPUTED_VALUE"""),3.3381)</f>
        <v>3.3381</v>
      </c>
    </row>
    <row r="692">
      <c r="D692" s="6">
        <f>IFERROR(__xludf.DUMMYFUNCTION("""COMPUTED_VALUE"""),39383.99861111111)</f>
        <v>39383.99861</v>
      </c>
      <c r="E692" s="3">
        <f>IFERROR(__xludf.DUMMYFUNCTION("""COMPUTED_VALUE"""),3.3381)</f>
        <v>3.3381</v>
      </c>
    </row>
    <row r="693">
      <c r="D693" s="6">
        <f>IFERROR(__xludf.DUMMYFUNCTION("""COMPUTED_VALUE"""),39384.99861111111)</f>
        <v>39384.99861</v>
      </c>
      <c r="E693" s="3">
        <f>IFERROR(__xludf.DUMMYFUNCTION("""COMPUTED_VALUE"""),3.3348)</f>
        <v>3.3348</v>
      </c>
    </row>
    <row r="694">
      <c r="D694" s="6">
        <f>IFERROR(__xludf.DUMMYFUNCTION("""COMPUTED_VALUE"""),39385.99861111111)</f>
        <v>39385.99861</v>
      </c>
      <c r="E694" s="3">
        <f>IFERROR(__xludf.DUMMYFUNCTION("""COMPUTED_VALUE"""),3.3358)</f>
        <v>3.3358</v>
      </c>
    </row>
    <row r="695">
      <c r="D695" s="6">
        <f>IFERROR(__xludf.DUMMYFUNCTION("""COMPUTED_VALUE"""),39386.99861111111)</f>
        <v>39386.99861</v>
      </c>
      <c r="E695" s="3">
        <f>IFERROR(__xludf.DUMMYFUNCTION("""COMPUTED_VALUE"""),3.3201)</f>
        <v>3.3201</v>
      </c>
    </row>
    <row r="696">
      <c r="D696" s="6">
        <f>IFERROR(__xludf.DUMMYFUNCTION("""COMPUTED_VALUE"""),39387.99861111111)</f>
        <v>39387.99861</v>
      </c>
      <c r="E696" s="3">
        <f>IFERROR(__xludf.DUMMYFUNCTION("""COMPUTED_VALUE"""),3.3359)</f>
        <v>3.3359</v>
      </c>
    </row>
    <row r="697">
      <c r="D697" s="6">
        <f>IFERROR(__xludf.DUMMYFUNCTION("""COMPUTED_VALUE"""),39388.99861111111)</f>
        <v>39388.99861</v>
      </c>
      <c r="E697" s="3">
        <f>IFERROR(__xludf.DUMMYFUNCTION("""COMPUTED_VALUE"""),3.3057)</f>
        <v>3.3057</v>
      </c>
    </row>
    <row r="698">
      <c r="D698" s="6">
        <f>IFERROR(__xludf.DUMMYFUNCTION("""COMPUTED_VALUE"""),39390.99861111111)</f>
        <v>39390.99861</v>
      </c>
      <c r="E698" s="3">
        <f>IFERROR(__xludf.DUMMYFUNCTION("""COMPUTED_VALUE"""),3.3057)</f>
        <v>3.3057</v>
      </c>
    </row>
    <row r="699">
      <c r="D699" s="6">
        <f>IFERROR(__xludf.DUMMYFUNCTION("""COMPUTED_VALUE"""),39391.99861111111)</f>
        <v>39391.99861</v>
      </c>
      <c r="E699" s="3">
        <f>IFERROR(__xludf.DUMMYFUNCTION("""COMPUTED_VALUE"""),3.3027)</f>
        <v>3.3027</v>
      </c>
    </row>
    <row r="700">
      <c r="D700" s="6">
        <f>IFERROR(__xludf.DUMMYFUNCTION("""COMPUTED_VALUE"""),39392.99861111111)</f>
        <v>39392.99861</v>
      </c>
      <c r="E700" s="3">
        <f>IFERROR(__xludf.DUMMYFUNCTION("""COMPUTED_VALUE"""),3.3344)</f>
        <v>3.3344</v>
      </c>
    </row>
    <row r="701">
      <c r="D701" s="6">
        <f>IFERROR(__xludf.DUMMYFUNCTION("""COMPUTED_VALUE"""),39393.99861111111)</f>
        <v>39393.99861</v>
      </c>
      <c r="E701" s="3">
        <f>IFERROR(__xludf.DUMMYFUNCTION("""COMPUTED_VALUE"""),3.357)</f>
        <v>3.357</v>
      </c>
    </row>
    <row r="702">
      <c r="D702" s="6">
        <f>IFERROR(__xludf.DUMMYFUNCTION("""COMPUTED_VALUE"""),39394.99861111111)</f>
        <v>39394.99861</v>
      </c>
      <c r="E702" s="3">
        <f>IFERROR(__xludf.DUMMYFUNCTION("""COMPUTED_VALUE"""),3.3632)</f>
        <v>3.3632</v>
      </c>
    </row>
    <row r="703">
      <c r="D703" s="6">
        <f>IFERROR(__xludf.DUMMYFUNCTION("""COMPUTED_VALUE"""),39395.99861111111)</f>
        <v>39395.99861</v>
      </c>
      <c r="E703" s="3">
        <f>IFERROR(__xludf.DUMMYFUNCTION("""COMPUTED_VALUE"""),3.3796)</f>
        <v>3.3796</v>
      </c>
    </row>
    <row r="704">
      <c r="D704" s="6">
        <f>IFERROR(__xludf.DUMMYFUNCTION("""COMPUTED_VALUE"""),39397.99861111111)</f>
        <v>39397.99861</v>
      </c>
      <c r="E704" s="3">
        <f>IFERROR(__xludf.DUMMYFUNCTION("""COMPUTED_VALUE"""),3.3796)</f>
        <v>3.3796</v>
      </c>
    </row>
    <row r="705">
      <c r="D705" s="6">
        <f>IFERROR(__xludf.DUMMYFUNCTION("""COMPUTED_VALUE"""),39398.99861111111)</f>
        <v>39398.99861</v>
      </c>
      <c r="E705" s="3">
        <f>IFERROR(__xludf.DUMMYFUNCTION("""COMPUTED_VALUE"""),3.4102)</f>
        <v>3.4102</v>
      </c>
    </row>
    <row r="706">
      <c r="D706" s="6">
        <f>IFERROR(__xludf.DUMMYFUNCTION("""COMPUTED_VALUE"""),39399.99861111111)</f>
        <v>39399.99861</v>
      </c>
      <c r="E706" s="3">
        <f>IFERROR(__xludf.DUMMYFUNCTION("""COMPUTED_VALUE"""),3.4032)</f>
        <v>3.4032</v>
      </c>
    </row>
    <row r="707">
      <c r="D707" s="6">
        <f>IFERROR(__xludf.DUMMYFUNCTION("""COMPUTED_VALUE"""),39400.99861111111)</f>
        <v>39400.99861</v>
      </c>
      <c r="E707" s="3">
        <f>IFERROR(__xludf.DUMMYFUNCTION("""COMPUTED_VALUE"""),3.4228)</f>
        <v>3.4228</v>
      </c>
    </row>
    <row r="708">
      <c r="D708" s="6">
        <f>IFERROR(__xludf.DUMMYFUNCTION("""COMPUTED_VALUE"""),39401.99861111111)</f>
        <v>39401.99861</v>
      </c>
      <c r="E708" s="3">
        <f>IFERROR(__xludf.DUMMYFUNCTION("""COMPUTED_VALUE"""),3.4204)</f>
        <v>3.4204</v>
      </c>
    </row>
    <row r="709">
      <c r="D709" s="6">
        <f>IFERROR(__xludf.DUMMYFUNCTION("""COMPUTED_VALUE"""),39402.99861111111)</f>
        <v>39402.99861</v>
      </c>
      <c r="E709" s="3">
        <f>IFERROR(__xludf.DUMMYFUNCTION("""COMPUTED_VALUE"""),3.4433)</f>
        <v>3.4433</v>
      </c>
    </row>
    <row r="710">
      <c r="D710" s="6">
        <f>IFERROR(__xludf.DUMMYFUNCTION("""COMPUTED_VALUE"""),39404.99861111111)</f>
        <v>39404.99861</v>
      </c>
      <c r="E710" s="3">
        <f>IFERROR(__xludf.DUMMYFUNCTION("""COMPUTED_VALUE"""),3.4433)</f>
        <v>3.4433</v>
      </c>
    </row>
    <row r="711">
      <c r="D711" s="6">
        <f>IFERROR(__xludf.DUMMYFUNCTION("""COMPUTED_VALUE"""),39405.99861111111)</f>
        <v>39405.99861</v>
      </c>
      <c r="E711" s="3">
        <f>IFERROR(__xludf.DUMMYFUNCTION("""COMPUTED_VALUE"""),3.4426)</f>
        <v>3.4426</v>
      </c>
    </row>
    <row r="712">
      <c r="D712" s="6">
        <f>IFERROR(__xludf.DUMMYFUNCTION("""COMPUTED_VALUE"""),39406.99861111111)</f>
        <v>39406.99861</v>
      </c>
      <c r="E712" s="3">
        <f>IFERROR(__xludf.DUMMYFUNCTION("""COMPUTED_VALUE"""),3.4556)</f>
        <v>3.4556</v>
      </c>
    </row>
    <row r="713">
      <c r="D713" s="6">
        <f>IFERROR(__xludf.DUMMYFUNCTION("""COMPUTED_VALUE"""),39407.99861111111)</f>
        <v>39407.99861</v>
      </c>
      <c r="E713" s="3">
        <f>IFERROR(__xludf.DUMMYFUNCTION("""COMPUTED_VALUE"""),3.5506)</f>
        <v>3.5506</v>
      </c>
    </row>
    <row r="714">
      <c r="D714" s="6">
        <f>IFERROR(__xludf.DUMMYFUNCTION("""COMPUTED_VALUE"""),39408.99861111111)</f>
        <v>39408.99861</v>
      </c>
      <c r="E714" s="3">
        <f>IFERROR(__xludf.DUMMYFUNCTION("""COMPUTED_VALUE"""),3.6379)</f>
        <v>3.6379</v>
      </c>
    </row>
    <row r="715">
      <c r="D715" s="6">
        <f>IFERROR(__xludf.DUMMYFUNCTION("""COMPUTED_VALUE"""),39409.99861111111)</f>
        <v>39409.99861</v>
      </c>
      <c r="E715" s="3">
        <f>IFERROR(__xludf.DUMMYFUNCTION("""COMPUTED_VALUE"""),3.6858)</f>
        <v>3.6858</v>
      </c>
    </row>
    <row r="716">
      <c r="D716" s="6">
        <f>IFERROR(__xludf.DUMMYFUNCTION("""COMPUTED_VALUE"""),39411.99861111111)</f>
        <v>39411.99861</v>
      </c>
      <c r="E716" s="3">
        <f>IFERROR(__xludf.DUMMYFUNCTION("""COMPUTED_VALUE"""),3.5567)</f>
        <v>3.5567</v>
      </c>
    </row>
    <row r="717">
      <c r="D717" s="6">
        <f>IFERROR(__xludf.DUMMYFUNCTION("""COMPUTED_VALUE"""),39413.99861111111)</f>
        <v>39413.99861</v>
      </c>
      <c r="E717" s="3">
        <f>IFERROR(__xludf.DUMMYFUNCTION("""COMPUTED_VALUE"""),3.5503)</f>
        <v>3.5503</v>
      </c>
    </row>
    <row r="718">
      <c r="D718" s="6">
        <f>IFERROR(__xludf.DUMMYFUNCTION("""COMPUTED_VALUE"""),39414.99861111111)</f>
        <v>39414.99861</v>
      </c>
      <c r="E718" s="3">
        <f>IFERROR(__xludf.DUMMYFUNCTION("""COMPUTED_VALUE"""),3.5082)</f>
        <v>3.5082</v>
      </c>
    </row>
    <row r="719">
      <c r="D719" s="6">
        <f>IFERROR(__xludf.DUMMYFUNCTION("""COMPUTED_VALUE"""),39415.99861111111)</f>
        <v>39415.99861</v>
      </c>
      <c r="E719" s="3">
        <f>IFERROR(__xludf.DUMMYFUNCTION("""COMPUTED_VALUE"""),3.4834)</f>
        <v>3.4834</v>
      </c>
    </row>
    <row r="720">
      <c r="D720" s="6">
        <f>IFERROR(__xludf.DUMMYFUNCTION("""COMPUTED_VALUE"""),39416.99861111111)</f>
        <v>39416.99861</v>
      </c>
      <c r="E720" s="3">
        <f>IFERROR(__xludf.DUMMYFUNCTION("""COMPUTED_VALUE"""),3.4847)</f>
        <v>3.4847</v>
      </c>
    </row>
    <row r="721">
      <c r="D721" s="6">
        <f>IFERROR(__xludf.DUMMYFUNCTION("""COMPUTED_VALUE"""),39418.99861111111)</f>
        <v>39418.99861</v>
      </c>
      <c r="E721" s="3">
        <f>IFERROR(__xludf.DUMMYFUNCTION("""COMPUTED_VALUE"""),3.4847)</f>
        <v>3.4847</v>
      </c>
    </row>
    <row r="722">
      <c r="D722" s="6">
        <f>IFERROR(__xludf.DUMMYFUNCTION("""COMPUTED_VALUE"""),39419.99861111111)</f>
        <v>39419.99861</v>
      </c>
      <c r="E722" s="3">
        <f>IFERROR(__xludf.DUMMYFUNCTION("""COMPUTED_VALUE"""),3.4943)</f>
        <v>3.4943</v>
      </c>
    </row>
    <row r="723">
      <c r="D723" s="6">
        <f>IFERROR(__xludf.DUMMYFUNCTION("""COMPUTED_VALUE"""),39420.99861111111)</f>
        <v>39420.99861</v>
      </c>
      <c r="E723" s="3">
        <f>IFERROR(__xludf.DUMMYFUNCTION("""COMPUTED_VALUE"""),3.5598)</f>
        <v>3.5598</v>
      </c>
    </row>
    <row r="724">
      <c r="D724" s="6">
        <f>IFERROR(__xludf.DUMMYFUNCTION("""COMPUTED_VALUE"""),39421.99861111111)</f>
        <v>39421.99861</v>
      </c>
      <c r="E724" s="3">
        <f>IFERROR(__xludf.DUMMYFUNCTION("""COMPUTED_VALUE"""),3.5211)</f>
        <v>3.5211</v>
      </c>
    </row>
    <row r="725">
      <c r="D725" s="6">
        <f>IFERROR(__xludf.DUMMYFUNCTION("""COMPUTED_VALUE"""),39422.99861111111)</f>
        <v>39422.99861</v>
      </c>
      <c r="E725" s="3">
        <f>IFERROR(__xludf.DUMMYFUNCTION("""COMPUTED_VALUE"""),3.5112)</f>
        <v>3.5112</v>
      </c>
    </row>
    <row r="726">
      <c r="D726" s="6">
        <f>IFERROR(__xludf.DUMMYFUNCTION("""COMPUTED_VALUE"""),39423.99861111111)</f>
        <v>39423.99861</v>
      </c>
      <c r="E726" s="3">
        <f>IFERROR(__xludf.DUMMYFUNCTION("""COMPUTED_VALUE"""),3.504)</f>
        <v>3.504</v>
      </c>
    </row>
    <row r="727">
      <c r="D727" s="6">
        <f>IFERROR(__xludf.DUMMYFUNCTION("""COMPUTED_VALUE"""),39425.99861111111)</f>
        <v>39425.99861</v>
      </c>
      <c r="E727" s="3">
        <f>IFERROR(__xludf.DUMMYFUNCTION("""COMPUTED_VALUE"""),3.504)</f>
        <v>3.504</v>
      </c>
    </row>
    <row r="728">
      <c r="D728" s="6">
        <f>IFERROR(__xludf.DUMMYFUNCTION("""COMPUTED_VALUE"""),39426.99861111111)</f>
        <v>39426.99861</v>
      </c>
      <c r="E728" s="3">
        <f>IFERROR(__xludf.DUMMYFUNCTION("""COMPUTED_VALUE"""),3.5123)</f>
        <v>3.5123</v>
      </c>
    </row>
    <row r="729">
      <c r="D729" s="6">
        <f>IFERROR(__xludf.DUMMYFUNCTION("""COMPUTED_VALUE"""),39427.99861111111)</f>
        <v>39427.99861</v>
      </c>
      <c r="E729" s="3">
        <f>IFERROR(__xludf.DUMMYFUNCTION("""COMPUTED_VALUE"""),3.5093)</f>
        <v>3.5093</v>
      </c>
    </row>
    <row r="730">
      <c r="D730" s="6">
        <f>IFERROR(__xludf.DUMMYFUNCTION("""COMPUTED_VALUE"""),39428.99861111111)</f>
        <v>39428.99861</v>
      </c>
      <c r="E730" s="3">
        <f>IFERROR(__xludf.DUMMYFUNCTION("""COMPUTED_VALUE"""),3.5099)</f>
        <v>3.5099</v>
      </c>
    </row>
    <row r="731">
      <c r="D731" s="6">
        <f>IFERROR(__xludf.DUMMYFUNCTION("""COMPUTED_VALUE"""),39429.99861111111)</f>
        <v>39429.99861</v>
      </c>
      <c r="E731" s="3">
        <f>IFERROR(__xludf.DUMMYFUNCTION("""COMPUTED_VALUE"""),3.5193)</f>
        <v>3.5193</v>
      </c>
    </row>
    <row r="732">
      <c r="D732" s="6">
        <f>IFERROR(__xludf.DUMMYFUNCTION("""COMPUTED_VALUE"""),39430.99861111111)</f>
        <v>39430.99861</v>
      </c>
      <c r="E732" s="3">
        <f>IFERROR(__xludf.DUMMYFUNCTION("""COMPUTED_VALUE"""),3.5398)</f>
        <v>3.5398</v>
      </c>
    </row>
    <row r="733">
      <c r="D733" s="6">
        <f>IFERROR(__xludf.DUMMYFUNCTION("""COMPUTED_VALUE"""),39432.99861111111)</f>
        <v>39432.99861</v>
      </c>
      <c r="E733" s="3">
        <f>IFERROR(__xludf.DUMMYFUNCTION("""COMPUTED_VALUE"""),3.5398)</f>
        <v>3.5398</v>
      </c>
    </row>
    <row r="734">
      <c r="D734" s="6">
        <f>IFERROR(__xludf.DUMMYFUNCTION("""COMPUTED_VALUE"""),39433.99861111111)</f>
        <v>39433.99861</v>
      </c>
      <c r="E734" s="3">
        <f>IFERROR(__xludf.DUMMYFUNCTION("""COMPUTED_VALUE"""),3.5326)</f>
        <v>3.5326</v>
      </c>
    </row>
    <row r="735">
      <c r="D735" s="6">
        <f>IFERROR(__xludf.DUMMYFUNCTION("""COMPUTED_VALUE"""),39435.99861111111)</f>
        <v>39435.99861</v>
      </c>
      <c r="E735" s="3">
        <f>IFERROR(__xludf.DUMMYFUNCTION("""COMPUTED_VALUE"""),3.5203)</f>
        <v>3.5203</v>
      </c>
    </row>
    <row r="736">
      <c r="D736" s="6">
        <f>IFERROR(__xludf.DUMMYFUNCTION("""COMPUTED_VALUE"""),39436.99861111111)</f>
        <v>39436.99861</v>
      </c>
      <c r="E736" s="3">
        <f>IFERROR(__xludf.DUMMYFUNCTION("""COMPUTED_VALUE"""),3.5116)</f>
        <v>3.5116</v>
      </c>
    </row>
    <row r="737">
      <c r="D737" s="6">
        <f>IFERROR(__xludf.DUMMYFUNCTION("""COMPUTED_VALUE"""),39437.99861111111)</f>
        <v>39437.99861</v>
      </c>
      <c r="E737" s="3">
        <f>IFERROR(__xludf.DUMMYFUNCTION("""COMPUTED_VALUE"""),3.4799)</f>
        <v>3.4799</v>
      </c>
    </row>
    <row r="738">
      <c r="D738" s="6">
        <f>IFERROR(__xludf.DUMMYFUNCTION("""COMPUTED_VALUE"""),39440.99861111111)</f>
        <v>39440.99861</v>
      </c>
      <c r="E738" s="3">
        <f>IFERROR(__xludf.DUMMYFUNCTION("""COMPUTED_VALUE"""),3.4799)</f>
        <v>3.4799</v>
      </c>
    </row>
    <row r="739">
      <c r="D739" s="6">
        <f>IFERROR(__xludf.DUMMYFUNCTION("""COMPUTED_VALUE"""),39441.99861111111)</f>
        <v>39441.99861</v>
      </c>
      <c r="E739" s="3">
        <f>IFERROR(__xludf.DUMMYFUNCTION("""COMPUTED_VALUE"""),3.4559)</f>
        <v>3.4559</v>
      </c>
    </row>
    <row r="740">
      <c r="D740" s="6">
        <f>IFERROR(__xludf.DUMMYFUNCTION("""COMPUTED_VALUE"""),39443.99861111111)</f>
        <v>39443.99861</v>
      </c>
      <c r="E740" s="3">
        <f>IFERROR(__xludf.DUMMYFUNCTION("""COMPUTED_VALUE"""),3.5411)</f>
        <v>3.5411</v>
      </c>
    </row>
    <row r="741">
      <c r="D741" s="6">
        <f>IFERROR(__xludf.DUMMYFUNCTION("""COMPUTED_VALUE"""),39444.99861111111)</f>
        <v>39444.99861</v>
      </c>
      <c r="E741" s="3">
        <f>IFERROR(__xludf.DUMMYFUNCTION("""COMPUTED_VALUE"""),3.6022)</f>
        <v>3.6022</v>
      </c>
    </row>
    <row r="742">
      <c r="D742" s="6">
        <f>IFERROR(__xludf.DUMMYFUNCTION("""COMPUTED_VALUE"""),39446.99861111111)</f>
        <v>39446.99861</v>
      </c>
      <c r="E742" s="3">
        <f>IFERROR(__xludf.DUMMYFUNCTION("""COMPUTED_VALUE"""),3.6022)</f>
        <v>3.6022</v>
      </c>
    </row>
    <row r="743">
      <c r="D743" s="6">
        <f>IFERROR(__xludf.DUMMYFUNCTION("""COMPUTED_VALUE"""),39447.99861111111)</f>
        <v>39447.99861</v>
      </c>
      <c r="E743" s="3">
        <f>IFERROR(__xludf.DUMMYFUNCTION("""COMPUTED_VALUE"""),3.5726)</f>
        <v>3.5726</v>
      </c>
    </row>
    <row r="744">
      <c r="D744" s="6">
        <f>IFERROR(__xludf.DUMMYFUNCTION("""COMPUTED_VALUE"""),39448.99861111111)</f>
        <v>39448.99861</v>
      </c>
      <c r="E744" s="3">
        <f>IFERROR(__xludf.DUMMYFUNCTION("""COMPUTED_VALUE"""),3.6022)</f>
        <v>3.6022</v>
      </c>
    </row>
    <row r="745">
      <c r="D745" s="6">
        <f>IFERROR(__xludf.DUMMYFUNCTION("""COMPUTED_VALUE"""),39449.99861111111)</f>
        <v>39449.99861</v>
      </c>
      <c r="E745" s="3">
        <f>IFERROR(__xludf.DUMMYFUNCTION("""COMPUTED_VALUE"""),3.5776)</f>
        <v>3.5776</v>
      </c>
    </row>
    <row r="746">
      <c r="D746" s="6">
        <f>IFERROR(__xludf.DUMMYFUNCTION("""COMPUTED_VALUE"""),39450.99861111111)</f>
        <v>39450.99861</v>
      </c>
      <c r="E746" s="3">
        <f>IFERROR(__xludf.DUMMYFUNCTION("""COMPUTED_VALUE"""),3.5899)</f>
        <v>3.5899</v>
      </c>
    </row>
    <row r="747">
      <c r="D747" s="6">
        <f>IFERROR(__xludf.DUMMYFUNCTION("""COMPUTED_VALUE"""),39451.99861111111)</f>
        <v>39451.99861</v>
      </c>
      <c r="E747" s="3">
        <f>IFERROR(__xludf.DUMMYFUNCTION("""COMPUTED_VALUE"""),3.5858)</f>
        <v>3.5858</v>
      </c>
    </row>
    <row r="748">
      <c r="D748" s="6">
        <f>IFERROR(__xludf.DUMMYFUNCTION("""COMPUTED_VALUE"""),39453.99861111111)</f>
        <v>39453.99861</v>
      </c>
      <c r="E748" s="3">
        <f>IFERROR(__xludf.DUMMYFUNCTION("""COMPUTED_VALUE"""),3.5858)</f>
        <v>3.5858</v>
      </c>
    </row>
    <row r="749">
      <c r="D749" s="6">
        <f>IFERROR(__xludf.DUMMYFUNCTION("""COMPUTED_VALUE"""),39454.99861111111)</f>
        <v>39454.99861</v>
      </c>
      <c r="E749" s="3">
        <f>IFERROR(__xludf.DUMMYFUNCTION("""COMPUTED_VALUE"""),3.589)</f>
        <v>3.589</v>
      </c>
    </row>
    <row r="750">
      <c r="D750" s="6">
        <f>IFERROR(__xludf.DUMMYFUNCTION("""COMPUTED_VALUE"""),39455.99861111111)</f>
        <v>39455.99861</v>
      </c>
      <c r="E750" s="3">
        <f>IFERROR(__xludf.DUMMYFUNCTION("""COMPUTED_VALUE"""),3.5831)</f>
        <v>3.5831</v>
      </c>
    </row>
    <row r="751">
      <c r="D751" s="6">
        <f>IFERROR(__xludf.DUMMYFUNCTION("""COMPUTED_VALUE"""),39456.99861111111)</f>
        <v>39456.99861</v>
      </c>
      <c r="E751" s="3">
        <f>IFERROR(__xludf.DUMMYFUNCTION("""COMPUTED_VALUE"""),3.6561)</f>
        <v>3.6561</v>
      </c>
    </row>
    <row r="752">
      <c r="D752" s="6">
        <f>IFERROR(__xludf.DUMMYFUNCTION("""COMPUTED_VALUE"""),39457.99861111111)</f>
        <v>39457.99861</v>
      </c>
      <c r="E752" s="3">
        <f>IFERROR(__xludf.DUMMYFUNCTION("""COMPUTED_VALUE"""),3.6529)</f>
        <v>3.6529</v>
      </c>
    </row>
    <row r="753">
      <c r="D753" s="6">
        <f>IFERROR(__xludf.DUMMYFUNCTION("""COMPUTED_VALUE"""),39458.99861111111)</f>
        <v>39458.99861</v>
      </c>
      <c r="E753" s="3">
        <f>IFERROR(__xludf.DUMMYFUNCTION("""COMPUTED_VALUE"""),3.6263)</f>
        <v>3.6263</v>
      </c>
    </row>
    <row r="754">
      <c r="D754" s="6">
        <f>IFERROR(__xludf.DUMMYFUNCTION("""COMPUTED_VALUE"""),39460.99861111111)</f>
        <v>39460.99861</v>
      </c>
      <c r="E754" s="3">
        <f>IFERROR(__xludf.DUMMYFUNCTION("""COMPUTED_VALUE"""),3.6263)</f>
        <v>3.6263</v>
      </c>
    </row>
    <row r="755">
      <c r="D755" s="6">
        <f>IFERROR(__xludf.DUMMYFUNCTION("""COMPUTED_VALUE"""),39461.99861111111)</f>
        <v>39461.99861</v>
      </c>
      <c r="E755" s="3">
        <f>IFERROR(__xludf.DUMMYFUNCTION("""COMPUTED_VALUE"""),3.6478)</f>
        <v>3.6478</v>
      </c>
    </row>
    <row r="756">
      <c r="D756" s="6">
        <f>IFERROR(__xludf.DUMMYFUNCTION("""COMPUTED_VALUE"""),39462.99861111111)</f>
        <v>39462.99861</v>
      </c>
      <c r="E756" s="3">
        <f>IFERROR(__xludf.DUMMYFUNCTION("""COMPUTED_VALUE"""),3.6735)</f>
        <v>3.6735</v>
      </c>
    </row>
    <row r="757">
      <c r="D757" s="6">
        <f>IFERROR(__xludf.DUMMYFUNCTION("""COMPUTED_VALUE"""),39463.99861111111)</f>
        <v>39463.99861</v>
      </c>
      <c r="E757" s="3">
        <f>IFERROR(__xludf.DUMMYFUNCTION("""COMPUTED_VALUE"""),3.6368)</f>
        <v>3.6368</v>
      </c>
    </row>
    <row r="758">
      <c r="D758" s="6">
        <f>IFERROR(__xludf.DUMMYFUNCTION("""COMPUTED_VALUE"""),39464.99861111111)</f>
        <v>39464.99861</v>
      </c>
      <c r="E758" s="3">
        <f>IFERROR(__xludf.DUMMYFUNCTION("""COMPUTED_VALUE"""),3.6651)</f>
        <v>3.6651</v>
      </c>
    </row>
    <row r="759">
      <c r="D759" s="6">
        <f>IFERROR(__xludf.DUMMYFUNCTION("""COMPUTED_VALUE"""),39465.99861111111)</f>
        <v>39465.99861</v>
      </c>
      <c r="E759" s="3">
        <f>IFERROR(__xludf.DUMMYFUNCTION("""COMPUTED_VALUE"""),3.6436)</f>
        <v>3.6436</v>
      </c>
    </row>
    <row r="760">
      <c r="D760" s="6">
        <f>IFERROR(__xludf.DUMMYFUNCTION("""COMPUTED_VALUE"""),39467.99861111111)</f>
        <v>39467.99861</v>
      </c>
      <c r="E760" s="3">
        <f>IFERROR(__xludf.DUMMYFUNCTION("""COMPUTED_VALUE"""),3.6436)</f>
        <v>3.6436</v>
      </c>
    </row>
    <row r="761">
      <c r="D761" s="6">
        <f>IFERROR(__xludf.DUMMYFUNCTION("""COMPUTED_VALUE"""),39469.99861111111)</f>
        <v>39469.99861</v>
      </c>
      <c r="E761" s="3">
        <f>IFERROR(__xludf.DUMMYFUNCTION("""COMPUTED_VALUE"""),3.7096)</f>
        <v>3.7096</v>
      </c>
    </row>
    <row r="762">
      <c r="D762" s="6">
        <f>IFERROR(__xludf.DUMMYFUNCTION("""COMPUTED_VALUE"""),39470.99861111111)</f>
        <v>39470.99861</v>
      </c>
      <c r="E762" s="3">
        <f>IFERROR(__xludf.DUMMYFUNCTION("""COMPUTED_VALUE"""),3.7235)</f>
        <v>3.7235</v>
      </c>
    </row>
    <row r="763">
      <c r="D763" s="6">
        <f>IFERROR(__xludf.DUMMYFUNCTION("""COMPUTED_VALUE"""),39471.99861111111)</f>
        <v>39471.99861</v>
      </c>
      <c r="E763" s="3">
        <f>IFERROR(__xludf.DUMMYFUNCTION("""COMPUTED_VALUE"""),3.735)</f>
        <v>3.735</v>
      </c>
    </row>
    <row r="764">
      <c r="D764" s="6">
        <f>IFERROR(__xludf.DUMMYFUNCTION("""COMPUTED_VALUE"""),39472.99861111111)</f>
        <v>39472.99861</v>
      </c>
      <c r="E764" s="3">
        <f>IFERROR(__xludf.DUMMYFUNCTION("""COMPUTED_VALUE"""),3.7904)</f>
        <v>3.7904</v>
      </c>
    </row>
    <row r="765">
      <c r="D765" s="6">
        <f>IFERROR(__xludf.DUMMYFUNCTION("""COMPUTED_VALUE"""),39474.99861111111)</f>
        <v>39474.99861</v>
      </c>
      <c r="E765" s="3">
        <f>IFERROR(__xludf.DUMMYFUNCTION("""COMPUTED_VALUE"""),3.7825)</f>
        <v>3.7825</v>
      </c>
    </row>
    <row r="766">
      <c r="D766" s="6">
        <f>IFERROR(__xludf.DUMMYFUNCTION("""COMPUTED_VALUE"""),39475.99861111111)</f>
        <v>39475.99861</v>
      </c>
      <c r="E766" s="3">
        <f>IFERROR(__xludf.DUMMYFUNCTION("""COMPUTED_VALUE"""),3.7129)</f>
        <v>3.7129</v>
      </c>
    </row>
    <row r="767">
      <c r="D767" s="6">
        <f>IFERROR(__xludf.DUMMYFUNCTION("""COMPUTED_VALUE"""),39476.99861111111)</f>
        <v>39476.99861</v>
      </c>
      <c r="E767" s="3">
        <f>IFERROR(__xludf.DUMMYFUNCTION("""COMPUTED_VALUE"""),3.7305)</f>
        <v>3.7305</v>
      </c>
    </row>
    <row r="768">
      <c r="D768" s="6">
        <f>IFERROR(__xludf.DUMMYFUNCTION("""COMPUTED_VALUE"""),39477.99861111111)</f>
        <v>39477.99861</v>
      </c>
      <c r="E768" s="3">
        <f>IFERROR(__xludf.DUMMYFUNCTION("""COMPUTED_VALUE"""),3.6975)</f>
        <v>3.6975</v>
      </c>
    </row>
    <row r="769">
      <c r="D769" s="6">
        <f>IFERROR(__xludf.DUMMYFUNCTION("""COMPUTED_VALUE"""),39478.99861111111)</f>
        <v>39478.99861</v>
      </c>
      <c r="E769" s="3">
        <f>IFERROR(__xludf.DUMMYFUNCTION("""COMPUTED_VALUE"""),3.67)</f>
        <v>3.67</v>
      </c>
    </row>
    <row r="770">
      <c r="D770" s="6">
        <f>IFERROR(__xludf.DUMMYFUNCTION("""COMPUTED_VALUE"""),39479.99861111111)</f>
        <v>39479.99861</v>
      </c>
      <c r="E770" s="3">
        <f>IFERROR(__xludf.DUMMYFUNCTION("""COMPUTED_VALUE"""),3.6775)</f>
        <v>3.6775</v>
      </c>
    </row>
    <row r="771">
      <c r="D771" s="6">
        <f>IFERROR(__xludf.DUMMYFUNCTION("""COMPUTED_VALUE"""),39481.99861111111)</f>
        <v>39481.99861</v>
      </c>
      <c r="E771" s="3">
        <f>IFERROR(__xludf.DUMMYFUNCTION("""COMPUTED_VALUE"""),3.6175)</f>
        <v>3.6175</v>
      </c>
    </row>
    <row r="772">
      <c r="D772" s="6">
        <f>IFERROR(__xludf.DUMMYFUNCTION("""COMPUTED_VALUE"""),39482.99861111111)</f>
        <v>39482.99861</v>
      </c>
      <c r="E772" s="3">
        <f>IFERROR(__xludf.DUMMYFUNCTION("""COMPUTED_VALUE"""),3.6258)</f>
        <v>3.6258</v>
      </c>
    </row>
    <row r="773">
      <c r="D773" s="6">
        <f>IFERROR(__xludf.DUMMYFUNCTION("""COMPUTED_VALUE"""),39483.99861111111)</f>
        <v>39483.99861</v>
      </c>
      <c r="E773" s="3">
        <f>IFERROR(__xludf.DUMMYFUNCTION("""COMPUTED_VALUE"""),3.5673)</f>
        <v>3.5673</v>
      </c>
    </row>
    <row r="774">
      <c r="D774" s="6">
        <f>IFERROR(__xludf.DUMMYFUNCTION("""COMPUTED_VALUE"""),39484.99861111111)</f>
        <v>39484.99861</v>
      </c>
      <c r="E774" s="3">
        <f>IFERROR(__xludf.DUMMYFUNCTION("""COMPUTED_VALUE"""),3.6274)</f>
        <v>3.6274</v>
      </c>
    </row>
    <row r="775">
      <c r="D775" s="6">
        <f>IFERROR(__xludf.DUMMYFUNCTION("""COMPUTED_VALUE"""),39485.99861111111)</f>
        <v>39485.99861</v>
      </c>
      <c r="E775" s="3">
        <f>IFERROR(__xludf.DUMMYFUNCTION("""COMPUTED_VALUE"""),3.6223)</f>
        <v>3.6223</v>
      </c>
    </row>
    <row r="776">
      <c r="D776" s="6">
        <f>IFERROR(__xludf.DUMMYFUNCTION("""COMPUTED_VALUE"""),39486.99861111111)</f>
        <v>39486.99861</v>
      </c>
      <c r="E776" s="3">
        <f>IFERROR(__xludf.DUMMYFUNCTION("""COMPUTED_VALUE"""),3.6222)</f>
        <v>3.6222</v>
      </c>
    </row>
    <row r="777">
      <c r="D777" s="6">
        <f>IFERROR(__xludf.DUMMYFUNCTION("""COMPUTED_VALUE"""),39488.99861111111)</f>
        <v>39488.99861</v>
      </c>
      <c r="E777" s="3">
        <f>IFERROR(__xludf.DUMMYFUNCTION("""COMPUTED_VALUE"""),3.6222)</f>
        <v>3.6222</v>
      </c>
    </row>
    <row r="778">
      <c r="D778" s="6">
        <f>IFERROR(__xludf.DUMMYFUNCTION("""COMPUTED_VALUE"""),39489.99861111111)</f>
        <v>39489.99861</v>
      </c>
      <c r="E778" s="3">
        <f>IFERROR(__xludf.DUMMYFUNCTION("""COMPUTED_VALUE"""),3.5971)</f>
        <v>3.5971</v>
      </c>
    </row>
    <row r="779">
      <c r="D779" s="6">
        <f>IFERROR(__xludf.DUMMYFUNCTION("""COMPUTED_VALUE"""),39490.99861111111)</f>
        <v>39490.99861</v>
      </c>
      <c r="E779" s="3">
        <f>IFERROR(__xludf.DUMMYFUNCTION("""COMPUTED_VALUE"""),3.5792)</f>
        <v>3.5792</v>
      </c>
    </row>
    <row r="780">
      <c r="D780" s="6">
        <f>IFERROR(__xludf.DUMMYFUNCTION("""COMPUTED_VALUE"""),39491.99861111111)</f>
        <v>39491.99861</v>
      </c>
      <c r="E780" s="3">
        <f>IFERROR(__xludf.DUMMYFUNCTION("""COMPUTED_VALUE"""),3.597)</f>
        <v>3.597</v>
      </c>
    </row>
    <row r="781">
      <c r="D781" s="6">
        <f>IFERROR(__xludf.DUMMYFUNCTION("""COMPUTED_VALUE"""),39492.99861111111)</f>
        <v>39492.99861</v>
      </c>
      <c r="E781" s="3">
        <f>IFERROR(__xludf.DUMMYFUNCTION("""COMPUTED_VALUE"""),3.5951)</f>
        <v>3.5951</v>
      </c>
    </row>
    <row r="782">
      <c r="D782" s="6">
        <f>IFERROR(__xludf.DUMMYFUNCTION("""COMPUTED_VALUE"""),39493.99861111111)</f>
        <v>39493.99861</v>
      </c>
      <c r="E782" s="3">
        <f>IFERROR(__xludf.DUMMYFUNCTION("""COMPUTED_VALUE"""),3.5954)</f>
        <v>3.5954</v>
      </c>
    </row>
    <row r="783">
      <c r="D783" s="6">
        <f>IFERROR(__xludf.DUMMYFUNCTION("""COMPUTED_VALUE"""),39495.99861111111)</f>
        <v>39495.99861</v>
      </c>
      <c r="E783" s="3">
        <f>IFERROR(__xludf.DUMMYFUNCTION("""COMPUTED_VALUE"""),3.5954)</f>
        <v>3.5954</v>
      </c>
    </row>
    <row r="784">
      <c r="D784" s="6">
        <f>IFERROR(__xludf.DUMMYFUNCTION("""COMPUTED_VALUE"""),39496.99861111111)</f>
        <v>39496.99861</v>
      </c>
      <c r="E784" s="3">
        <f>IFERROR(__xludf.DUMMYFUNCTION("""COMPUTED_VALUE"""),3.59)</f>
        <v>3.59</v>
      </c>
    </row>
    <row r="785">
      <c r="D785" s="6">
        <f>IFERROR(__xludf.DUMMYFUNCTION("""COMPUTED_VALUE"""),39497.99861111111)</f>
        <v>39497.99861</v>
      </c>
      <c r="E785" s="3">
        <f>IFERROR(__xludf.DUMMYFUNCTION("""COMPUTED_VALUE"""),3.587)</f>
        <v>3.587</v>
      </c>
    </row>
    <row r="786">
      <c r="D786" s="6">
        <f>IFERROR(__xludf.DUMMYFUNCTION("""COMPUTED_VALUE"""),39498.99861111111)</f>
        <v>39498.99861</v>
      </c>
      <c r="E786" s="3">
        <f>IFERROR(__xludf.DUMMYFUNCTION("""COMPUTED_VALUE"""),3.6032)</f>
        <v>3.6032</v>
      </c>
    </row>
    <row r="787">
      <c r="D787" s="6">
        <f>IFERROR(__xludf.DUMMYFUNCTION("""COMPUTED_VALUE"""),39499.99861111111)</f>
        <v>39499.99861</v>
      </c>
      <c r="E787" s="3">
        <f>IFERROR(__xludf.DUMMYFUNCTION("""COMPUTED_VALUE"""),3.6048)</f>
        <v>3.6048</v>
      </c>
    </row>
    <row r="788">
      <c r="D788" s="6">
        <f>IFERROR(__xludf.DUMMYFUNCTION("""COMPUTED_VALUE"""),39500.99861111111)</f>
        <v>39500.99861</v>
      </c>
      <c r="E788" s="3">
        <f>IFERROR(__xludf.DUMMYFUNCTION("""COMPUTED_VALUE"""),3.6175)</f>
        <v>3.6175</v>
      </c>
    </row>
    <row r="789">
      <c r="D789" s="6">
        <f>IFERROR(__xludf.DUMMYFUNCTION("""COMPUTED_VALUE"""),39502.99861111111)</f>
        <v>39502.99861</v>
      </c>
      <c r="E789" s="3">
        <f>IFERROR(__xludf.DUMMYFUNCTION("""COMPUTED_VALUE"""),3.6175)</f>
        <v>3.6175</v>
      </c>
    </row>
    <row r="790">
      <c r="D790" s="6">
        <f>IFERROR(__xludf.DUMMYFUNCTION("""COMPUTED_VALUE"""),39503.99861111111)</f>
        <v>39503.99861</v>
      </c>
      <c r="E790" s="3">
        <f>IFERROR(__xludf.DUMMYFUNCTION("""COMPUTED_VALUE"""),3.6097)</f>
        <v>3.6097</v>
      </c>
    </row>
    <row r="791">
      <c r="D791" s="6">
        <f>IFERROR(__xludf.DUMMYFUNCTION("""COMPUTED_VALUE"""),39504.99861111111)</f>
        <v>39504.99861</v>
      </c>
      <c r="E791" s="3">
        <f>IFERROR(__xludf.DUMMYFUNCTION("""COMPUTED_VALUE"""),3.5887)</f>
        <v>3.5887</v>
      </c>
    </row>
    <row r="792">
      <c r="D792" s="6">
        <f>IFERROR(__xludf.DUMMYFUNCTION("""COMPUTED_VALUE"""),39505.99861111111)</f>
        <v>39505.99861</v>
      </c>
      <c r="E792" s="3">
        <f>IFERROR(__xludf.DUMMYFUNCTION("""COMPUTED_VALUE"""),3.5886)</f>
        <v>3.5886</v>
      </c>
    </row>
    <row r="793">
      <c r="D793" s="6">
        <f>IFERROR(__xludf.DUMMYFUNCTION("""COMPUTED_VALUE"""),39506.99861111111)</f>
        <v>39506.99861</v>
      </c>
      <c r="E793" s="3">
        <f>IFERROR(__xludf.DUMMYFUNCTION("""COMPUTED_VALUE"""),3.6226)</f>
        <v>3.6226</v>
      </c>
    </row>
    <row r="794">
      <c r="D794" s="6">
        <f>IFERROR(__xludf.DUMMYFUNCTION("""COMPUTED_VALUE"""),39507.99861111111)</f>
        <v>39507.99861</v>
      </c>
      <c r="E794" s="3">
        <f>IFERROR(__xludf.DUMMYFUNCTION("""COMPUTED_VALUE"""),3.701)</f>
        <v>3.701</v>
      </c>
    </row>
    <row r="795">
      <c r="D795" s="6">
        <f>IFERROR(__xludf.DUMMYFUNCTION("""COMPUTED_VALUE"""),39510.99861111111)</f>
        <v>39510.99861</v>
      </c>
      <c r="E795" s="3">
        <f>IFERROR(__xludf.DUMMYFUNCTION("""COMPUTED_VALUE"""),3.6847)</f>
        <v>3.6847</v>
      </c>
    </row>
    <row r="796">
      <c r="D796" s="6">
        <f>IFERROR(__xludf.DUMMYFUNCTION("""COMPUTED_VALUE"""),39511.99861111111)</f>
        <v>39511.99861</v>
      </c>
      <c r="E796" s="3">
        <f>IFERROR(__xludf.DUMMYFUNCTION("""COMPUTED_VALUE"""),3.721)</f>
        <v>3.721</v>
      </c>
    </row>
    <row r="797">
      <c r="D797" s="6">
        <f>IFERROR(__xludf.DUMMYFUNCTION("""COMPUTED_VALUE"""),39512.99861111111)</f>
        <v>39512.99861</v>
      </c>
      <c r="E797" s="3">
        <f>IFERROR(__xludf.DUMMYFUNCTION("""COMPUTED_VALUE"""),3.6653)</f>
        <v>3.6653</v>
      </c>
    </row>
    <row r="798">
      <c r="D798" s="6">
        <f>IFERROR(__xludf.DUMMYFUNCTION("""COMPUTED_VALUE"""),39513.99861111111)</f>
        <v>39513.99861</v>
      </c>
      <c r="E798" s="3">
        <f>IFERROR(__xludf.DUMMYFUNCTION("""COMPUTED_VALUE"""),3.6769)</f>
        <v>3.6769</v>
      </c>
    </row>
    <row r="799">
      <c r="D799" s="6">
        <f>IFERROR(__xludf.DUMMYFUNCTION("""COMPUTED_VALUE"""),39514.99861111111)</f>
        <v>39514.99861</v>
      </c>
      <c r="E799" s="3">
        <f>IFERROR(__xludf.DUMMYFUNCTION("""COMPUTED_VALUE"""),3.7077)</f>
        <v>3.7077</v>
      </c>
    </row>
    <row r="800">
      <c r="D800" s="6">
        <f>IFERROR(__xludf.DUMMYFUNCTION("""COMPUTED_VALUE"""),39517.99861111111)</f>
        <v>39517.99861</v>
      </c>
      <c r="E800" s="3">
        <f>IFERROR(__xludf.DUMMYFUNCTION("""COMPUTED_VALUE"""),3.6777)</f>
        <v>3.6777</v>
      </c>
    </row>
    <row r="801">
      <c r="D801" s="6">
        <f>IFERROR(__xludf.DUMMYFUNCTION("""COMPUTED_VALUE"""),39518.99861111111)</f>
        <v>39518.99861</v>
      </c>
      <c r="E801" s="3">
        <f>IFERROR(__xludf.DUMMYFUNCTION("""COMPUTED_VALUE"""),3.6413)</f>
        <v>3.6413</v>
      </c>
    </row>
    <row r="802">
      <c r="D802" s="6">
        <f>IFERROR(__xludf.DUMMYFUNCTION("""COMPUTED_VALUE"""),39519.99861111111)</f>
        <v>39519.99861</v>
      </c>
      <c r="E802" s="3">
        <f>IFERROR(__xludf.DUMMYFUNCTION("""COMPUTED_VALUE"""),3.6444)</f>
        <v>3.6444</v>
      </c>
    </row>
    <row r="803">
      <c r="D803" s="6">
        <f>IFERROR(__xludf.DUMMYFUNCTION("""COMPUTED_VALUE"""),39520.99861111111)</f>
        <v>39520.99861</v>
      </c>
      <c r="E803" s="3">
        <f>IFERROR(__xludf.DUMMYFUNCTION("""COMPUTED_VALUE"""),3.6558)</f>
        <v>3.6558</v>
      </c>
    </row>
    <row r="804">
      <c r="D804" s="6">
        <f>IFERROR(__xludf.DUMMYFUNCTION("""COMPUTED_VALUE"""),39521.99861111111)</f>
        <v>39521.99861</v>
      </c>
      <c r="E804" s="3">
        <f>IFERROR(__xludf.DUMMYFUNCTION("""COMPUTED_VALUE"""),3.6864)</f>
        <v>3.6864</v>
      </c>
    </row>
    <row r="805">
      <c r="D805" s="6">
        <f>IFERROR(__xludf.DUMMYFUNCTION("""COMPUTED_VALUE"""),39523.99861111111)</f>
        <v>39523.99861</v>
      </c>
      <c r="E805" s="3">
        <f>IFERROR(__xludf.DUMMYFUNCTION("""COMPUTED_VALUE"""),3.676)</f>
        <v>3.676</v>
      </c>
    </row>
    <row r="806">
      <c r="D806" s="6">
        <f>IFERROR(__xludf.DUMMYFUNCTION("""COMPUTED_VALUE"""),39524.99861111111)</f>
        <v>39524.99861</v>
      </c>
      <c r="E806" s="3">
        <f>IFERROR(__xludf.DUMMYFUNCTION("""COMPUTED_VALUE"""),3.6938)</f>
        <v>3.6938</v>
      </c>
    </row>
    <row r="807">
      <c r="D807" s="6">
        <f>IFERROR(__xludf.DUMMYFUNCTION("""COMPUTED_VALUE"""),39525.99861111111)</f>
        <v>39525.99861</v>
      </c>
      <c r="E807" s="3">
        <f>IFERROR(__xludf.DUMMYFUNCTION("""COMPUTED_VALUE"""),3.6679)</f>
        <v>3.6679</v>
      </c>
    </row>
    <row r="808">
      <c r="D808" s="6">
        <f>IFERROR(__xludf.DUMMYFUNCTION("""COMPUTED_VALUE"""),39526.99861111111)</f>
        <v>39526.99861</v>
      </c>
      <c r="E808" s="3">
        <f>IFERROR(__xludf.DUMMYFUNCTION("""COMPUTED_VALUE"""),3.7007)</f>
        <v>3.7007</v>
      </c>
    </row>
    <row r="809">
      <c r="D809" s="6">
        <f>IFERROR(__xludf.DUMMYFUNCTION("""COMPUTED_VALUE"""),39527.99861111111)</f>
        <v>39527.99861</v>
      </c>
      <c r="E809" s="3">
        <f>IFERROR(__xludf.DUMMYFUNCTION("""COMPUTED_VALUE"""),3.6794)</f>
        <v>3.6794</v>
      </c>
    </row>
    <row r="810">
      <c r="D810" s="6">
        <f>IFERROR(__xludf.DUMMYFUNCTION("""COMPUTED_VALUE"""),39528.99861111111)</f>
        <v>39528.99861</v>
      </c>
      <c r="E810" s="3">
        <f>IFERROR(__xludf.DUMMYFUNCTION("""COMPUTED_VALUE"""),3.6794)</f>
        <v>3.6794</v>
      </c>
    </row>
    <row r="811">
      <c r="D811" s="6">
        <f>IFERROR(__xludf.DUMMYFUNCTION("""COMPUTED_VALUE"""),39530.99861111111)</f>
        <v>39530.99861</v>
      </c>
      <c r="E811" s="3">
        <f>IFERROR(__xludf.DUMMYFUNCTION("""COMPUTED_VALUE"""),3.6794)</f>
        <v>3.6794</v>
      </c>
    </row>
    <row r="812">
      <c r="D812" s="6">
        <f>IFERROR(__xludf.DUMMYFUNCTION("""COMPUTED_VALUE"""),39531.99861111111)</f>
        <v>39531.99861</v>
      </c>
      <c r="E812" s="3">
        <f>IFERROR(__xludf.DUMMYFUNCTION("""COMPUTED_VALUE"""),3.6794)</f>
        <v>3.6794</v>
      </c>
    </row>
    <row r="813">
      <c r="D813" s="6">
        <f>IFERROR(__xludf.DUMMYFUNCTION("""COMPUTED_VALUE"""),39532.99861111111)</f>
        <v>39532.99861</v>
      </c>
      <c r="E813" s="3">
        <f>IFERROR(__xludf.DUMMYFUNCTION("""COMPUTED_VALUE"""),3.6662)</f>
        <v>3.6662</v>
      </c>
    </row>
    <row r="814">
      <c r="D814" s="6">
        <f>IFERROR(__xludf.DUMMYFUNCTION("""COMPUTED_VALUE"""),39533.99861111111)</f>
        <v>39533.99861</v>
      </c>
      <c r="E814" s="3">
        <f>IFERROR(__xludf.DUMMYFUNCTION("""COMPUTED_VALUE"""),3.667)</f>
        <v>3.667</v>
      </c>
    </row>
    <row r="815">
      <c r="D815" s="6">
        <f>IFERROR(__xludf.DUMMYFUNCTION("""COMPUTED_VALUE"""),39534.99861111111)</f>
        <v>39534.99861</v>
      </c>
      <c r="E815" s="3">
        <f>IFERROR(__xludf.DUMMYFUNCTION("""COMPUTED_VALUE"""),3.6645)</f>
        <v>3.6645</v>
      </c>
    </row>
    <row r="816">
      <c r="D816" s="6">
        <f>IFERROR(__xludf.DUMMYFUNCTION("""COMPUTED_VALUE"""),39535.99861111111)</f>
        <v>39535.99861</v>
      </c>
      <c r="E816" s="3">
        <f>IFERROR(__xludf.DUMMYFUNCTION("""COMPUTED_VALUE"""),3.6738)</f>
        <v>3.6738</v>
      </c>
    </row>
    <row r="817">
      <c r="D817" s="6">
        <f>IFERROR(__xludf.DUMMYFUNCTION("""COMPUTED_VALUE"""),39537.99861111111)</f>
        <v>39537.99861</v>
      </c>
      <c r="E817" s="3">
        <f>IFERROR(__xludf.DUMMYFUNCTION("""COMPUTED_VALUE"""),3.6795)</f>
        <v>3.6795</v>
      </c>
    </row>
    <row r="818">
      <c r="D818" s="6">
        <f>IFERROR(__xludf.DUMMYFUNCTION("""COMPUTED_VALUE"""),39538.99861111111)</f>
        <v>39538.99861</v>
      </c>
      <c r="E818" s="3">
        <f>IFERROR(__xludf.DUMMYFUNCTION("""COMPUTED_VALUE"""),3.68)</f>
        <v>3.68</v>
      </c>
    </row>
    <row r="819">
      <c r="D819" s="6">
        <f>IFERROR(__xludf.DUMMYFUNCTION("""COMPUTED_VALUE"""),39540.99861111111)</f>
        <v>39540.99861</v>
      </c>
      <c r="E819" s="3">
        <f>IFERROR(__xludf.DUMMYFUNCTION("""COMPUTED_VALUE"""),3.6596)</f>
        <v>3.6596</v>
      </c>
    </row>
    <row r="820">
      <c r="D820" s="6">
        <f>IFERROR(__xludf.DUMMYFUNCTION("""COMPUTED_VALUE"""),39541.99861111111)</f>
        <v>39541.99861</v>
      </c>
      <c r="E820" s="3">
        <f>IFERROR(__xludf.DUMMYFUNCTION("""COMPUTED_VALUE"""),3.662)</f>
        <v>3.662</v>
      </c>
    </row>
    <row r="821">
      <c r="D821" s="6">
        <f>IFERROR(__xludf.DUMMYFUNCTION("""COMPUTED_VALUE"""),39542.99861111111)</f>
        <v>39542.99861</v>
      </c>
      <c r="E821" s="3">
        <f>IFERROR(__xludf.DUMMYFUNCTION("""COMPUTED_VALUE"""),3.6757)</f>
        <v>3.6757</v>
      </c>
    </row>
    <row r="822">
      <c r="D822" s="6">
        <f>IFERROR(__xludf.DUMMYFUNCTION("""COMPUTED_VALUE"""),39544.99861111111)</f>
        <v>39544.99861</v>
      </c>
      <c r="E822" s="3">
        <f>IFERROR(__xludf.DUMMYFUNCTION("""COMPUTED_VALUE"""),3.6552)</f>
        <v>3.6552</v>
      </c>
    </row>
    <row r="823">
      <c r="D823" s="6">
        <f>IFERROR(__xludf.DUMMYFUNCTION("""COMPUTED_VALUE"""),39545.99861111111)</f>
        <v>39545.99861</v>
      </c>
      <c r="E823" s="3">
        <f>IFERROR(__xludf.DUMMYFUNCTION("""COMPUTED_VALUE"""),3.6206)</f>
        <v>3.6206</v>
      </c>
    </row>
    <row r="824">
      <c r="D824" s="6">
        <f>IFERROR(__xludf.DUMMYFUNCTION("""COMPUTED_VALUE"""),39546.99861111111)</f>
        <v>39546.99861</v>
      </c>
      <c r="E824" s="3">
        <f>IFERROR(__xludf.DUMMYFUNCTION("""COMPUTED_VALUE"""),3.6151)</f>
        <v>3.6151</v>
      </c>
    </row>
    <row r="825">
      <c r="D825" s="6">
        <f>IFERROR(__xludf.DUMMYFUNCTION("""COMPUTED_VALUE"""),39547.99861111111)</f>
        <v>39547.99861</v>
      </c>
      <c r="E825" s="3">
        <f>IFERROR(__xludf.DUMMYFUNCTION("""COMPUTED_VALUE"""),3.6185)</f>
        <v>3.6185</v>
      </c>
    </row>
    <row r="826">
      <c r="D826" s="6">
        <f>IFERROR(__xludf.DUMMYFUNCTION("""COMPUTED_VALUE"""),39548.99861111111)</f>
        <v>39548.99861</v>
      </c>
      <c r="E826" s="3">
        <f>IFERROR(__xludf.DUMMYFUNCTION("""COMPUTED_VALUE"""),3.6361)</f>
        <v>3.6361</v>
      </c>
    </row>
    <row r="827">
      <c r="D827" s="6">
        <f>IFERROR(__xludf.DUMMYFUNCTION("""COMPUTED_VALUE"""),39549.99861111111)</f>
        <v>39549.99861</v>
      </c>
      <c r="E827" s="3">
        <f>IFERROR(__xludf.DUMMYFUNCTION("""COMPUTED_VALUE"""),3.6318)</f>
        <v>3.6318</v>
      </c>
    </row>
    <row r="828">
      <c r="D828" s="6">
        <f>IFERROR(__xludf.DUMMYFUNCTION("""COMPUTED_VALUE"""),39551.99861111111)</f>
        <v>39551.99861</v>
      </c>
      <c r="E828" s="3">
        <f>IFERROR(__xludf.DUMMYFUNCTION("""COMPUTED_VALUE"""),3.58)</f>
        <v>3.58</v>
      </c>
    </row>
    <row r="829">
      <c r="D829" s="6">
        <f>IFERROR(__xludf.DUMMYFUNCTION("""COMPUTED_VALUE"""),39552.99861111111)</f>
        <v>39552.99861</v>
      </c>
      <c r="E829" s="3">
        <f>IFERROR(__xludf.DUMMYFUNCTION("""COMPUTED_VALUE"""),3.5882)</f>
        <v>3.5882</v>
      </c>
    </row>
    <row r="830">
      <c r="D830" s="6">
        <f>IFERROR(__xludf.DUMMYFUNCTION("""COMPUTED_VALUE"""),39553.99861111111)</f>
        <v>39553.99861</v>
      </c>
      <c r="E830" s="3">
        <f>IFERROR(__xludf.DUMMYFUNCTION("""COMPUTED_VALUE"""),3.5672)</f>
        <v>3.5672</v>
      </c>
    </row>
    <row r="831">
      <c r="D831" s="6">
        <f>IFERROR(__xludf.DUMMYFUNCTION("""COMPUTED_VALUE"""),39554.99861111111)</f>
        <v>39554.99861</v>
      </c>
      <c r="E831" s="3">
        <f>IFERROR(__xludf.DUMMYFUNCTION("""COMPUTED_VALUE"""),3.5887)</f>
        <v>3.5887</v>
      </c>
    </row>
    <row r="832">
      <c r="D832" s="6">
        <f>IFERROR(__xludf.DUMMYFUNCTION("""COMPUTED_VALUE"""),39555.99861111111)</f>
        <v>39555.99861</v>
      </c>
      <c r="E832" s="3">
        <f>IFERROR(__xludf.DUMMYFUNCTION("""COMPUTED_VALUE"""),3.5887)</f>
        <v>3.5887</v>
      </c>
    </row>
    <row r="833">
      <c r="D833" s="6">
        <f>IFERROR(__xludf.DUMMYFUNCTION("""COMPUTED_VALUE"""),39556.99861111111)</f>
        <v>39556.99861</v>
      </c>
      <c r="E833" s="3">
        <f>IFERROR(__xludf.DUMMYFUNCTION("""COMPUTED_VALUE"""),3.5794)</f>
        <v>3.5794</v>
      </c>
    </row>
    <row r="834">
      <c r="D834" s="6">
        <f>IFERROR(__xludf.DUMMYFUNCTION("""COMPUTED_VALUE"""),39558.99861111111)</f>
        <v>39558.99861</v>
      </c>
      <c r="E834" s="3">
        <f>IFERROR(__xludf.DUMMYFUNCTION("""COMPUTED_VALUE"""),3.5232)</f>
        <v>3.5232</v>
      </c>
    </row>
    <row r="835">
      <c r="D835" s="6">
        <f>IFERROR(__xludf.DUMMYFUNCTION("""COMPUTED_VALUE"""),39559.99861111111)</f>
        <v>39559.99861</v>
      </c>
      <c r="E835" s="3">
        <f>IFERROR(__xludf.DUMMYFUNCTION("""COMPUTED_VALUE"""),3.5116)</f>
        <v>3.5116</v>
      </c>
    </row>
    <row r="836">
      <c r="D836" s="6">
        <f>IFERROR(__xludf.DUMMYFUNCTION("""COMPUTED_VALUE"""),39560.99861111111)</f>
        <v>39560.99861</v>
      </c>
      <c r="E836" s="3">
        <f>IFERROR(__xludf.DUMMYFUNCTION("""COMPUTED_VALUE"""),3.5076)</f>
        <v>3.5076</v>
      </c>
    </row>
    <row r="837">
      <c r="D837" s="6">
        <f>IFERROR(__xludf.DUMMYFUNCTION("""COMPUTED_VALUE"""),39561.99861111111)</f>
        <v>39561.99861</v>
      </c>
      <c r="E837" s="3">
        <f>IFERROR(__xludf.DUMMYFUNCTION("""COMPUTED_VALUE"""),3.5218)</f>
        <v>3.5218</v>
      </c>
    </row>
    <row r="838">
      <c r="D838" s="6">
        <f>IFERROR(__xludf.DUMMYFUNCTION("""COMPUTED_VALUE"""),39562.99861111111)</f>
        <v>39562.99861</v>
      </c>
      <c r="E838" s="3">
        <f>IFERROR(__xludf.DUMMYFUNCTION("""COMPUTED_VALUE"""),3.5409)</f>
        <v>3.5409</v>
      </c>
    </row>
    <row r="839">
      <c r="D839" s="6">
        <f>IFERROR(__xludf.DUMMYFUNCTION("""COMPUTED_VALUE"""),39563.99861111111)</f>
        <v>39563.99861</v>
      </c>
      <c r="E839" s="3">
        <f>IFERROR(__xludf.DUMMYFUNCTION("""COMPUTED_VALUE"""),3.5882)</f>
        <v>3.5882</v>
      </c>
    </row>
    <row r="840">
      <c r="D840" s="6">
        <f>IFERROR(__xludf.DUMMYFUNCTION("""COMPUTED_VALUE"""),39565.99861111111)</f>
        <v>39565.99861</v>
      </c>
      <c r="E840" s="3">
        <f>IFERROR(__xludf.DUMMYFUNCTION("""COMPUTED_VALUE"""),3.5834)</f>
        <v>3.5834</v>
      </c>
    </row>
    <row r="841">
      <c r="D841" s="6">
        <f>IFERROR(__xludf.DUMMYFUNCTION("""COMPUTED_VALUE"""),39566.99861111111)</f>
        <v>39566.99861</v>
      </c>
      <c r="E841" s="3">
        <f>IFERROR(__xludf.DUMMYFUNCTION("""COMPUTED_VALUE"""),3.5755)</f>
        <v>3.5755</v>
      </c>
    </row>
    <row r="842">
      <c r="D842" s="6">
        <f>IFERROR(__xludf.DUMMYFUNCTION("""COMPUTED_VALUE"""),39567.99861111111)</f>
        <v>39567.99861</v>
      </c>
      <c r="E842" s="3">
        <f>IFERROR(__xludf.DUMMYFUNCTION("""COMPUTED_VALUE"""),3.6335)</f>
        <v>3.6335</v>
      </c>
    </row>
    <row r="843">
      <c r="D843" s="6">
        <f>IFERROR(__xludf.DUMMYFUNCTION("""COMPUTED_VALUE"""),39568.99861111111)</f>
        <v>39568.99861</v>
      </c>
      <c r="E843" s="3">
        <f>IFERROR(__xludf.DUMMYFUNCTION("""COMPUTED_VALUE"""),3.6143)</f>
        <v>3.6143</v>
      </c>
    </row>
    <row r="844">
      <c r="D844" s="6">
        <f>IFERROR(__xludf.DUMMYFUNCTION("""COMPUTED_VALUE"""),39570.99861111111)</f>
        <v>39570.99861</v>
      </c>
      <c r="E844" s="3">
        <f>IFERROR(__xludf.DUMMYFUNCTION("""COMPUTED_VALUE"""),3.6306)</f>
        <v>3.6306</v>
      </c>
    </row>
    <row r="845">
      <c r="D845" s="6">
        <f>IFERROR(__xludf.DUMMYFUNCTION("""COMPUTED_VALUE"""),39573.99861111111)</f>
        <v>39573.99861</v>
      </c>
      <c r="E845" s="3">
        <f>IFERROR(__xludf.DUMMYFUNCTION("""COMPUTED_VALUE"""),3.5841)</f>
        <v>3.5841</v>
      </c>
    </row>
    <row r="846">
      <c r="D846" s="6">
        <f>IFERROR(__xludf.DUMMYFUNCTION("""COMPUTED_VALUE"""),39574.99861111111)</f>
        <v>39574.99861</v>
      </c>
      <c r="E846" s="3">
        <f>IFERROR(__xludf.DUMMYFUNCTION("""COMPUTED_VALUE"""),3.6136)</f>
        <v>3.6136</v>
      </c>
    </row>
    <row r="847">
      <c r="D847" s="6">
        <f>IFERROR(__xludf.DUMMYFUNCTION("""COMPUTED_VALUE"""),39575.99861111111)</f>
        <v>39575.99861</v>
      </c>
      <c r="E847" s="3">
        <f>IFERROR(__xludf.DUMMYFUNCTION("""COMPUTED_VALUE"""),3.6054)</f>
        <v>3.6054</v>
      </c>
    </row>
    <row r="848">
      <c r="D848" s="6">
        <f>IFERROR(__xludf.DUMMYFUNCTION("""COMPUTED_VALUE"""),39576.99861111111)</f>
        <v>39576.99861</v>
      </c>
      <c r="E848" s="3">
        <f>IFERROR(__xludf.DUMMYFUNCTION("""COMPUTED_VALUE"""),3.6401)</f>
        <v>3.6401</v>
      </c>
    </row>
    <row r="849">
      <c r="D849" s="6">
        <f>IFERROR(__xludf.DUMMYFUNCTION("""COMPUTED_VALUE"""),39577.99861111111)</f>
        <v>39577.99861</v>
      </c>
      <c r="E849" s="3">
        <f>IFERROR(__xludf.DUMMYFUNCTION("""COMPUTED_VALUE"""),3.6424)</f>
        <v>3.6424</v>
      </c>
    </row>
    <row r="850">
      <c r="D850" s="6">
        <f>IFERROR(__xludf.DUMMYFUNCTION("""COMPUTED_VALUE"""),39579.99861111111)</f>
        <v>39579.99861</v>
      </c>
      <c r="E850" s="3">
        <f>IFERROR(__xludf.DUMMYFUNCTION("""COMPUTED_VALUE"""),3.6424)</f>
        <v>3.6424</v>
      </c>
    </row>
    <row r="851">
      <c r="D851" s="6">
        <f>IFERROR(__xludf.DUMMYFUNCTION("""COMPUTED_VALUE"""),39580.99861111111)</f>
        <v>39580.99861</v>
      </c>
      <c r="E851" s="3">
        <f>IFERROR(__xludf.DUMMYFUNCTION("""COMPUTED_VALUE"""),3.6424)</f>
        <v>3.6424</v>
      </c>
    </row>
    <row r="852">
      <c r="D852" s="6">
        <f>IFERROR(__xludf.DUMMYFUNCTION("""COMPUTED_VALUE"""),39581.99861111111)</f>
        <v>39581.99861</v>
      </c>
      <c r="E852" s="3">
        <f>IFERROR(__xludf.DUMMYFUNCTION("""COMPUTED_VALUE"""),3.6066)</f>
        <v>3.6066</v>
      </c>
    </row>
    <row r="853">
      <c r="D853" s="6">
        <f>IFERROR(__xludf.DUMMYFUNCTION("""COMPUTED_VALUE"""),39582.99861111111)</f>
        <v>39582.99861</v>
      </c>
      <c r="E853" s="3">
        <f>IFERROR(__xludf.DUMMYFUNCTION("""COMPUTED_VALUE"""),3.635)</f>
        <v>3.635</v>
      </c>
    </row>
    <row r="854">
      <c r="D854" s="6">
        <f>IFERROR(__xludf.DUMMYFUNCTION("""COMPUTED_VALUE"""),39583.99861111111)</f>
        <v>39583.99861</v>
      </c>
      <c r="E854" s="3">
        <f>IFERROR(__xludf.DUMMYFUNCTION("""COMPUTED_VALUE"""),3.6068)</f>
        <v>3.6068</v>
      </c>
    </row>
    <row r="855">
      <c r="D855" s="6">
        <f>IFERROR(__xludf.DUMMYFUNCTION("""COMPUTED_VALUE"""),39584.99861111111)</f>
        <v>39584.99861</v>
      </c>
      <c r="E855" s="3">
        <f>IFERROR(__xludf.DUMMYFUNCTION("""COMPUTED_VALUE"""),3.5873)</f>
        <v>3.5873</v>
      </c>
    </row>
    <row r="856">
      <c r="D856" s="6">
        <f>IFERROR(__xludf.DUMMYFUNCTION("""COMPUTED_VALUE"""),39586.99861111111)</f>
        <v>39586.99861</v>
      </c>
      <c r="E856" s="3">
        <f>IFERROR(__xludf.DUMMYFUNCTION("""COMPUTED_VALUE"""),3.5873)</f>
        <v>3.5873</v>
      </c>
    </row>
    <row r="857">
      <c r="D857" s="6">
        <f>IFERROR(__xludf.DUMMYFUNCTION("""COMPUTED_VALUE"""),39587.99861111111)</f>
        <v>39587.99861</v>
      </c>
      <c r="E857" s="3">
        <f>IFERROR(__xludf.DUMMYFUNCTION("""COMPUTED_VALUE"""),3.5771)</f>
        <v>3.5771</v>
      </c>
    </row>
    <row r="858">
      <c r="D858" s="6">
        <f>IFERROR(__xludf.DUMMYFUNCTION("""COMPUTED_VALUE"""),39588.99861111111)</f>
        <v>39588.99861</v>
      </c>
      <c r="E858" s="3">
        <f>IFERROR(__xludf.DUMMYFUNCTION("""COMPUTED_VALUE"""),3.5869)</f>
        <v>3.5869</v>
      </c>
    </row>
    <row r="859">
      <c r="D859" s="6">
        <f>IFERROR(__xludf.DUMMYFUNCTION("""COMPUTED_VALUE"""),39589.99861111111)</f>
        <v>39589.99861</v>
      </c>
      <c r="E859" s="3">
        <f>IFERROR(__xludf.DUMMYFUNCTION("""COMPUTED_VALUE"""),3.6073)</f>
        <v>3.6073</v>
      </c>
    </row>
    <row r="860">
      <c r="D860" s="6">
        <f>IFERROR(__xludf.DUMMYFUNCTION("""COMPUTED_VALUE"""),39590.99861111111)</f>
        <v>39590.99861</v>
      </c>
      <c r="E860" s="3">
        <f>IFERROR(__xludf.DUMMYFUNCTION("""COMPUTED_VALUE"""),3.6195)</f>
        <v>3.6195</v>
      </c>
    </row>
    <row r="861">
      <c r="D861" s="6">
        <f>IFERROR(__xludf.DUMMYFUNCTION("""COMPUTED_VALUE"""),39591.99861111111)</f>
        <v>39591.99861</v>
      </c>
      <c r="E861" s="3">
        <f>IFERROR(__xludf.DUMMYFUNCTION("""COMPUTED_VALUE"""),3.6147)</f>
        <v>3.6147</v>
      </c>
    </row>
    <row r="862">
      <c r="D862" s="6">
        <f>IFERROR(__xludf.DUMMYFUNCTION("""COMPUTED_VALUE"""),39593.99861111111)</f>
        <v>39593.99861</v>
      </c>
      <c r="E862" s="3">
        <f>IFERROR(__xludf.DUMMYFUNCTION("""COMPUTED_VALUE"""),3.6147)</f>
        <v>3.6147</v>
      </c>
    </row>
    <row r="863">
      <c r="D863" s="6">
        <f>IFERROR(__xludf.DUMMYFUNCTION("""COMPUTED_VALUE"""),39594.99861111111)</f>
        <v>39594.99861</v>
      </c>
      <c r="E863" s="3">
        <f>IFERROR(__xludf.DUMMYFUNCTION("""COMPUTED_VALUE"""),3.6174)</f>
        <v>3.6174</v>
      </c>
    </row>
    <row r="864">
      <c r="D864" s="6">
        <f>IFERROR(__xludf.DUMMYFUNCTION("""COMPUTED_VALUE"""),39595.99861111111)</f>
        <v>39595.99861</v>
      </c>
      <c r="E864" s="3">
        <f>IFERROR(__xludf.DUMMYFUNCTION("""COMPUTED_VALUE"""),3.6255)</f>
        <v>3.6255</v>
      </c>
    </row>
    <row r="865">
      <c r="D865" s="6">
        <f>IFERROR(__xludf.DUMMYFUNCTION("""COMPUTED_VALUE"""),39596.99861111111)</f>
        <v>39596.99861</v>
      </c>
      <c r="E865" s="3">
        <f>IFERROR(__xludf.DUMMYFUNCTION("""COMPUTED_VALUE"""),3.6298)</f>
        <v>3.6298</v>
      </c>
    </row>
    <row r="866">
      <c r="D866" s="6">
        <f>IFERROR(__xludf.DUMMYFUNCTION("""COMPUTED_VALUE"""),39597.99861111111)</f>
        <v>39597.99861</v>
      </c>
      <c r="E866" s="3">
        <f>IFERROR(__xludf.DUMMYFUNCTION("""COMPUTED_VALUE"""),3.588)</f>
        <v>3.588</v>
      </c>
    </row>
    <row r="867">
      <c r="D867" s="6">
        <f>IFERROR(__xludf.DUMMYFUNCTION("""COMPUTED_VALUE"""),39598.99861111111)</f>
        <v>39598.99861</v>
      </c>
      <c r="E867" s="3">
        <f>IFERROR(__xludf.DUMMYFUNCTION("""COMPUTED_VALUE"""),3.5773)</f>
        <v>3.5773</v>
      </c>
    </row>
    <row r="868">
      <c r="D868" s="6">
        <f>IFERROR(__xludf.DUMMYFUNCTION("""COMPUTED_VALUE"""),39601.99861111111)</f>
        <v>39601.99861</v>
      </c>
      <c r="E868" s="3">
        <f>IFERROR(__xludf.DUMMYFUNCTION("""COMPUTED_VALUE"""),3.5613)</f>
        <v>3.5613</v>
      </c>
    </row>
    <row r="869">
      <c r="D869" s="6">
        <f>IFERROR(__xludf.DUMMYFUNCTION("""COMPUTED_VALUE"""),39602.99861111111)</f>
        <v>39602.99861</v>
      </c>
      <c r="E869" s="3">
        <f>IFERROR(__xludf.DUMMYFUNCTION("""COMPUTED_VALUE"""),3.5725)</f>
        <v>3.5725</v>
      </c>
    </row>
    <row r="870">
      <c r="D870" s="6">
        <f>IFERROR(__xludf.DUMMYFUNCTION("""COMPUTED_VALUE"""),39603.99861111111)</f>
        <v>39603.99861</v>
      </c>
      <c r="E870" s="3">
        <f>IFERROR(__xludf.DUMMYFUNCTION("""COMPUTED_VALUE"""),3.574)</f>
        <v>3.574</v>
      </c>
    </row>
    <row r="871">
      <c r="D871" s="6">
        <f>IFERROR(__xludf.DUMMYFUNCTION("""COMPUTED_VALUE"""),39604.99861111111)</f>
        <v>39604.99861</v>
      </c>
      <c r="E871" s="3">
        <f>IFERROR(__xludf.DUMMYFUNCTION("""COMPUTED_VALUE"""),3.5746)</f>
        <v>3.5746</v>
      </c>
    </row>
    <row r="872">
      <c r="D872" s="6">
        <f>IFERROR(__xludf.DUMMYFUNCTION("""COMPUTED_VALUE"""),39605.99861111111)</f>
        <v>39605.99861</v>
      </c>
      <c r="E872" s="3">
        <f>IFERROR(__xludf.DUMMYFUNCTION("""COMPUTED_VALUE"""),3.606)</f>
        <v>3.606</v>
      </c>
    </row>
    <row r="873">
      <c r="D873" s="6">
        <f>IFERROR(__xludf.DUMMYFUNCTION("""COMPUTED_VALUE"""),39607.99861111111)</f>
        <v>39607.99861</v>
      </c>
      <c r="E873" s="3">
        <f>IFERROR(__xludf.DUMMYFUNCTION("""COMPUTED_VALUE"""),3.606)</f>
        <v>3.606</v>
      </c>
    </row>
    <row r="874">
      <c r="D874" s="6">
        <f>IFERROR(__xludf.DUMMYFUNCTION("""COMPUTED_VALUE"""),39608.99861111111)</f>
        <v>39608.99861</v>
      </c>
      <c r="E874" s="3">
        <f>IFERROR(__xludf.DUMMYFUNCTION("""COMPUTED_VALUE"""),3.6307)</f>
        <v>3.6307</v>
      </c>
    </row>
    <row r="875">
      <c r="D875" s="6">
        <f>IFERROR(__xludf.DUMMYFUNCTION("""COMPUTED_VALUE"""),39609.99861111111)</f>
        <v>39609.99861</v>
      </c>
      <c r="E875" s="3">
        <f>IFERROR(__xludf.DUMMYFUNCTION("""COMPUTED_VALUE"""),3.6311)</f>
        <v>3.6311</v>
      </c>
    </row>
    <row r="876">
      <c r="D876" s="6">
        <f>IFERROR(__xludf.DUMMYFUNCTION("""COMPUTED_VALUE"""),39610.99861111111)</f>
        <v>39610.99861</v>
      </c>
      <c r="E876" s="3">
        <f>IFERROR(__xludf.DUMMYFUNCTION("""COMPUTED_VALUE"""),3.6267)</f>
        <v>3.6267</v>
      </c>
    </row>
    <row r="877">
      <c r="D877" s="6">
        <f>IFERROR(__xludf.DUMMYFUNCTION("""COMPUTED_VALUE"""),39611.99861111111)</f>
        <v>39611.99861</v>
      </c>
      <c r="E877" s="3">
        <f>IFERROR(__xludf.DUMMYFUNCTION("""COMPUTED_VALUE"""),3.6181)</f>
        <v>3.6181</v>
      </c>
    </row>
    <row r="878">
      <c r="D878" s="6">
        <f>IFERROR(__xludf.DUMMYFUNCTION("""COMPUTED_VALUE"""),39612.99861111111)</f>
        <v>39612.99861</v>
      </c>
      <c r="E878" s="3">
        <f>IFERROR(__xludf.DUMMYFUNCTION("""COMPUTED_VALUE"""),3.6308)</f>
        <v>3.6308</v>
      </c>
    </row>
    <row r="879">
      <c r="D879" s="6">
        <f>IFERROR(__xludf.DUMMYFUNCTION("""COMPUTED_VALUE"""),39614.99861111111)</f>
        <v>39614.99861</v>
      </c>
      <c r="E879" s="3">
        <f>IFERROR(__xludf.DUMMYFUNCTION("""COMPUTED_VALUE"""),3.6142)</f>
        <v>3.6142</v>
      </c>
    </row>
    <row r="880">
      <c r="D880" s="6">
        <f>IFERROR(__xludf.DUMMYFUNCTION("""COMPUTED_VALUE"""),39615.99861111111)</f>
        <v>39615.99861</v>
      </c>
      <c r="E880" s="3">
        <f>IFERROR(__xludf.DUMMYFUNCTION("""COMPUTED_VALUE"""),3.6201)</f>
        <v>3.6201</v>
      </c>
    </row>
    <row r="881">
      <c r="D881" s="6">
        <f>IFERROR(__xludf.DUMMYFUNCTION("""COMPUTED_VALUE"""),39616.99861111111)</f>
        <v>39616.99861</v>
      </c>
      <c r="E881" s="3">
        <f>IFERROR(__xludf.DUMMYFUNCTION("""COMPUTED_VALUE"""),3.6071)</f>
        <v>3.6071</v>
      </c>
    </row>
    <row r="882">
      <c r="D882" s="6">
        <f>IFERROR(__xludf.DUMMYFUNCTION("""COMPUTED_VALUE"""),39617.99861111111)</f>
        <v>39617.99861</v>
      </c>
      <c r="E882" s="3">
        <f>IFERROR(__xludf.DUMMYFUNCTION("""COMPUTED_VALUE"""),3.6145)</f>
        <v>3.6145</v>
      </c>
    </row>
    <row r="883">
      <c r="D883" s="6">
        <f>IFERROR(__xludf.DUMMYFUNCTION("""COMPUTED_VALUE"""),39618.99861111111)</f>
        <v>39618.99861</v>
      </c>
      <c r="E883" s="3">
        <f>IFERROR(__xludf.DUMMYFUNCTION("""COMPUTED_VALUE"""),3.6177)</f>
        <v>3.6177</v>
      </c>
    </row>
    <row r="884">
      <c r="D884" s="6">
        <f>IFERROR(__xludf.DUMMYFUNCTION("""COMPUTED_VALUE"""),39619.99861111111)</f>
        <v>39619.99861</v>
      </c>
      <c r="E884" s="3">
        <f>IFERROR(__xludf.DUMMYFUNCTION("""COMPUTED_VALUE"""),3.6183)</f>
        <v>3.6183</v>
      </c>
    </row>
    <row r="885">
      <c r="D885" s="6">
        <f>IFERROR(__xludf.DUMMYFUNCTION("""COMPUTED_VALUE"""),39621.99861111111)</f>
        <v>39621.99861</v>
      </c>
      <c r="E885" s="3">
        <f>IFERROR(__xludf.DUMMYFUNCTION("""COMPUTED_VALUE"""),3.6183)</f>
        <v>3.6183</v>
      </c>
    </row>
    <row r="886">
      <c r="D886" s="6">
        <f>IFERROR(__xludf.DUMMYFUNCTION("""COMPUTED_VALUE"""),39622.99861111111)</f>
        <v>39622.99861</v>
      </c>
      <c r="E886" s="3">
        <f>IFERROR(__xludf.DUMMYFUNCTION("""COMPUTED_VALUE"""),3.6274)</f>
        <v>3.6274</v>
      </c>
    </row>
    <row r="887">
      <c r="D887" s="6">
        <f>IFERROR(__xludf.DUMMYFUNCTION("""COMPUTED_VALUE"""),39623.99861111111)</f>
        <v>39623.99861</v>
      </c>
      <c r="E887" s="3">
        <f>IFERROR(__xludf.DUMMYFUNCTION("""COMPUTED_VALUE"""),3.6197)</f>
        <v>3.6197</v>
      </c>
    </row>
    <row r="888">
      <c r="D888" s="6">
        <f>IFERROR(__xludf.DUMMYFUNCTION("""COMPUTED_VALUE"""),39624.99861111111)</f>
        <v>39624.99861</v>
      </c>
      <c r="E888" s="3">
        <f>IFERROR(__xludf.DUMMYFUNCTION("""COMPUTED_VALUE"""),3.6024)</f>
        <v>3.6024</v>
      </c>
    </row>
    <row r="889">
      <c r="D889" s="6">
        <f>IFERROR(__xludf.DUMMYFUNCTION("""COMPUTED_VALUE"""),39625.99861111111)</f>
        <v>39625.99861</v>
      </c>
      <c r="E889" s="3">
        <f>IFERROR(__xludf.DUMMYFUNCTION("""COMPUTED_VALUE"""),3.6015)</f>
        <v>3.6015</v>
      </c>
    </row>
    <row r="890">
      <c r="D890" s="6">
        <f>IFERROR(__xludf.DUMMYFUNCTION("""COMPUTED_VALUE"""),39626.99861111111)</f>
        <v>39626.99861</v>
      </c>
      <c r="E890" s="3">
        <f>IFERROR(__xludf.DUMMYFUNCTION("""COMPUTED_VALUE"""),3.5977)</f>
        <v>3.5977</v>
      </c>
    </row>
    <row r="891">
      <c r="D891" s="6">
        <f>IFERROR(__xludf.DUMMYFUNCTION("""COMPUTED_VALUE"""),39628.99861111111)</f>
        <v>39628.99861</v>
      </c>
      <c r="E891" s="3">
        <f>IFERROR(__xludf.DUMMYFUNCTION("""COMPUTED_VALUE"""),3.5977)</f>
        <v>3.5977</v>
      </c>
    </row>
    <row r="892">
      <c r="D892" s="6">
        <f>IFERROR(__xludf.DUMMYFUNCTION("""COMPUTED_VALUE"""),39629.99861111111)</f>
        <v>39629.99861</v>
      </c>
      <c r="E892" s="3">
        <f>IFERROR(__xludf.DUMMYFUNCTION("""COMPUTED_VALUE"""),3.5948)</f>
        <v>3.5948</v>
      </c>
    </row>
    <row r="893">
      <c r="D893" s="6">
        <f>IFERROR(__xludf.DUMMYFUNCTION("""COMPUTED_VALUE"""),39631.99861111111)</f>
        <v>39631.99861</v>
      </c>
      <c r="E893" s="3">
        <f>IFERROR(__xludf.DUMMYFUNCTION("""COMPUTED_VALUE"""),3.5856)</f>
        <v>3.5856</v>
      </c>
    </row>
    <row r="894">
      <c r="D894" s="6">
        <f>IFERROR(__xludf.DUMMYFUNCTION("""COMPUTED_VALUE"""),39632.99861111111)</f>
        <v>39632.99861</v>
      </c>
      <c r="E894" s="3">
        <f>IFERROR(__xludf.DUMMYFUNCTION("""COMPUTED_VALUE"""),3.598)</f>
        <v>3.598</v>
      </c>
    </row>
    <row r="895">
      <c r="D895" s="6">
        <f>IFERROR(__xludf.DUMMYFUNCTION("""COMPUTED_VALUE"""),39633.99861111111)</f>
        <v>39633.99861</v>
      </c>
      <c r="E895" s="3">
        <f>IFERROR(__xludf.DUMMYFUNCTION("""COMPUTED_VALUE"""),3.598)</f>
        <v>3.598</v>
      </c>
    </row>
    <row r="896">
      <c r="D896" s="6">
        <f>IFERROR(__xludf.DUMMYFUNCTION("""COMPUTED_VALUE"""),39636.99861111111)</f>
        <v>39636.99861</v>
      </c>
      <c r="E896" s="3">
        <f>IFERROR(__xludf.DUMMYFUNCTION("""COMPUTED_VALUE"""),3.537)</f>
        <v>3.537</v>
      </c>
    </row>
    <row r="897">
      <c r="D897" s="6">
        <f>IFERROR(__xludf.DUMMYFUNCTION("""COMPUTED_VALUE"""),39637.99861111111)</f>
        <v>39637.99861</v>
      </c>
      <c r="E897" s="3">
        <f>IFERROR(__xludf.DUMMYFUNCTION("""COMPUTED_VALUE"""),3.5593)</f>
        <v>3.5593</v>
      </c>
    </row>
    <row r="898">
      <c r="D898" s="6">
        <f>IFERROR(__xludf.DUMMYFUNCTION("""COMPUTED_VALUE"""),39638.99861111111)</f>
        <v>39638.99861</v>
      </c>
      <c r="E898" s="3">
        <f>IFERROR(__xludf.DUMMYFUNCTION("""COMPUTED_VALUE"""),3.5521)</f>
        <v>3.5521</v>
      </c>
    </row>
    <row r="899">
      <c r="D899" s="6">
        <f>IFERROR(__xludf.DUMMYFUNCTION("""COMPUTED_VALUE"""),39639.99861111111)</f>
        <v>39639.99861</v>
      </c>
      <c r="E899" s="3">
        <f>IFERROR(__xludf.DUMMYFUNCTION("""COMPUTED_VALUE"""),3.5235)</f>
        <v>3.5235</v>
      </c>
    </row>
    <row r="900">
      <c r="D900" s="6">
        <f>IFERROR(__xludf.DUMMYFUNCTION("""COMPUTED_VALUE"""),39640.99861111111)</f>
        <v>39640.99861</v>
      </c>
      <c r="E900" s="3">
        <f>IFERROR(__xludf.DUMMYFUNCTION("""COMPUTED_VALUE"""),3.5475)</f>
        <v>3.5475</v>
      </c>
    </row>
    <row r="901">
      <c r="D901" s="6">
        <f>IFERROR(__xludf.DUMMYFUNCTION("""COMPUTED_VALUE"""),39642.99861111111)</f>
        <v>39642.99861</v>
      </c>
      <c r="E901" s="3">
        <f>IFERROR(__xludf.DUMMYFUNCTION("""COMPUTED_VALUE"""),3.5475)</f>
        <v>3.5475</v>
      </c>
    </row>
    <row r="902">
      <c r="D902" s="6">
        <f>IFERROR(__xludf.DUMMYFUNCTION("""COMPUTED_VALUE"""),39643.99861111111)</f>
        <v>39643.99861</v>
      </c>
      <c r="E902" s="3">
        <f>IFERROR(__xludf.DUMMYFUNCTION("""COMPUTED_VALUE"""),3.5299)</f>
        <v>3.5299</v>
      </c>
    </row>
    <row r="903">
      <c r="D903" s="6">
        <f>IFERROR(__xludf.DUMMYFUNCTION("""COMPUTED_VALUE"""),39644.99861111111)</f>
        <v>39644.99861</v>
      </c>
      <c r="E903" s="3">
        <f>IFERROR(__xludf.DUMMYFUNCTION("""COMPUTED_VALUE"""),3.5551)</f>
        <v>3.5551</v>
      </c>
    </row>
    <row r="904">
      <c r="D904" s="6">
        <f>IFERROR(__xludf.DUMMYFUNCTION("""COMPUTED_VALUE"""),39645.99861111111)</f>
        <v>39645.99861</v>
      </c>
      <c r="E904" s="3">
        <f>IFERROR(__xludf.DUMMYFUNCTION("""COMPUTED_VALUE"""),3.5319)</f>
        <v>3.5319</v>
      </c>
    </row>
    <row r="905">
      <c r="D905" s="6">
        <f>IFERROR(__xludf.DUMMYFUNCTION("""COMPUTED_VALUE"""),39646.99861111111)</f>
        <v>39646.99861</v>
      </c>
      <c r="E905" s="3">
        <f>IFERROR(__xludf.DUMMYFUNCTION("""COMPUTED_VALUE"""),3.5591)</f>
        <v>3.5591</v>
      </c>
    </row>
    <row r="906">
      <c r="D906" s="6">
        <f>IFERROR(__xludf.DUMMYFUNCTION("""COMPUTED_VALUE"""),39647.99861111111)</f>
        <v>39647.99861</v>
      </c>
      <c r="E906" s="3">
        <f>IFERROR(__xludf.DUMMYFUNCTION("""COMPUTED_VALUE"""),3.5028)</f>
        <v>3.5028</v>
      </c>
    </row>
    <row r="907">
      <c r="D907" s="6">
        <f>IFERROR(__xludf.DUMMYFUNCTION("""COMPUTED_VALUE"""),39650.99861111111)</f>
        <v>39650.99861</v>
      </c>
      <c r="E907" s="3">
        <f>IFERROR(__xludf.DUMMYFUNCTION("""COMPUTED_VALUE"""),3.4978)</f>
        <v>3.4978</v>
      </c>
    </row>
    <row r="908">
      <c r="D908" s="6">
        <f>IFERROR(__xludf.DUMMYFUNCTION("""COMPUTED_VALUE"""),39651.99861111111)</f>
        <v>39651.99861</v>
      </c>
      <c r="E908" s="3">
        <f>IFERROR(__xludf.DUMMYFUNCTION("""COMPUTED_VALUE"""),3.5108)</f>
        <v>3.5108</v>
      </c>
    </row>
    <row r="909">
      <c r="D909" s="6">
        <f>IFERROR(__xludf.DUMMYFUNCTION("""COMPUTED_VALUE"""),39652.99861111111)</f>
        <v>39652.99861</v>
      </c>
      <c r="E909" s="3">
        <f>IFERROR(__xludf.DUMMYFUNCTION("""COMPUTED_VALUE"""),3.5258)</f>
        <v>3.5258</v>
      </c>
    </row>
    <row r="910">
      <c r="D910" s="6">
        <f>IFERROR(__xludf.DUMMYFUNCTION("""COMPUTED_VALUE"""),39653.99861111111)</f>
        <v>39653.99861</v>
      </c>
      <c r="E910" s="3">
        <f>IFERROR(__xludf.DUMMYFUNCTION("""COMPUTED_VALUE"""),3.5216)</f>
        <v>3.5216</v>
      </c>
    </row>
    <row r="911">
      <c r="D911" s="6">
        <f>IFERROR(__xludf.DUMMYFUNCTION("""COMPUTED_VALUE"""),39654.99861111111)</f>
        <v>39654.99861</v>
      </c>
      <c r="E911" s="3">
        <f>IFERROR(__xludf.DUMMYFUNCTION("""COMPUTED_VALUE"""),3.5186)</f>
        <v>3.5186</v>
      </c>
    </row>
    <row r="912">
      <c r="D912" s="6">
        <f>IFERROR(__xludf.DUMMYFUNCTION("""COMPUTED_VALUE"""),39656.99861111111)</f>
        <v>39656.99861</v>
      </c>
      <c r="E912" s="3">
        <f>IFERROR(__xludf.DUMMYFUNCTION("""COMPUTED_VALUE"""),3.5186)</f>
        <v>3.5186</v>
      </c>
    </row>
    <row r="913">
      <c r="D913" s="6">
        <f>IFERROR(__xludf.DUMMYFUNCTION("""COMPUTED_VALUE"""),39657.99861111111)</f>
        <v>39657.99861</v>
      </c>
      <c r="E913" s="3">
        <f>IFERROR(__xludf.DUMMYFUNCTION("""COMPUTED_VALUE"""),3.4915)</f>
        <v>3.4915</v>
      </c>
    </row>
    <row r="914">
      <c r="D914" s="6">
        <f>IFERROR(__xludf.DUMMYFUNCTION("""COMPUTED_VALUE"""),39658.99861111111)</f>
        <v>39658.99861</v>
      </c>
      <c r="E914" s="3">
        <f>IFERROR(__xludf.DUMMYFUNCTION("""COMPUTED_VALUE"""),3.4889)</f>
        <v>3.4889</v>
      </c>
    </row>
    <row r="915">
      <c r="D915" s="6">
        <f>IFERROR(__xludf.DUMMYFUNCTION("""COMPUTED_VALUE"""),39659.99861111111)</f>
        <v>39659.99861</v>
      </c>
      <c r="E915" s="3">
        <f>IFERROR(__xludf.DUMMYFUNCTION("""COMPUTED_VALUE"""),3.4794)</f>
        <v>3.4794</v>
      </c>
    </row>
    <row r="916">
      <c r="D916" s="6">
        <f>IFERROR(__xludf.DUMMYFUNCTION("""COMPUTED_VALUE"""),39660.99861111111)</f>
        <v>39660.99861</v>
      </c>
      <c r="E916" s="3">
        <f>IFERROR(__xludf.DUMMYFUNCTION("""COMPUTED_VALUE"""),3.4722)</f>
        <v>3.4722</v>
      </c>
    </row>
    <row r="917">
      <c r="D917" s="6">
        <f>IFERROR(__xludf.DUMMYFUNCTION("""COMPUTED_VALUE"""),39661.99861111111)</f>
        <v>39661.99861</v>
      </c>
      <c r="E917" s="3">
        <f>IFERROR(__xludf.DUMMYFUNCTION("""COMPUTED_VALUE"""),3.4786)</f>
        <v>3.4786</v>
      </c>
    </row>
    <row r="918">
      <c r="D918" s="6">
        <f>IFERROR(__xludf.DUMMYFUNCTION("""COMPUTED_VALUE"""),39663.99861111111)</f>
        <v>39663.99861</v>
      </c>
      <c r="E918" s="3">
        <f>IFERROR(__xludf.DUMMYFUNCTION("""COMPUTED_VALUE"""),3.4587)</f>
        <v>3.4587</v>
      </c>
    </row>
    <row r="919">
      <c r="D919" s="6">
        <f>IFERROR(__xludf.DUMMYFUNCTION("""COMPUTED_VALUE"""),39664.99861111111)</f>
        <v>39664.99861</v>
      </c>
      <c r="E919" s="3">
        <f>IFERROR(__xludf.DUMMYFUNCTION("""COMPUTED_VALUE"""),3.4563)</f>
        <v>3.4563</v>
      </c>
    </row>
    <row r="920">
      <c r="D920" s="6">
        <f>IFERROR(__xludf.DUMMYFUNCTION("""COMPUTED_VALUE"""),39665.99861111111)</f>
        <v>39665.99861</v>
      </c>
      <c r="E920" s="3">
        <f>IFERROR(__xludf.DUMMYFUNCTION("""COMPUTED_VALUE"""),3.45)</f>
        <v>3.45</v>
      </c>
    </row>
    <row r="921">
      <c r="D921" s="6">
        <f>IFERROR(__xludf.DUMMYFUNCTION("""COMPUTED_VALUE"""),39666.99861111111)</f>
        <v>39666.99861</v>
      </c>
      <c r="E921" s="3">
        <f>IFERROR(__xludf.DUMMYFUNCTION("""COMPUTED_VALUE"""),3.4309)</f>
        <v>3.4309</v>
      </c>
    </row>
    <row r="922">
      <c r="D922" s="6">
        <f>IFERROR(__xludf.DUMMYFUNCTION("""COMPUTED_VALUE"""),39667.99861111111)</f>
        <v>39667.99861</v>
      </c>
      <c r="E922" s="3">
        <f>IFERROR(__xludf.DUMMYFUNCTION("""COMPUTED_VALUE"""),3.4325)</f>
        <v>3.4325</v>
      </c>
    </row>
    <row r="923">
      <c r="D923" s="6">
        <f>IFERROR(__xludf.DUMMYFUNCTION("""COMPUTED_VALUE"""),39668.99861111111)</f>
        <v>39668.99861</v>
      </c>
      <c r="E923" s="3">
        <f>IFERROR(__xludf.DUMMYFUNCTION("""COMPUTED_VALUE"""),3.4849)</f>
        <v>3.4849</v>
      </c>
    </row>
    <row r="924">
      <c r="D924" s="6">
        <f>IFERROR(__xludf.DUMMYFUNCTION("""COMPUTED_VALUE"""),39670.99861111111)</f>
        <v>39670.99861</v>
      </c>
      <c r="E924" s="3">
        <f>IFERROR(__xludf.DUMMYFUNCTION("""COMPUTED_VALUE"""),3.4849)</f>
        <v>3.4849</v>
      </c>
    </row>
    <row r="925">
      <c r="D925" s="6">
        <f>IFERROR(__xludf.DUMMYFUNCTION("""COMPUTED_VALUE"""),39671.99861111111)</f>
        <v>39671.99861</v>
      </c>
      <c r="E925" s="3">
        <f>IFERROR(__xludf.DUMMYFUNCTION("""COMPUTED_VALUE"""),3.5191)</f>
        <v>3.5191</v>
      </c>
    </row>
    <row r="926">
      <c r="D926" s="6">
        <f>IFERROR(__xludf.DUMMYFUNCTION("""COMPUTED_VALUE"""),39672.99861111111)</f>
        <v>39672.99861</v>
      </c>
      <c r="E926" s="3">
        <f>IFERROR(__xludf.DUMMYFUNCTION("""COMPUTED_VALUE"""),3.485)</f>
        <v>3.485</v>
      </c>
    </row>
    <row r="927">
      <c r="D927" s="6">
        <f>IFERROR(__xludf.DUMMYFUNCTION("""COMPUTED_VALUE"""),39673.99861111111)</f>
        <v>39673.99861</v>
      </c>
      <c r="E927" s="3">
        <f>IFERROR(__xludf.DUMMYFUNCTION("""COMPUTED_VALUE"""),3.4832)</f>
        <v>3.4832</v>
      </c>
    </row>
    <row r="928">
      <c r="D928" s="6">
        <f>IFERROR(__xludf.DUMMYFUNCTION("""COMPUTED_VALUE"""),39674.99861111111)</f>
        <v>39674.99861</v>
      </c>
      <c r="E928" s="3">
        <f>IFERROR(__xludf.DUMMYFUNCTION("""COMPUTED_VALUE"""),3.4843)</f>
        <v>3.4843</v>
      </c>
    </row>
    <row r="929">
      <c r="D929" s="6">
        <f>IFERROR(__xludf.DUMMYFUNCTION("""COMPUTED_VALUE"""),39675.99861111111)</f>
        <v>39675.99861</v>
      </c>
      <c r="E929" s="3">
        <f>IFERROR(__xludf.DUMMYFUNCTION("""COMPUTED_VALUE"""),3.4998)</f>
        <v>3.4998</v>
      </c>
    </row>
    <row r="930">
      <c r="D930" s="6">
        <f>IFERROR(__xludf.DUMMYFUNCTION("""COMPUTED_VALUE"""),39677.99861111111)</f>
        <v>39677.99861</v>
      </c>
      <c r="E930" s="3">
        <f>IFERROR(__xludf.DUMMYFUNCTION("""COMPUTED_VALUE"""),3.5146)</f>
        <v>3.5146</v>
      </c>
    </row>
    <row r="931">
      <c r="D931" s="6">
        <f>IFERROR(__xludf.DUMMYFUNCTION("""COMPUTED_VALUE"""),39678.99861111111)</f>
        <v>39678.99861</v>
      </c>
      <c r="E931" s="3">
        <f>IFERROR(__xludf.DUMMYFUNCTION("""COMPUTED_VALUE"""),3.4751)</f>
        <v>3.4751</v>
      </c>
    </row>
    <row r="932">
      <c r="D932" s="6">
        <f>IFERROR(__xludf.DUMMYFUNCTION("""COMPUTED_VALUE"""),39679.99861111111)</f>
        <v>39679.99861</v>
      </c>
      <c r="E932" s="3">
        <f>IFERROR(__xludf.DUMMYFUNCTION("""COMPUTED_VALUE"""),3.475)</f>
        <v>3.475</v>
      </c>
    </row>
    <row r="933">
      <c r="D933" s="6">
        <f>IFERROR(__xludf.DUMMYFUNCTION("""COMPUTED_VALUE"""),39680.99861111111)</f>
        <v>39680.99861</v>
      </c>
      <c r="E933" s="3">
        <f>IFERROR(__xludf.DUMMYFUNCTION("""COMPUTED_VALUE"""),3.4714)</f>
        <v>3.4714</v>
      </c>
    </row>
    <row r="934">
      <c r="D934" s="6">
        <f>IFERROR(__xludf.DUMMYFUNCTION("""COMPUTED_VALUE"""),39681.99861111111)</f>
        <v>39681.99861</v>
      </c>
      <c r="E934" s="3">
        <f>IFERROR(__xludf.DUMMYFUNCTION("""COMPUTED_VALUE"""),3.4809)</f>
        <v>3.4809</v>
      </c>
    </row>
    <row r="935">
      <c r="D935" s="6">
        <f>IFERROR(__xludf.DUMMYFUNCTION("""COMPUTED_VALUE"""),39682.99861111111)</f>
        <v>39682.99861</v>
      </c>
      <c r="E935" s="3">
        <f>IFERROR(__xludf.DUMMYFUNCTION("""COMPUTED_VALUE"""),3.4828)</f>
        <v>3.4828</v>
      </c>
    </row>
    <row r="936">
      <c r="D936" s="6">
        <f>IFERROR(__xludf.DUMMYFUNCTION("""COMPUTED_VALUE"""),39684.99861111111)</f>
        <v>39684.99861</v>
      </c>
      <c r="E936" s="3">
        <f>IFERROR(__xludf.DUMMYFUNCTION("""COMPUTED_VALUE"""),3.4828)</f>
        <v>3.4828</v>
      </c>
    </row>
    <row r="937">
      <c r="D937" s="6">
        <f>IFERROR(__xludf.DUMMYFUNCTION("""COMPUTED_VALUE"""),39685.99861111111)</f>
        <v>39685.99861</v>
      </c>
      <c r="E937" s="3">
        <f>IFERROR(__xludf.DUMMYFUNCTION("""COMPUTED_VALUE"""),3.4833)</f>
        <v>3.4833</v>
      </c>
    </row>
    <row r="938">
      <c r="D938" s="6">
        <f>IFERROR(__xludf.DUMMYFUNCTION("""COMPUTED_VALUE"""),39686.99861111111)</f>
        <v>39686.99861</v>
      </c>
      <c r="E938" s="3">
        <f>IFERROR(__xludf.DUMMYFUNCTION("""COMPUTED_VALUE"""),3.4975)</f>
        <v>3.4975</v>
      </c>
    </row>
    <row r="939">
      <c r="D939" s="6">
        <f>IFERROR(__xludf.DUMMYFUNCTION("""COMPUTED_VALUE"""),39687.99861111111)</f>
        <v>39687.99861</v>
      </c>
      <c r="E939" s="3">
        <f>IFERROR(__xludf.DUMMYFUNCTION("""COMPUTED_VALUE"""),3.5219)</f>
        <v>3.5219</v>
      </c>
    </row>
    <row r="940">
      <c r="D940" s="6">
        <f>IFERROR(__xludf.DUMMYFUNCTION("""COMPUTED_VALUE"""),39688.99861111111)</f>
        <v>39688.99861</v>
      </c>
      <c r="E940" s="3">
        <f>IFERROR(__xludf.DUMMYFUNCTION("""COMPUTED_VALUE"""),3.4912)</f>
        <v>3.4912</v>
      </c>
    </row>
    <row r="941">
      <c r="D941" s="6">
        <f>IFERROR(__xludf.DUMMYFUNCTION("""COMPUTED_VALUE"""),39689.99861111111)</f>
        <v>39689.99861</v>
      </c>
      <c r="E941" s="3">
        <f>IFERROR(__xludf.DUMMYFUNCTION("""COMPUTED_VALUE"""),3.4812)</f>
        <v>3.4812</v>
      </c>
    </row>
    <row r="942">
      <c r="D942" s="6">
        <f>IFERROR(__xludf.DUMMYFUNCTION("""COMPUTED_VALUE"""),39691.99861111111)</f>
        <v>39691.99861</v>
      </c>
      <c r="E942" s="3">
        <f>IFERROR(__xludf.DUMMYFUNCTION("""COMPUTED_VALUE"""),3.4812)</f>
        <v>3.4812</v>
      </c>
    </row>
    <row r="943">
      <c r="D943" s="6">
        <f>IFERROR(__xludf.DUMMYFUNCTION("""COMPUTED_VALUE"""),39692.99861111111)</f>
        <v>39692.99861</v>
      </c>
      <c r="E943" s="3">
        <f>IFERROR(__xludf.DUMMYFUNCTION("""COMPUTED_VALUE"""),3.4644)</f>
        <v>3.4644</v>
      </c>
    </row>
    <row r="944">
      <c r="D944" s="6">
        <f>IFERROR(__xludf.DUMMYFUNCTION("""COMPUTED_VALUE"""),39693.99861111111)</f>
        <v>39693.99861</v>
      </c>
      <c r="E944" s="3">
        <f>IFERROR(__xludf.DUMMYFUNCTION("""COMPUTED_VALUE"""),3.4794)</f>
        <v>3.4794</v>
      </c>
    </row>
    <row r="945">
      <c r="D945" s="6">
        <f>IFERROR(__xludf.DUMMYFUNCTION("""COMPUTED_VALUE"""),39694.99861111111)</f>
        <v>39694.99861</v>
      </c>
      <c r="E945" s="3">
        <f>IFERROR(__xludf.DUMMYFUNCTION("""COMPUTED_VALUE"""),3.485)</f>
        <v>3.485</v>
      </c>
    </row>
    <row r="946">
      <c r="D946" s="6">
        <f>IFERROR(__xludf.DUMMYFUNCTION("""COMPUTED_VALUE"""),39695.99861111111)</f>
        <v>39695.99861</v>
      </c>
      <c r="E946" s="3">
        <f>IFERROR(__xludf.DUMMYFUNCTION("""COMPUTED_VALUE"""),3.529)</f>
        <v>3.529</v>
      </c>
    </row>
    <row r="947">
      <c r="D947" s="6">
        <f>IFERROR(__xludf.DUMMYFUNCTION("""COMPUTED_VALUE"""),39696.99861111111)</f>
        <v>39696.99861</v>
      </c>
      <c r="E947" s="3">
        <f>IFERROR(__xludf.DUMMYFUNCTION("""COMPUTED_VALUE"""),3.5686)</f>
        <v>3.5686</v>
      </c>
    </row>
    <row r="948">
      <c r="D948" s="6">
        <f>IFERROR(__xludf.DUMMYFUNCTION("""COMPUTED_VALUE"""),39698.99861111111)</f>
        <v>39698.99861</v>
      </c>
      <c r="E948" s="3">
        <f>IFERROR(__xludf.DUMMYFUNCTION("""COMPUTED_VALUE"""),3.5609)</f>
        <v>3.5609</v>
      </c>
    </row>
    <row r="949">
      <c r="D949" s="6">
        <f>IFERROR(__xludf.DUMMYFUNCTION("""COMPUTED_VALUE"""),39699.99861111111)</f>
        <v>39699.99861</v>
      </c>
      <c r="E949" s="3">
        <f>IFERROR(__xludf.DUMMYFUNCTION("""COMPUTED_VALUE"""),3.5431)</f>
        <v>3.5431</v>
      </c>
    </row>
    <row r="950">
      <c r="D950" s="6">
        <f>IFERROR(__xludf.DUMMYFUNCTION("""COMPUTED_VALUE"""),39700.99861111111)</f>
        <v>39700.99861</v>
      </c>
      <c r="E950" s="3">
        <f>IFERROR(__xludf.DUMMYFUNCTION("""COMPUTED_VALUE"""),3.5383)</f>
        <v>3.5383</v>
      </c>
    </row>
    <row r="951">
      <c r="D951" s="6">
        <f>IFERROR(__xludf.DUMMYFUNCTION("""COMPUTED_VALUE"""),39701.99861111111)</f>
        <v>39701.99861</v>
      </c>
      <c r="E951" s="3">
        <f>IFERROR(__xludf.DUMMYFUNCTION("""COMPUTED_VALUE"""),3.5477)</f>
        <v>3.5477</v>
      </c>
    </row>
    <row r="952">
      <c r="D952" s="6">
        <f>IFERROR(__xludf.DUMMYFUNCTION("""COMPUTED_VALUE"""),39702.99861111111)</f>
        <v>39702.99861</v>
      </c>
      <c r="E952" s="3">
        <f>IFERROR(__xludf.DUMMYFUNCTION("""COMPUTED_VALUE"""),3.5622)</f>
        <v>3.5622</v>
      </c>
    </row>
    <row r="953">
      <c r="D953" s="6">
        <f>IFERROR(__xludf.DUMMYFUNCTION("""COMPUTED_VALUE"""),39703.99861111111)</f>
        <v>39703.99861</v>
      </c>
      <c r="E953" s="3">
        <f>IFERROR(__xludf.DUMMYFUNCTION("""COMPUTED_VALUE"""),3.5566)</f>
        <v>3.5566</v>
      </c>
    </row>
    <row r="954">
      <c r="D954" s="6">
        <f>IFERROR(__xludf.DUMMYFUNCTION("""COMPUTED_VALUE"""),39705.99861111111)</f>
        <v>39705.99861</v>
      </c>
      <c r="E954" s="3">
        <f>IFERROR(__xludf.DUMMYFUNCTION("""COMPUTED_VALUE"""),3.5566)</f>
        <v>3.5566</v>
      </c>
    </row>
    <row r="955">
      <c r="D955" s="6">
        <f>IFERROR(__xludf.DUMMYFUNCTION("""COMPUTED_VALUE"""),39706.99861111111)</f>
        <v>39706.99861</v>
      </c>
      <c r="E955" s="3">
        <f>IFERROR(__xludf.DUMMYFUNCTION("""COMPUTED_VALUE"""),3.5694)</f>
        <v>3.5694</v>
      </c>
    </row>
    <row r="956">
      <c r="D956" s="6">
        <f>IFERROR(__xludf.DUMMYFUNCTION("""COMPUTED_VALUE"""),39707.99861111111)</f>
        <v>39707.99861</v>
      </c>
      <c r="E956" s="3">
        <f>IFERROR(__xludf.DUMMYFUNCTION("""COMPUTED_VALUE"""),3.5791)</f>
        <v>3.5791</v>
      </c>
    </row>
    <row r="957">
      <c r="D957" s="6">
        <f>IFERROR(__xludf.DUMMYFUNCTION("""COMPUTED_VALUE"""),39708.99861111111)</f>
        <v>39708.99861</v>
      </c>
      <c r="E957" s="3">
        <f>IFERROR(__xludf.DUMMYFUNCTION("""COMPUTED_VALUE"""),3.6024)</f>
        <v>3.6024</v>
      </c>
    </row>
    <row r="958">
      <c r="D958" s="6">
        <f>IFERROR(__xludf.DUMMYFUNCTION("""COMPUTED_VALUE"""),39709.99861111111)</f>
        <v>39709.99861</v>
      </c>
      <c r="E958" s="3">
        <f>IFERROR(__xludf.DUMMYFUNCTION("""COMPUTED_VALUE"""),3.6456)</f>
        <v>3.6456</v>
      </c>
    </row>
    <row r="959">
      <c r="D959" s="6">
        <f>IFERROR(__xludf.DUMMYFUNCTION("""COMPUTED_VALUE"""),39710.99861111111)</f>
        <v>39710.99861</v>
      </c>
      <c r="E959" s="3">
        <f>IFERROR(__xludf.DUMMYFUNCTION("""COMPUTED_VALUE"""),3.6456)</f>
        <v>3.6456</v>
      </c>
    </row>
    <row r="960">
      <c r="D960" s="6">
        <f>IFERROR(__xludf.DUMMYFUNCTION("""COMPUTED_VALUE"""),39713.99861111111)</f>
        <v>39713.99861</v>
      </c>
      <c r="E960" s="3">
        <f>IFERROR(__xludf.DUMMYFUNCTION("""COMPUTED_VALUE"""),3.6133)</f>
        <v>3.6133</v>
      </c>
    </row>
    <row r="961">
      <c r="D961" s="6">
        <f>IFERROR(__xludf.DUMMYFUNCTION("""COMPUTED_VALUE"""),39714.99861111111)</f>
        <v>39714.99861</v>
      </c>
      <c r="E961" s="3">
        <f>IFERROR(__xludf.DUMMYFUNCTION("""COMPUTED_VALUE"""),3.6254)</f>
        <v>3.6254</v>
      </c>
    </row>
    <row r="962">
      <c r="D962" s="6">
        <f>IFERROR(__xludf.DUMMYFUNCTION("""COMPUTED_VALUE"""),39715.99861111111)</f>
        <v>39715.99861</v>
      </c>
      <c r="E962" s="3">
        <f>IFERROR(__xludf.DUMMYFUNCTION("""COMPUTED_VALUE"""),3.6343)</f>
        <v>3.6343</v>
      </c>
    </row>
    <row r="963">
      <c r="D963" s="6">
        <f>IFERROR(__xludf.DUMMYFUNCTION("""COMPUTED_VALUE"""),39716.99861111111)</f>
        <v>39716.99861</v>
      </c>
      <c r="E963" s="3">
        <f>IFERROR(__xludf.DUMMYFUNCTION("""COMPUTED_VALUE"""),3.6458)</f>
        <v>3.6458</v>
      </c>
    </row>
    <row r="964">
      <c r="D964" s="6">
        <f>IFERROR(__xludf.DUMMYFUNCTION("""COMPUTED_VALUE"""),39717.99861111111)</f>
        <v>39717.99861</v>
      </c>
      <c r="E964" s="3">
        <f>IFERROR(__xludf.DUMMYFUNCTION("""COMPUTED_VALUE"""),3.6345)</f>
        <v>3.6345</v>
      </c>
    </row>
    <row r="965">
      <c r="D965" s="6">
        <f>IFERROR(__xludf.DUMMYFUNCTION("""COMPUTED_VALUE"""),39719.99861111111)</f>
        <v>39719.99861</v>
      </c>
      <c r="E965" s="3">
        <f>IFERROR(__xludf.DUMMYFUNCTION("""COMPUTED_VALUE"""),3.6345)</f>
        <v>3.6345</v>
      </c>
    </row>
    <row r="966">
      <c r="D966" s="6">
        <f>IFERROR(__xludf.DUMMYFUNCTION("""COMPUTED_VALUE"""),39720.99861111111)</f>
        <v>39720.99861</v>
      </c>
      <c r="E966" s="3">
        <f>IFERROR(__xludf.DUMMYFUNCTION("""COMPUTED_VALUE"""),3.661)</f>
        <v>3.661</v>
      </c>
    </row>
    <row r="967">
      <c r="D967" s="6">
        <f>IFERROR(__xludf.DUMMYFUNCTION("""COMPUTED_VALUE"""),39721.99861111111)</f>
        <v>39721.99861</v>
      </c>
      <c r="E967" s="3">
        <f>IFERROR(__xludf.DUMMYFUNCTION("""COMPUTED_VALUE"""),3.7037)</f>
        <v>3.7037</v>
      </c>
    </row>
    <row r="968">
      <c r="D968" s="6">
        <f>IFERROR(__xludf.DUMMYFUNCTION("""COMPUTED_VALUE"""),39722.99861111111)</f>
        <v>39722.99861</v>
      </c>
      <c r="E968" s="3">
        <f>IFERROR(__xludf.DUMMYFUNCTION("""COMPUTED_VALUE"""),3.6946)</f>
        <v>3.6946</v>
      </c>
    </row>
    <row r="969">
      <c r="D969" s="6">
        <f>IFERROR(__xludf.DUMMYFUNCTION("""COMPUTED_VALUE"""),39723.99861111111)</f>
        <v>39723.99861</v>
      </c>
      <c r="E969" s="3">
        <f>IFERROR(__xludf.DUMMYFUNCTION("""COMPUTED_VALUE"""),3.7777)</f>
        <v>3.7777</v>
      </c>
    </row>
    <row r="970">
      <c r="D970" s="6">
        <f>IFERROR(__xludf.DUMMYFUNCTION("""COMPUTED_VALUE"""),39724.99861111111)</f>
        <v>39724.99861</v>
      </c>
      <c r="E970" s="3">
        <f>IFERROR(__xludf.DUMMYFUNCTION("""COMPUTED_VALUE"""),3.7851)</f>
        <v>3.7851</v>
      </c>
    </row>
    <row r="971">
      <c r="D971" s="6">
        <f>IFERROR(__xludf.DUMMYFUNCTION("""COMPUTED_VALUE"""),39726.99861111111)</f>
        <v>39726.99861</v>
      </c>
      <c r="E971" s="3">
        <f>IFERROR(__xludf.DUMMYFUNCTION("""COMPUTED_VALUE"""),3.7851)</f>
        <v>3.7851</v>
      </c>
    </row>
    <row r="972">
      <c r="D972" s="6">
        <f>IFERROR(__xludf.DUMMYFUNCTION("""COMPUTED_VALUE"""),39727.99861111111)</f>
        <v>39727.99861</v>
      </c>
      <c r="E972" s="3">
        <f>IFERROR(__xludf.DUMMYFUNCTION("""COMPUTED_VALUE"""),3.9159)</f>
        <v>3.9159</v>
      </c>
    </row>
    <row r="973">
      <c r="D973" s="6">
        <f>IFERROR(__xludf.DUMMYFUNCTION("""COMPUTED_VALUE"""),39728.99861111111)</f>
        <v>39728.99861</v>
      </c>
      <c r="E973" s="3">
        <f>IFERROR(__xludf.DUMMYFUNCTION("""COMPUTED_VALUE"""),3.8701)</f>
        <v>3.8701</v>
      </c>
    </row>
    <row r="974">
      <c r="D974" s="6">
        <f>IFERROR(__xludf.DUMMYFUNCTION("""COMPUTED_VALUE"""),39729.99861111111)</f>
        <v>39729.99861</v>
      </c>
      <c r="E974" s="3">
        <f>IFERROR(__xludf.DUMMYFUNCTION("""COMPUTED_VALUE"""),3.8998)</f>
        <v>3.8998</v>
      </c>
    </row>
    <row r="975">
      <c r="D975" s="6">
        <f>IFERROR(__xludf.DUMMYFUNCTION("""COMPUTED_VALUE"""),39730.99861111111)</f>
        <v>39730.99861</v>
      </c>
      <c r="E975" s="3">
        <f>IFERROR(__xludf.DUMMYFUNCTION("""COMPUTED_VALUE"""),3.8267)</f>
        <v>3.8267</v>
      </c>
    </row>
    <row r="976">
      <c r="D976" s="6">
        <f>IFERROR(__xludf.DUMMYFUNCTION("""COMPUTED_VALUE"""),39731.99861111111)</f>
        <v>39731.99861</v>
      </c>
      <c r="E976" s="3">
        <f>IFERROR(__xludf.DUMMYFUNCTION("""COMPUTED_VALUE"""),3.8852)</f>
        <v>3.8852</v>
      </c>
    </row>
    <row r="977">
      <c r="D977" s="6">
        <f>IFERROR(__xludf.DUMMYFUNCTION("""COMPUTED_VALUE"""),39733.99861111111)</f>
        <v>39733.99861</v>
      </c>
      <c r="E977" s="3">
        <f>IFERROR(__xludf.DUMMYFUNCTION("""COMPUTED_VALUE"""),3.7598)</f>
        <v>3.7598</v>
      </c>
    </row>
    <row r="978">
      <c r="D978" s="6">
        <f>IFERROR(__xludf.DUMMYFUNCTION("""COMPUTED_VALUE"""),39734.99861111111)</f>
        <v>39734.99861</v>
      </c>
      <c r="E978" s="3">
        <f>IFERROR(__xludf.DUMMYFUNCTION("""COMPUTED_VALUE"""),3.7609)</f>
        <v>3.7609</v>
      </c>
    </row>
    <row r="979">
      <c r="D979" s="6">
        <f>IFERROR(__xludf.DUMMYFUNCTION("""COMPUTED_VALUE"""),39735.99861111111)</f>
        <v>39735.99861</v>
      </c>
      <c r="E979" s="3">
        <f>IFERROR(__xludf.DUMMYFUNCTION("""COMPUTED_VALUE"""),3.7157)</f>
        <v>3.7157</v>
      </c>
    </row>
    <row r="980">
      <c r="D980" s="6">
        <f>IFERROR(__xludf.DUMMYFUNCTION("""COMPUTED_VALUE"""),39736.99861111111)</f>
        <v>39736.99861</v>
      </c>
      <c r="E980" s="3">
        <f>IFERROR(__xludf.DUMMYFUNCTION("""COMPUTED_VALUE"""),3.7368)</f>
        <v>3.7368</v>
      </c>
    </row>
    <row r="981">
      <c r="D981" s="6">
        <f>IFERROR(__xludf.DUMMYFUNCTION("""COMPUTED_VALUE"""),39737.99861111111)</f>
        <v>39737.99861</v>
      </c>
      <c r="E981" s="3">
        <f>IFERROR(__xludf.DUMMYFUNCTION("""COMPUTED_VALUE"""),3.7908)</f>
        <v>3.7908</v>
      </c>
    </row>
    <row r="982">
      <c r="D982" s="6">
        <f>IFERROR(__xludf.DUMMYFUNCTION("""COMPUTED_VALUE"""),39738.99861111111)</f>
        <v>39738.99861</v>
      </c>
      <c r="E982" s="3">
        <f>IFERROR(__xludf.DUMMYFUNCTION("""COMPUTED_VALUE"""),3.7542)</f>
        <v>3.7542</v>
      </c>
    </row>
    <row r="983">
      <c r="D983" s="6">
        <f>IFERROR(__xludf.DUMMYFUNCTION("""COMPUTED_VALUE"""),39740.99861111111)</f>
        <v>39740.99861</v>
      </c>
      <c r="E983" s="3">
        <f>IFERROR(__xludf.DUMMYFUNCTION("""COMPUTED_VALUE"""),3.6937)</f>
        <v>3.6937</v>
      </c>
    </row>
    <row r="984">
      <c r="D984" s="6">
        <f>IFERROR(__xludf.DUMMYFUNCTION("""COMPUTED_VALUE"""),39741.99861111111)</f>
        <v>39741.99861</v>
      </c>
      <c r="E984" s="3">
        <f>IFERROR(__xludf.DUMMYFUNCTION("""COMPUTED_VALUE"""),3.6937)</f>
        <v>3.6937</v>
      </c>
    </row>
    <row r="985">
      <c r="D985" s="6">
        <f>IFERROR(__xludf.DUMMYFUNCTION("""COMPUTED_VALUE"""),39742.99861111111)</f>
        <v>39742.99861</v>
      </c>
      <c r="E985" s="3">
        <f>IFERROR(__xludf.DUMMYFUNCTION("""COMPUTED_VALUE"""),3.6395)</f>
        <v>3.6395</v>
      </c>
    </row>
    <row r="986">
      <c r="D986" s="6">
        <f>IFERROR(__xludf.DUMMYFUNCTION("""COMPUTED_VALUE"""),39743.99861111111)</f>
        <v>39743.99861</v>
      </c>
      <c r="E986" s="3">
        <f>IFERROR(__xludf.DUMMYFUNCTION("""COMPUTED_VALUE"""),3.5906)</f>
        <v>3.5906</v>
      </c>
    </row>
    <row r="987">
      <c r="D987" s="6">
        <f>IFERROR(__xludf.DUMMYFUNCTION("""COMPUTED_VALUE"""),39744.99861111111)</f>
        <v>39744.99861</v>
      </c>
      <c r="E987" s="3">
        <f>IFERROR(__xludf.DUMMYFUNCTION("""COMPUTED_VALUE"""),3.5955)</f>
        <v>3.5955</v>
      </c>
    </row>
    <row r="988">
      <c r="D988" s="6">
        <f>IFERROR(__xludf.DUMMYFUNCTION("""COMPUTED_VALUE"""),39745.99861111111)</f>
        <v>39745.99861</v>
      </c>
      <c r="E988" s="3">
        <f>IFERROR(__xludf.DUMMYFUNCTION("""COMPUTED_VALUE"""),3.6775)</f>
        <v>3.6775</v>
      </c>
    </row>
    <row r="989">
      <c r="D989" s="6">
        <f>IFERROR(__xludf.DUMMYFUNCTION("""COMPUTED_VALUE"""),39747.99861111111)</f>
        <v>39747.99861</v>
      </c>
      <c r="E989" s="3">
        <f>IFERROR(__xludf.DUMMYFUNCTION("""COMPUTED_VALUE"""),3.6746)</f>
        <v>3.6746</v>
      </c>
    </row>
    <row r="990">
      <c r="D990" s="6">
        <f>IFERROR(__xludf.DUMMYFUNCTION("""COMPUTED_VALUE"""),39748.99861111111)</f>
        <v>39748.99861</v>
      </c>
      <c r="E990" s="3">
        <f>IFERROR(__xludf.DUMMYFUNCTION("""COMPUTED_VALUE"""),3.637)</f>
        <v>3.637</v>
      </c>
    </row>
    <row r="991">
      <c r="D991" s="6">
        <f>IFERROR(__xludf.DUMMYFUNCTION("""COMPUTED_VALUE"""),39749.99861111111)</f>
        <v>39749.99861</v>
      </c>
      <c r="E991" s="3">
        <f>IFERROR(__xludf.DUMMYFUNCTION("""COMPUTED_VALUE"""),3.6826)</f>
        <v>3.6826</v>
      </c>
    </row>
    <row r="992">
      <c r="D992" s="6">
        <f>IFERROR(__xludf.DUMMYFUNCTION("""COMPUTED_VALUE"""),39750.99861111111)</f>
        <v>39750.99861</v>
      </c>
      <c r="E992" s="3">
        <f>IFERROR(__xludf.DUMMYFUNCTION("""COMPUTED_VALUE"""),3.6826)</f>
        <v>3.6826</v>
      </c>
    </row>
    <row r="993">
      <c r="D993" s="6">
        <f>IFERROR(__xludf.DUMMYFUNCTION("""COMPUTED_VALUE"""),39751.99861111111)</f>
        <v>39751.99861</v>
      </c>
      <c r="E993" s="3">
        <f>IFERROR(__xludf.DUMMYFUNCTION("""COMPUTED_VALUE"""),3.6298)</f>
        <v>3.6298</v>
      </c>
    </row>
    <row r="994">
      <c r="D994" s="6">
        <f>IFERROR(__xludf.DUMMYFUNCTION("""COMPUTED_VALUE"""),39752.99861111111)</f>
        <v>39752.99861</v>
      </c>
      <c r="E994" s="3">
        <f>IFERROR(__xludf.DUMMYFUNCTION("""COMPUTED_VALUE"""),3.6071)</f>
        <v>3.6071</v>
      </c>
    </row>
    <row r="995">
      <c r="D995" s="6">
        <f>IFERROR(__xludf.DUMMYFUNCTION("""COMPUTED_VALUE"""),39754.99861111111)</f>
        <v>39754.99861</v>
      </c>
      <c r="E995" s="3">
        <f>IFERROR(__xludf.DUMMYFUNCTION("""COMPUTED_VALUE"""),3.6071)</f>
        <v>3.6071</v>
      </c>
    </row>
    <row r="996">
      <c r="D996" s="6">
        <f>IFERROR(__xludf.DUMMYFUNCTION("""COMPUTED_VALUE"""),39755.99861111111)</f>
        <v>39755.99861</v>
      </c>
      <c r="E996" s="3">
        <f>IFERROR(__xludf.DUMMYFUNCTION("""COMPUTED_VALUE"""),3.6286)</f>
        <v>3.6286</v>
      </c>
    </row>
    <row r="997">
      <c r="D997" s="6">
        <f>IFERROR(__xludf.DUMMYFUNCTION("""COMPUTED_VALUE"""),39756.99861111111)</f>
        <v>39756.99861</v>
      </c>
      <c r="E997" s="3">
        <f>IFERROR(__xludf.DUMMYFUNCTION("""COMPUTED_VALUE"""),3.6522)</f>
        <v>3.6522</v>
      </c>
    </row>
    <row r="998">
      <c r="D998" s="6">
        <f>IFERROR(__xludf.DUMMYFUNCTION("""COMPUTED_VALUE"""),39757.99861111111)</f>
        <v>39757.99861</v>
      </c>
      <c r="E998" s="3">
        <f>IFERROR(__xludf.DUMMYFUNCTION("""COMPUTED_VALUE"""),3.6473)</f>
        <v>3.6473</v>
      </c>
    </row>
    <row r="999">
      <c r="D999" s="6">
        <f>IFERROR(__xludf.DUMMYFUNCTION("""COMPUTED_VALUE"""),39758.99861111111)</f>
        <v>39758.99861</v>
      </c>
      <c r="E999" s="3">
        <f>IFERROR(__xludf.DUMMYFUNCTION("""COMPUTED_VALUE"""),3.6919)</f>
        <v>3.6919</v>
      </c>
    </row>
    <row r="1000">
      <c r="D1000" s="6">
        <f>IFERROR(__xludf.DUMMYFUNCTION("""COMPUTED_VALUE"""),39759.99861111111)</f>
        <v>39759.99861</v>
      </c>
      <c r="E1000" s="3">
        <f>IFERROR(__xludf.DUMMYFUNCTION("""COMPUTED_VALUE"""),3.6918)</f>
        <v>3.6918</v>
      </c>
    </row>
    <row r="1001">
      <c r="D1001" s="6">
        <f>IFERROR(__xludf.DUMMYFUNCTION("""COMPUTED_VALUE"""),39761.99861111111)</f>
        <v>39761.99861</v>
      </c>
      <c r="E1001" s="3">
        <f>IFERROR(__xludf.DUMMYFUNCTION("""COMPUTED_VALUE"""),3.6917)</f>
        <v>3.6917</v>
      </c>
    </row>
    <row r="1002">
      <c r="D1002" s="6">
        <f>IFERROR(__xludf.DUMMYFUNCTION("""COMPUTED_VALUE"""),39762.99861111111)</f>
        <v>39762.99861</v>
      </c>
      <c r="E1002" s="3">
        <f>IFERROR(__xludf.DUMMYFUNCTION("""COMPUTED_VALUE"""),3.7038)</f>
        <v>3.7038</v>
      </c>
    </row>
    <row r="1003">
      <c r="D1003" s="6">
        <f>IFERROR(__xludf.DUMMYFUNCTION("""COMPUTED_VALUE"""),39763.99861111111)</f>
        <v>39763.99861</v>
      </c>
      <c r="E1003" s="3">
        <f>IFERROR(__xludf.DUMMYFUNCTION("""COMPUTED_VALUE"""),3.7541)</f>
        <v>3.7541</v>
      </c>
    </row>
    <row r="1004">
      <c r="D1004" s="6">
        <f>IFERROR(__xludf.DUMMYFUNCTION("""COMPUTED_VALUE"""),39764.99861111111)</f>
        <v>39764.99861</v>
      </c>
      <c r="E1004" s="3">
        <f>IFERROR(__xludf.DUMMYFUNCTION("""COMPUTED_VALUE"""),3.8253)</f>
        <v>3.8253</v>
      </c>
    </row>
    <row r="1005">
      <c r="D1005" s="6">
        <f>IFERROR(__xludf.DUMMYFUNCTION("""COMPUTED_VALUE"""),39765.99861111111)</f>
        <v>39765.99861</v>
      </c>
      <c r="E1005" s="3">
        <f>IFERROR(__xludf.DUMMYFUNCTION("""COMPUTED_VALUE"""),3.8103)</f>
        <v>3.8103</v>
      </c>
    </row>
    <row r="1006">
      <c r="D1006" s="6">
        <f>IFERROR(__xludf.DUMMYFUNCTION("""COMPUTED_VALUE"""),39766.99861111111)</f>
        <v>39766.99861</v>
      </c>
      <c r="E1006" s="3">
        <f>IFERROR(__xludf.DUMMYFUNCTION("""COMPUTED_VALUE"""),3.7624)</f>
        <v>3.7624</v>
      </c>
    </row>
    <row r="1007">
      <c r="D1007" s="6">
        <f>IFERROR(__xludf.DUMMYFUNCTION("""COMPUTED_VALUE"""),39768.99861111111)</f>
        <v>39768.99861</v>
      </c>
      <c r="E1007" s="3">
        <f>IFERROR(__xludf.DUMMYFUNCTION("""COMPUTED_VALUE"""),3.676)</f>
        <v>3.676</v>
      </c>
    </row>
    <row r="1008">
      <c r="D1008" s="6">
        <f>IFERROR(__xludf.DUMMYFUNCTION("""COMPUTED_VALUE"""),39769.99861111111)</f>
        <v>39769.99861</v>
      </c>
      <c r="E1008" s="3">
        <f>IFERROR(__xludf.DUMMYFUNCTION("""COMPUTED_VALUE"""),3.7545)</f>
        <v>3.7545</v>
      </c>
    </row>
    <row r="1009">
      <c r="D1009" s="6">
        <f>IFERROR(__xludf.DUMMYFUNCTION("""COMPUTED_VALUE"""),39770.99861111111)</f>
        <v>39770.99861</v>
      </c>
      <c r="E1009" s="3">
        <f>IFERROR(__xludf.DUMMYFUNCTION("""COMPUTED_VALUE"""),3.8128)</f>
        <v>3.8128</v>
      </c>
    </row>
    <row r="1010">
      <c r="D1010" s="6">
        <f>IFERROR(__xludf.DUMMYFUNCTION("""COMPUTED_VALUE"""),39771.99861111111)</f>
        <v>39771.99861</v>
      </c>
      <c r="E1010" s="3">
        <f>IFERROR(__xludf.DUMMYFUNCTION("""COMPUTED_VALUE"""),3.7934)</f>
        <v>3.7934</v>
      </c>
    </row>
    <row r="1011">
      <c r="D1011" s="6">
        <f>IFERROR(__xludf.DUMMYFUNCTION("""COMPUTED_VALUE"""),39772.99861111111)</f>
        <v>39772.99861</v>
      </c>
      <c r="E1011" s="3">
        <f>IFERROR(__xludf.DUMMYFUNCTION("""COMPUTED_VALUE"""),3.7749)</f>
        <v>3.7749</v>
      </c>
    </row>
    <row r="1012">
      <c r="D1012" s="6">
        <f>IFERROR(__xludf.DUMMYFUNCTION("""COMPUTED_VALUE"""),39773.99861111111)</f>
        <v>39773.99861</v>
      </c>
      <c r="E1012" s="3">
        <f>IFERROR(__xludf.DUMMYFUNCTION("""COMPUTED_VALUE"""),3.776)</f>
        <v>3.776</v>
      </c>
    </row>
    <row r="1013">
      <c r="D1013" s="6">
        <f>IFERROR(__xludf.DUMMYFUNCTION("""COMPUTED_VALUE"""),39775.99861111111)</f>
        <v>39775.99861</v>
      </c>
      <c r="E1013" s="3">
        <f>IFERROR(__xludf.DUMMYFUNCTION("""COMPUTED_VALUE"""),3.776)</f>
        <v>3.776</v>
      </c>
    </row>
    <row r="1014">
      <c r="D1014" s="6">
        <f>IFERROR(__xludf.DUMMYFUNCTION("""COMPUTED_VALUE"""),39776.99861111111)</f>
        <v>39776.99861</v>
      </c>
      <c r="E1014" s="3">
        <f>IFERROR(__xludf.DUMMYFUNCTION("""COMPUTED_VALUE"""),3.7405)</f>
        <v>3.7405</v>
      </c>
    </row>
    <row r="1015">
      <c r="D1015" s="6">
        <f>IFERROR(__xludf.DUMMYFUNCTION("""COMPUTED_VALUE"""),39777.99861111111)</f>
        <v>39777.99861</v>
      </c>
      <c r="E1015" s="3">
        <f>IFERROR(__xludf.DUMMYFUNCTION("""COMPUTED_VALUE"""),3.7547)</f>
        <v>3.7547</v>
      </c>
    </row>
    <row r="1016">
      <c r="D1016" s="6">
        <f>IFERROR(__xludf.DUMMYFUNCTION("""COMPUTED_VALUE"""),39778.99861111111)</f>
        <v>39778.99861</v>
      </c>
      <c r="E1016" s="3">
        <f>IFERROR(__xludf.DUMMYFUNCTION("""COMPUTED_VALUE"""),3.8037)</f>
        <v>3.8037</v>
      </c>
    </row>
    <row r="1017">
      <c r="D1017" s="6">
        <f>IFERROR(__xludf.DUMMYFUNCTION("""COMPUTED_VALUE"""),39779.99861111111)</f>
        <v>39779.99861</v>
      </c>
      <c r="E1017" s="3">
        <f>IFERROR(__xludf.DUMMYFUNCTION("""COMPUTED_VALUE"""),3.7793)</f>
        <v>3.7793</v>
      </c>
    </row>
    <row r="1018">
      <c r="D1018" s="6">
        <f>IFERROR(__xludf.DUMMYFUNCTION("""COMPUTED_VALUE"""),39780.99861111111)</f>
        <v>39780.99861</v>
      </c>
      <c r="E1018" s="3">
        <f>IFERROR(__xludf.DUMMYFUNCTION("""COMPUTED_VALUE"""),3.8273)</f>
        <v>3.8273</v>
      </c>
    </row>
    <row r="1019">
      <c r="D1019" s="6">
        <f>IFERROR(__xludf.DUMMYFUNCTION("""COMPUTED_VALUE"""),39782.99861111111)</f>
        <v>39782.99861</v>
      </c>
      <c r="E1019" s="3">
        <f>IFERROR(__xludf.DUMMYFUNCTION("""COMPUTED_VALUE"""),3.7335)</f>
        <v>3.7335</v>
      </c>
    </row>
    <row r="1020">
      <c r="D1020" s="6">
        <f>IFERROR(__xludf.DUMMYFUNCTION("""COMPUTED_VALUE"""),39783.99861111111)</f>
        <v>39783.99861</v>
      </c>
      <c r="E1020" s="3">
        <f>IFERROR(__xludf.DUMMYFUNCTION("""COMPUTED_VALUE"""),3.7328)</f>
        <v>3.7328</v>
      </c>
    </row>
    <row r="1021">
      <c r="D1021" s="6">
        <f>IFERROR(__xludf.DUMMYFUNCTION("""COMPUTED_VALUE"""),39784.99861111111)</f>
        <v>39784.99861</v>
      </c>
      <c r="E1021" s="3">
        <f>IFERROR(__xludf.DUMMYFUNCTION("""COMPUTED_VALUE"""),3.7728)</f>
        <v>3.7728</v>
      </c>
    </row>
    <row r="1022">
      <c r="D1022" s="6">
        <f>IFERROR(__xludf.DUMMYFUNCTION("""COMPUTED_VALUE"""),39785.99861111111)</f>
        <v>39785.99861</v>
      </c>
      <c r="E1022" s="3">
        <f>IFERROR(__xludf.DUMMYFUNCTION("""COMPUTED_VALUE"""),3.7826)</f>
        <v>3.7826</v>
      </c>
    </row>
    <row r="1023">
      <c r="D1023" s="6">
        <f>IFERROR(__xludf.DUMMYFUNCTION("""COMPUTED_VALUE"""),39786.99861111111)</f>
        <v>39786.99861</v>
      </c>
      <c r="E1023" s="3">
        <f>IFERROR(__xludf.DUMMYFUNCTION("""COMPUTED_VALUE"""),3.8104)</f>
        <v>3.8104</v>
      </c>
    </row>
    <row r="1024">
      <c r="D1024" s="6">
        <f>IFERROR(__xludf.DUMMYFUNCTION("""COMPUTED_VALUE"""),39787.99861111111)</f>
        <v>39787.99861</v>
      </c>
      <c r="E1024" s="3">
        <f>IFERROR(__xludf.DUMMYFUNCTION("""COMPUTED_VALUE"""),3.8128)</f>
        <v>3.8128</v>
      </c>
    </row>
    <row r="1025">
      <c r="D1025" s="6">
        <f>IFERROR(__xludf.DUMMYFUNCTION("""COMPUTED_VALUE"""),39790.99861111111)</f>
        <v>39790.99861</v>
      </c>
      <c r="E1025" s="3">
        <f>IFERROR(__xludf.DUMMYFUNCTION("""COMPUTED_VALUE"""),3.8263)</f>
        <v>3.8263</v>
      </c>
    </row>
    <row r="1026">
      <c r="D1026" s="6">
        <f>IFERROR(__xludf.DUMMYFUNCTION("""COMPUTED_VALUE"""),39791.99861111111)</f>
        <v>39791.99861</v>
      </c>
      <c r="E1026" s="3">
        <f>IFERROR(__xludf.DUMMYFUNCTION("""COMPUTED_VALUE"""),3.8333)</f>
        <v>3.8333</v>
      </c>
    </row>
    <row r="1027">
      <c r="D1027" s="6">
        <f>IFERROR(__xludf.DUMMYFUNCTION("""COMPUTED_VALUE"""),39792.99861111111)</f>
        <v>39792.99861</v>
      </c>
      <c r="E1027" s="3">
        <f>IFERROR(__xludf.DUMMYFUNCTION("""COMPUTED_VALUE"""),3.846)</f>
        <v>3.846</v>
      </c>
    </row>
    <row r="1028">
      <c r="D1028" s="6">
        <f>IFERROR(__xludf.DUMMYFUNCTION("""COMPUTED_VALUE"""),39793.99861111111)</f>
        <v>39793.99861</v>
      </c>
      <c r="E1028" s="3">
        <f>IFERROR(__xludf.DUMMYFUNCTION("""COMPUTED_VALUE"""),3.8599)</f>
        <v>3.8599</v>
      </c>
    </row>
    <row r="1029">
      <c r="D1029" s="6">
        <f>IFERROR(__xludf.DUMMYFUNCTION("""COMPUTED_VALUE"""),39794.99861111111)</f>
        <v>39794.99861</v>
      </c>
      <c r="E1029" s="3">
        <f>IFERROR(__xludf.DUMMYFUNCTION("""COMPUTED_VALUE"""),3.8757)</f>
        <v>3.8757</v>
      </c>
    </row>
    <row r="1030">
      <c r="D1030" s="6">
        <f>IFERROR(__xludf.DUMMYFUNCTION("""COMPUTED_VALUE"""),39796.99861111111)</f>
        <v>39796.99861</v>
      </c>
      <c r="E1030" s="3">
        <f>IFERROR(__xludf.DUMMYFUNCTION("""COMPUTED_VALUE"""),3.8757)</f>
        <v>3.8757</v>
      </c>
    </row>
    <row r="1031">
      <c r="D1031" s="6">
        <f>IFERROR(__xludf.DUMMYFUNCTION("""COMPUTED_VALUE"""),39797.99861111111)</f>
        <v>39797.99861</v>
      </c>
      <c r="E1031" s="3">
        <f>IFERROR(__xludf.DUMMYFUNCTION("""COMPUTED_VALUE"""),3.8893)</f>
        <v>3.8893</v>
      </c>
    </row>
    <row r="1032">
      <c r="D1032" s="6">
        <f>IFERROR(__xludf.DUMMYFUNCTION("""COMPUTED_VALUE"""),39798.99861111111)</f>
        <v>39798.99861</v>
      </c>
      <c r="E1032" s="3">
        <f>IFERROR(__xludf.DUMMYFUNCTION("""COMPUTED_VALUE"""),3.896)</f>
        <v>3.896</v>
      </c>
    </row>
    <row r="1033">
      <c r="D1033" s="6">
        <f>IFERROR(__xludf.DUMMYFUNCTION("""COMPUTED_VALUE"""),39799.99861111111)</f>
        <v>39799.99861</v>
      </c>
      <c r="E1033" s="3">
        <f>IFERROR(__xludf.DUMMYFUNCTION("""COMPUTED_VALUE"""),3.9106)</f>
        <v>3.9106</v>
      </c>
    </row>
    <row r="1034">
      <c r="D1034" s="6">
        <f>IFERROR(__xludf.DUMMYFUNCTION("""COMPUTED_VALUE"""),39800.99861111111)</f>
        <v>39800.99861</v>
      </c>
      <c r="E1034" s="3">
        <f>IFERROR(__xludf.DUMMYFUNCTION("""COMPUTED_VALUE"""),3.9389)</f>
        <v>3.9389</v>
      </c>
    </row>
    <row r="1035">
      <c r="D1035" s="6">
        <f>IFERROR(__xludf.DUMMYFUNCTION("""COMPUTED_VALUE"""),39801.99861111111)</f>
        <v>39801.99861</v>
      </c>
      <c r="E1035" s="3">
        <f>IFERROR(__xludf.DUMMYFUNCTION("""COMPUTED_VALUE"""),3.9314)</f>
        <v>3.9314</v>
      </c>
    </row>
    <row r="1036">
      <c r="D1036" s="6">
        <f>IFERROR(__xludf.DUMMYFUNCTION("""COMPUTED_VALUE"""),39803.99861111111)</f>
        <v>39803.99861</v>
      </c>
      <c r="E1036" s="3">
        <f>IFERROR(__xludf.DUMMYFUNCTION("""COMPUTED_VALUE"""),3.8915)</f>
        <v>3.8915</v>
      </c>
    </row>
    <row r="1037">
      <c r="D1037" s="6">
        <f>IFERROR(__xludf.DUMMYFUNCTION("""COMPUTED_VALUE"""),39804.99861111111)</f>
        <v>39804.99861</v>
      </c>
      <c r="E1037" s="3">
        <f>IFERROR(__xludf.DUMMYFUNCTION("""COMPUTED_VALUE"""),3.8647)</f>
        <v>3.8647</v>
      </c>
    </row>
    <row r="1038">
      <c r="D1038" s="6">
        <f>IFERROR(__xludf.DUMMYFUNCTION("""COMPUTED_VALUE"""),39805.99861111111)</f>
        <v>39805.99861</v>
      </c>
      <c r="E1038" s="3">
        <f>IFERROR(__xludf.DUMMYFUNCTION("""COMPUTED_VALUE"""),3.9017)</f>
        <v>3.9017</v>
      </c>
    </row>
    <row r="1039">
      <c r="D1039" s="6">
        <f>IFERROR(__xludf.DUMMYFUNCTION("""COMPUTED_VALUE"""),39806.99861111111)</f>
        <v>39806.99861</v>
      </c>
      <c r="E1039" s="3">
        <f>IFERROR(__xludf.DUMMYFUNCTION("""COMPUTED_VALUE"""),3.9017)</f>
        <v>3.9017</v>
      </c>
    </row>
    <row r="1040">
      <c r="D1040" s="6">
        <f>IFERROR(__xludf.DUMMYFUNCTION("""COMPUTED_VALUE"""),39807.99861111111)</f>
        <v>39807.99861</v>
      </c>
      <c r="E1040" s="3">
        <f>IFERROR(__xludf.DUMMYFUNCTION("""COMPUTED_VALUE"""),3.9017)</f>
        <v>3.9017</v>
      </c>
    </row>
    <row r="1041">
      <c r="D1041" s="6">
        <f>IFERROR(__xludf.DUMMYFUNCTION("""COMPUTED_VALUE"""),39808.99861111111)</f>
        <v>39808.99861</v>
      </c>
      <c r="E1041" s="3">
        <f>IFERROR(__xludf.DUMMYFUNCTION("""COMPUTED_VALUE"""),3.9017)</f>
        <v>3.9017</v>
      </c>
    </row>
    <row r="1042">
      <c r="D1042" s="6">
        <f>IFERROR(__xludf.DUMMYFUNCTION("""COMPUTED_VALUE"""),39810.99861111111)</f>
        <v>39810.99861</v>
      </c>
      <c r="E1042" s="3">
        <f>IFERROR(__xludf.DUMMYFUNCTION("""COMPUTED_VALUE"""),3.9017)</f>
        <v>3.9017</v>
      </c>
    </row>
    <row r="1043">
      <c r="D1043" s="6">
        <f>IFERROR(__xludf.DUMMYFUNCTION("""COMPUTED_VALUE"""),39811.99861111111)</f>
        <v>39811.99861</v>
      </c>
      <c r="E1043" s="3">
        <f>IFERROR(__xludf.DUMMYFUNCTION("""COMPUTED_VALUE"""),4.0178)</f>
        <v>4.0178</v>
      </c>
    </row>
    <row r="1044">
      <c r="D1044" s="6">
        <f>IFERROR(__xludf.DUMMYFUNCTION("""COMPUTED_VALUE"""),39812.99861111111)</f>
        <v>39812.99861</v>
      </c>
      <c r="E1044" s="3">
        <f>IFERROR(__xludf.DUMMYFUNCTION("""COMPUTED_VALUE"""),4.0636)</f>
        <v>4.0636</v>
      </c>
    </row>
    <row r="1045">
      <c r="D1045" s="6">
        <f>IFERROR(__xludf.DUMMYFUNCTION("""COMPUTED_VALUE"""),39813.99861111111)</f>
        <v>39813.99861</v>
      </c>
      <c r="E1045" s="3">
        <f>IFERROR(__xludf.DUMMYFUNCTION("""COMPUTED_VALUE"""),3.9789)</f>
        <v>3.9789</v>
      </c>
    </row>
    <row r="1046">
      <c r="D1046" s="6">
        <f>IFERROR(__xludf.DUMMYFUNCTION("""COMPUTED_VALUE"""),39814.99861111111)</f>
        <v>39814.99861</v>
      </c>
      <c r="E1046" s="3">
        <f>IFERROR(__xludf.DUMMYFUNCTION("""COMPUTED_VALUE"""),3.9614)</f>
        <v>3.9614</v>
      </c>
    </row>
    <row r="1047">
      <c r="D1047" s="6">
        <f>IFERROR(__xludf.DUMMYFUNCTION("""COMPUTED_VALUE"""),39815.99861111111)</f>
        <v>39815.99861</v>
      </c>
      <c r="E1047" s="3">
        <f>IFERROR(__xludf.DUMMYFUNCTION("""COMPUTED_VALUE"""),3.9164)</f>
        <v>3.9164</v>
      </c>
    </row>
    <row r="1048">
      <c r="D1048" s="6">
        <f>IFERROR(__xludf.DUMMYFUNCTION("""COMPUTED_VALUE"""),39817.99861111111)</f>
        <v>39817.99861</v>
      </c>
      <c r="E1048" s="3">
        <f>IFERROR(__xludf.DUMMYFUNCTION("""COMPUTED_VALUE"""),3.9785)</f>
        <v>3.9785</v>
      </c>
    </row>
    <row r="1049">
      <c r="D1049" s="6">
        <f>IFERROR(__xludf.DUMMYFUNCTION("""COMPUTED_VALUE"""),39818.99861111111)</f>
        <v>39818.99861</v>
      </c>
      <c r="E1049" s="3">
        <f>IFERROR(__xludf.DUMMYFUNCTION("""COMPUTED_VALUE"""),4.0093)</f>
        <v>4.0093</v>
      </c>
    </row>
    <row r="1050">
      <c r="D1050" s="6">
        <f>IFERROR(__xludf.DUMMYFUNCTION("""COMPUTED_VALUE"""),39819.99861111111)</f>
        <v>39819.99861</v>
      </c>
      <c r="E1050" s="3">
        <f>IFERROR(__xludf.DUMMYFUNCTION("""COMPUTED_VALUE"""),4.0178)</f>
        <v>4.0178</v>
      </c>
    </row>
    <row r="1051">
      <c r="D1051" s="6">
        <f>IFERROR(__xludf.DUMMYFUNCTION("""COMPUTED_VALUE"""),39820.99861111111)</f>
        <v>39820.99861</v>
      </c>
      <c r="E1051" s="3">
        <f>IFERROR(__xludf.DUMMYFUNCTION("""COMPUTED_VALUE"""),4.0678)</f>
        <v>4.0678</v>
      </c>
    </row>
    <row r="1052">
      <c r="D1052" s="6">
        <f>IFERROR(__xludf.DUMMYFUNCTION("""COMPUTED_VALUE"""),39821.99861111111)</f>
        <v>39821.99861</v>
      </c>
      <c r="E1052" s="3">
        <f>IFERROR(__xludf.DUMMYFUNCTION("""COMPUTED_VALUE"""),4.1196)</f>
        <v>4.1196</v>
      </c>
    </row>
    <row r="1053">
      <c r="D1053" s="6">
        <f>IFERROR(__xludf.DUMMYFUNCTION("""COMPUTED_VALUE"""),39822.99861111111)</f>
        <v>39822.99861</v>
      </c>
      <c r="E1053" s="3">
        <f>IFERROR(__xludf.DUMMYFUNCTION("""COMPUTED_VALUE"""),4.1857)</f>
        <v>4.1857</v>
      </c>
    </row>
    <row r="1054">
      <c r="D1054" s="6">
        <f>IFERROR(__xludf.DUMMYFUNCTION("""COMPUTED_VALUE"""),39824.99861111111)</f>
        <v>39824.99861</v>
      </c>
      <c r="E1054" s="3">
        <f>IFERROR(__xludf.DUMMYFUNCTION("""COMPUTED_VALUE"""),4.1857)</f>
        <v>4.1857</v>
      </c>
    </row>
    <row r="1055">
      <c r="D1055" s="6">
        <f>IFERROR(__xludf.DUMMYFUNCTION("""COMPUTED_VALUE"""),39825.99861111111)</f>
        <v>39825.99861</v>
      </c>
      <c r="E1055" s="3">
        <f>IFERROR(__xludf.DUMMYFUNCTION("""COMPUTED_VALUE"""),4.2797)</f>
        <v>4.2797</v>
      </c>
    </row>
    <row r="1056">
      <c r="D1056" s="6">
        <f>IFERROR(__xludf.DUMMYFUNCTION("""COMPUTED_VALUE"""),39826.99861111111)</f>
        <v>39826.99861</v>
      </c>
      <c r="E1056" s="3">
        <f>IFERROR(__xludf.DUMMYFUNCTION("""COMPUTED_VALUE"""),4.3069)</f>
        <v>4.3069</v>
      </c>
    </row>
    <row r="1057">
      <c r="D1057" s="6">
        <f>IFERROR(__xludf.DUMMYFUNCTION("""COMPUTED_VALUE"""),39827.99861111111)</f>
        <v>39827.99861</v>
      </c>
      <c r="E1057" s="3">
        <f>IFERROR(__xludf.DUMMYFUNCTION("""COMPUTED_VALUE"""),4.264)</f>
        <v>4.264</v>
      </c>
    </row>
    <row r="1058">
      <c r="D1058" s="6">
        <f>IFERROR(__xludf.DUMMYFUNCTION("""COMPUTED_VALUE"""),39828.99861111111)</f>
        <v>39828.99861</v>
      </c>
      <c r="E1058" s="3">
        <f>IFERROR(__xludf.DUMMYFUNCTION("""COMPUTED_VALUE"""),4.2458)</f>
        <v>4.2458</v>
      </c>
    </row>
    <row r="1059">
      <c r="D1059" s="6">
        <f>IFERROR(__xludf.DUMMYFUNCTION("""COMPUTED_VALUE"""),39829.99861111111)</f>
        <v>39829.99861</v>
      </c>
      <c r="E1059" s="3">
        <f>IFERROR(__xludf.DUMMYFUNCTION("""COMPUTED_VALUE"""),4.2383)</f>
        <v>4.2383</v>
      </c>
    </row>
    <row r="1060">
      <c r="D1060" s="6">
        <f>IFERROR(__xludf.DUMMYFUNCTION("""COMPUTED_VALUE"""),39831.99861111111)</f>
        <v>39831.99861</v>
      </c>
      <c r="E1060" s="3">
        <f>IFERROR(__xludf.DUMMYFUNCTION("""COMPUTED_VALUE"""),4.2383)</f>
        <v>4.2383</v>
      </c>
    </row>
    <row r="1061">
      <c r="D1061" s="6">
        <f>IFERROR(__xludf.DUMMYFUNCTION("""COMPUTED_VALUE"""),39832.99861111111)</f>
        <v>39832.99861</v>
      </c>
      <c r="E1061" s="3">
        <f>IFERROR(__xludf.DUMMYFUNCTION("""COMPUTED_VALUE"""),4.2638)</f>
        <v>4.2638</v>
      </c>
    </row>
    <row r="1062">
      <c r="D1062" s="6">
        <f>IFERROR(__xludf.DUMMYFUNCTION("""COMPUTED_VALUE"""),39833.99861111111)</f>
        <v>39833.99861</v>
      </c>
      <c r="E1062" s="3">
        <f>IFERROR(__xludf.DUMMYFUNCTION("""COMPUTED_VALUE"""),4.2687)</f>
        <v>4.2687</v>
      </c>
    </row>
    <row r="1063">
      <c r="D1063" s="6">
        <f>IFERROR(__xludf.DUMMYFUNCTION("""COMPUTED_VALUE"""),39834.99861111111)</f>
        <v>39834.99861</v>
      </c>
      <c r="E1063" s="3">
        <f>IFERROR(__xludf.DUMMYFUNCTION("""COMPUTED_VALUE"""),4.262)</f>
        <v>4.262</v>
      </c>
    </row>
    <row r="1064">
      <c r="D1064" s="6">
        <f>IFERROR(__xludf.DUMMYFUNCTION("""COMPUTED_VALUE"""),39835.99861111111)</f>
        <v>39835.99861</v>
      </c>
      <c r="E1064" s="3">
        <f>IFERROR(__xludf.DUMMYFUNCTION("""COMPUTED_VALUE"""),4.2913)</f>
        <v>4.2913</v>
      </c>
    </row>
    <row r="1065">
      <c r="D1065" s="6">
        <f>IFERROR(__xludf.DUMMYFUNCTION("""COMPUTED_VALUE"""),39836.99861111111)</f>
        <v>39836.99861</v>
      </c>
      <c r="E1065" s="3">
        <f>IFERROR(__xludf.DUMMYFUNCTION("""COMPUTED_VALUE"""),4.2472)</f>
        <v>4.2472</v>
      </c>
    </row>
    <row r="1066">
      <c r="D1066" s="6">
        <f>IFERROR(__xludf.DUMMYFUNCTION("""COMPUTED_VALUE"""),39838.99861111111)</f>
        <v>39838.99861</v>
      </c>
      <c r="E1066" s="3">
        <f>IFERROR(__xludf.DUMMYFUNCTION("""COMPUTED_VALUE"""),4.2472)</f>
        <v>4.2472</v>
      </c>
    </row>
    <row r="1067">
      <c r="D1067" s="6">
        <f>IFERROR(__xludf.DUMMYFUNCTION("""COMPUTED_VALUE"""),39839.99861111111)</f>
        <v>39839.99861</v>
      </c>
      <c r="E1067" s="3">
        <f>IFERROR(__xludf.DUMMYFUNCTION("""COMPUTED_VALUE"""),4.2524)</f>
        <v>4.2524</v>
      </c>
    </row>
    <row r="1068">
      <c r="D1068" s="6">
        <f>IFERROR(__xludf.DUMMYFUNCTION("""COMPUTED_VALUE"""),39840.99861111111)</f>
        <v>39840.99861</v>
      </c>
      <c r="E1068" s="3">
        <f>IFERROR(__xludf.DUMMYFUNCTION("""COMPUTED_VALUE"""),4.2268)</f>
        <v>4.2268</v>
      </c>
    </row>
    <row r="1069">
      <c r="D1069" s="6">
        <f>IFERROR(__xludf.DUMMYFUNCTION("""COMPUTED_VALUE"""),39841.99861111111)</f>
        <v>39841.99861</v>
      </c>
      <c r="E1069" s="3">
        <f>IFERROR(__xludf.DUMMYFUNCTION("""COMPUTED_VALUE"""),4.1831)</f>
        <v>4.1831</v>
      </c>
    </row>
    <row r="1070">
      <c r="D1070" s="6">
        <f>IFERROR(__xludf.DUMMYFUNCTION("""COMPUTED_VALUE"""),39842.99861111111)</f>
        <v>39842.99861</v>
      </c>
      <c r="E1070" s="3">
        <f>IFERROR(__xludf.DUMMYFUNCTION("""COMPUTED_VALUE"""),4.1807)</f>
        <v>4.1807</v>
      </c>
    </row>
    <row r="1071">
      <c r="D1071" s="6">
        <f>IFERROR(__xludf.DUMMYFUNCTION("""COMPUTED_VALUE"""),39843.99861111111)</f>
        <v>39843.99861</v>
      </c>
      <c r="E1071" s="3">
        <f>IFERROR(__xludf.DUMMYFUNCTION("""COMPUTED_VALUE"""),4.243)</f>
        <v>4.243</v>
      </c>
    </row>
    <row r="1072">
      <c r="D1072" s="6">
        <f>IFERROR(__xludf.DUMMYFUNCTION("""COMPUTED_VALUE"""),39845.99861111111)</f>
        <v>39845.99861</v>
      </c>
      <c r="E1072" s="3">
        <f>IFERROR(__xludf.DUMMYFUNCTION("""COMPUTED_VALUE"""),4.243)</f>
        <v>4.243</v>
      </c>
    </row>
    <row r="1073">
      <c r="D1073" s="6">
        <f>IFERROR(__xludf.DUMMYFUNCTION("""COMPUTED_VALUE"""),39846.99861111111)</f>
        <v>39846.99861</v>
      </c>
      <c r="E1073" s="3">
        <f>IFERROR(__xludf.DUMMYFUNCTION("""COMPUTED_VALUE"""),4.2733)</f>
        <v>4.2733</v>
      </c>
    </row>
    <row r="1074">
      <c r="D1074" s="6">
        <f>IFERROR(__xludf.DUMMYFUNCTION("""COMPUTED_VALUE"""),39847.99861111111)</f>
        <v>39847.99861</v>
      </c>
      <c r="E1074" s="3">
        <f>IFERROR(__xludf.DUMMYFUNCTION("""COMPUTED_VALUE"""),4.246)</f>
        <v>4.246</v>
      </c>
    </row>
    <row r="1075">
      <c r="D1075" s="6">
        <f>IFERROR(__xludf.DUMMYFUNCTION("""COMPUTED_VALUE"""),39848.99861111111)</f>
        <v>39848.99861</v>
      </c>
      <c r="E1075" s="3">
        <f>IFERROR(__xludf.DUMMYFUNCTION("""COMPUTED_VALUE"""),4.25)</f>
        <v>4.25</v>
      </c>
    </row>
    <row r="1076">
      <c r="D1076" s="6">
        <f>IFERROR(__xludf.DUMMYFUNCTION("""COMPUTED_VALUE"""),39849.99861111111)</f>
        <v>39849.99861</v>
      </c>
      <c r="E1076" s="3">
        <f>IFERROR(__xludf.DUMMYFUNCTION("""COMPUTED_VALUE"""),4.2731)</f>
        <v>4.2731</v>
      </c>
    </row>
    <row r="1077">
      <c r="D1077" s="6">
        <f>IFERROR(__xludf.DUMMYFUNCTION("""COMPUTED_VALUE"""),39850.99861111111)</f>
        <v>39850.99861</v>
      </c>
      <c r="E1077" s="3">
        <f>IFERROR(__xludf.DUMMYFUNCTION("""COMPUTED_VALUE"""),4.245)</f>
        <v>4.245</v>
      </c>
    </row>
    <row r="1078">
      <c r="D1078" s="6">
        <f>IFERROR(__xludf.DUMMYFUNCTION("""COMPUTED_VALUE"""),39853.99861111111)</f>
        <v>39853.99861</v>
      </c>
      <c r="E1078" s="3">
        <f>IFERROR(__xludf.DUMMYFUNCTION("""COMPUTED_VALUE"""),4.183)</f>
        <v>4.183</v>
      </c>
    </row>
    <row r="1079">
      <c r="D1079" s="6">
        <f>IFERROR(__xludf.DUMMYFUNCTION("""COMPUTED_VALUE"""),39854.99861111111)</f>
        <v>39854.99861</v>
      </c>
      <c r="E1079" s="3">
        <f>IFERROR(__xludf.DUMMYFUNCTION("""COMPUTED_VALUE"""),4.192)</f>
        <v>4.192</v>
      </c>
    </row>
    <row r="1080">
      <c r="D1080" s="6">
        <f>IFERROR(__xludf.DUMMYFUNCTION("""COMPUTED_VALUE"""),39855.99861111111)</f>
        <v>39855.99861</v>
      </c>
      <c r="E1080" s="3">
        <f>IFERROR(__xludf.DUMMYFUNCTION("""COMPUTED_VALUE"""),4.233)</f>
        <v>4.233</v>
      </c>
    </row>
    <row r="1081">
      <c r="D1081" s="6">
        <f>IFERROR(__xludf.DUMMYFUNCTION("""COMPUTED_VALUE"""),39856.99861111111)</f>
        <v>39856.99861</v>
      </c>
      <c r="E1081" s="3">
        <f>IFERROR(__xludf.DUMMYFUNCTION("""COMPUTED_VALUE"""),4.2445)</f>
        <v>4.2445</v>
      </c>
    </row>
    <row r="1082">
      <c r="D1082" s="6">
        <f>IFERROR(__xludf.DUMMYFUNCTION("""COMPUTED_VALUE"""),39857.99861111111)</f>
        <v>39857.99861</v>
      </c>
      <c r="E1082" s="3">
        <f>IFERROR(__xludf.DUMMYFUNCTION("""COMPUTED_VALUE"""),4.241)</f>
        <v>4.241</v>
      </c>
    </row>
    <row r="1083">
      <c r="D1083" s="6">
        <f>IFERROR(__xludf.DUMMYFUNCTION("""COMPUTED_VALUE"""),39859.99861111111)</f>
        <v>39859.99861</v>
      </c>
      <c r="E1083" s="3">
        <f>IFERROR(__xludf.DUMMYFUNCTION("""COMPUTED_VALUE"""),4.267)</f>
        <v>4.267</v>
      </c>
    </row>
    <row r="1084">
      <c r="D1084" s="6">
        <f>IFERROR(__xludf.DUMMYFUNCTION("""COMPUTED_VALUE"""),39860.99861111111)</f>
        <v>39860.99861</v>
      </c>
      <c r="E1084" s="3">
        <f>IFERROR(__xludf.DUMMYFUNCTION("""COMPUTED_VALUE"""),4.27)</f>
        <v>4.27</v>
      </c>
    </row>
    <row r="1085">
      <c r="D1085" s="6">
        <f>IFERROR(__xludf.DUMMYFUNCTION("""COMPUTED_VALUE"""),39861.99861111111)</f>
        <v>39861.99861</v>
      </c>
      <c r="E1085" s="3">
        <f>IFERROR(__xludf.DUMMYFUNCTION("""COMPUTED_VALUE"""),4.2564)</f>
        <v>4.2564</v>
      </c>
    </row>
    <row r="1086">
      <c r="D1086" s="6">
        <f>IFERROR(__xludf.DUMMYFUNCTION("""COMPUTED_VALUE"""),39862.99861111111)</f>
        <v>39862.99861</v>
      </c>
      <c r="E1086" s="3">
        <f>IFERROR(__xludf.DUMMYFUNCTION("""COMPUTED_VALUE"""),4.2287)</f>
        <v>4.2287</v>
      </c>
    </row>
    <row r="1087">
      <c r="D1087" s="6">
        <f>IFERROR(__xludf.DUMMYFUNCTION("""COMPUTED_VALUE"""),39863.99861111111)</f>
        <v>39863.99861</v>
      </c>
      <c r="E1087" s="3">
        <f>IFERROR(__xludf.DUMMYFUNCTION("""COMPUTED_VALUE"""),4.2179)</f>
        <v>4.2179</v>
      </c>
    </row>
    <row r="1088">
      <c r="D1088" s="6">
        <f>IFERROR(__xludf.DUMMYFUNCTION("""COMPUTED_VALUE"""),39864.99861111111)</f>
        <v>39864.99861</v>
      </c>
      <c r="E1088" s="3">
        <f>IFERROR(__xludf.DUMMYFUNCTION("""COMPUTED_VALUE"""),4.2377)</f>
        <v>4.2377</v>
      </c>
    </row>
    <row r="1089">
      <c r="D1089" s="6">
        <f>IFERROR(__xludf.DUMMYFUNCTION("""COMPUTED_VALUE"""),39867.99861111111)</f>
        <v>39867.99861</v>
      </c>
      <c r="E1089" s="3">
        <f>IFERROR(__xludf.DUMMYFUNCTION("""COMPUTED_VALUE"""),4.2361)</f>
        <v>4.2361</v>
      </c>
    </row>
    <row r="1090">
      <c r="D1090" s="6">
        <f>IFERROR(__xludf.DUMMYFUNCTION("""COMPUTED_VALUE"""),39868.99861111111)</f>
        <v>39868.99861</v>
      </c>
      <c r="E1090" s="3">
        <f>IFERROR(__xludf.DUMMYFUNCTION("""COMPUTED_VALUE"""),4.2358)</f>
        <v>4.2358</v>
      </c>
    </row>
    <row r="1091">
      <c r="D1091" s="6">
        <f>IFERROR(__xludf.DUMMYFUNCTION("""COMPUTED_VALUE"""),39869.99861111111)</f>
        <v>39869.99861</v>
      </c>
      <c r="E1091" s="3">
        <f>IFERROR(__xludf.DUMMYFUNCTION("""COMPUTED_VALUE"""),4.2361)</f>
        <v>4.2361</v>
      </c>
    </row>
    <row r="1092">
      <c r="D1092" s="6">
        <f>IFERROR(__xludf.DUMMYFUNCTION("""COMPUTED_VALUE"""),39870.99861111111)</f>
        <v>39870.99861</v>
      </c>
      <c r="E1092" s="3">
        <f>IFERROR(__xludf.DUMMYFUNCTION("""COMPUTED_VALUE"""),4.2433)</f>
        <v>4.2433</v>
      </c>
    </row>
    <row r="1093">
      <c r="D1093" s="6">
        <f>IFERROR(__xludf.DUMMYFUNCTION("""COMPUTED_VALUE"""),39871.99861111111)</f>
        <v>39871.99861</v>
      </c>
      <c r="E1093" s="3">
        <f>IFERROR(__xludf.DUMMYFUNCTION("""COMPUTED_VALUE"""),4.2418)</f>
        <v>4.2418</v>
      </c>
    </row>
    <row r="1094">
      <c r="D1094" s="6">
        <f>IFERROR(__xludf.DUMMYFUNCTION("""COMPUTED_VALUE"""),39874.99861111111)</f>
        <v>39874.99861</v>
      </c>
      <c r="E1094" s="3">
        <f>IFERROR(__xludf.DUMMYFUNCTION("""COMPUTED_VALUE"""),4.2604)</f>
        <v>4.2604</v>
      </c>
    </row>
    <row r="1095">
      <c r="D1095" s="6">
        <f>IFERROR(__xludf.DUMMYFUNCTION("""COMPUTED_VALUE"""),39875.99861111111)</f>
        <v>39875.99861</v>
      </c>
      <c r="E1095" s="3">
        <f>IFERROR(__xludf.DUMMYFUNCTION("""COMPUTED_VALUE"""),4.2506)</f>
        <v>4.2506</v>
      </c>
    </row>
    <row r="1096">
      <c r="D1096" s="6">
        <f>IFERROR(__xludf.DUMMYFUNCTION("""COMPUTED_VALUE"""),39876.99861111111)</f>
        <v>39876.99861</v>
      </c>
      <c r="E1096" s="3">
        <f>IFERROR(__xludf.DUMMYFUNCTION("""COMPUTED_VALUE"""),4.2343)</f>
        <v>4.2343</v>
      </c>
    </row>
    <row r="1097">
      <c r="D1097" s="6">
        <f>IFERROR(__xludf.DUMMYFUNCTION("""COMPUTED_VALUE"""),39877.99861111111)</f>
        <v>39877.99861</v>
      </c>
      <c r="E1097" s="3">
        <f>IFERROR(__xludf.DUMMYFUNCTION("""COMPUTED_VALUE"""),4.2521)</f>
        <v>4.2521</v>
      </c>
    </row>
    <row r="1098">
      <c r="D1098" s="6">
        <f>IFERROR(__xludf.DUMMYFUNCTION("""COMPUTED_VALUE"""),39878.99861111111)</f>
        <v>39878.99861</v>
      </c>
      <c r="E1098" s="3">
        <f>IFERROR(__xludf.DUMMYFUNCTION("""COMPUTED_VALUE"""),4.2359)</f>
        <v>4.2359</v>
      </c>
    </row>
    <row r="1099">
      <c r="D1099" s="6">
        <f>IFERROR(__xludf.DUMMYFUNCTION("""COMPUTED_VALUE"""),39881.99861111111)</f>
        <v>39881.99861</v>
      </c>
      <c r="E1099" s="3">
        <f>IFERROR(__xludf.DUMMYFUNCTION("""COMPUTED_VALUE"""),4.2561)</f>
        <v>4.2561</v>
      </c>
    </row>
    <row r="1100">
      <c r="D1100" s="6">
        <f>IFERROR(__xludf.DUMMYFUNCTION("""COMPUTED_VALUE"""),39882.99861111111)</f>
        <v>39882.99861</v>
      </c>
      <c r="E1100" s="3">
        <f>IFERROR(__xludf.DUMMYFUNCTION("""COMPUTED_VALUE"""),4.2391)</f>
        <v>4.2391</v>
      </c>
    </row>
    <row r="1101">
      <c r="D1101" s="6">
        <f>IFERROR(__xludf.DUMMYFUNCTION("""COMPUTED_VALUE"""),39883.99861111111)</f>
        <v>39883.99861</v>
      </c>
      <c r="E1101" s="3">
        <f>IFERROR(__xludf.DUMMYFUNCTION("""COMPUTED_VALUE"""),4.2317)</f>
        <v>4.2317</v>
      </c>
    </row>
    <row r="1102">
      <c r="D1102" s="6">
        <f>IFERROR(__xludf.DUMMYFUNCTION("""COMPUTED_VALUE"""),39884.99861111111)</f>
        <v>39884.99861</v>
      </c>
      <c r="E1102" s="3">
        <f>IFERROR(__xludf.DUMMYFUNCTION("""COMPUTED_VALUE"""),4.2273)</f>
        <v>4.2273</v>
      </c>
    </row>
    <row r="1103">
      <c r="D1103" s="6">
        <f>IFERROR(__xludf.DUMMYFUNCTION("""COMPUTED_VALUE"""),39885.99861111111)</f>
        <v>39885.99861</v>
      </c>
      <c r="E1103" s="3">
        <f>IFERROR(__xludf.DUMMYFUNCTION("""COMPUTED_VALUE"""),4.2423)</f>
        <v>4.2423</v>
      </c>
    </row>
    <row r="1104">
      <c r="D1104" s="6">
        <f>IFERROR(__xludf.DUMMYFUNCTION("""COMPUTED_VALUE"""),39888.99861111111)</f>
        <v>39888.99861</v>
      </c>
      <c r="E1104" s="3">
        <f>IFERROR(__xludf.DUMMYFUNCTION("""COMPUTED_VALUE"""),4.2405)</f>
        <v>4.2405</v>
      </c>
    </row>
    <row r="1105">
      <c r="D1105" s="6">
        <f>IFERROR(__xludf.DUMMYFUNCTION("""COMPUTED_VALUE"""),39889.99861111111)</f>
        <v>39889.99861</v>
      </c>
      <c r="E1105" s="3">
        <f>IFERROR(__xludf.DUMMYFUNCTION("""COMPUTED_VALUE"""),4.2449)</f>
        <v>4.2449</v>
      </c>
    </row>
    <row r="1106">
      <c r="D1106" s="6">
        <f>IFERROR(__xludf.DUMMYFUNCTION("""COMPUTED_VALUE"""),39890.99861111111)</f>
        <v>39890.99861</v>
      </c>
      <c r="E1106" s="3">
        <f>IFERROR(__xludf.DUMMYFUNCTION("""COMPUTED_VALUE"""),4.2485)</f>
        <v>4.2485</v>
      </c>
    </row>
    <row r="1107">
      <c r="D1107" s="6">
        <f>IFERROR(__xludf.DUMMYFUNCTION("""COMPUTED_VALUE"""),39891.99861111111)</f>
        <v>39891.99861</v>
      </c>
      <c r="E1107" s="3">
        <f>IFERROR(__xludf.DUMMYFUNCTION("""COMPUTED_VALUE"""),4.2485)</f>
        <v>4.2485</v>
      </c>
    </row>
    <row r="1108">
      <c r="D1108" s="6">
        <f>IFERROR(__xludf.DUMMYFUNCTION("""COMPUTED_VALUE"""),39892.99861111111)</f>
        <v>39892.99861</v>
      </c>
      <c r="E1108" s="3">
        <f>IFERROR(__xludf.DUMMYFUNCTION("""COMPUTED_VALUE"""),4.2485)</f>
        <v>4.2485</v>
      </c>
    </row>
    <row r="1109">
      <c r="D1109" s="6">
        <f>IFERROR(__xludf.DUMMYFUNCTION("""COMPUTED_VALUE"""),39895.99861111111)</f>
        <v>39895.99861</v>
      </c>
      <c r="E1109" s="3">
        <f>IFERROR(__xludf.DUMMYFUNCTION("""COMPUTED_VALUE"""),4.2435)</f>
        <v>4.2435</v>
      </c>
    </row>
    <row r="1110">
      <c r="D1110" s="6">
        <f>IFERROR(__xludf.DUMMYFUNCTION("""COMPUTED_VALUE"""),39896.99861111111)</f>
        <v>39896.99861</v>
      </c>
      <c r="E1110" s="3">
        <f>IFERROR(__xludf.DUMMYFUNCTION("""COMPUTED_VALUE"""),4.245)</f>
        <v>4.245</v>
      </c>
    </row>
    <row r="1111">
      <c r="D1111" s="6">
        <f>IFERROR(__xludf.DUMMYFUNCTION("""COMPUTED_VALUE"""),39897.99861111111)</f>
        <v>39897.99861</v>
      </c>
      <c r="E1111" s="3">
        <f>IFERROR(__xludf.DUMMYFUNCTION("""COMPUTED_VALUE"""),4.228)</f>
        <v>4.228</v>
      </c>
    </row>
    <row r="1112">
      <c r="D1112" s="6">
        <f>IFERROR(__xludf.DUMMYFUNCTION("""COMPUTED_VALUE"""),39898.99861111111)</f>
        <v>39898.99861</v>
      </c>
      <c r="E1112" s="3">
        <f>IFERROR(__xludf.DUMMYFUNCTION("""COMPUTED_VALUE"""),4.1863)</f>
        <v>4.1863</v>
      </c>
    </row>
    <row r="1113">
      <c r="D1113" s="6">
        <f>IFERROR(__xludf.DUMMYFUNCTION("""COMPUTED_VALUE"""),39899.99861111111)</f>
        <v>39899.99861</v>
      </c>
      <c r="E1113" s="3">
        <f>IFERROR(__xludf.DUMMYFUNCTION("""COMPUTED_VALUE"""),4.2022)</f>
        <v>4.2022</v>
      </c>
    </row>
    <row r="1114">
      <c r="D1114" s="6">
        <f>IFERROR(__xludf.DUMMYFUNCTION("""COMPUTED_VALUE"""),39902.99861111111)</f>
        <v>39902.99861</v>
      </c>
      <c r="E1114" s="3">
        <f>IFERROR(__xludf.DUMMYFUNCTION("""COMPUTED_VALUE"""),4.1763)</f>
        <v>4.1763</v>
      </c>
    </row>
    <row r="1115">
      <c r="D1115" s="6">
        <f>IFERROR(__xludf.DUMMYFUNCTION("""COMPUTED_VALUE"""),39903.99861111111)</f>
        <v>39903.99861</v>
      </c>
      <c r="E1115" s="3">
        <f>IFERROR(__xludf.DUMMYFUNCTION("""COMPUTED_VALUE"""),4.1848)</f>
        <v>4.1848</v>
      </c>
    </row>
    <row r="1116">
      <c r="D1116" s="6">
        <f>IFERROR(__xludf.DUMMYFUNCTION("""COMPUTED_VALUE"""),39904.99861111111)</f>
        <v>39904.99861</v>
      </c>
      <c r="E1116" s="3">
        <f>IFERROR(__xludf.DUMMYFUNCTION("""COMPUTED_VALUE"""),4.1792)</f>
        <v>4.1792</v>
      </c>
    </row>
    <row r="1117">
      <c r="D1117" s="6">
        <f>IFERROR(__xludf.DUMMYFUNCTION("""COMPUTED_VALUE"""),39905.99861111111)</f>
        <v>39905.99861</v>
      </c>
      <c r="E1117" s="3">
        <f>IFERROR(__xludf.DUMMYFUNCTION("""COMPUTED_VALUE"""),4.1461)</f>
        <v>4.1461</v>
      </c>
    </row>
    <row r="1118">
      <c r="D1118" s="6">
        <f>IFERROR(__xludf.DUMMYFUNCTION("""COMPUTED_VALUE"""),39906.99861111111)</f>
        <v>39906.99861</v>
      </c>
      <c r="E1118" s="3">
        <f>IFERROR(__xludf.DUMMYFUNCTION("""COMPUTED_VALUE"""),4.1815)</f>
        <v>4.1815</v>
      </c>
    </row>
    <row r="1119">
      <c r="D1119" s="6">
        <f>IFERROR(__xludf.DUMMYFUNCTION("""COMPUTED_VALUE"""),39909.99861111111)</f>
        <v>39909.99861</v>
      </c>
      <c r="E1119" s="3">
        <f>IFERROR(__xludf.DUMMYFUNCTION("""COMPUTED_VALUE"""),4.1141)</f>
        <v>4.1141</v>
      </c>
    </row>
    <row r="1120">
      <c r="D1120" s="6">
        <f>IFERROR(__xludf.DUMMYFUNCTION("""COMPUTED_VALUE"""),39910.99861111111)</f>
        <v>39910.99861</v>
      </c>
      <c r="E1120" s="3">
        <f>IFERROR(__xludf.DUMMYFUNCTION("""COMPUTED_VALUE"""),4.1198)</f>
        <v>4.1198</v>
      </c>
    </row>
    <row r="1121">
      <c r="D1121" s="6">
        <f>IFERROR(__xludf.DUMMYFUNCTION("""COMPUTED_VALUE"""),39911.99861111111)</f>
        <v>39911.99861</v>
      </c>
      <c r="E1121" s="3">
        <f>IFERROR(__xludf.DUMMYFUNCTION("""COMPUTED_VALUE"""),4.1253)</f>
        <v>4.1253</v>
      </c>
    </row>
    <row r="1122">
      <c r="D1122" s="6">
        <f>IFERROR(__xludf.DUMMYFUNCTION("""COMPUTED_VALUE"""),39912.99861111111)</f>
        <v>39912.99861</v>
      </c>
      <c r="E1122" s="3">
        <f>IFERROR(__xludf.DUMMYFUNCTION("""COMPUTED_VALUE"""),4.1357)</f>
        <v>4.1357</v>
      </c>
    </row>
    <row r="1123">
      <c r="D1123" s="6">
        <f>IFERROR(__xludf.DUMMYFUNCTION("""COMPUTED_VALUE"""),39913.99861111111)</f>
        <v>39913.99861</v>
      </c>
      <c r="E1123" s="3">
        <f>IFERROR(__xludf.DUMMYFUNCTION("""COMPUTED_VALUE"""),4.0765)</f>
        <v>4.0765</v>
      </c>
    </row>
    <row r="1124">
      <c r="D1124" s="6">
        <f>IFERROR(__xludf.DUMMYFUNCTION("""COMPUTED_VALUE"""),39917.99861111111)</f>
        <v>39917.99861</v>
      </c>
      <c r="E1124" s="3">
        <f>IFERROR(__xludf.DUMMYFUNCTION("""COMPUTED_VALUE"""),4.1052)</f>
        <v>4.1052</v>
      </c>
    </row>
    <row r="1125">
      <c r="D1125" s="6">
        <f>IFERROR(__xludf.DUMMYFUNCTION("""COMPUTED_VALUE"""),39918.99861111111)</f>
        <v>39918.99861</v>
      </c>
      <c r="E1125" s="3">
        <f>IFERROR(__xludf.DUMMYFUNCTION("""COMPUTED_VALUE"""),4.1495)</f>
        <v>4.1495</v>
      </c>
    </row>
    <row r="1126">
      <c r="D1126" s="6">
        <f>IFERROR(__xludf.DUMMYFUNCTION("""COMPUTED_VALUE"""),39919.99861111111)</f>
        <v>39919.99861</v>
      </c>
      <c r="E1126" s="3">
        <f>IFERROR(__xludf.DUMMYFUNCTION("""COMPUTED_VALUE"""),4.1624)</f>
        <v>4.1624</v>
      </c>
    </row>
    <row r="1127">
      <c r="D1127" s="6">
        <f>IFERROR(__xludf.DUMMYFUNCTION("""COMPUTED_VALUE"""),39920.99861111111)</f>
        <v>39920.99861</v>
      </c>
      <c r="E1127" s="3">
        <f>IFERROR(__xludf.DUMMYFUNCTION("""COMPUTED_VALUE"""),4.1709)</f>
        <v>4.1709</v>
      </c>
    </row>
    <row r="1128">
      <c r="D1128" s="6">
        <f>IFERROR(__xludf.DUMMYFUNCTION("""COMPUTED_VALUE"""),39923.99861111111)</f>
        <v>39923.99861</v>
      </c>
      <c r="E1128" s="3">
        <f>IFERROR(__xludf.DUMMYFUNCTION("""COMPUTED_VALUE"""),4.1971)</f>
        <v>4.1971</v>
      </c>
    </row>
    <row r="1129">
      <c r="D1129" s="6">
        <f>IFERROR(__xludf.DUMMYFUNCTION("""COMPUTED_VALUE"""),39924.99861111111)</f>
        <v>39924.99861</v>
      </c>
      <c r="E1129" s="3">
        <f>IFERROR(__xludf.DUMMYFUNCTION("""COMPUTED_VALUE"""),4.1866)</f>
        <v>4.1866</v>
      </c>
    </row>
    <row r="1130">
      <c r="D1130" s="6">
        <f>IFERROR(__xludf.DUMMYFUNCTION("""COMPUTED_VALUE"""),39925.99861111111)</f>
        <v>39925.99861</v>
      </c>
      <c r="E1130" s="3">
        <f>IFERROR(__xludf.DUMMYFUNCTION("""COMPUTED_VALUE"""),4.1964)</f>
        <v>4.1964</v>
      </c>
    </row>
    <row r="1131">
      <c r="D1131" s="6">
        <f>IFERROR(__xludf.DUMMYFUNCTION("""COMPUTED_VALUE"""),39926.99861111111)</f>
        <v>39926.99861</v>
      </c>
      <c r="E1131" s="3">
        <f>IFERROR(__xludf.DUMMYFUNCTION("""COMPUTED_VALUE"""),4.1987)</f>
        <v>4.1987</v>
      </c>
    </row>
    <row r="1132">
      <c r="D1132" s="6">
        <f>IFERROR(__xludf.DUMMYFUNCTION("""COMPUTED_VALUE"""),39927.99861111111)</f>
        <v>39927.99861</v>
      </c>
      <c r="E1132" s="3">
        <f>IFERROR(__xludf.DUMMYFUNCTION("""COMPUTED_VALUE"""),4.1856)</f>
        <v>4.1856</v>
      </c>
    </row>
    <row r="1133">
      <c r="D1133" s="6">
        <f>IFERROR(__xludf.DUMMYFUNCTION("""COMPUTED_VALUE"""),39929.99861111111)</f>
        <v>39929.99861</v>
      </c>
      <c r="E1133" s="3">
        <f>IFERROR(__xludf.DUMMYFUNCTION("""COMPUTED_VALUE"""),4.1856)</f>
        <v>4.1856</v>
      </c>
    </row>
    <row r="1134">
      <c r="D1134" s="6">
        <f>IFERROR(__xludf.DUMMYFUNCTION("""COMPUTED_VALUE"""),39930.99861111111)</f>
        <v>39930.99861</v>
      </c>
      <c r="E1134" s="3">
        <f>IFERROR(__xludf.DUMMYFUNCTION("""COMPUTED_VALUE"""),4.1565)</f>
        <v>4.1565</v>
      </c>
    </row>
    <row r="1135">
      <c r="D1135" s="6">
        <f>IFERROR(__xludf.DUMMYFUNCTION("""COMPUTED_VALUE"""),39931.99861111111)</f>
        <v>39931.99861</v>
      </c>
      <c r="E1135" s="3">
        <f>IFERROR(__xludf.DUMMYFUNCTION("""COMPUTED_VALUE"""),4.1659)</f>
        <v>4.1659</v>
      </c>
    </row>
    <row r="1136">
      <c r="D1136" s="6">
        <f>IFERROR(__xludf.DUMMYFUNCTION("""COMPUTED_VALUE"""),39932.99861111111)</f>
        <v>39932.99861</v>
      </c>
      <c r="E1136" s="3">
        <f>IFERROR(__xludf.DUMMYFUNCTION("""COMPUTED_VALUE"""),4.1298)</f>
        <v>4.1298</v>
      </c>
    </row>
    <row r="1137">
      <c r="D1137" s="6">
        <f>IFERROR(__xludf.DUMMYFUNCTION("""COMPUTED_VALUE"""),39933.99861111111)</f>
        <v>39933.99861</v>
      </c>
      <c r="E1137" s="3">
        <f>IFERROR(__xludf.DUMMYFUNCTION("""COMPUTED_VALUE"""),4.1501)</f>
        <v>4.1501</v>
      </c>
    </row>
    <row r="1138">
      <c r="D1138" s="6">
        <f>IFERROR(__xludf.DUMMYFUNCTION("""COMPUTED_VALUE"""),39934.99861111111)</f>
        <v>39934.99861</v>
      </c>
      <c r="E1138" s="3">
        <f>IFERROR(__xludf.DUMMYFUNCTION("""COMPUTED_VALUE"""),4.1513)</f>
        <v>4.1513</v>
      </c>
    </row>
    <row r="1139">
      <c r="D1139" s="6">
        <f>IFERROR(__xludf.DUMMYFUNCTION("""COMPUTED_VALUE"""),39937.99861111111)</f>
        <v>39937.99861</v>
      </c>
      <c r="E1139" s="3">
        <f>IFERROR(__xludf.DUMMYFUNCTION("""COMPUTED_VALUE"""),4.1388)</f>
        <v>4.1388</v>
      </c>
    </row>
    <row r="1140">
      <c r="D1140" s="6">
        <f>IFERROR(__xludf.DUMMYFUNCTION("""COMPUTED_VALUE"""),39938.99861111111)</f>
        <v>39938.99861</v>
      </c>
      <c r="E1140" s="3">
        <f>IFERROR(__xludf.DUMMYFUNCTION("""COMPUTED_VALUE"""),4.1058)</f>
        <v>4.1058</v>
      </c>
    </row>
    <row r="1141">
      <c r="D1141" s="6">
        <f>IFERROR(__xludf.DUMMYFUNCTION("""COMPUTED_VALUE"""),39939.99861111111)</f>
        <v>39939.99861</v>
      </c>
      <c r="E1141" s="3">
        <f>IFERROR(__xludf.DUMMYFUNCTION("""COMPUTED_VALUE"""),4.1015)</f>
        <v>4.1015</v>
      </c>
    </row>
    <row r="1142">
      <c r="D1142" s="6">
        <f>IFERROR(__xludf.DUMMYFUNCTION("""COMPUTED_VALUE"""),39940.99861111111)</f>
        <v>39940.99861</v>
      </c>
      <c r="E1142" s="3">
        <f>IFERROR(__xludf.DUMMYFUNCTION("""COMPUTED_VALUE"""),4.1231)</f>
        <v>4.1231</v>
      </c>
    </row>
    <row r="1143">
      <c r="D1143" s="6">
        <f>IFERROR(__xludf.DUMMYFUNCTION("""COMPUTED_VALUE"""),39941.99861111111)</f>
        <v>39941.99861</v>
      </c>
      <c r="E1143" s="3">
        <f>IFERROR(__xludf.DUMMYFUNCTION("""COMPUTED_VALUE"""),4.0895)</f>
        <v>4.0895</v>
      </c>
    </row>
    <row r="1144">
      <c r="D1144" s="6">
        <f>IFERROR(__xludf.DUMMYFUNCTION("""COMPUTED_VALUE"""),39944.99861111111)</f>
        <v>39944.99861</v>
      </c>
      <c r="E1144" s="3">
        <f>IFERROR(__xludf.DUMMYFUNCTION("""COMPUTED_VALUE"""),4.1097)</f>
        <v>4.1097</v>
      </c>
    </row>
    <row r="1145">
      <c r="D1145" s="6">
        <f>IFERROR(__xludf.DUMMYFUNCTION("""COMPUTED_VALUE"""),39945.99861111111)</f>
        <v>39945.99861</v>
      </c>
      <c r="E1145" s="3">
        <f>IFERROR(__xludf.DUMMYFUNCTION("""COMPUTED_VALUE"""),4.0997)</f>
        <v>4.0997</v>
      </c>
    </row>
    <row r="1146">
      <c r="D1146" s="6">
        <f>IFERROR(__xludf.DUMMYFUNCTION("""COMPUTED_VALUE"""),39946.99861111111)</f>
        <v>39946.99861</v>
      </c>
      <c r="E1146" s="3">
        <f>IFERROR(__xludf.DUMMYFUNCTION("""COMPUTED_VALUE"""),4.1223)</f>
        <v>4.1223</v>
      </c>
    </row>
    <row r="1147">
      <c r="D1147" s="6">
        <f>IFERROR(__xludf.DUMMYFUNCTION("""COMPUTED_VALUE"""),39947.99861111111)</f>
        <v>39947.99861</v>
      </c>
      <c r="E1147" s="3">
        <f>IFERROR(__xludf.DUMMYFUNCTION("""COMPUTED_VALUE"""),4.1289)</f>
        <v>4.1289</v>
      </c>
    </row>
    <row r="1148">
      <c r="D1148" s="6">
        <f>IFERROR(__xludf.DUMMYFUNCTION("""COMPUTED_VALUE"""),39948.99861111111)</f>
        <v>39948.99861</v>
      </c>
      <c r="E1148" s="3">
        <f>IFERROR(__xludf.DUMMYFUNCTION("""COMPUTED_VALUE"""),4.1407)</f>
        <v>4.1407</v>
      </c>
    </row>
    <row r="1149">
      <c r="D1149" s="6">
        <f>IFERROR(__xludf.DUMMYFUNCTION("""COMPUTED_VALUE"""),39951.99861111111)</f>
        <v>39951.99861</v>
      </c>
      <c r="E1149" s="3">
        <f>IFERROR(__xludf.DUMMYFUNCTION("""COMPUTED_VALUE"""),4.1191)</f>
        <v>4.1191</v>
      </c>
    </row>
    <row r="1150">
      <c r="D1150" s="6">
        <f>IFERROR(__xludf.DUMMYFUNCTION("""COMPUTED_VALUE"""),39952.99861111111)</f>
        <v>39952.99861</v>
      </c>
      <c r="E1150" s="3">
        <f>IFERROR(__xludf.DUMMYFUNCTION("""COMPUTED_VALUE"""),4.1038)</f>
        <v>4.1038</v>
      </c>
    </row>
    <row r="1151">
      <c r="D1151" s="6">
        <f>IFERROR(__xludf.DUMMYFUNCTION("""COMPUTED_VALUE"""),39953.99861111111)</f>
        <v>39953.99861</v>
      </c>
      <c r="E1151" s="3">
        <f>IFERROR(__xludf.DUMMYFUNCTION("""COMPUTED_VALUE"""),4.1075)</f>
        <v>4.1075</v>
      </c>
    </row>
    <row r="1152">
      <c r="D1152" s="6">
        <f>IFERROR(__xludf.DUMMYFUNCTION("""COMPUTED_VALUE"""),39954.99861111111)</f>
        <v>39954.99861</v>
      </c>
      <c r="E1152" s="3">
        <f>IFERROR(__xludf.DUMMYFUNCTION("""COMPUTED_VALUE"""),4.1075)</f>
        <v>4.1075</v>
      </c>
    </row>
    <row r="1153">
      <c r="D1153" s="6">
        <f>IFERROR(__xludf.DUMMYFUNCTION("""COMPUTED_VALUE"""),39955.99861111111)</f>
        <v>39955.99861</v>
      </c>
      <c r="E1153" s="3">
        <f>IFERROR(__xludf.DUMMYFUNCTION("""COMPUTED_VALUE"""),4.123)</f>
        <v>4.123</v>
      </c>
    </row>
    <row r="1154">
      <c r="D1154" s="6">
        <f>IFERROR(__xludf.DUMMYFUNCTION("""COMPUTED_VALUE"""),39958.99861111111)</f>
        <v>39958.99861</v>
      </c>
      <c r="E1154" s="3">
        <f>IFERROR(__xludf.DUMMYFUNCTION("""COMPUTED_VALUE"""),4.1175)</f>
        <v>4.1175</v>
      </c>
    </row>
    <row r="1155">
      <c r="D1155" s="6">
        <f>IFERROR(__xludf.DUMMYFUNCTION("""COMPUTED_VALUE"""),39959.99861111111)</f>
        <v>39959.99861</v>
      </c>
      <c r="E1155" s="3">
        <f>IFERROR(__xludf.DUMMYFUNCTION("""COMPUTED_VALUE"""),4.1242)</f>
        <v>4.1242</v>
      </c>
    </row>
    <row r="1156">
      <c r="D1156" s="6">
        <f>IFERROR(__xludf.DUMMYFUNCTION("""COMPUTED_VALUE"""),39960.99861111111)</f>
        <v>39960.99861</v>
      </c>
      <c r="E1156" s="3">
        <f>IFERROR(__xludf.DUMMYFUNCTION("""COMPUTED_VALUE"""),4.1291)</f>
        <v>4.1291</v>
      </c>
    </row>
    <row r="1157">
      <c r="D1157" s="6">
        <f>IFERROR(__xludf.DUMMYFUNCTION("""COMPUTED_VALUE"""),39961.99861111111)</f>
        <v>39961.99861</v>
      </c>
      <c r="E1157" s="3">
        <f>IFERROR(__xludf.DUMMYFUNCTION("""COMPUTED_VALUE"""),4.1477)</f>
        <v>4.1477</v>
      </c>
    </row>
    <row r="1158">
      <c r="D1158" s="6">
        <f>IFERROR(__xludf.DUMMYFUNCTION("""COMPUTED_VALUE"""),39962.99861111111)</f>
        <v>39962.99861</v>
      </c>
      <c r="E1158" s="3">
        <f>IFERROR(__xludf.DUMMYFUNCTION("""COMPUTED_VALUE"""),4.1384)</f>
        <v>4.1384</v>
      </c>
    </row>
    <row r="1159">
      <c r="D1159" s="6">
        <f>IFERROR(__xludf.DUMMYFUNCTION("""COMPUTED_VALUE"""),39964.99861111111)</f>
        <v>39964.99861</v>
      </c>
      <c r="E1159" s="3">
        <f>IFERROR(__xludf.DUMMYFUNCTION("""COMPUTED_VALUE"""),4.1384)</f>
        <v>4.1384</v>
      </c>
    </row>
    <row r="1160">
      <c r="D1160" s="6">
        <f>IFERROR(__xludf.DUMMYFUNCTION("""COMPUTED_VALUE"""),39966.99861111111)</f>
        <v>39966.99861</v>
      </c>
      <c r="E1160" s="3">
        <f>IFERROR(__xludf.DUMMYFUNCTION("""COMPUTED_VALUE"""),4.142)</f>
        <v>4.142</v>
      </c>
    </row>
    <row r="1161">
      <c r="D1161" s="6">
        <f>IFERROR(__xludf.DUMMYFUNCTION("""COMPUTED_VALUE"""),39967.99861111111)</f>
        <v>39967.99861</v>
      </c>
      <c r="E1161" s="3">
        <f>IFERROR(__xludf.DUMMYFUNCTION("""COMPUTED_VALUE"""),4.162)</f>
        <v>4.162</v>
      </c>
    </row>
    <row r="1162">
      <c r="D1162" s="6">
        <f>IFERROR(__xludf.DUMMYFUNCTION("""COMPUTED_VALUE"""),39968.99861111111)</f>
        <v>39968.99861</v>
      </c>
      <c r="E1162" s="3">
        <f>IFERROR(__xludf.DUMMYFUNCTION("""COMPUTED_VALUE"""),4.1628)</f>
        <v>4.1628</v>
      </c>
    </row>
    <row r="1163">
      <c r="D1163" s="6">
        <f>IFERROR(__xludf.DUMMYFUNCTION("""COMPUTED_VALUE"""),39969.99861111111)</f>
        <v>39969.99861</v>
      </c>
      <c r="E1163" s="3">
        <f>IFERROR(__xludf.DUMMYFUNCTION("""COMPUTED_VALUE"""),4.1705)</f>
        <v>4.1705</v>
      </c>
    </row>
    <row r="1164">
      <c r="D1164" s="6">
        <f>IFERROR(__xludf.DUMMYFUNCTION("""COMPUTED_VALUE"""),39972.99861111111)</f>
        <v>39972.99861</v>
      </c>
      <c r="E1164" s="3">
        <f>IFERROR(__xludf.DUMMYFUNCTION("""COMPUTED_VALUE"""),4.165)</f>
        <v>4.165</v>
      </c>
    </row>
    <row r="1165">
      <c r="D1165" s="6">
        <f>IFERROR(__xludf.DUMMYFUNCTION("""COMPUTED_VALUE"""),39973.99861111111)</f>
        <v>39973.99861</v>
      </c>
      <c r="E1165" s="3">
        <f>IFERROR(__xludf.DUMMYFUNCTION("""COMPUTED_VALUE"""),4.1496)</f>
        <v>4.1496</v>
      </c>
    </row>
    <row r="1166">
      <c r="D1166" s="6">
        <f>IFERROR(__xludf.DUMMYFUNCTION("""COMPUTED_VALUE"""),39974.99861111111)</f>
        <v>39974.99861</v>
      </c>
      <c r="E1166" s="3">
        <f>IFERROR(__xludf.DUMMYFUNCTION("""COMPUTED_VALUE"""),4.1446)</f>
        <v>4.1446</v>
      </c>
    </row>
    <row r="1167">
      <c r="D1167" s="6">
        <f>IFERROR(__xludf.DUMMYFUNCTION("""COMPUTED_VALUE"""),39975.99861111111)</f>
        <v>39975.99861</v>
      </c>
      <c r="E1167" s="3">
        <f>IFERROR(__xludf.DUMMYFUNCTION("""COMPUTED_VALUE"""),4.1429)</f>
        <v>4.1429</v>
      </c>
    </row>
    <row r="1168">
      <c r="D1168" s="6">
        <f>IFERROR(__xludf.DUMMYFUNCTION("""COMPUTED_VALUE"""),39976.99861111111)</f>
        <v>39976.99861</v>
      </c>
      <c r="E1168" s="3">
        <f>IFERROR(__xludf.DUMMYFUNCTION("""COMPUTED_VALUE"""),4.148)</f>
        <v>4.148</v>
      </c>
    </row>
    <row r="1169">
      <c r="D1169" s="6">
        <f>IFERROR(__xludf.DUMMYFUNCTION("""COMPUTED_VALUE"""),39979.99861111111)</f>
        <v>39979.99861</v>
      </c>
      <c r="E1169" s="3">
        <f>IFERROR(__xludf.DUMMYFUNCTION("""COMPUTED_VALUE"""),4.1762)</f>
        <v>4.1762</v>
      </c>
    </row>
    <row r="1170">
      <c r="D1170" s="6">
        <f>IFERROR(__xludf.DUMMYFUNCTION("""COMPUTED_VALUE"""),39980.99861111111)</f>
        <v>39980.99861</v>
      </c>
      <c r="E1170" s="3">
        <f>IFERROR(__xludf.DUMMYFUNCTION("""COMPUTED_VALUE"""),4.1841)</f>
        <v>4.1841</v>
      </c>
    </row>
    <row r="1171">
      <c r="D1171" s="6">
        <f>IFERROR(__xludf.DUMMYFUNCTION("""COMPUTED_VALUE"""),39981.99861111111)</f>
        <v>39981.99861</v>
      </c>
      <c r="E1171" s="3">
        <f>IFERROR(__xludf.DUMMYFUNCTION("""COMPUTED_VALUE"""),4.1795)</f>
        <v>4.1795</v>
      </c>
    </row>
    <row r="1172">
      <c r="D1172" s="6">
        <f>IFERROR(__xludf.DUMMYFUNCTION("""COMPUTED_VALUE"""),39982.99861111111)</f>
        <v>39982.99861</v>
      </c>
      <c r="E1172" s="3">
        <f>IFERROR(__xludf.DUMMYFUNCTION("""COMPUTED_VALUE"""),4.1758)</f>
        <v>4.1758</v>
      </c>
    </row>
    <row r="1173">
      <c r="D1173" s="6">
        <f>IFERROR(__xludf.DUMMYFUNCTION("""COMPUTED_VALUE"""),39983.99861111111)</f>
        <v>39983.99861</v>
      </c>
      <c r="E1173" s="3">
        <f>IFERROR(__xludf.DUMMYFUNCTION("""COMPUTED_VALUE"""),4.1628)</f>
        <v>4.1628</v>
      </c>
    </row>
    <row r="1174">
      <c r="D1174" s="6">
        <f>IFERROR(__xludf.DUMMYFUNCTION("""COMPUTED_VALUE"""),39986.99861111111)</f>
        <v>39986.99861</v>
      </c>
      <c r="E1174" s="3">
        <f>IFERROR(__xludf.DUMMYFUNCTION("""COMPUTED_VALUE"""),4.1803)</f>
        <v>4.1803</v>
      </c>
    </row>
    <row r="1175">
      <c r="D1175" s="6">
        <f>IFERROR(__xludf.DUMMYFUNCTION("""COMPUTED_VALUE"""),39987.99861111111)</f>
        <v>39987.99861</v>
      </c>
      <c r="E1175" s="3">
        <f>IFERROR(__xludf.DUMMYFUNCTION("""COMPUTED_VALUE"""),4.1839)</f>
        <v>4.1839</v>
      </c>
    </row>
    <row r="1176">
      <c r="D1176" s="6">
        <f>IFERROR(__xludf.DUMMYFUNCTION("""COMPUTED_VALUE"""),39988.99861111111)</f>
        <v>39988.99861</v>
      </c>
      <c r="E1176" s="3">
        <f>IFERROR(__xludf.DUMMYFUNCTION("""COMPUTED_VALUE"""),4.1752)</f>
        <v>4.1752</v>
      </c>
    </row>
    <row r="1177">
      <c r="D1177" s="6">
        <f>IFERROR(__xludf.DUMMYFUNCTION("""COMPUTED_VALUE"""),39989.99861111111)</f>
        <v>39989.99861</v>
      </c>
      <c r="E1177" s="3">
        <f>IFERROR(__xludf.DUMMYFUNCTION("""COMPUTED_VALUE"""),4.1738)</f>
        <v>4.1738</v>
      </c>
    </row>
    <row r="1178">
      <c r="D1178" s="6">
        <f>IFERROR(__xludf.DUMMYFUNCTION("""COMPUTED_VALUE"""),39990.99861111111)</f>
        <v>39990.99861</v>
      </c>
      <c r="E1178" s="3">
        <f>IFERROR(__xludf.DUMMYFUNCTION("""COMPUTED_VALUE"""),4.167)</f>
        <v>4.167</v>
      </c>
    </row>
    <row r="1179">
      <c r="D1179" s="6">
        <f>IFERROR(__xludf.DUMMYFUNCTION("""COMPUTED_VALUE"""),39993.99861111111)</f>
        <v>39993.99861</v>
      </c>
      <c r="E1179" s="3">
        <f>IFERROR(__xludf.DUMMYFUNCTION("""COMPUTED_VALUE"""),4.1611)</f>
        <v>4.1611</v>
      </c>
    </row>
    <row r="1180">
      <c r="D1180" s="6">
        <f>IFERROR(__xludf.DUMMYFUNCTION("""COMPUTED_VALUE"""),39994.99861111111)</f>
        <v>39994.99861</v>
      </c>
      <c r="E1180" s="3">
        <f>IFERROR(__xludf.DUMMYFUNCTION("""COMPUTED_VALUE"""),4.161)</f>
        <v>4.161</v>
      </c>
    </row>
    <row r="1181">
      <c r="D1181" s="6">
        <f>IFERROR(__xludf.DUMMYFUNCTION("""COMPUTED_VALUE"""),39995.99861111111)</f>
        <v>39995.99861</v>
      </c>
      <c r="E1181" s="3">
        <f>IFERROR(__xludf.DUMMYFUNCTION("""COMPUTED_VALUE"""),4.1427)</f>
        <v>4.1427</v>
      </c>
    </row>
    <row r="1182">
      <c r="D1182" s="6">
        <f>IFERROR(__xludf.DUMMYFUNCTION("""COMPUTED_VALUE"""),39996.99861111111)</f>
        <v>39996.99861</v>
      </c>
      <c r="E1182" s="3">
        <f>IFERROR(__xludf.DUMMYFUNCTION("""COMPUTED_VALUE"""),4.1595)</f>
        <v>4.1595</v>
      </c>
    </row>
    <row r="1183">
      <c r="D1183" s="6">
        <f>IFERROR(__xludf.DUMMYFUNCTION("""COMPUTED_VALUE"""),39997.99861111111)</f>
        <v>39997.99861</v>
      </c>
      <c r="E1183" s="3">
        <f>IFERROR(__xludf.DUMMYFUNCTION("""COMPUTED_VALUE"""),4.1524)</f>
        <v>4.1524</v>
      </c>
    </row>
    <row r="1184">
      <c r="D1184" s="6">
        <f>IFERROR(__xludf.DUMMYFUNCTION("""COMPUTED_VALUE"""),39999.99861111111)</f>
        <v>39999.99861</v>
      </c>
      <c r="E1184" s="3">
        <f>IFERROR(__xludf.DUMMYFUNCTION("""COMPUTED_VALUE"""),4.1524)</f>
        <v>4.1524</v>
      </c>
    </row>
    <row r="1185">
      <c r="D1185" s="6">
        <f>IFERROR(__xludf.DUMMYFUNCTION("""COMPUTED_VALUE"""),40000.99861111111)</f>
        <v>40000.99861</v>
      </c>
      <c r="E1185" s="3">
        <f>IFERROR(__xludf.DUMMYFUNCTION("""COMPUTED_VALUE"""),4.1564)</f>
        <v>4.1564</v>
      </c>
    </row>
    <row r="1186">
      <c r="D1186" s="6">
        <f>IFERROR(__xludf.DUMMYFUNCTION("""COMPUTED_VALUE"""),40001.99861111111)</f>
        <v>40001.99861</v>
      </c>
      <c r="E1186" s="3">
        <f>IFERROR(__xludf.DUMMYFUNCTION("""COMPUTED_VALUE"""),4.1613)</f>
        <v>4.1613</v>
      </c>
    </row>
    <row r="1187">
      <c r="D1187" s="6">
        <f>IFERROR(__xludf.DUMMYFUNCTION("""COMPUTED_VALUE"""),40002.99861111111)</f>
        <v>40002.99861</v>
      </c>
      <c r="E1187" s="3">
        <f>IFERROR(__xludf.DUMMYFUNCTION("""COMPUTED_VALUE"""),4.167)</f>
        <v>4.167</v>
      </c>
    </row>
    <row r="1188">
      <c r="D1188" s="6">
        <f>IFERROR(__xludf.DUMMYFUNCTION("""COMPUTED_VALUE"""),40003.99861111111)</f>
        <v>40003.99861</v>
      </c>
      <c r="E1188" s="3">
        <f>IFERROR(__xludf.DUMMYFUNCTION("""COMPUTED_VALUE"""),4.1653)</f>
        <v>4.1653</v>
      </c>
    </row>
    <row r="1189">
      <c r="D1189" s="6">
        <f>IFERROR(__xludf.DUMMYFUNCTION("""COMPUTED_VALUE"""),40004.99861111111)</f>
        <v>40004.99861</v>
      </c>
      <c r="E1189" s="3">
        <f>IFERROR(__xludf.DUMMYFUNCTION("""COMPUTED_VALUE"""),4.1664)</f>
        <v>4.1664</v>
      </c>
    </row>
    <row r="1190">
      <c r="D1190" s="6">
        <f>IFERROR(__xludf.DUMMYFUNCTION("""COMPUTED_VALUE"""),40007.99861111111)</f>
        <v>40007.99861</v>
      </c>
      <c r="E1190" s="3">
        <f>IFERROR(__xludf.DUMMYFUNCTION("""COMPUTED_VALUE"""),4.1738)</f>
        <v>4.1738</v>
      </c>
    </row>
    <row r="1191">
      <c r="D1191" s="6">
        <f>IFERROR(__xludf.DUMMYFUNCTION("""COMPUTED_VALUE"""),40008.99861111111)</f>
        <v>40008.99861</v>
      </c>
      <c r="E1191" s="3">
        <f>IFERROR(__xludf.DUMMYFUNCTION("""COMPUTED_VALUE"""),4.1685)</f>
        <v>4.1685</v>
      </c>
    </row>
    <row r="1192">
      <c r="D1192" s="6">
        <f>IFERROR(__xludf.DUMMYFUNCTION("""COMPUTED_VALUE"""),40009.99861111111)</f>
        <v>40009.99861</v>
      </c>
      <c r="E1192" s="3">
        <f>IFERROR(__xludf.DUMMYFUNCTION("""COMPUTED_VALUE"""),4.1683)</f>
        <v>4.1683</v>
      </c>
    </row>
    <row r="1193">
      <c r="D1193" s="6">
        <f>IFERROR(__xludf.DUMMYFUNCTION("""COMPUTED_VALUE"""),40010.99861111111)</f>
        <v>40010.99861</v>
      </c>
      <c r="E1193" s="3">
        <f>IFERROR(__xludf.DUMMYFUNCTION("""COMPUTED_VALUE"""),4.1873)</f>
        <v>4.1873</v>
      </c>
    </row>
    <row r="1194">
      <c r="D1194" s="6">
        <f>IFERROR(__xludf.DUMMYFUNCTION("""COMPUTED_VALUE"""),40011.99861111111)</f>
        <v>40011.99861</v>
      </c>
      <c r="E1194" s="3">
        <f>IFERROR(__xludf.DUMMYFUNCTION("""COMPUTED_VALUE"""),4.1923)</f>
        <v>4.1923</v>
      </c>
    </row>
    <row r="1195">
      <c r="D1195" s="6">
        <f>IFERROR(__xludf.DUMMYFUNCTION("""COMPUTED_VALUE"""),40014.99861111111)</f>
        <v>40014.99861</v>
      </c>
      <c r="E1195" s="3">
        <f>IFERROR(__xludf.DUMMYFUNCTION("""COMPUTED_VALUE"""),4.1888)</f>
        <v>4.1888</v>
      </c>
    </row>
    <row r="1196">
      <c r="D1196" s="6">
        <f>IFERROR(__xludf.DUMMYFUNCTION("""COMPUTED_VALUE"""),40015.99861111111)</f>
        <v>40015.99861</v>
      </c>
      <c r="E1196" s="3">
        <f>IFERROR(__xludf.DUMMYFUNCTION("""COMPUTED_VALUE"""),4.1854)</f>
        <v>4.1854</v>
      </c>
    </row>
    <row r="1197">
      <c r="D1197" s="6">
        <f>IFERROR(__xludf.DUMMYFUNCTION("""COMPUTED_VALUE"""),40016.99861111111)</f>
        <v>40016.99861</v>
      </c>
      <c r="E1197" s="3">
        <f>IFERROR(__xludf.DUMMYFUNCTION("""COMPUTED_VALUE"""),4.1871)</f>
        <v>4.1871</v>
      </c>
    </row>
    <row r="1198">
      <c r="D1198" s="6">
        <f>IFERROR(__xludf.DUMMYFUNCTION("""COMPUTED_VALUE"""),40017.99861111111)</f>
        <v>40017.99861</v>
      </c>
      <c r="E1198" s="3">
        <f>IFERROR(__xludf.DUMMYFUNCTION("""COMPUTED_VALUE"""),4.185)</f>
        <v>4.185</v>
      </c>
    </row>
    <row r="1199">
      <c r="D1199" s="6">
        <f>IFERROR(__xludf.DUMMYFUNCTION("""COMPUTED_VALUE"""),40018.99861111111)</f>
        <v>40018.99861</v>
      </c>
      <c r="E1199" s="3">
        <f>IFERROR(__xludf.DUMMYFUNCTION("""COMPUTED_VALUE"""),4.162)</f>
        <v>4.162</v>
      </c>
    </row>
    <row r="1200">
      <c r="D1200" s="6">
        <f>IFERROR(__xludf.DUMMYFUNCTION("""COMPUTED_VALUE"""),40021.99861111111)</f>
        <v>40021.99861</v>
      </c>
      <c r="E1200" s="3">
        <f>IFERROR(__xludf.DUMMYFUNCTION("""COMPUTED_VALUE"""),4.1612)</f>
        <v>4.1612</v>
      </c>
    </row>
    <row r="1201">
      <c r="D1201" s="6">
        <f>IFERROR(__xludf.DUMMYFUNCTION("""COMPUTED_VALUE"""),40022.99861111111)</f>
        <v>40022.99861</v>
      </c>
      <c r="E1201" s="3">
        <f>IFERROR(__xludf.DUMMYFUNCTION("""COMPUTED_VALUE"""),4.1612)</f>
        <v>4.1612</v>
      </c>
    </row>
    <row r="1202">
      <c r="D1202" s="6">
        <f>IFERROR(__xludf.DUMMYFUNCTION("""COMPUTED_VALUE"""),40023.99861111111)</f>
        <v>40023.99861</v>
      </c>
      <c r="E1202" s="3">
        <f>IFERROR(__xludf.DUMMYFUNCTION("""COMPUTED_VALUE"""),4.1673)</f>
        <v>4.1673</v>
      </c>
    </row>
    <row r="1203">
      <c r="D1203" s="6">
        <f>IFERROR(__xludf.DUMMYFUNCTION("""COMPUTED_VALUE"""),40024.99861111111)</f>
        <v>40024.99861</v>
      </c>
      <c r="E1203" s="3">
        <f>IFERROR(__xludf.DUMMYFUNCTION("""COMPUTED_VALUE"""),4.155)</f>
        <v>4.155</v>
      </c>
    </row>
    <row r="1204">
      <c r="D1204" s="6">
        <f>IFERROR(__xludf.DUMMYFUNCTION("""COMPUTED_VALUE"""),40025.99861111111)</f>
        <v>40025.99861</v>
      </c>
      <c r="E1204" s="3">
        <f>IFERROR(__xludf.DUMMYFUNCTION("""COMPUTED_VALUE"""),4.161)</f>
        <v>4.161</v>
      </c>
    </row>
    <row r="1205">
      <c r="D1205" s="6">
        <f>IFERROR(__xludf.DUMMYFUNCTION("""COMPUTED_VALUE"""),40028.99861111111)</f>
        <v>40028.99861</v>
      </c>
      <c r="E1205" s="3">
        <f>IFERROR(__xludf.DUMMYFUNCTION("""COMPUTED_VALUE"""),4.152)</f>
        <v>4.152</v>
      </c>
    </row>
    <row r="1206">
      <c r="D1206" s="6">
        <f>IFERROR(__xludf.DUMMYFUNCTION("""COMPUTED_VALUE"""),40029.99861111111)</f>
        <v>40029.99861</v>
      </c>
      <c r="E1206" s="3">
        <f>IFERROR(__xludf.DUMMYFUNCTION("""COMPUTED_VALUE"""),4.1526)</f>
        <v>4.1526</v>
      </c>
    </row>
    <row r="1207">
      <c r="D1207" s="6">
        <f>IFERROR(__xludf.DUMMYFUNCTION("""COMPUTED_VALUE"""),40030.99861111111)</f>
        <v>40030.99861</v>
      </c>
      <c r="E1207" s="3">
        <f>IFERROR(__xludf.DUMMYFUNCTION("""COMPUTED_VALUE"""),4.1529)</f>
        <v>4.1529</v>
      </c>
    </row>
    <row r="1208">
      <c r="D1208" s="6">
        <f>IFERROR(__xludf.DUMMYFUNCTION("""COMPUTED_VALUE"""),40031.99861111111)</f>
        <v>40031.99861</v>
      </c>
      <c r="E1208" s="3">
        <f>IFERROR(__xludf.DUMMYFUNCTION("""COMPUTED_VALUE"""),4.1608)</f>
        <v>4.1608</v>
      </c>
    </row>
    <row r="1209">
      <c r="D1209" s="6">
        <f>IFERROR(__xludf.DUMMYFUNCTION("""COMPUTED_VALUE"""),40032.99861111111)</f>
        <v>40032.99861</v>
      </c>
      <c r="E1209" s="3">
        <f>IFERROR(__xludf.DUMMYFUNCTION("""COMPUTED_VALUE"""),4.1625)</f>
        <v>4.1625</v>
      </c>
    </row>
    <row r="1210">
      <c r="D1210" s="6">
        <f>IFERROR(__xludf.DUMMYFUNCTION("""COMPUTED_VALUE"""),40035.99861111111)</f>
        <v>40035.99861</v>
      </c>
      <c r="E1210" s="3">
        <f>IFERROR(__xludf.DUMMYFUNCTION("""COMPUTED_VALUE"""),4.159)</f>
        <v>4.159</v>
      </c>
    </row>
    <row r="1211">
      <c r="D1211" s="6">
        <f>IFERROR(__xludf.DUMMYFUNCTION("""COMPUTED_VALUE"""),40036.99861111111)</f>
        <v>40036.99861</v>
      </c>
      <c r="E1211" s="3">
        <f>IFERROR(__xludf.DUMMYFUNCTION("""COMPUTED_VALUE"""),4.1688)</f>
        <v>4.1688</v>
      </c>
    </row>
    <row r="1212">
      <c r="D1212" s="6">
        <f>IFERROR(__xludf.DUMMYFUNCTION("""COMPUTED_VALUE"""),40037.99861111111)</f>
        <v>40037.99861</v>
      </c>
      <c r="E1212" s="3">
        <f>IFERROR(__xludf.DUMMYFUNCTION("""COMPUTED_VALUE"""),4.1697)</f>
        <v>4.1697</v>
      </c>
    </row>
    <row r="1213">
      <c r="D1213" s="6">
        <f>IFERROR(__xludf.DUMMYFUNCTION("""COMPUTED_VALUE"""),40038.99861111111)</f>
        <v>40038.99861</v>
      </c>
      <c r="E1213" s="3">
        <f>IFERROR(__xludf.DUMMYFUNCTION("""COMPUTED_VALUE"""),4.1627)</f>
        <v>4.1627</v>
      </c>
    </row>
    <row r="1214">
      <c r="D1214" s="6">
        <f>IFERROR(__xludf.DUMMYFUNCTION("""COMPUTED_VALUE"""),40039.99861111111)</f>
        <v>40039.99861</v>
      </c>
      <c r="E1214" s="3">
        <f>IFERROR(__xludf.DUMMYFUNCTION("""COMPUTED_VALUE"""),4.1679)</f>
        <v>4.1679</v>
      </c>
    </row>
    <row r="1215">
      <c r="D1215" s="6">
        <f>IFERROR(__xludf.DUMMYFUNCTION("""COMPUTED_VALUE"""),40042.99861111111)</f>
        <v>40042.99861</v>
      </c>
      <c r="E1215" s="3">
        <f>IFERROR(__xludf.DUMMYFUNCTION("""COMPUTED_VALUE"""),4.1714)</f>
        <v>4.1714</v>
      </c>
    </row>
    <row r="1216">
      <c r="D1216" s="6">
        <f>IFERROR(__xludf.DUMMYFUNCTION("""COMPUTED_VALUE"""),40043.99861111111)</f>
        <v>40043.99861</v>
      </c>
      <c r="E1216" s="3">
        <f>IFERROR(__xludf.DUMMYFUNCTION("""COMPUTED_VALUE"""),4.1681)</f>
        <v>4.1681</v>
      </c>
    </row>
    <row r="1217">
      <c r="D1217" s="6">
        <f>IFERROR(__xludf.DUMMYFUNCTION("""COMPUTED_VALUE"""),40044.99861111111)</f>
        <v>40044.99861</v>
      </c>
      <c r="E1217" s="3">
        <f>IFERROR(__xludf.DUMMYFUNCTION("""COMPUTED_VALUE"""),4.1841)</f>
        <v>4.1841</v>
      </c>
    </row>
    <row r="1218">
      <c r="D1218" s="6">
        <f>IFERROR(__xludf.DUMMYFUNCTION("""COMPUTED_VALUE"""),40045.99861111111)</f>
        <v>40045.99861</v>
      </c>
      <c r="E1218" s="3">
        <f>IFERROR(__xludf.DUMMYFUNCTION("""COMPUTED_VALUE"""),4.1853)</f>
        <v>4.1853</v>
      </c>
    </row>
    <row r="1219">
      <c r="D1219" s="6">
        <f>IFERROR(__xludf.DUMMYFUNCTION("""COMPUTED_VALUE"""),40046.99861111111)</f>
        <v>40046.99861</v>
      </c>
      <c r="E1219" s="3">
        <f>IFERROR(__xludf.DUMMYFUNCTION("""COMPUTED_VALUE"""),4.172)</f>
        <v>4.172</v>
      </c>
    </row>
    <row r="1220">
      <c r="D1220" s="6">
        <f>IFERROR(__xludf.DUMMYFUNCTION("""COMPUTED_VALUE"""),40048.99861111111)</f>
        <v>40048.99861</v>
      </c>
      <c r="E1220" s="3">
        <f>IFERROR(__xludf.DUMMYFUNCTION("""COMPUTED_VALUE"""),4.1893)</f>
        <v>4.1893</v>
      </c>
    </row>
    <row r="1221">
      <c r="D1221" s="6">
        <f>IFERROR(__xludf.DUMMYFUNCTION("""COMPUTED_VALUE"""),40049.99861111111)</f>
        <v>40049.99861</v>
      </c>
      <c r="E1221" s="3">
        <f>IFERROR(__xludf.DUMMYFUNCTION("""COMPUTED_VALUE"""),4.184)</f>
        <v>4.184</v>
      </c>
    </row>
    <row r="1222">
      <c r="D1222" s="6">
        <f>IFERROR(__xludf.DUMMYFUNCTION("""COMPUTED_VALUE"""),40050.99861111111)</f>
        <v>40050.99861</v>
      </c>
      <c r="E1222" s="3">
        <f>IFERROR(__xludf.DUMMYFUNCTION("""COMPUTED_VALUE"""),4.1646)</f>
        <v>4.1646</v>
      </c>
    </row>
    <row r="1223">
      <c r="D1223" s="6">
        <f>IFERROR(__xludf.DUMMYFUNCTION("""COMPUTED_VALUE"""),40051.99861111111)</f>
        <v>40051.99861</v>
      </c>
      <c r="E1223" s="3">
        <f>IFERROR(__xludf.DUMMYFUNCTION("""COMPUTED_VALUE"""),4.1834)</f>
        <v>4.1834</v>
      </c>
    </row>
    <row r="1224">
      <c r="D1224" s="6">
        <f>IFERROR(__xludf.DUMMYFUNCTION("""COMPUTED_VALUE"""),40052.99861111111)</f>
        <v>40052.99861</v>
      </c>
      <c r="E1224" s="3">
        <f>IFERROR(__xludf.DUMMYFUNCTION("""COMPUTED_VALUE"""),4.1724)</f>
        <v>4.1724</v>
      </c>
    </row>
    <row r="1225">
      <c r="D1225" s="6">
        <f>IFERROR(__xludf.DUMMYFUNCTION("""COMPUTED_VALUE"""),40053.99861111111)</f>
        <v>40053.99861</v>
      </c>
      <c r="E1225" s="3">
        <f>IFERROR(__xludf.DUMMYFUNCTION("""COMPUTED_VALUE"""),4.1191)</f>
        <v>4.1191</v>
      </c>
    </row>
    <row r="1226">
      <c r="D1226" s="6">
        <f>IFERROR(__xludf.DUMMYFUNCTION("""COMPUTED_VALUE"""),40055.99861111111)</f>
        <v>40055.99861</v>
      </c>
      <c r="E1226" s="3">
        <f>IFERROR(__xludf.DUMMYFUNCTION("""COMPUTED_VALUE"""),4.1191)</f>
        <v>4.1191</v>
      </c>
    </row>
    <row r="1227">
      <c r="D1227" s="6">
        <f>IFERROR(__xludf.DUMMYFUNCTION("""COMPUTED_VALUE"""),40056.99861111111)</f>
        <v>40056.99861</v>
      </c>
      <c r="E1227" s="3">
        <f>IFERROR(__xludf.DUMMYFUNCTION("""COMPUTED_VALUE"""),4.1743)</f>
        <v>4.1743</v>
      </c>
    </row>
    <row r="1228">
      <c r="D1228" s="6">
        <f>IFERROR(__xludf.DUMMYFUNCTION("""COMPUTED_VALUE"""),40057.99861111111)</f>
        <v>40057.99861</v>
      </c>
      <c r="E1228" s="3">
        <f>IFERROR(__xludf.DUMMYFUNCTION("""COMPUTED_VALUE"""),4.174)</f>
        <v>4.174</v>
      </c>
    </row>
    <row r="1229">
      <c r="D1229" s="6">
        <f>IFERROR(__xludf.DUMMYFUNCTION("""COMPUTED_VALUE"""),40058.99861111111)</f>
        <v>40058.99861</v>
      </c>
      <c r="E1229" s="3">
        <f>IFERROR(__xludf.DUMMYFUNCTION("""COMPUTED_VALUE"""),4.195)</f>
        <v>4.195</v>
      </c>
    </row>
    <row r="1230">
      <c r="D1230" s="6">
        <f>IFERROR(__xludf.DUMMYFUNCTION("""COMPUTED_VALUE"""),40059.99861111111)</f>
        <v>40059.99861</v>
      </c>
      <c r="E1230" s="3">
        <f>IFERROR(__xludf.DUMMYFUNCTION("""COMPUTED_VALUE"""),4.1946)</f>
        <v>4.1946</v>
      </c>
    </row>
    <row r="1231">
      <c r="D1231" s="6">
        <f>IFERROR(__xludf.DUMMYFUNCTION("""COMPUTED_VALUE"""),40060.99861111111)</f>
        <v>40060.99861</v>
      </c>
      <c r="E1231" s="3">
        <f>IFERROR(__xludf.DUMMYFUNCTION("""COMPUTED_VALUE"""),4.1969)</f>
        <v>4.1969</v>
      </c>
    </row>
    <row r="1232">
      <c r="D1232" s="6">
        <f>IFERROR(__xludf.DUMMYFUNCTION("""COMPUTED_VALUE"""),40063.99861111111)</f>
        <v>40063.99861</v>
      </c>
      <c r="E1232" s="3">
        <f>IFERROR(__xludf.DUMMYFUNCTION("""COMPUTED_VALUE"""),4.1973)</f>
        <v>4.1973</v>
      </c>
    </row>
    <row r="1233">
      <c r="D1233" s="6">
        <f>IFERROR(__xludf.DUMMYFUNCTION("""COMPUTED_VALUE"""),40064.99861111111)</f>
        <v>40064.99861</v>
      </c>
      <c r="E1233" s="3">
        <f>IFERROR(__xludf.DUMMYFUNCTION("""COMPUTED_VALUE"""),4.1925)</f>
        <v>4.1925</v>
      </c>
    </row>
    <row r="1234">
      <c r="D1234" s="6">
        <f>IFERROR(__xludf.DUMMYFUNCTION("""COMPUTED_VALUE"""),40065.99861111111)</f>
        <v>40065.99861</v>
      </c>
      <c r="E1234" s="3">
        <f>IFERROR(__xludf.DUMMYFUNCTION("""COMPUTED_VALUE"""),4.1989)</f>
        <v>4.1989</v>
      </c>
    </row>
    <row r="1235">
      <c r="D1235" s="6">
        <f>IFERROR(__xludf.DUMMYFUNCTION("""COMPUTED_VALUE"""),40066.99861111111)</f>
        <v>40066.99861</v>
      </c>
      <c r="E1235" s="3">
        <f>IFERROR(__xludf.DUMMYFUNCTION("""COMPUTED_VALUE"""),4.2045)</f>
        <v>4.2045</v>
      </c>
    </row>
    <row r="1236">
      <c r="D1236" s="6">
        <f>IFERROR(__xludf.DUMMYFUNCTION("""COMPUTED_VALUE"""),40067.99861111111)</f>
        <v>40067.99861</v>
      </c>
      <c r="E1236" s="3">
        <f>IFERROR(__xludf.DUMMYFUNCTION("""COMPUTED_VALUE"""),4.2336)</f>
        <v>4.2336</v>
      </c>
    </row>
    <row r="1237">
      <c r="D1237" s="6">
        <f>IFERROR(__xludf.DUMMYFUNCTION("""COMPUTED_VALUE"""),40070.99861111111)</f>
        <v>40070.99861</v>
      </c>
      <c r="E1237" s="3">
        <f>IFERROR(__xludf.DUMMYFUNCTION("""COMPUTED_VALUE"""),4.2227)</f>
        <v>4.2227</v>
      </c>
    </row>
    <row r="1238">
      <c r="D1238" s="6">
        <f>IFERROR(__xludf.DUMMYFUNCTION("""COMPUTED_VALUE"""),40071.99861111111)</f>
        <v>40071.99861</v>
      </c>
      <c r="E1238" s="3">
        <f>IFERROR(__xludf.DUMMYFUNCTION("""COMPUTED_VALUE"""),4.1668)</f>
        <v>4.1668</v>
      </c>
    </row>
    <row r="1239">
      <c r="D1239" s="6">
        <f>IFERROR(__xludf.DUMMYFUNCTION("""COMPUTED_VALUE"""),40072.99861111111)</f>
        <v>40072.99861</v>
      </c>
      <c r="E1239" s="3">
        <f>IFERROR(__xludf.DUMMYFUNCTION("""COMPUTED_VALUE"""),4.2109)</f>
        <v>4.2109</v>
      </c>
    </row>
    <row r="1240">
      <c r="D1240" s="6">
        <f>IFERROR(__xludf.DUMMYFUNCTION("""COMPUTED_VALUE"""),40073.99861111111)</f>
        <v>40073.99861</v>
      </c>
      <c r="E1240" s="3">
        <f>IFERROR(__xludf.DUMMYFUNCTION("""COMPUTED_VALUE"""),4.1589)</f>
        <v>4.1589</v>
      </c>
    </row>
    <row r="1241">
      <c r="D1241" s="6">
        <f>IFERROR(__xludf.DUMMYFUNCTION("""COMPUTED_VALUE"""),40074.99861111111)</f>
        <v>40074.99861</v>
      </c>
      <c r="E1241" s="3">
        <f>IFERROR(__xludf.DUMMYFUNCTION("""COMPUTED_VALUE"""),4.1674)</f>
        <v>4.1674</v>
      </c>
    </row>
    <row r="1242">
      <c r="D1242" s="6">
        <f>IFERROR(__xludf.DUMMYFUNCTION("""COMPUTED_VALUE"""),40076.99861111111)</f>
        <v>40076.99861</v>
      </c>
      <c r="E1242" s="3">
        <f>IFERROR(__xludf.DUMMYFUNCTION("""COMPUTED_VALUE"""),4.2162)</f>
        <v>4.2162</v>
      </c>
    </row>
    <row r="1243">
      <c r="D1243" s="6">
        <f>IFERROR(__xludf.DUMMYFUNCTION("""COMPUTED_VALUE"""),40077.99861111111)</f>
        <v>40077.99861</v>
      </c>
      <c r="E1243" s="3">
        <f>IFERROR(__xludf.DUMMYFUNCTION("""COMPUTED_VALUE"""),4.2199)</f>
        <v>4.2199</v>
      </c>
    </row>
    <row r="1244">
      <c r="D1244" s="6">
        <f>IFERROR(__xludf.DUMMYFUNCTION("""COMPUTED_VALUE"""),40078.99861111111)</f>
        <v>40078.99861</v>
      </c>
      <c r="E1244" s="3">
        <f>IFERROR(__xludf.DUMMYFUNCTION("""COMPUTED_VALUE"""),4.1953)</f>
        <v>4.1953</v>
      </c>
    </row>
    <row r="1245">
      <c r="D1245" s="6">
        <f>IFERROR(__xludf.DUMMYFUNCTION("""COMPUTED_VALUE"""),40079.99861111111)</f>
        <v>40079.99861</v>
      </c>
      <c r="E1245" s="3">
        <f>IFERROR(__xludf.DUMMYFUNCTION("""COMPUTED_VALUE"""),4.1804)</f>
        <v>4.1804</v>
      </c>
    </row>
    <row r="1246">
      <c r="D1246" s="6">
        <f>IFERROR(__xludf.DUMMYFUNCTION("""COMPUTED_VALUE"""),40080.99861111111)</f>
        <v>40080.99861</v>
      </c>
      <c r="E1246" s="3">
        <f>IFERROR(__xludf.DUMMYFUNCTION("""COMPUTED_VALUE"""),4.1867)</f>
        <v>4.1867</v>
      </c>
    </row>
    <row r="1247">
      <c r="D1247" s="6">
        <f>IFERROR(__xludf.DUMMYFUNCTION("""COMPUTED_VALUE"""),40081.99861111111)</f>
        <v>40081.99861</v>
      </c>
      <c r="E1247" s="3">
        <f>IFERROR(__xludf.DUMMYFUNCTION("""COMPUTED_VALUE"""),4.1035)</f>
        <v>4.1035</v>
      </c>
    </row>
    <row r="1248">
      <c r="D1248" s="6">
        <f>IFERROR(__xludf.DUMMYFUNCTION("""COMPUTED_VALUE"""),40083.99861111111)</f>
        <v>40083.99861</v>
      </c>
      <c r="E1248" s="3">
        <f>IFERROR(__xludf.DUMMYFUNCTION("""COMPUTED_VALUE"""),4.1035)</f>
        <v>4.1035</v>
      </c>
    </row>
    <row r="1249">
      <c r="D1249" s="6">
        <f>IFERROR(__xludf.DUMMYFUNCTION("""COMPUTED_VALUE"""),40084.99861111111)</f>
        <v>40084.99861</v>
      </c>
      <c r="E1249" s="3">
        <f>IFERROR(__xludf.DUMMYFUNCTION("""COMPUTED_VALUE"""),4.101)</f>
        <v>4.101</v>
      </c>
    </row>
    <row r="1250">
      <c r="D1250" s="6">
        <f>IFERROR(__xludf.DUMMYFUNCTION("""COMPUTED_VALUE"""),40085.99861111111)</f>
        <v>40085.99861</v>
      </c>
      <c r="E1250" s="3">
        <f>IFERROR(__xludf.DUMMYFUNCTION("""COMPUTED_VALUE"""),4.1576)</f>
        <v>4.1576</v>
      </c>
    </row>
    <row r="1251">
      <c r="D1251" s="6">
        <f>IFERROR(__xludf.DUMMYFUNCTION("""COMPUTED_VALUE"""),40086.99861111111)</f>
        <v>40086.99861</v>
      </c>
      <c r="E1251" s="3">
        <f>IFERROR(__xludf.DUMMYFUNCTION("""COMPUTED_VALUE"""),4.1645)</f>
        <v>4.1645</v>
      </c>
    </row>
    <row r="1252">
      <c r="D1252" s="6">
        <f>IFERROR(__xludf.DUMMYFUNCTION("""COMPUTED_VALUE"""),40087.99861111111)</f>
        <v>40087.99861</v>
      </c>
      <c r="E1252" s="3">
        <f>IFERROR(__xludf.DUMMYFUNCTION("""COMPUTED_VALUE"""),4.1604)</f>
        <v>4.1604</v>
      </c>
    </row>
    <row r="1253">
      <c r="D1253" s="6">
        <f>IFERROR(__xludf.DUMMYFUNCTION("""COMPUTED_VALUE"""),40088.99861111111)</f>
        <v>40088.99861</v>
      </c>
      <c r="E1253" s="3">
        <f>IFERROR(__xludf.DUMMYFUNCTION("""COMPUTED_VALUE"""),4.179)</f>
        <v>4.179</v>
      </c>
    </row>
    <row r="1254">
      <c r="D1254" s="6">
        <f>IFERROR(__xludf.DUMMYFUNCTION("""COMPUTED_VALUE"""),40090.99861111111)</f>
        <v>40090.99861</v>
      </c>
      <c r="E1254" s="3">
        <f>IFERROR(__xludf.DUMMYFUNCTION("""COMPUTED_VALUE"""),4.179)</f>
        <v>4.179</v>
      </c>
    </row>
    <row r="1255">
      <c r="D1255" s="6">
        <f>IFERROR(__xludf.DUMMYFUNCTION("""COMPUTED_VALUE"""),40091.99861111111)</f>
        <v>40091.99861</v>
      </c>
      <c r="E1255" s="3">
        <f>IFERROR(__xludf.DUMMYFUNCTION("""COMPUTED_VALUE"""),4.2127)</f>
        <v>4.2127</v>
      </c>
    </row>
    <row r="1256">
      <c r="D1256" s="6">
        <f>IFERROR(__xludf.DUMMYFUNCTION("""COMPUTED_VALUE"""),40092.99861111111)</f>
        <v>40092.99861</v>
      </c>
      <c r="E1256" s="3">
        <f>IFERROR(__xludf.DUMMYFUNCTION("""COMPUTED_VALUE"""),4.2122)</f>
        <v>4.2122</v>
      </c>
    </row>
    <row r="1257">
      <c r="D1257" s="6">
        <f>IFERROR(__xludf.DUMMYFUNCTION("""COMPUTED_VALUE"""),40093.99861111111)</f>
        <v>40093.99861</v>
      </c>
      <c r="E1257" s="3">
        <f>IFERROR(__xludf.DUMMYFUNCTION("""COMPUTED_VALUE"""),4.2195)</f>
        <v>4.2195</v>
      </c>
    </row>
    <row r="1258">
      <c r="D1258" s="6">
        <f>IFERROR(__xludf.DUMMYFUNCTION("""COMPUTED_VALUE"""),40094.99861111111)</f>
        <v>40094.99861</v>
      </c>
      <c r="E1258" s="3">
        <f>IFERROR(__xludf.DUMMYFUNCTION("""COMPUTED_VALUE"""),4.2118)</f>
        <v>4.2118</v>
      </c>
    </row>
    <row r="1259">
      <c r="D1259" s="6">
        <f>IFERROR(__xludf.DUMMYFUNCTION("""COMPUTED_VALUE"""),40095.99861111111)</f>
        <v>40095.99861</v>
      </c>
      <c r="E1259" s="3">
        <f>IFERROR(__xludf.DUMMYFUNCTION("""COMPUTED_VALUE"""),4.2303)</f>
        <v>4.2303</v>
      </c>
    </row>
    <row r="1260">
      <c r="D1260" s="6">
        <f>IFERROR(__xludf.DUMMYFUNCTION("""COMPUTED_VALUE"""),40097.99861111111)</f>
        <v>40097.99861</v>
      </c>
      <c r="E1260" s="3">
        <f>IFERROR(__xludf.DUMMYFUNCTION("""COMPUTED_VALUE"""),4.2303)</f>
        <v>4.2303</v>
      </c>
    </row>
    <row r="1261">
      <c r="D1261" s="6">
        <f>IFERROR(__xludf.DUMMYFUNCTION("""COMPUTED_VALUE"""),40098.99861111111)</f>
        <v>40098.99861</v>
      </c>
      <c r="E1261" s="3">
        <f>IFERROR(__xludf.DUMMYFUNCTION("""COMPUTED_VALUE"""),4.2258)</f>
        <v>4.2258</v>
      </c>
    </row>
    <row r="1262">
      <c r="D1262" s="6">
        <f>IFERROR(__xludf.DUMMYFUNCTION("""COMPUTED_VALUE"""),40099.99861111111)</f>
        <v>40099.99861</v>
      </c>
      <c r="E1262" s="3">
        <f>IFERROR(__xludf.DUMMYFUNCTION("""COMPUTED_VALUE"""),4.2311)</f>
        <v>4.2311</v>
      </c>
    </row>
    <row r="1263">
      <c r="D1263" s="6">
        <f>IFERROR(__xludf.DUMMYFUNCTION("""COMPUTED_VALUE"""),40100.99861111111)</f>
        <v>40100.99861</v>
      </c>
      <c r="E1263" s="3">
        <f>IFERROR(__xludf.DUMMYFUNCTION("""COMPUTED_VALUE"""),4.2456)</f>
        <v>4.2456</v>
      </c>
    </row>
    <row r="1264">
      <c r="D1264" s="6">
        <f>IFERROR(__xludf.DUMMYFUNCTION("""COMPUTED_VALUE"""),40101.99861111111)</f>
        <v>40101.99861</v>
      </c>
      <c r="E1264" s="3">
        <f>IFERROR(__xludf.DUMMYFUNCTION("""COMPUTED_VALUE"""),4.2466)</f>
        <v>4.2466</v>
      </c>
    </row>
    <row r="1265">
      <c r="D1265" s="6">
        <f>IFERROR(__xludf.DUMMYFUNCTION("""COMPUTED_VALUE"""),40102.99861111111)</f>
        <v>40102.99861</v>
      </c>
      <c r="E1265" s="3">
        <f>IFERROR(__xludf.DUMMYFUNCTION("""COMPUTED_VALUE"""),4.238)</f>
        <v>4.238</v>
      </c>
    </row>
    <row r="1266">
      <c r="D1266" s="6">
        <f>IFERROR(__xludf.DUMMYFUNCTION("""COMPUTED_VALUE"""),40104.99861111111)</f>
        <v>40104.99861</v>
      </c>
      <c r="E1266" s="3">
        <f>IFERROR(__xludf.DUMMYFUNCTION("""COMPUTED_VALUE"""),4.2427)</f>
        <v>4.2427</v>
      </c>
    </row>
    <row r="1267">
      <c r="D1267" s="6">
        <f>IFERROR(__xludf.DUMMYFUNCTION("""COMPUTED_VALUE"""),40105.99861111111)</f>
        <v>40105.99861</v>
      </c>
      <c r="E1267" s="3">
        <f>IFERROR(__xludf.DUMMYFUNCTION("""COMPUTED_VALUE"""),4.2427)</f>
        <v>4.2427</v>
      </c>
    </row>
    <row r="1268">
      <c r="D1268" s="6">
        <f>IFERROR(__xludf.DUMMYFUNCTION("""COMPUTED_VALUE"""),40106.99861111111)</f>
        <v>40106.99861</v>
      </c>
      <c r="E1268" s="3">
        <f>IFERROR(__xludf.DUMMYFUNCTION("""COMPUTED_VALUE"""),4.2439)</f>
        <v>4.2439</v>
      </c>
    </row>
    <row r="1269">
      <c r="D1269" s="6">
        <f>IFERROR(__xludf.DUMMYFUNCTION("""COMPUTED_VALUE"""),40107.99861111111)</f>
        <v>40107.99861</v>
      </c>
      <c r="E1269" s="3">
        <f>IFERROR(__xludf.DUMMYFUNCTION("""COMPUTED_VALUE"""),4.2415)</f>
        <v>4.2415</v>
      </c>
    </row>
    <row r="1270">
      <c r="D1270" s="6">
        <f>IFERROR(__xludf.DUMMYFUNCTION("""COMPUTED_VALUE"""),40108.99861111111)</f>
        <v>40108.99861</v>
      </c>
      <c r="E1270" s="3">
        <f>IFERROR(__xludf.DUMMYFUNCTION("""COMPUTED_VALUE"""),4.2401)</f>
        <v>4.2401</v>
      </c>
    </row>
    <row r="1271">
      <c r="D1271" s="6">
        <f>IFERROR(__xludf.DUMMYFUNCTION("""COMPUTED_VALUE"""),40109.99861111111)</f>
        <v>40109.99861</v>
      </c>
      <c r="E1271" s="3">
        <f>IFERROR(__xludf.DUMMYFUNCTION("""COMPUTED_VALUE"""),4.2414)</f>
        <v>4.2414</v>
      </c>
    </row>
    <row r="1272">
      <c r="D1272" s="6">
        <f>IFERROR(__xludf.DUMMYFUNCTION("""COMPUTED_VALUE"""),40112.99861111111)</f>
        <v>40112.99861</v>
      </c>
      <c r="E1272" s="3">
        <f>IFERROR(__xludf.DUMMYFUNCTION("""COMPUTED_VALUE"""),4.2373)</f>
        <v>4.2373</v>
      </c>
    </row>
    <row r="1273">
      <c r="D1273" s="6">
        <f>IFERROR(__xludf.DUMMYFUNCTION("""COMPUTED_VALUE"""),40113.99861111111)</f>
        <v>40113.99861</v>
      </c>
      <c r="E1273" s="3">
        <f>IFERROR(__xludf.DUMMYFUNCTION("""COMPUTED_VALUE"""),4.242)</f>
        <v>4.242</v>
      </c>
    </row>
    <row r="1274">
      <c r="D1274" s="6">
        <f>IFERROR(__xludf.DUMMYFUNCTION("""COMPUTED_VALUE"""),40114.99861111111)</f>
        <v>40114.99861</v>
      </c>
      <c r="E1274" s="3">
        <f>IFERROR(__xludf.DUMMYFUNCTION("""COMPUTED_VALUE"""),4.2536)</f>
        <v>4.2536</v>
      </c>
    </row>
    <row r="1275">
      <c r="D1275" s="6">
        <f>IFERROR(__xludf.DUMMYFUNCTION("""COMPUTED_VALUE"""),40115.99861111111)</f>
        <v>40115.99861</v>
      </c>
      <c r="E1275" s="3">
        <f>IFERROR(__xludf.DUMMYFUNCTION("""COMPUTED_VALUE"""),4.2545)</f>
        <v>4.2545</v>
      </c>
    </row>
    <row r="1276">
      <c r="D1276" s="6">
        <f>IFERROR(__xludf.DUMMYFUNCTION("""COMPUTED_VALUE"""),40116.99861111111)</f>
        <v>40116.99861</v>
      </c>
      <c r="E1276" s="3">
        <f>IFERROR(__xludf.DUMMYFUNCTION("""COMPUTED_VALUE"""),4.2581)</f>
        <v>4.2581</v>
      </c>
    </row>
    <row r="1277">
      <c r="D1277" s="6">
        <f>IFERROR(__xludf.DUMMYFUNCTION("""COMPUTED_VALUE"""),40119.99861111111)</f>
        <v>40119.99861</v>
      </c>
      <c r="E1277" s="3">
        <f>IFERROR(__xludf.DUMMYFUNCTION("""COMPUTED_VALUE"""),4.261)</f>
        <v>4.261</v>
      </c>
    </row>
    <row r="1278">
      <c r="D1278" s="6">
        <f>IFERROR(__xludf.DUMMYFUNCTION("""COMPUTED_VALUE"""),40120.99861111111)</f>
        <v>40120.99861</v>
      </c>
      <c r="E1278" s="3">
        <f>IFERROR(__xludf.DUMMYFUNCTION("""COMPUTED_VALUE"""),4.2473)</f>
        <v>4.2473</v>
      </c>
    </row>
    <row r="1279">
      <c r="D1279" s="6">
        <f>IFERROR(__xludf.DUMMYFUNCTION("""COMPUTED_VALUE"""),40121.99861111111)</f>
        <v>40121.99861</v>
      </c>
      <c r="E1279" s="3">
        <f>IFERROR(__xludf.DUMMYFUNCTION("""COMPUTED_VALUE"""),4.2606)</f>
        <v>4.2606</v>
      </c>
    </row>
    <row r="1280">
      <c r="D1280" s="6">
        <f>IFERROR(__xludf.DUMMYFUNCTION("""COMPUTED_VALUE"""),40122.99861111111)</f>
        <v>40122.99861</v>
      </c>
      <c r="E1280" s="3">
        <f>IFERROR(__xludf.DUMMYFUNCTION("""COMPUTED_VALUE"""),4.253)</f>
        <v>4.253</v>
      </c>
    </row>
    <row r="1281">
      <c r="D1281" s="6">
        <f>IFERROR(__xludf.DUMMYFUNCTION("""COMPUTED_VALUE"""),40123.99861111111)</f>
        <v>40123.99861</v>
      </c>
      <c r="E1281" s="3">
        <f>IFERROR(__xludf.DUMMYFUNCTION("""COMPUTED_VALUE"""),4.2533)</f>
        <v>4.2533</v>
      </c>
    </row>
    <row r="1282">
      <c r="D1282" s="6">
        <f>IFERROR(__xludf.DUMMYFUNCTION("""COMPUTED_VALUE"""),40126.99861111111)</f>
        <v>40126.99861</v>
      </c>
      <c r="E1282" s="3">
        <f>IFERROR(__xludf.DUMMYFUNCTION("""COMPUTED_VALUE"""),4.2458)</f>
        <v>4.2458</v>
      </c>
    </row>
    <row r="1283">
      <c r="D1283" s="6">
        <f>IFERROR(__xludf.DUMMYFUNCTION("""COMPUTED_VALUE"""),40127.99861111111)</f>
        <v>40127.99861</v>
      </c>
      <c r="E1283" s="3">
        <f>IFERROR(__xludf.DUMMYFUNCTION("""COMPUTED_VALUE"""),4.2447)</f>
        <v>4.2447</v>
      </c>
    </row>
    <row r="1284">
      <c r="D1284" s="6">
        <f>IFERROR(__xludf.DUMMYFUNCTION("""COMPUTED_VALUE"""),40128.99861111111)</f>
        <v>40128.99861</v>
      </c>
      <c r="E1284" s="3">
        <f>IFERROR(__xludf.DUMMYFUNCTION("""COMPUTED_VALUE"""),4.2457)</f>
        <v>4.2457</v>
      </c>
    </row>
    <row r="1285">
      <c r="D1285" s="6">
        <f>IFERROR(__xludf.DUMMYFUNCTION("""COMPUTED_VALUE"""),40129.99861111111)</f>
        <v>40129.99861</v>
      </c>
      <c r="E1285" s="3">
        <f>IFERROR(__xludf.DUMMYFUNCTION("""COMPUTED_VALUE"""),4.2491)</f>
        <v>4.2491</v>
      </c>
    </row>
    <row r="1286">
      <c r="D1286" s="6">
        <f>IFERROR(__xludf.DUMMYFUNCTION("""COMPUTED_VALUE"""),40130.99861111111)</f>
        <v>40130.99861</v>
      </c>
      <c r="E1286" s="3">
        <f>IFERROR(__xludf.DUMMYFUNCTION("""COMPUTED_VALUE"""),4.251)</f>
        <v>4.251</v>
      </c>
    </row>
    <row r="1287">
      <c r="D1287" s="6">
        <f>IFERROR(__xludf.DUMMYFUNCTION("""COMPUTED_VALUE"""),40133.99861111111)</f>
        <v>40133.99861</v>
      </c>
      <c r="E1287" s="3">
        <f>IFERROR(__xludf.DUMMYFUNCTION("""COMPUTED_VALUE"""),4.2385)</f>
        <v>4.2385</v>
      </c>
    </row>
    <row r="1288">
      <c r="D1288" s="6">
        <f>IFERROR(__xludf.DUMMYFUNCTION("""COMPUTED_VALUE"""),40134.99861111111)</f>
        <v>40134.99861</v>
      </c>
      <c r="E1288" s="3">
        <f>IFERROR(__xludf.DUMMYFUNCTION("""COMPUTED_VALUE"""),4.24)</f>
        <v>4.24</v>
      </c>
    </row>
    <row r="1289">
      <c r="D1289" s="6">
        <f>IFERROR(__xludf.DUMMYFUNCTION("""COMPUTED_VALUE"""),40135.99861111111)</f>
        <v>40135.99861</v>
      </c>
      <c r="E1289" s="3">
        <f>IFERROR(__xludf.DUMMYFUNCTION("""COMPUTED_VALUE"""),4.2275)</f>
        <v>4.2275</v>
      </c>
    </row>
    <row r="1290">
      <c r="D1290" s="6">
        <f>IFERROR(__xludf.DUMMYFUNCTION("""COMPUTED_VALUE"""),40136.99861111111)</f>
        <v>40136.99861</v>
      </c>
      <c r="E1290" s="3">
        <f>IFERROR(__xludf.DUMMYFUNCTION("""COMPUTED_VALUE"""),4.2255)</f>
        <v>4.2255</v>
      </c>
    </row>
    <row r="1291">
      <c r="D1291" s="6">
        <f>IFERROR(__xludf.DUMMYFUNCTION("""COMPUTED_VALUE"""),40137.99861111111)</f>
        <v>40137.99861</v>
      </c>
      <c r="E1291" s="3">
        <f>IFERROR(__xludf.DUMMYFUNCTION("""COMPUTED_VALUE"""),4.2324)</f>
        <v>4.2324</v>
      </c>
    </row>
    <row r="1292">
      <c r="D1292" s="6">
        <f>IFERROR(__xludf.DUMMYFUNCTION("""COMPUTED_VALUE"""),40140.99861111111)</f>
        <v>40140.99861</v>
      </c>
      <c r="E1292" s="3">
        <f>IFERROR(__xludf.DUMMYFUNCTION("""COMPUTED_VALUE"""),4.2234)</f>
        <v>4.2234</v>
      </c>
    </row>
    <row r="1293">
      <c r="D1293" s="6">
        <f>IFERROR(__xludf.DUMMYFUNCTION("""COMPUTED_VALUE"""),40141.99861111111)</f>
        <v>40141.99861</v>
      </c>
      <c r="E1293" s="3">
        <f>IFERROR(__xludf.DUMMYFUNCTION("""COMPUTED_VALUE"""),4.2175)</f>
        <v>4.2175</v>
      </c>
    </row>
    <row r="1294">
      <c r="D1294" s="6">
        <f>IFERROR(__xludf.DUMMYFUNCTION("""COMPUTED_VALUE"""),40142.99861111111)</f>
        <v>40142.99861</v>
      </c>
      <c r="E1294" s="3">
        <f>IFERROR(__xludf.DUMMYFUNCTION("""COMPUTED_VALUE"""),4.2102)</f>
        <v>4.2102</v>
      </c>
    </row>
    <row r="1295">
      <c r="D1295" s="6">
        <f>IFERROR(__xludf.DUMMYFUNCTION("""COMPUTED_VALUE"""),40143.99861111111)</f>
        <v>40143.99861</v>
      </c>
      <c r="E1295" s="3">
        <f>IFERROR(__xludf.DUMMYFUNCTION("""COMPUTED_VALUE"""),4.2394)</f>
        <v>4.2394</v>
      </c>
    </row>
    <row r="1296">
      <c r="D1296" s="6">
        <f>IFERROR(__xludf.DUMMYFUNCTION("""COMPUTED_VALUE"""),40144.99861111111)</f>
        <v>40144.99861</v>
      </c>
      <c r="E1296" s="3">
        <f>IFERROR(__xludf.DUMMYFUNCTION("""COMPUTED_VALUE"""),4.2246)</f>
        <v>4.2246</v>
      </c>
    </row>
    <row r="1297">
      <c r="D1297" s="6">
        <f>IFERROR(__xludf.DUMMYFUNCTION("""COMPUTED_VALUE"""),40147.99861111111)</f>
        <v>40147.99861</v>
      </c>
      <c r="E1297" s="3">
        <f>IFERROR(__xludf.DUMMYFUNCTION("""COMPUTED_VALUE"""),4.2153)</f>
        <v>4.2153</v>
      </c>
    </row>
    <row r="1298">
      <c r="D1298" s="6">
        <f>IFERROR(__xludf.DUMMYFUNCTION("""COMPUTED_VALUE"""),40148.99861111111)</f>
        <v>40148.99861</v>
      </c>
      <c r="E1298" s="3">
        <f>IFERROR(__xludf.DUMMYFUNCTION("""COMPUTED_VALUE"""),4.1641)</f>
        <v>4.1641</v>
      </c>
    </row>
    <row r="1299">
      <c r="D1299" s="6">
        <f>IFERROR(__xludf.DUMMYFUNCTION("""COMPUTED_VALUE"""),40149.99861111111)</f>
        <v>40149.99861</v>
      </c>
      <c r="E1299" s="3">
        <f>IFERROR(__xludf.DUMMYFUNCTION("""COMPUTED_VALUE"""),4.1924)</f>
        <v>4.1924</v>
      </c>
    </row>
    <row r="1300">
      <c r="D1300" s="6">
        <f>IFERROR(__xludf.DUMMYFUNCTION("""COMPUTED_VALUE"""),40150.99861111111)</f>
        <v>40150.99861</v>
      </c>
      <c r="E1300" s="3">
        <f>IFERROR(__xludf.DUMMYFUNCTION("""COMPUTED_VALUE"""),4.2022)</f>
        <v>4.2022</v>
      </c>
    </row>
    <row r="1301">
      <c r="D1301" s="6">
        <f>IFERROR(__xludf.DUMMYFUNCTION("""COMPUTED_VALUE"""),40151.99861111111)</f>
        <v>40151.99861</v>
      </c>
      <c r="E1301" s="3">
        <f>IFERROR(__xludf.DUMMYFUNCTION("""COMPUTED_VALUE"""),4.2135)</f>
        <v>4.2135</v>
      </c>
    </row>
    <row r="1302">
      <c r="D1302" s="6">
        <f>IFERROR(__xludf.DUMMYFUNCTION("""COMPUTED_VALUE"""),40154.99861111111)</f>
        <v>40154.99861</v>
      </c>
      <c r="E1302" s="3">
        <f>IFERROR(__xludf.DUMMYFUNCTION("""COMPUTED_VALUE"""),4.2239)</f>
        <v>4.2239</v>
      </c>
    </row>
    <row r="1303">
      <c r="D1303" s="6">
        <f>IFERROR(__xludf.DUMMYFUNCTION("""COMPUTED_VALUE"""),40155.99861111111)</f>
        <v>40155.99861</v>
      </c>
      <c r="E1303" s="3">
        <f>IFERROR(__xludf.DUMMYFUNCTION("""COMPUTED_VALUE"""),4.2268)</f>
        <v>4.2268</v>
      </c>
    </row>
    <row r="1304">
      <c r="D1304" s="6">
        <f>IFERROR(__xludf.DUMMYFUNCTION("""COMPUTED_VALUE"""),40156.99861111111)</f>
        <v>40156.99861</v>
      </c>
      <c r="E1304" s="3">
        <f>IFERROR(__xludf.DUMMYFUNCTION("""COMPUTED_VALUE"""),4.2401)</f>
        <v>4.2401</v>
      </c>
    </row>
    <row r="1305">
      <c r="D1305" s="6">
        <f>IFERROR(__xludf.DUMMYFUNCTION("""COMPUTED_VALUE"""),40157.99861111111)</f>
        <v>40157.99861</v>
      </c>
      <c r="E1305" s="3">
        <f>IFERROR(__xludf.DUMMYFUNCTION("""COMPUTED_VALUE"""),4.2316)</f>
        <v>4.2316</v>
      </c>
    </row>
    <row r="1306">
      <c r="D1306" s="6">
        <f>IFERROR(__xludf.DUMMYFUNCTION("""COMPUTED_VALUE"""),40158.99861111111)</f>
        <v>40158.99861</v>
      </c>
      <c r="E1306" s="3">
        <f>IFERROR(__xludf.DUMMYFUNCTION("""COMPUTED_VALUE"""),4.2303)</f>
        <v>4.2303</v>
      </c>
    </row>
    <row r="1307">
      <c r="D1307" s="6">
        <f>IFERROR(__xludf.DUMMYFUNCTION("""COMPUTED_VALUE"""),40161.99861111111)</f>
        <v>40161.99861</v>
      </c>
      <c r="E1307" s="3">
        <f>IFERROR(__xludf.DUMMYFUNCTION("""COMPUTED_VALUE"""),4.2366)</f>
        <v>4.2366</v>
      </c>
    </row>
    <row r="1308">
      <c r="D1308" s="6">
        <f>IFERROR(__xludf.DUMMYFUNCTION("""COMPUTED_VALUE"""),40162.99861111111)</f>
        <v>40162.99861</v>
      </c>
      <c r="E1308" s="3">
        <f>IFERROR(__xludf.DUMMYFUNCTION("""COMPUTED_VALUE"""),4.2354)</f>
        <v>4.2354</v>
      </c>
    </row>
    <row r="1309">
      <c r="D1309" s="6">
        <f>IFERROR(__xludf.DUMMYFUNCTION("""COMPUTED_VALUE"""),40163.99861111111)</f>
        <v>40163.99861</v>
      </c>
      <c r="E1309" s="3">
        <f>IFERROR(__xludf.DUMMYFUNCTION("""COMPUTED_VALUE"""),4.2093)</f>
        <v>4.2093</v>
      </c>
    </row>
    <row r="1310">
      <c r="D1310" s="6">
        <f>IFERROR(__xludf.DUMMYFUNCTION("""COMPUTED_VALUE"""),40164.99861111111)</f>
        <v>40164.99861</v>
      </c>
      <c r="E1310" s="3">
        <f>IFERROR(__xludf.DUMMYFUNCTION("""COMPUTED_VALUE"""),4.2046)</f>
        <v>4.2046</v>
      </c>
    </row>
    <row r="1311">
      <c r="D1311" s="6">
        <f>IFERROR(__xludf.DUMMYFUNCTION("""COMPUTED_VALUE"""),40165.99861111111)</f>
        <v>40165.99861</v>
      </c>
      <c r="E1311" s="3">
        <f>IFERROR(__xludf.DUMMYFUNCTION("""COMPUTED_VALUE"""),4.1995)</f>
        <v>4.1995</v>
      </c>
    </row>
    <row r="1312">
      <c r="D1312" s="6">
        <f>IFERROR(__xludf.DUMMYFUNCTION("""COMPUTED_VALUE"""),40168.99861111111)</f>
        <v>40168.99861</v>
      </c>
      <c r="E1312" s="3">
        <f>IFERROR(__xludf.DUMMYFUNCTION("""COMPUTED_VALUE"""),4.2074)</f>
        <v>4.2074</v>
      </c>
    </row>
    <row r="1313">
      <c r="D1313" s="6">
        <f>IFERROR(__xludf.DUMMYFUNCTION("""COMPUTED_VALUE"""),40169.99861111111)</f>
        <v>40169.99861</v>
      </c>
      <c r="E1313" s="3">
        <f>IFERROR(__xludf.DUMMYFUNCTION("""COMPUTED_VALUE"""),4.2093)</f>
        <v>4.2093</v>
      </c>
    </row>
    <row r="1314">
      <c r="D1314" s="6">
        <f>IFERROR(__xludf.DUMMYFUNCTION("""COMPUTED_VALUE"""),40170.99861111111)</f>
        <v>40170.99861</v>
      </c>
      <c r="E1314" s="3">
        <f>IFERROR(__xludf.DUMMYFUNCTION("""COMPUTED_VALUE"""),4.1867)</f>
        <v>4.1867</v>
      </c>
    </row>
    <row r="1315">
      <c r="D1315" s="6">
        <f>IFERROR(__xludf.DUMMYFUNCTION("""COMPUTED_VALUE"""),40171.99861111111)</f>
        <v>40171.99861</v>
      </c>
      <c r="E1315" s="3">
        <f>IFERROR(__xludf.DUMMYFUNCTION("""COMPUTED_VALUE"""),4.2074)</f>
        <v>4.2074</v>
      </c>
    </row>
    <row r="1316">
      <c r="D1316" s="6">
        <f>IFERROR(__xludf.DUMMYFUNCTION("""COMPUTED_VALUE"""),40175.99861111111)</f>
        <v>40175.99861</v>
      </c>
      <c r="E1316" s="3">
        <f>IFERROR(__xludf.DUMMYFUNCTION("""COMPUTED_VALUE"""),4.1907)</f>
        <v>4.1907</v>
      </c>
    </row>
    <row r="1317">
      <c r="D1317" s="6">
        <f>IFERROR(__xludf.DUMMYFUNCTION("""COMPUTED_VALUE"""),40176.99861111111)</f>
        <v>40176.99861</v>
      </c>
      <c r="E1317" s="3">
        <f>IFERROR(__xludf.DUMMYFUNCTION("""COMPUTED_VALUE"""),4.2085)</f>
        <v>4.2085</v>
      </c>
    </row>
    <row r="1318">
      <c r="D1318" s="6">
        <f>IFERROR(__xludf.DUMMYFUNCTION("""COMPUTED_VALUE"""),40177.99861111111)</f>
        <v>40177.99861</v>
      </c>
      <c r="E1318" s="3">
        <f>IFERROR(__xludf.DUMMYFUNCTION("""COMPUTED_VALUE"""),4.23)</f>
        <v>4.23</v>
      </c>
    </row>
    <row r="1319">
      <c r="D1319" s="6">
        <f>IFERROR(__xludf.DUMMYFUNCTION("""COMPUTED_VALUE"""),40178.99861111111)</f>
        <v>40178.99861</v>
      </c>
      <c r="E1319" s="3">
        <f>IFERROR(__xludf.DUMMYFUNCTION("""COMPUTED_VALUE"""),4.2365)</f>
        <v>4.2365</v>
      </c>
    </row>
    <row r="1320">
      <c r="D1320" s="6">
        <f>IFERROR(__xludf.DUMMYFUNCTION("""COMPUTED_VALUE"""),40182.99861111111)</f>
        <v>40182.99861</v>
      </c>
      <c r="E1320" s="3">
        <f>IFERROR(__xludf.DUMMYFUNCTION("""COMPUTED_VALUE"""),4.2365)</f>
        <v>4.2365</v>
      </c>
    </row>
    <row r="1321">
      <c r="D1321" s="6">
        <f>IFERROR(__xludf.DUMMYFUNCTION("""COMPUTED_VALUE"""),40183.99861111111)</f>
        <v>40183.99861</v>
      </c>
      <c r="E1321" s="3">
        <f>IFERROR(__xludf.DUMMYFUNCTION("""COMPUTED_VALUE"""),4.1738)</f>
        <v>4.1738</v>
      </c>
    </row>
    <row r="1322">
      <c r="D1322" s="6">
        <f>IFERROR(__xludf.DUMMYFUNCTION("""COMPUTED_VALUE"""),40184.99861111111)</f>
        <v>40184.99861</v>
      </c>
      <c r="E1322" s="3">
        <f>IFERROR(__xludf.DUMMYFUNCTION("""COMPUTED_VALUE"""),4.1768)</f>
        <v>4.1768</v>
      </c>
    </row>
    <row r="1323">
      <c r="D1323" s="6">
        <f>IFERROR(__xludf.DUMMYFUNCTION("""COMPUTED_VALUE"""),40185.99861111111)</f>
        <v>40185.99861</v>
      </c>
      <c r="E1323" s="3">
        <f>IFERROR(__xludf.DUMMYFUNCTION("""COMPUTED_VALUE"""),4.1554)</f>
        <v>4.1554</v>
      </c>
    </row>
    <row r="1324">
      <c r="D1324" s="6">
        <f>IFERROR(__xludf.DUMMYFUNCTION("""COMPUTED_VALUE"""),40186.99861111111)</f>
        <v>40186.99861</v>
      </c>
      <c r="E1324" s="3">
        <f>IFERROR(__xludf.DUMMYFUNCTION("""COMPUTED_VALUE"""),4.1556)</f>
        <v>4.1556</v>
      </c>
    </row>
    <row r="1325">
      <c r="D1325" s="6">
        <f>IFERROR(__xludf.DUMMYFUNCTION("""COMPUTED_VALUE"""),40189.99861111111)</f>
        <v>40189.99861</v>
      </c>
      <c r="E1325" s="3">
        <f>IFERROR(__xludf.DUMMYFUNCTION("""COMPUTED_VALUE"""),4.1197)</f>
        <v>4.1197</v>
      </c>
    </row>
    <row r="1326">
      <c r="D1326" s="6">
        <f>IFERROR(__xludf.DUMMYFUNCTION("""COMPUTED_VALUE"""),40190.99861111111)</f>
        <v>40190.99861</v>
      </c>
      <c r="E1326" s="3">
        <f>IFERROR(__xludf.DUMMYFUNCTION("""COMPUTED_VALUE"""),4.1302)</f>
        <v>4.1302</v>
      </c>
    </row>
    <row r="1327">
      <c r="D1327" s="6">
        <f>IFERROR(__xludf.DUMMYFUNCTION("""COMPUTED_VALUE"""),40191.99861111111)</f>
        <v>40191.99861</v>
      </c>
      <c r="E1327" s="3">
        <f>IFERROR(__xludf.DUMMYFUNCTION("""COMPUTED_VALUE"""),4.115)</f>
        <v>4.115</v>
      </c>
    </row>
    <row r="1328">
      <c r="D1328" s="6">
        <f>IFERROR(__xludf.DUMMYFUNCTION("""COMPUTED_VALUE"""),40192.99861111111)</f>
        <v>40192.99861</v>
      </c>
      <c r="E1328" s="3">
        <f>IFERROR(__xludf.DUMMYFUNCTION("""COMPUTED_VALUE"""),4.1175)</f>
        <v>4.1175</v>
      </c>
    </row>
    <row r="1329">
      <c r="D1329" s="6">
        <f>IFERROR(__xludf.DUMMYFUNCTION("""COMPUTED_VALUE"""),40193.99861111111)</f>
        <v>40193.99861</v>
      </c>
      <c r="E1329" s="3">
        <f>IFERROR(__xludf.DUMMYFUNCTION("""COMPUTED_VALUE"""),4.098)</f>
        <v>4.098</v>
      </c>
    </row>
    <row r="1330">
      <c r="D1330" s="6">
        <f>IFERROR(__xludf.DUMMYFUNCTION("""COMPUTED_VALUE"""),40196.99861111111)</f>
        <v>40196.99861</v>
      </c>
      <c r="E1330" s="3">
        <f>IFERROR(__xludf.DUMMYFUNCTION("""COMPUTED_VALUE"""),4.0932)</f>
        <v>4.0932</v>
      </c>
    </row>
    <row r="1331">
      <c r="D1331" s="6">
        <f>IFERROR(__xludf.DUMMYFUNCTION("""COMPUTED_VALUE"""),40197.99861111111)</f>
        <v>40197.99861</v>
      </c>
      <c r="E1331" s="3">
        <f>IFERROR(__xludf.DUMMYFUNCTION("""COMPUTED_VALUE"""),4.1072)</f>
        <v>4.1072</v>
      </c>
    </row>
    <row r="1332">
      <c r="D1332" s="6">
        <f>IFERROR(__xludf.DUMMYFUNCTION("""COMPUTED_VALUE"""),40198.99861111111)</f>
        <v>40198.99861</v>
      </c>
      <c r="E1332" s="3">
        <f>IFERROR(__xludf.DUMMYFUNCTION("""COMPUTED_VALUE"""),4.1246)</f>
        <v>4.1246</v>
      </c>
    </row>
    <row r="1333">
      <c r="D1333" s="6">
        <f>IFERROR(__xludf.DUMMYFUNCTION("""COMPUTED_VALUE"""),40199.99861111111)</f>
        <v>40199.99861</v>
      </c>
      <c r="E1333" s="3">
        <f>IFERROR(__xludf.DUMMYFUNCTION("""COMPUTED_VALUE"""),4.1269)</f>
        <v>4.1269</v>
      </c>
    </row>
    <row r="1334">
      <c r="D1334" s="6">
        <f>IFERROR(__xludf.DUMMYFUNCTION("""COMPUTED_VALUE"""),40200.99861111111)</f>
        <v>40200.99861</v>
      </c>
      <c r="E1334" s="3">
        <f>IFERROR(__xludf.DUMMYFUNCTION("""COMPUTED_VALUE"""),4.1422)</f>
        <v>4.1422</v>
      </c>
    </row>
    <row r="1335">
      <c r="D1335" s="6">
        <f>IFERROR(__xludf.DUMMYFUNCTION("""COMPUTED_VALUE"""),40203.99861111111)</f>
        <v>40203.99861</v>
      </c>
      <c r="E1335" s="3">
        <f>IFERROR(__xludf.DUMMYFUNCTION("""COMPUTED_VALUE"""),4.1376)</f>
        <v>4.1376</v>
      </c>
    </row>
    <row r="1336">
      <c r="D1336" s="6">
        <f>IFERROR(__xludf.DUMMYFUNCTION("""COMPUTED_VALUE"""),40204.99861111111)</f>
        <v>40204.99861</v>
      </c>
      <c r="E1336" s="3">
        <f>IFERROR(__xludf.DUMMYFUNCTION("""COMPUTED_VALUE"""),4.1194)</f>
        <v>4.1194</v>
      </c>
    </row>
    <row r="1337">
      <c r="D1337" s="6">
        <f>IFERROR(__xludf.DUMMYFUNCTION("""COMPUTED_VALUE"""),40205.99861111111)</f>
        <v>40205.99861</v>
      </c>
      <c r="E1337" s="3">
        <f>IFERROR(__xludf.DUMMYFUNCTION("""COMPUTED_VALUE"""),4.12)</f>
        <v>4.12</v>
      </c>
    </row>
    <row r="1338">
      <c r="D1338" s="6">
        <f>IFERROR(__xludf.DUMMYFUNCTION("""COMPUTED_VALUE"""),40206.99861111111)</f>
        <v>40206.99861</v>
      </c>
      <c r="E1338" s="3">
        <f>IFERROR(__xludf.DUMMYFUNCTION("""COMPUTED_VALUE"""),4.1277)</f>
        <v>4.1277</v>
      </c>
    </row>
    <row r="1339">
      <c r="D1339" s="6">
        <f>IFERROR(__xludf.DUMMYFUNCTION("""COMPUTED_VALUE"""),40207.99861111111)</f>
        <v>40207.99861</v>
      </c>
      <c r="E1339" s="3">
        <f>IFERROR(__xludf.DUMMYFUNCTION("""COMPUTED_VALUE"""),4.0945)</f>
        <v>4.0945</v>
      </c>
    </row>
    <row r="1340">
      <c r="D1340" s="6">
        <f>IFERROR(__xludf.DUMMYFUNCTION("""COMPUTED_VALUE"""),40210.99861111111)</f>
        <v>40210.99861</v>
      </c>
      <c r="E1340" s="3">
        <f>IFERROR(__xludf.DUMMYFUNCTION("""COMPUTED_VALUE"""),4.0686)</f>
        <v>4.0686</v>
      </c>
    </row>
    <row r="1341">
      <c r="D1341" s="6">
        <f>IFERROR(__xludf.DUMMYFUNCTION("""COMPUTED_VALUE"""),40211.99861111111)</f>
        <v>40211.99861</v>
      </c>
      <c r="E1341" s="3">
        <f>IFERROR(__xludf.DUMMYFUNCTION("""COMPUTED_VALUE"""),4.0756)</f>
        <v>4.0756</v>
      </c>
    </row>
    <row r="1342">
      <c r="D1342" s="6">
        <f>IFERROR(__xludf.DUMMYFUNCTION("""COMPUTED_VALUE"""),40212.99861111111)</f>
        <v>40212.99861</v>
      </c>
      <c r="E1342" s="3">
        <f>IFERROR(__xludf.DUMMYFUNCTION("""COMPUTED_VALUE"""),4.0937)</f>
        <v>4.0937</v>
      </c>
    </row>
    <row r="1343">
      <c r="D1343" s="6">
        <f>IFERROR(__xludf.DUMMYFUNCTION("""COMPUTED_VALUE"""),40213.99861111111)</f>
        <v>40213.99861</v>
      </c>
      <c r="E1343" s="3">
        <f>IFERROR(__xludf.DUMMYFUNCTION("""COMPUTED_VALUE"""),4.1194)</f>
        <v>4.1194</v>
      </c>
    </row>
    <row r="1344">
      <c r="D1344" s="6">
        <f>IFERROR(__xludf.DUMMYFUNCTION("""COMPUTED_VALUE"""),40214.99861111111)</f>
        <v>40214.99861</v>
      </c>
      <c r="E1344" s="3">
        <f>IFERROR(__xludf.DUMMYFUNCTION("""COMPUTED_VALUE"""),4.1315)</f>
        <v>4.1315</v>
      </c>
    </row>
    <row r="1345">
      <c r="D1345" s="6">
        <f>IFERROR(__xludf.DUMMYFUNCTION("""COMPUTED_VALUE"""),40217.99861111111)</f>
        <v>40217.99861</v>
      </c>
      <c r="E1345" s="3">
        <f>IFERROR(__xludf.DUMMYFUNCTION("""COMPUTED_VALUE"""),4.1276)</f>
        <v>4.1276</v>
      </c>
    </row>
    <row r="1346">
      <c r="D1346" s="6">
        <f>IFERROR(__xludf.DUMMYFUNCTION("""COMPUTED_VALUE"""),40218.99861111111)</f>
        <v>40218.99861</v>
      </c>
      <c r="E1346" s="3">
        <f>IFERROR(__xludf.DUMMYFUNCTION("""COMPUTED_VALUE"""),4.1182)</f>
        <v>4.1182</v>
      </c>
    </row>
    <row r="1347">
      <c r="D1347" s="6">
        <f>IFERROR(__xludf.DUMMYFUNCTION("""COMPUTED_VALUE"""),40219.99861111111)</f>
        <v>40219.99861</v>
      </c>
      <c r="E1347" s="3">
        <f>IFERROR(__xludf.DUMMYFUNCTION("""COMPUTED_VALUE"""),4.1062)</f>
        <v>4.1062</v>
      </c>
    </row>
    <row r="1348">
      <c r="D1348" s="6">
        <f>IFERROR(__xludf.DUMMYFUNCTION("""COMPUTED_VALUE"""),40220.99861111111)</f>
        <v>40220.99861</v>
      </c>
      <c r="E1348" s="3">
        <f>IFERROR(__xludf.DUMMYFUNCTION("""COMPUTED_VALUE"""),4.1031)</f>
        <v>4.1031</v>
      </c>
    </row>
    <row r="1349">
      <c r="D1349" s="6">
        <f>IFERROR(__xludf.DUMMYFUNCTION("""COMPUTED_VALUE"""),40221.99861111111)</f>
        <v>40221.99861</v>
      </c>
      <c r="E1349" s="3">
        <f>IFERROR(__xludf.DUMMYFUNCTION("""COMPUTED_VALUE"""),4.1157)</f>
        <v>4.1157</v>
      </c>
    </row>
    <row r="1350">
      <c r="D1350" s="6">
        <f>IFERROR(__xludf.DUMMYFUNCTION("""COMPUTED_VALUE"""),40224.99861111111)</f>
        <v>40224.99861</v>
      </c>
      <c r="E1350" s="3">
        <f>IFERROR(__xludf.DUMMYFUNCTION("""COMPUTED_VALUE"""),4.11)</f>
        <v>4.11</v>
      </c>
    </row>
    <row r="1351">
      <c r="D1351" s="6">
        <f>IFERROR(__xludf.DUMMYFUNCTION("""COMPUTED_VALUE"""),40225.99861111111)</f>
        <v>40225.99861</v>
      </c>
      <c r="E1351" s="3">
        <f>IFERROR(__xludf.DUMMYFUNCTION("""COMPUTED_VALUE"""),4.109)</f>
        <v>4.109</v>
      </c>
    </row>
    <row r="1352">
      <c r="D1352" s="6">
        <f>IFERROR(__xludf.DUMMYFUNCTION("""COMPUTED_VALUE"""),40226.99861111111)</f>
        <v>40226.99861</v>
      </c>
      <c r="E1352" s="3">
        <f>IFERROR(__xludf.DUMMYFUNCTION("""COMPUTED_VALUE"""),4.1086)</f>
        <v>4.1086</v>
      </c>
    </row>
    <row r="1353">
      <c r="D1353" s="6">
        <f>IFERROR(__xludf.DUMMYFUNCTION("""COMPUTED_VALUE"""),40227.99861111111)</f>
        <v>40227.99861</v>
      </c>
      <c r="E1353" s="3">
        <f>IFERROR(__xludf.DUMMYFUNCTION("""COMPUTED_VALUE"""),4.1208)</f>
        <v>4.1208</v>
      </c>
    </row>
    <row r="1354">
      <c r="D1354" s="6">
        <f>IFERROR(__xludf.DUMMYFUNCTION("""COMPUTED_VALUE"""),40228.99861111111)</f>
        <v>40228.99861</v>
      </c>
      <c r="E1354" s="3">
        <f>IFERROR(__xludf.DUMMYFUNCTION("""COMPUTED_VALUE"""),4.119)</f>
        <v>4.119</v>
      </c>
    </row>
    <row r="1355">
      <c r="D1355" s="6">
        <f>IFERROR(__xludf.DUMMYFUNCTION("""COMPUTED_VALUE"""),40231.99861111111)</f>
        <v>40231.99861</v>
      </c>
      <c r="E1355" s="3">
        <f>IFERROR(__xludf.DUMMYFUNCTION("""COMPUTED_VALUE"""),4.1132)</f>
        <v>4.1132</v>
      </c>
    </row>
    <row r="1356">
      <c r="D1356" s="6">
        <f>IFERROR(__xludf.DUMMYFUNCTION("""COMPUTED_VALUE"""),40232.99861111111)</f>
        <v>40232.99861</v>
      </c>
      <c r="E1356" s="3">
        <f>IFERROR(__xludf.DUMMYFUNCTION("""COMPUTED_VALUE"""),4.1142)</f>
        <v>4.1142</v>
      </c>
    </row>
    <row r="1357">
      <c r="D1357" s="6">
        <f>IFERROR(__xludf.DUMMYFUNCTION("""COMPUTED_VALUE"""),40233.99861111111)</f>
        <v>40233.99861</v>
      </c>
      <c r="E1357" s="3">
        <f>IFERROR(__xludf.DUMMYFUNCTION("""COMPUTED_VALUE"""),4.1241)</f>
        <v>4.1241</v>
      </c>
    </row>
    <row r="1358">
      <c r="D1358" s="6">
        <f>IFERROR(__xludf.DUMMYFUNCTION("""COMPUTED_VALUE"""),40234.99861111111)</f>
        <v>40234.99861</v>
      </c>
      <c r="E1358" s="3">
        <f>IFERROR(__xludf.DUMMYFUNCTION("""COMPUTED_VALUE"""),4.113)</f>
        <v>4.113</v>
      </c>
    </row>
    <row r="1359">
      <c r="D1359" s="6">
        <f>IFERROR(__xludf.DUMMYFUNCTION("""COMPUTED_VALUE"""),40235.99861111111)</f>
        <v>40235.99861</v>
      </c>
      <c r="E1359" s="3">
        <f>IFERROR(__xludf.DUMMYFUNCTION("""COMPUTED_VALUE"""),4.098)</f>
        <v>4.098</v>
      </c>
    </row>
    <row r="1360">
      <c r="D1360" s="6">
        <f>IFERROR(__xludf.DUMMYFUNCTION("""COMPUTED_VALUE"""),40238.99861111111)</f>
        <v>40238.99861</v>
      </c>
      <c r="E1360" s="3">
        <f>IFERROR(__xludf.DUMMYFUNCTION("""COMPUTED_VALUE"""),4.1097)</f>
        <v>4.1097</v>
      </c>
    </row>
    <row r="1361">
      <c r="D1361" s="6">
        <f>IFERROR(__xludf.DUMMYFUNCTION("""COMPUTED_VALUE"""),40239.99861111111)</f>
        <v>40239.99861</v>
      </c>
      <c r="E1361" s="3">
        <f>IFERROR(__xludf.DUMMYFUNCTION("""COMPUTED_VALUE"""),4.0945)</f>
        <v>4.0945</v>
      </c>
    </row>
    <row r="1362">
      <c r="D1362" s="6">
        <f>IFERROR(__xludf.DUMMYFUNCTION("""COMPUTED_VALUE"""),40240.99861111111)</f>
        <v>40240.99861</v>
      </c>
      <c r="E1362" s="3">
        <f>IFERROR(__xludf.DUMMYFUNCTION("""COMPUTED_VALUE"""),4.0754)</f>
        <v>4.0754</v>
      </c>
    </row>
    <row r="1363">
      <c r="D1363" s="6">
        <f>IFERROR(__xludf.DUMMYFUNCTION("""COMPUTED_VALUE"""),40241.99861111111)</f>
        <v>40241.99861</v>
      </c>
      <c r="E1363" s="3">
        <f>IFERROR(__xludf.DUMMYFUNCTION("""COMPUTED_VALUE"""),4.0778)</f>
        <v>4.0778</v>
      </c>
    </row>
    <row r="1364">
      <c r="D1364" s="6">
        <f>IFERROR(__xludf.DUMMYFUNCTION("""COMPUTED_VALUE"""),40242.99861111111)</f>
        <v>40242.99861</v>
      </c>
      <c r="E1364" s="3">
        <f>IFERROR(__xludf.DUMMYFUNCTION("""COMPUTED_VALUE"""),4.08)</f>
        <v>4.08</v>
      </c>
    </row>
    <row r="1365">
      <c r="D1365" s="6">
        <f>IFERROR(__xludf.DUMMYFUNCTION("""COMPUTED_VALUE"""),40244.99861111111)</f>
        <v>40244.99861</v>
      </c>
      <c r="E1365" s="3">
        <f>IFERROR(__xludf.DUMMYFUNCTION("""COMPUTED_VALUE"""),4.08)</f>
        <v>4.08</v>
      </c>
    </row>
    <row r="1366">
      <c r="D1366" s="6">
        <f>IFERROR(__xludf.DUMMYFUNCTION("""COMPUTED_VALUE"""),40245.99861111111)</f>
        <v>40245.99861</v>
      </c>
      <c r="E1366" s="3">
        <f>IFERROR(__xludf.DUMMYFUNCTION("""COMPUTED_VALUE"""),4.0802)</f>
        <v>4.0802</v>
      </c>
    </row>
    <row r="1367">
      <c r="D1367" s="6">
        <f>IFERROR(__xludf.DUMMYFUNCTION("""COMPUTED_VALUE"""),40246.99861111111)</f>
        <v>40246.99861</v>
      </c>
      <c r="E1367" s="3">
        <f>IFERROR(__xludf.DUMMYFUNCTION("""COMPUTED_VALUE"""),4.0895)</f>
        <v>4.0895</v>
      </c>
    </row>
    <row r="1368">
      <c r="D1368" s="6">
        <f>IFERROR(__xludf.DUMMYFUNCTION("""COMPUTED_VALUE"""),40247.99861111111)</f>
        <v>40247.99861</v>
      </c>
      <c r="E1368" s="3">
        <f>IFERROR(__xludf.DUMMYFUNCTION("""COMPUTED_VALUE"""),4.0841)</f>
        <v>4.0841</v>
      </c>
    </row>
    <row r="1369">
      <c r="D1369" s="6">
        <f>IFERROR(__xludf.DUMMYFUNCTION("""COMPUTED_VALUE"""),40248.99861111111)</f>
        <v>40248.99861</v>
      </c>
      <c r="E1369" s="3">
        <f>IFERROR(__xludf.DUMMYFUNCTION("""COMPUTED_VALUE"""),4.0839)</f>
        <v>4.0839</v>
      </c>
    </row>
    <row r="1370">
      <c r="D1370" s="6">
        <f>IFERROR(__xludf.DUMMYFUNCTION("""COMPUTED_VALUE"""),40249.99861111111)</f>
        <v>40249.99861</v>
      </c>
      <c r="E1370" s="3">
        <f>IFERROR(__xludf.DUMMYFUNCTION("""COMPUTED_VALUE"""),4.0805)</f>
        <v>4.0805</v>
      </c>
    </row>
    <row r="1371">
      <c r="D1371" s="6">
        <f>IFERROR(__xludf.DUMMYFUNCTION("""COMPUTED_VALUE"""),40251.99861111111)</f>
        <v>40251.99861</v>
      </c>
      <c r="E1371" s="3">
        <f>IFERROR(__xludf.DUMMYFUNCTION("""COMPUTED_VALUE"""),4.0805)</f>
        <v>4.0805</v>
      </c>
    </row>
    <row r="1372">
      <c r="D1372" s="6">
        <f>IFERROR(__xludf.DUMMYFUNCTION("""COMPUTED_VALUE"""),40252.99861111111)</f>
        <v>40252.99861</v>
      </c>
      <c r="E1372" s="3">
        <f>IFERROR(__xludf.DUMMYFUNCTION("""COMPUTED_VALUE"""),4.0768)</f>
        <v>4.0768</v>
      </c>
    </row>
    <row r="1373">
      <c r="D1373" s="6">
        <f>IFERROR(__xludf.DUMMYFUNCTION("""COMPUTED_VALUE"""),40253.99861111111)</f>
        <v>40253.99861</v>
      </c>
      <c r="E1373" s="3">
        <f>IFERROR(__xludf.DUMMYFUNCTION("""COMPUTED_VALUE"""),4.079)</f>
        <v>4.079</v>
      </c>
    </row>
    <row r="1374">
      <c r="D1374" s="6">
        <f>IFERROR(__xludf.DUMMYFUNCTION("""COMPUTED_VALUE"""),40254.99861111111)</f>
        <v>40254.99861</v>
      </c>
      <c r="E1374" s="3">
        <f>IFERROR(__xludf.DUMMYFUNCTION("""COMPUTED_VALUE"""),4.0713)</f>
        <v>4.0713</v>
      </c>
    </row>
    <row r="1375">
      <c r="D1375" s="6">
        <f>IFERROR(__xludf.DUMMYFUNCTION("""COMPUTED_VALUE"""),40255.99861111111)</f>
        <v>40255.99861</v>
      </c>
      <c r="E1375" s="3">
        <f>IFERROR(__xludf.DUMMYFUNCTION("""COMPUTED_VALUE"""),4.0712)</f>
        <v>4.0712</v>
      </c>
    </row>
    <row r="1376">
      <c r="D1376" s="6">
        <f>IFERROR(__xludf.DUMMYFUNCTION("""COMPUTED_VALUE"""),40256.99861111111)</f>
        <v>40256.99861</v>
      </c>
      <c r="E1376" s="3">
        <f>IFERROR(__xludf.DUMMYFUNCTION("""COMPUTED_VALUE"""),4.0706)</f>
        <v>4.0706</v>
      </c>
    </row>
    <row r="1377">
      <c r="D1377" s="6">
        <f>IFERROR(__xludf.DUMMYFUNCTION("""COMPUTED_VALUE"""),40258.99861111111)</f>
        <v>40258.99861</v>
      </c>
      <c r="E1377" s="3">
        <f>IFERROR(__xludf.DUMMYFUNCTION("""COMPUTED_VALUE"""),4.0706)</f>
        <v>4.0706</v>
      </c>
    </row>
    <row r="1378">
      <c r="D1378" s="6">
        <f>IFERROR(__xludf.DUMMYFUNCTION("""COMPUTED_VALUE"""),40259.99861111111)</f>
        <v>40259.99861</v>
      </c>
      <c r="E1378" s="3">
        <f>IFERROR(__xludf.DUMMYFUNCTION("""COMPUTED_VALUE"""),4.0731)</f>
        <v>4.0731</v>
      </c>
    </row>
    <row r="1379">
      <c r="D1379" s="6">
        <f>IFERROR(__xludf.DUMMYFUNCTION("""COMPUTED_VALUE"""),40260.99861111111)</f>
        <v>40260.99861</v>
      </c>
      <c r="E1379" s="3">
        <f>IFERROR(__xludf.DUMMYFUNCTION("""COMPUTED_VALUE"""),4.0586)</f>
        <v>4.0586</v>
      </c>
    </row>
    <row r="1380">
      <c r="D1380" s="6">
        <f>IFERROR(__xludf.DUMMYFUNCTION("""COMPUTED_VALUE"""),40261.99861111111)</f>
        <v>40261.99861</v>
      </c>
      <c r="E1380" s="3">
        <f>IFERROR(__xludf.DUMMYFUNCTION("""COMPUTED_VALUE"""),4.0527)</f>
        <v>4.0527</v>
      </c>
    </row>
    <row r="1381">
      <c r="D1381" s="6">
        <f>IFERROR(__xludf.DUMMYFUNCTION("""COMPUTED_VALUE"""),40262.99861111111)</f>
        <v>40262.99861</v>
      </c>
      <c r="E1381" s="3">
        <f>IFERROR(__xludf.DUMMYFUNCTION("""COMPUTED_VALUE"""),4.0509)</f>
        <v>4.0509</v>
      </c>
    </row>
    <row r="1382">
      <c r="D1382" s="6">
        <f>IFERROR(__xludf.DUMMYFUNCTION("""COMPUTED_VALUE"""),40263.99861111111)</f>
        <v>40263.99861</v>
      </c>
      <c r="E1382" s="3">
        <f>IFERROR(__xludf.DUMMYFUNCTION("""COMPUTED_VALUE"""),4.0595)</f>
        <v>4.0595</v>
      </c>
    </row>
    <row r="1383">
      <c r="D1383" s="6">
        <f>IFERROR(__xludf.DUMMYFUNCTION("""COMPUTED_VALUE"""),40265.99861111111)</f>
        <v>40265.99861</v>
      </c>
      <c r="E1383" s="3">
        <f>IFERROR(__xludf.DUMMYFUNCTION("""COMPUTED_VALUE"""),4.0553)</f>
        <v>4.0553</v>
      </c>
    </row>
    <row r="1384">
      <c r="D1384" s="6">
        <f>IFERROR(__xludf.DUMMYFUNCTION("""COMPUTED_VALUE"""),40266.99861111111)</f>
        <v>40266.99861</v>
      </c>
      <c r="E1384" s="3">
        <f>IFERROR(__xludf.DUMMYFUNCTION("""COMPUTED_VALUE"""),4.0553)</f>
        <v>4.0553</v>
      </c>
    </row>
    <row r="1385">
      <c r="D1385" s="6">
        <f>IFERROR(__xludf.DUMMYFUNCTION("""COMPUTED_VALUE"""),40267.99861111111)</f>
        <v>40267.99861</v>
      </c>
      <c r="E1385" s="3">
        <f>IFERROR(__xludf.DUMMYFUNCTION("""COMPUTED_VALUE"""),4.064)</f>
        <v>4.064</v>
      </c>
    </row>
    <row r="1386">
      <c r="D1386" s="6">
        <f>IFERROR(__xludf.DUMMYFUNCTION("""COMPUTED_VALUE"""),40268.99861111111)</f>
        <v>40268.99861</v>
      </c>
      <c r="E1386" s="3">
        <f>IFERROR(__xludf.DUMMYFUNCTION("""COMPUTED_VALUE"""),4.0818)</f>
        <v>4.0818</v>
      </c>
    </row>
    <row r="1387">
      <c r="D1387" s="6">
        <f>IFERROR(__xludf.DUMMYFUNCTION("""COMPUTED_VALUE"""),40269.99861111111)</f>
        <v>40269.99861</v>
      </c>
      <c r="E1387" s="3">
        <f>IFERROR(__xludf.DUMMYFUNCTION("""COMPUTED_VALUE"""),4.0952)</f>
        <v>4.0952</v>
      </c>
    </row>
    <row r="1388">
      <c r="D1388" s="6">
        <f>IFERROR(__xludf.DUMMYFUNCTION("""COMPUTED_VALUE"""),40270.99861111111)</f>
        <v>40270.99861</v>
      </c>
      <c r="E1388" s="3">
        <f>IFERROR(__xludf.DUMMYFUNCTION("""COMPUTED_VALUE"""),4.0952)</f>
        <v>4.0952</v>
      </c>
    </row>
    <row r="1389">
      <c r="D1389" s="6">
        <f>IFERROR(__xludf.DUMMYFUNCTION("""COMPUTED_VALUE"""),40272.99861111111)</f>
        <v>40272.99861</v>
      </c>
      <c r="E1389" s="3">
        <f>IFERROR(__xludf.DUMMYFUNCTION("""COMPUTED_VALUE"""),4.0952)</f>
        <v>4.0952</v>
      </c>
    </row>
    <row r="1390">
      <c r="D1390" s="6">
        <f>IFERROR(__xludf.DUMMYFUNCTION("""COMPUTED_VALUE"""),40273.99861111111)</f>
        <v>40273.99861</v>
      </c>
      <c r="E1390" s="3">
        <f>IFERROR(__xludf.DUMMYFUNCTION("""COMPUTED_VALUE"""),4.0952)</f>
        <v>4.0952</v>
      </c>
    </row>
    <row r="1391">
      <c r="D1391" s="6">
        <f>IFERROR(__xludf.DUMMYFUNCTION("""COMPUTED_VALUE"""),40274.99861111111)</f>
        <v>40274.99861</v>
      </c>
      <c r="E1391" s="3">
        <f>IFERROR(__xludf.DUMMYFUNCTION("""COMPUTED_VALUE"""),4.0828)</f>
        <v>4.0828</v>
      </c>
    </row>
    <row r="1392">
      <c r="D1392" s="6">
        <f>IFERROR(__xludf.DUMMYFUNCTION("""COMPUTED_VALUE"""),40275.99861111111)</f>
        <v>40275.99861</v>
      </c>
      <c r="E1392" s="3">
        <f>IFERROR(__xludf.DUMMYFUNCTION("""COMPUTED_VALUE"""),4.0842)</f>
        <v>4.0842</v>
      </c>
    </row>
    <row r="1393">
      <c r="D1393" s="6">
        <f>IFERROR(__xludf.DUMMYFUNCTION("""COMPUTED_VALUE"""),40276.99861111111)</f>
        <v>40276.99861</v>
      </c>
      <c r="E1393" s="3">
        <f>IFERROR(__xludf.DUMMYFUNCTION("""COMPUTED_VALUE"""),4.1117)</f>
        <v>4.1117</v>
      </c>
    </row>
    <row r="1394">
      <c r="D1394" s="6">
        <f>IFERROR(__xludf.DUMMYFUNCTION("""COMPUTED_VALUE"""),40277.99861111111)</f>
        <v>40277.99861</v>
      </c>
      <c r="E1394" s="3">
        <f>IFERROR(__xludf.DUMMYFUNCTION("""COMPUTED_VALUE"""),4.1219)</f>
        <v>4.1219</v>
      </c>
    </row>
    <row r="1395">
      <c r="D1395" s="6">
        <f>IFERROR(__xludf.DUMMYFUNCTION("""COMPUTED_VALUE"""),40280.99861111111)</f>
        <v>40280.99861</v>
      </c>
      <c r="E1395" s="3">
        <f>IFERROR(__xludf.DUMMYFUNCTION("""COMPUTED_VALUE"""),4.1167)</f>
        <v>4.1167</v>
      </c>
    </row>
    <row r="1396">
      <c r="D1396" s="6">
        <f>IFERROR(__xludf.DUMMYFUNCTION("""COMPUTED_VALUE"""),40281.99861111111)</f>
        <v>40281.99861</v>
      </c>
      <c r="E1396" s="3">
        <f>IFERROR(__xludf.DUMMYFUNCTION("""COMPUTED_VALUE"""),4.1367)</f>
        <v>4.1367</v>
      </c>
    </row>
    <row r="1397">
      <c r="D1397" s="6">
        <f>IFERROR(__xludf.DUMMYFUNCTION("""COMPUTED_VALUE"""),40282.99861111111)</f>
        <v>40282.99861</v>
      </c>
      <c r="E1397" s="3">
        <f>IFERROR(__xludf.DUMMYFUNCTION("""COMPUTED_VALUE"""),4.13)</f>
        <v>4.13</v>
      </c>
    </row>
    <row r="1398">
      <c r="D1398" s="6">
        <f>IFERROR(__xludf.DUMMYFUNCTION("""COMPUTED_VALUE"""),40283.99861111111)</f>
        <v>40283.99861</v>
      </c>
      <c r="E1398" s="3">
        <f>IFERROR(__xludf.DUMMYFUNCTION("""COMPUTED_VALUE"""),4.1278)</f>
        <v>4.1278</v>
      </c>
    </row>
    <row r="1399">
      <c r="D1399" s="6">
        <f>IFERROR(__xludf.DUMMYFUNCTION("""COMPUTED_VALUE"""),40284.99861111111)</f>
        <v>40284.99861</v>
      </c>
      <c r="E1399" s="3">
        <f>IFERROR(__xludf.DUMMYFUNCTION("""COMPUTED_VALUE"""),4.1421)</f>
        <v>4.1421</v>
      </c>
    </row>
    <row r="1400">
      <c r="D1400" s="6">
        <f>IFERROR(__xludf.DUMMYFUNCTION("""COMPUTED_VALUE"""),40287.99861111111)</f>
        <v>40287.99861</v>
      </c>
      <c r="E1400" s="3">
        <f>IFERROR(__xludf.DUMMYFUNCTION("""COMPUTED_VALUE"""),4.1494)</f>
        <v>4.1494</v>
      </c>
    </row>
    <row r="1401">
      <c r="D1401" s="6">
        <f>IFERROR(__xludf.DUMMYFUNCTION("""COMPUTED_VALUE"""),40288.99861111111)</f>
        <v>40288.99861</v>
      </c>
      <c r="E1401" s="3">
        <f>IFERROR(__xludf.DUMMYFUNCTION("""COMPUTED_VALUE"""),4.1359)</f>
        <v>4.1359</v>
      </c>
    </row>
    <row r="1402">
      <c r="D1402" s="6">
        <f>IFERROR(__xludf.DUMMYFUNCTION("""COMPUTED_VALUE"""),40289.99861111111)</f>
        <v>40289.99861</v>
      </c>
      <c r="E1402" s="3">
        <f>IFERROR(__xludf.DUMMYFUNCTION("""COMPUTED_VALUE"""),4.1261)</f>
        <v>4.1261</v>
      </c>
    </row>
    <row r="1403">
      <c r="D1403" s="6">
        <f>IFERROR(__xludf.DUMMYFUNCTION("""COMPUTED_VALUE"""),40290.99861111111)</f>
        <v>40290.99861</v>
      </c>
      <c r="E1403" s="3">
        <f>IFERROR(__xludf.DUMMYFUNCTION("""COMPUTED_VALUE"""),4.127)</f>
        <v>4.127</v>
      </c>
    </row>
    <row r="1404">
      <c r="D1404" s="6">
        <f>IFERROR(__xludf.DUMMYFUNCTION("""COMPUTED_VALUE"""),40291.99861111111)</f>
        <v>40291.99861</v>
      </c>
      <c r="E1404" s="3">
        <f>IFERROR(__xludf.DUMMYFUNCTION("""COMPUTED_VALUE"""),4.1135)</f>
        <v>4.1135</v>
      </c>
    </row>
    <row r="1405">
      <c r="D1405" s="6">
        <f>IFERROR(__xludf.DUMMYFUNCTION("""COMPUTED_VALUE"""),40294.99861111111)</f>
        <v>40294.99861</v>
      </c>
      <c r="E1405" s="3">
        <f>IFERROR(__xludf.DUMMYFUNCTION("""COMPUTED_VALUE"""),4.1056)</f>
        <v>4.1056</v>
      </c>
    </row>
    <row r="1406">
      <c r="D1406" s="6">
        <f>IFERROR(__xludf.DUMMYFUNCTION("""COMPUTED_VALUE"""),40295.99861111111)</f>
        <v>40295.99861</v>
      </c>
      <c r="E1406" s="3">
        <f>IFERROR(__xludf.DUMMYFUNCTION("""COMPUTED_VALUE"""),4.1235)</f>
        <v>4.1235</v>
      </c>
    </row>
    <row r="1407">
      <c r="D1407" s="6">
        <f>IFERROR(__xludf.DUMMYFUNCTION("""COMPUTED_VALUE"""),40296.99861111111)</f>
        <v>40296.99861</v>
      </c>
      <c r="E1407" s="3">
        <f>IFERROR(__xludf.DUMMYFUNCTION("""COMPUTED_VALUE"""),4.1314)</f>
        <v>4.1314</v>
      </c>
    </row>
    <row r="1408">
      <c r="D1408" s="6">
        <f>IFERROR(__xludf.DUMMYFUNCTION("""COMPUTED_VALUE"""),40297.99861111111)</f>
        <v>40297.99861</v>
      </c>
      <c r="E1408" s="3">
        <f>IFERROR(__xludf.DUMMYFUNCTION("""COMPUTED_VALUE"""),4.1226)</f>
        <v>4.1226</v>
      </c>
    </row>
    <row r="1409">
      <c r="D1409" s="6">
        <f>IFERROR(__xludf.DUMMYFUNCTION("""COMPUTED_VALUE"""),40298.99861111111)</f>
        <v>40298.99861</v>
      </c>
      <c r="E1409" s="3">
        <f>IFERROR(__xludf.DUMMYFUNCTION("""COMPUTED_VALUE"""),4.1202)</f>
        <v>4.1202</v>
      </c>
    </row>
    <row r="1410">
      <c r="D1410" s="6">
        <f>IFERROR(__xludf.DUMMYFUNCTION("""COMPUTED_VALUE"""),40300.99861111111)</f>
        <v>40300.99861</v>
      </c>
      <c r="E1410" s="3">
        <f>IFERROR(__xludf.DUMMYFUNCTION("""COMPUTED_VALUE"""),4.1202)</f>
        <v>4.1202</v>
      </c>
    </row>
    <row r="1411">
      <c r="D1411" s="6">
        <f>IFERROR(__xludf.DUMMYFUNCTION("""COMPUTED_VALUE"""),40301.99861111111)</f>
        <v>40301.99861</v>
      </c>
      <c r="E1411" s="3">
        <f>IFERROR(__xludf.DUMMYFUNCTION("""COMPUTED_VALUE"""),4.1182)</f>
        <v>4.1182</v>
      </c>
    </row>
    <row r="1412">
      <c r="D1412" s="6">
        <f>IFERROR(__xludf.DUMMYFUNCTION("""COMPUTED_VALUE"""),40302.99861111111)</f>
        <v>40302.99861</v>
      </c>
      <c r="E1412" s="3">
        <f>IFERROR(__xludf.DUMMYFUNCTION("""COMPUTED_VALUE"""),4.1345)</f>
        <v>4.1345</v>
      </c>
    </row>
    <row r="1413">
      <c r="D1413" s="6">
        <f>IFERROR(__xludf.DUMMYFUNCTION("""COMPUTED_VALUE"""),40303.99861111111)</f>
        <v>40303.99861</v>
      </c>
      <c r="E1413" s="3">
        <f>IFERROR(__xludf.DUMMYFUNCTION("""COMPUTED_VALUE"""),4.1744)</f>
        <v>4.1744</v>
      </c>
    </row>
    <row r="1414">
      <c r="D1414" s="6">
        <f>IFERROR(__xludf.DUMMYFUNCTION("""COMPUTED_VALUE"""),40304.99861111111)</f>
        <v>40304.99861</v>
      </c>
      <c r="E1414" s="3">
        <f>IFERROR(__xludf.DUMMYFUNCTION("""COMPUTED_VALUE"""),4.1834)</f>
        <v>4.1834</v>
      </c>
    </row>
    <row r="1415">
      <c r="D1415" s="6">
        <f>IFERROR(__xludf.DUMMYFUNCTION("""COMPUTED_VALUE"""),40305.99861111111)</f>
        <v>40305.99861</v>
      </c>
      <c r="E1415" s="3">
        <f>IFERROR(__xludf.DUMMYFUNCTION("""COMPUTED_VALUE"""),4.1866)</f>
        <v>4.1866</v>
      </c>
    </row>
    <row r="1416">
      <c r="D1416" s="6">
        <f>IFERROR(__xludf.DUMMYFUNCTION("""COMPUTED_VALUE"""),40307.99861111111)</f>
        <v>40307.99861</v>
      </c>
      <c r="E1416" s="3">
        <f>IFERROR(__xludf.DUMMYFUNCTION("""COMPUTED_VALUE"""),4.1551)</f>
        <v>4.1551</v>
      </c>
    </row>
    <row r="1417">
      <c r="D1417" s="6">
        <f>IFERROR(__xludf.DUMMYFUNCTION("""COMPUTED_VALUE"""),40308.99861111111)</f>
        <v>40308.99861</v>
      </c>
      <c r="E1417" s="3">
        <f>IFERROR(__xludf.DUMMYFUNCTION("""COMPUTED_VALUE"""),4.1551)</f>
        <v>4.1551</v>
      </c>
    </row>
    <row r="1418">
      <c r="D1418" s="6">
        <f>IFERROR(__xludf.DUMMYFUNCTION("""COMPUTED_VALUE"""),40309.99861111111)</f>
        <v>40309.99861</v>
      </c>
      <c r="E1418" s="3">
        <f>IFERROR(__xludf.DUMMYFUNCTION("""COMPUTED_VALUE"""),4.1656)</f>
        <v>4.1656</v>
      </c>
    </row>
    <row r="1419">
      <c r="D1419" s="6">
        <f>IFERROR(__xludf.DUMMYFUNCTION("""COMPUTED_VALUE"""),40310.99861111111)</f>
        <v>40310.99861</v>
      </c>
      <c r="E1419" s="3">
        <f>IFERROR(__xludf.DUMMYFUNCTION("""COMPUTED_VALUE"""),4.1661)</f>
        <v>4.1661</v>
      </c>
    </row>
    <row r="1420">
      <c r="D1420" s="6">
        <f>IFERROR(__xludf.DUMMYFUNCTION("""COMPUTED_VALUE"""),40311.99861111111)</f>
        <v>40311.99861</v>
      </c>
      <c r="E1420" s="3">
        <f>IFERROR(__xludf.DUMMYFUNCTION("""COMPUTED_VALUE"""),4.1661)</f>
        <v>4.1661</v>
      </c>
    </row>
    <row r="1421">
      <c r="D1421" s="6">
        <f>IFERROR(__xludf.DUMMYFUNCTION("""COMPUTED_VALUE"""),40312.99861111111)</f>
        <v>40312.99861</v>
      </c>
      <c r="E1421" s="3">
        <f>IFERROR(__xludf.DUMMYFUNCTION("""COMPUTED_VALUE"""),4.1784)</f>
        <v>4.1784</v>
      </c>
    </row>
    <row r="1422">
      <c r="D1422" s="6">
        <f>IFERROR(__xludf.DUMMYFUNCTION("""COMPUTED_VALUE"""),40314.99861111111)</f>
        <v>40314.99861</v>
      </c>
      <c r="E1422" s="3">
        <f>IFERROR(__xludf.DUMMYFUNCTION("""COMPUTED_VALUE"""),4.1784)</f>
        <v>4.1784</v>
      </c>
    </row>
    <row r="1423">
      <c r="D1423" s="6">
        <f>IFERROR(__xludf.DUMMYFUNCTION("""COMPUTED_VALUE"""),40315.99861111111)</f>
        <v>40315.99861</v>
      </c>
      <c r="E1423" s="3">
        <f>IFERROR(__xludf.DUMMYFUNCTION("""COMPUTED_VALUE"""),4.1934)</f>
        <v>4.1934</v>
      </c>
    </row>
    <row r="1424">
      <c r="D1424" s="6">
        <f>IFERROR(__xludf.DUMMYFUNCTION("""COMPUTED_VALUE"""),40316.99861111111)</f>
        <v>40316.99861</v>
      </c>
      <c r="E1424" s="3">
        <f>IFERROR(__xludf.DUMMYFUNCTION("""COMPUTED_VALUE"""),4.1851)</f>
        <v>4.1851</v>
      </c>
    </row>
    <row r="1425">
      <c r="D1425" s="6">
        <f>IFERROR(__xludf.DUMMYFUNCTION("""COMPUTED_VALUE"""),40317.99861111111)</f>
        <v>40317.99861</v>
      </c>
      <c r="E1425" s="3">
        <f>IFERROR(__xludf.DUMMYFUNCTION("""COMPUTED_VALUE"""),4.1984)</f>
        <v>4.1984</v>
      </c>
    </row>
    <row r="1426">
      <c r="D1426" s="6">
        <f>IFERROR(__xludf.DUMMYFUNCTION("""COMPUTED_VALUE"""),40318.99861111111)</f>
        <v>40318.99861</v>
      </c>
      <c r="E1426" s="3">
        <f>IFERROR(__xludf.DUMMYFUNCTION("""COMPUTED_VALUE"""),4.1916)</f>
        <v>4.1916</v>
      </c>
    </row>
    <row r="1427">
      <c r="D1427" s="6">
        <f>IFERROR(__xludf.DUMMYFUNCTION("""COMPUTED_VALUE"""),40319.99861111111)</f>
        <v>40319.99861</v>
      </c>
      <c r="E1427" s="3">
        <f>IFERROR(__xludf.DUMMYFUNCTION("""COMPUTED_VALUE"""),4.1766)</f>
        <v>4.1766</v>
      </c>
    </row>
    <row r="1428">
      <c r="D1428" s="6">
        <f>IFERROR(__xludf.DUMMYFUNCTION("""COMPUTED_VALUE"""),40321.99861111111)</f>
        <v>40321.99861</v>
      </c>
      <c r="E1428" s="3">
        <f>IFERROR(__xludf.DUMMYFUNCTION("""COMPUTED_VALUE"""),4.1766)</f>
        <v>4.1766</v>
      </c>
    </row>
    <row r="1429">
      <c r="D1429" s="6">
        <f>IFERROR(__xludf.DUMMYFUNCTION("""COMPUTED_VALUE"""),40322.99861111111)</f>
        <v>40322.99861</v>
      </c>
      <c r="E1429" s="3">
        <f>IFERROR(__xludf.DUMMYFUNCTION("""COMPUTED_VALUE"""),4.184)</f>
        <v>4.184</v>
      </c>
    </row>
    <row r="1430">
      <c r="D1430" s="6">
        <f>IFERROR(__xludf.DUMMYFUNCTION("""COMPUTED_VALUE"""),40323.99861111111)</f>
        <v>40323.99861</v>
      </c>
      <c r="E1430" s="3">
        <f>IFERROR(__xludf.DUMMYFUNCTION("""COMPUTED_VALUE"""),4.1696)</f>
        <v>4.1696</v>
      </c>
    </row>
    <row r="1431">
      <c r="D1431" s="6">
        <f>IFERROR(__xludf.DUMMYFUNCTION("""COMPUTED_VALUE"""),40324.99861111111)</f>
        <v>40324.99861</v>
      </c>
      <c r="E1431" s="3">
        <f>IFERROR(__xludf.DUMMYFUNCTION("""COMPUTED_VALUE"""),4.155)</f>
        <v>4.155</v>
      </c>
    </row>
    <row r="1432">
      <c r="D1432" s="6">
        <f>IFERROR(__xludf.DUMMYFUNCTION("""COMPUTED_VALUE"""),40325.99861111111)</f>
        <v>40325.99861</v>
      </c>
      <c r="E1432" s="3">
        <f>IFERROR(__xludf.DUMMYFUNCTION("""COMPUTED_VALUE"""),4.161)</f>
        <v>4.161</v>
      </c>
    </row>
    <row r="1433">
      <c r="D1433" s="6">
        <f>IFERROR(__xludf.DUMMYFUNCTION("""COMPUTED_VALUE"""),40326.99861111111)</f>
        <v>40326.99861</v>
      </c>
      <c r="E1433" s="3">
        <f>IFERROR(__xludf.DUMMYFUNCTION("""COMPUTED_VALUE"""),4.157)</f>
        <v>4.157</v>
      </c>
    </row>
    <row r="1434">
      <c r="D1434" s="6">
        <f>IFERROR(__xludf.DUMMYFUNCTION("""COMPUTED_VALUE"""),40329.99861111111)</f>
        <v>40329.99861</v>
      </c>
      <c r="E1434" s="3">
        <f>IFERROR(__xludf.DUMMYFUNCTION("""COMPUTED_VALUE"""),4.1853)</f>
        <v>4.1853</v>
      </c>
    </row>
    <row r="1435">
      <c r="D1435" s="6">
        <f>IFERROR(__xludf.DUMMYFUNCTION("""COMPUTED_VALUE"""),40330.99861111111)</f>
        <v>40330.99861</v>
      </c>
      <c r="E1435" s="3">
        <f>IFERROR(__xludf.DUMMYFUNCTION("""COMPUTED_VALUE"""),4.1678)</f>
        <v>4.1678</v>
      </c>
    </row>
    <row r="1436">
      <c r="D1436" s="6">
        <f>IFERROR(__xludf.DUMMYFUNCTION("""COMPUTED_VALUE"""),40331.99861111111)</f>
        <v>40331.99861</v>
      </c>
      <c r="E1436" s="3">
        <f>IFERROR(__xludf.DUMMYFUNCTION("""COMPUTED_VALUE"""),4.1784)</f>
        <v>4.1784</v>
      </c>
    </row>
    <row r="1437">
      <c r="D1437" s="6">
        <f>IFERROR(__xludf.DUMMYFUNCTION("""COMPUTED_VALUE"""),40332.99861111111)</f>
        <v>40332.99861</v>
      </c>
      <c r="E1437" s="3">
        <f>IFERROR(__xludf.DUMMYFUNCTION("""COMPUTED_VALUE"""),4.1856)</f>
        <v>4.1856</v>
      </c>
    </row>
    <row r="1438">
      <c r="D1438" s="6">
        <f>IFERROR(__xludf.DUMMYFUNCTION("""COMPUTED_VALUE"""),40333.99861111111)</f>
        <v>40333.99861</v>
      </c>
      <c r="E1438" s="3">
        <f>IFERROR(__xludf.DUMMYFUNCTION("""COMPUTED_VALUE"""),4.2054)</f>
        <v>4.2054</v>
      </c>
    </row>
    <row r="1439">
      <c r="D1439" s="6">
        <f>IFERROR(__xludf.DUMMYFUNCTION("""COMPUTED_VALUE"""),40335.99861111111)</f>
        <v>40335.99861</v>
      </c>
      <c r="E1439" s="3">
        <f>IFERROR(__xludf.DUMMYFUNCTION("""COMPUTED_VALUE"""),4.2054)</f>
        <v>4.2054</v>
      </c>
    </row>
    <row r="1440">
      <c r="D1440" s="6">
        <f>IFERROR(__xludf.DUMMYFUNCTION("""COMPUTED_VALUE"""),40336.99861111111)</f>
        <v>40336.99861</v>
      </c>
      <c r="E1440" s="3">
        <f>IFERROR(__xludf.DUMMYFUNCTION("""COMPUTED_VALUE"""),4.2255)</f>
        <v>4.2255</v>
      </c>
    </row>
    <row r="1441">
      <c r="D1441" s="6">
        <f>IFERROR(__xludf.DUMMYFUNCTION("""COMPUTED_VALUE"""),40337.99861111111)</f>
        <v>40337.99861</v>
      </c>
      <c r="E1441" s="3">
        <f>IFERROR(__xludf.DUMMYFUNCTION("""COMPUTED_VALUE"""),4.2118)</f>
        <v>4.2118</v>
      </c>
    </row>
    <row r="1442">
      <c r="D1442" s="6">
        <f>IFERROR(__xludf.DUMMYFUNCTION("""COMPUTED_VALUE"""),40338.99861111111)</f>
        <v>40338.99861</v>
      </c>
      <c r="E1442" s="3">
        <f>IFERROR(__xludf.DUMMYFUNCTION("""COMPUTED_VALUE"""),4.2072)</f>
        <v>4.2072</v>
      </c>
    </row>
    <row r="1443">
      <c r="D1443" s="6">
        <f>IFERROR(__xludf.DUMMYFUNCTION("""COMPUTED_VALUE"""),40339.99861111111)</f>
        <v>40339.99861</v>
      </c>
      <c r="E1443" s="3">
        <f>IFERROR(__xludf.DUMMYFUNCTION("""COMPUTED_VALUE"""),4.2094)</f>
        <v>4.2094</v>
      </c>
    </row>
    <row r="1444">
      <c r="D1444" s="6">
        <f>IFERROR(__xludf.DUMMYFUNCTION("""COMPUTED_VALUE"""),40340.99861111111)</f>
        <v>40340.99861</v>
      </c>
      <c r="E1444" s="3">
        <f>IFERROR(__xludf.DUMMYFUNCTION("""COMPUTED_VALUE"""),4.2239)</f>
        <v>4.2239</v>
      </c>
    </row>
    <row r="1445">
      <c r="D1445" s="6">
        <f>IFERROR(__xludf.DUMMYFUNCTION("""COMPUTED_VALUE"""),40342.99861111111)</f>
        <v>40342.99861</v>
      </c>
      <c r="E1445" s="3">
        <f>IFERROR(__xludf.DUMMYFUNCTION("""COMPUTED_VALUE"""),4.2239)</f>
        <v>4.2239</v>
      </c>
    </row>
    <row r="1446">
      <c r="D1446" s="6">
        <f>IFERROR(__xludf.DUMMYFUNCTION("""COMPUTED_VALUE"""),40343.99861111111)</f>
        <v>40343.99861</v>
      </c>
      <c r="E1446" s="3">
        <f>IFERROR(__xludf.DUMMYFUNCTION("""COMPUTED_VALUE"""),4.2173)</f>
        <v>4.2173</v>
      </c>
    </row>
    <row r="1447">
      <c r="D1447" s="6">
        <f>IFERROR(__xludf.DUMMYFUNCTION("""COMPUTED_VALUE"""),40344.99861111111)</f>
        <v>40344.99861</v>
      </c>
      <c r="E1447" s="3">
        <f>IFERROR(__xludf.DUMMYFUNCTION("""COMPUTED_VALUE"""),4.2136)</f>
        <v>4.2136</v>
      </c>
    </row>
    <row r="1448">
      <c r="D1448" s="6">
        <f>IFERROR(__xludf.DUMMYFUNCTION("""COMPUTED_VALUE"""),40345.99861111111)</f>
        <v>40345.99861</v>
      </c>
      <c r="E1448" s="3">
        <f>IFERROR(__xludf.DUMMYFUNCTION("""COMPUTED_VALUE"""),4.2242)</f>
        <v>4.2242</v>
      </c>
    </row>
    <row r="1449">
      <c r="D1449" s="6">
        <f>IFERROR(__xludf.DUMMYFUNCTION("""COMPUTED_VALUE"""),40346.99861111111)</f>
        <v>40346.99861</v>
      </c>
      <c r="E1449" s="3">
        <f>IFERROR(__xludf.DUMMYFUNCTION("""COMPUTED_VALUE"""),4.2269)</f>
        <v>4.2269</v>
      </c>
    </row>
    <row r="1450">
      <c r="D1450" s="6">
        <f>IFERROR(__xludf.DUMMYFUNCTION("""COMPUTED_VALUE"""),40347.99861111111)</f>
        <v>40347.99861</v>
      </c>
      <c r="E1450" s="3">
        <f>IFERROR(__xludf.DUMMYFUNCTION("""COMPUTED_VALUE"""),4.2324)</f>
        <v>4.2324</v>
      </c>
    </row>
    <row r="1451">
      <c r="D1451" s="6">
        <f>IFERROR(__xludf.DUMMYFUNCTION("""COMPUTED_VALUE"""),40349.99861111111)</f>
        <v>40349.99861</v>
      </c>
      <c r="E1451" s="3">
        <f>IFERROR(__xludf.DUMMYFUNCTION("""COMPUTED_VALUE"""),4.2324)</f>
        <v>4.2324</v>
      </c>
    </row>
    <row r="1452">
      <c r="D1452" s="6">
        <f>IFERROR(__xludf.DUMMYFUNCTION("""COMPUTED_VALUE"""),40350.99861111111)</f>
        <v>40350.99861</v>
      </c>
      <c r="E1452" s="3">
        <f>IFERROR(__xludf.DUMMYFUNCTION("""COMPUTED_VALUE"""),4.2237)</f>
        <v>4.2237</v>
      </c>
    </row>
    <row r="1453">
      <c r="D1453" s="6">
        <f>IFERROR(__xludf.DUMMYFUNCTION("""COMPUTED_VALUE"""),40351.99861111111)</f>
        <v>40351.99861</v>
      </c>
      <c r="E1453" s="3">
        <f>IFERROR(__xludf.DUMMYFUNCTION("""COMPUTED_VALUE"""),4.2176)</f>
        <v>4.2176</v>
      </c>
    </row>
    <row r="1454">
      <c r="D1454" s="6">
        <f>IFERROR(__xludf.DUMMYFUNCTION("""COMPUTED_VALUE"""),40352.99861111111)</f>
        <v>40352.99861</v>
      </c>
      <c r="E1454" s="3">
        <f>IFERROR(__xludf.DUMMYFUNCTION("""COMPUTED_VALUE"""),4.2186)</f>
        <v>4.2186</v>
      </c>
    </row>
    <row r="1455">
      <c r="D1455" s="6">
        <f>IFERROR(__xludf.DUMMYFUNCTION("""COMPUTED_VALUE"""),40353.99861111111)</f>
        <v>40353.99861</v>
      </c>
      <c r="E1455" s="3">
        <f>IFERROR(__xludf.DUMMYFUNCTION("""COMPUTED_VALUE"""),4.2268)</f>
        <v>4.2268</v>
      </c>
    </row>
    <row r="1456">
      <c r="D1456" s="6">
        <f>IFERROR(__xludf.DUMMYFUNCTION("""COMPUTED_VALUE"""),40354.99861111111)</f>
        <v>40354.99861</v>
      </c>
      <c r="E1456" s="3">
        <f>IFERROR(__xludf.DUMMYFUNCTION("""COMPUTED_VALUE"""),4.2775)</f>
        <v>4.2775</v>
      </c>
    </row>
    <row r="1457">
      <c r="D1457" s="6">
        <f>IFERROR(__xludf.DUMMYFUNCTION("""COMPUTED_VALUE"""),40356.99861111111)</f>
        <v>40356.99861</v>
      </c>
      <c r="E1457" s="3">
        <f>IFERROR(__xludf.DUMMYFUNCTION("""COMPUTED_VALUE"""),4.2696)</f>
        <v>4.2696</v>
      </c>
    </row>
    <row r="1458">
      <c r="D1458" s="6">
        <f>IFERROR(__xludf.DUMMYFUNCTION("""COMPUTED_VALUE"""),40357.99861111111)</f>
        <v>40357.99861</v>
      </c>
      <c r="E1458" s="3">
        <f>IFERROR(__xludf.DUMMYFUNCTION("""COMPUTED_VALUE"""),4.3549)</f>
        <v>4.3549</v>
      </c>
    </row>
    <row r="1459">
      <c r="D1459" s="6">
        <f>IFERROR(__xludf.DUMMYFUNCTION("""COMPUTED_VALUE"""),40358.99861111111)</f>
        <v>40358.99861</v>
      </c>
      <c r="E1459" s="3">
        <f>IFERROR(__xludf.DUMMYFUNCTION("""COMPUTED_VALUE"""),4.3829)</f>
        <v>4.3829</v>
      </c>
    </row>
    <row r="1460">
      <c r="D1460" s="6">
        <f>IFERROR(__xludf.DUMMYFUNCTION("""COMPUTED_VALUE"""),40359.99861111111)</f>
        <v>40359.99861</v>
      </c>
      <c r="E1460" s="3">
        <f>IFERROR(__xludf.DUMMYFUNCTION("""COMPUTED_VALUE"""),4.352)</f>
        <v>4.352</v>
      </c>
    </row>
    <row r="1461">
      <c r="D1461" s="6">
        <f>IFERROR(__xludf.DUMMYFUNCTION("""COMPUTED_VALUE"""),40360.99861111111)</f>
        <v>40360.99861</v>
      </c>
      <c r="E1461" s="3">
        <f>IFERROR(__xludf.DUMMYFUNCTION("""COMPUTED_VALUE"""),4.3337)</f>
        <v>4.3337</v>
      </c>
    </row>
    <row r="1462">
      <c r="D1462" s="6">
        <f>IFERROR(__xludf.DUMMYFUNCTION("""COMPUTED_VALUE"""),40361.99861111111)</f>
        <v>40361.99861</v>
      </c>
      <c r="E1462" s="3">
        <f>IFERROR(__xludf.DUMMYFUNCTION("""COMPUTED_VALUE"""),4.2816)</f>
        <v>4.2816</v>
      </c>
    </row>
    <row r="1463">
      <c r="D1463" s="6">
        <f>IFERROR(__xludf.DUMMYFUNCTION("""COMPUTED_VALUE"""),40363.99861111111)</f>
        <v>40363.99861</v>
      </c>
      <c r="E1463" s="3">
        <f>IFERROR(__xludf.DUMMYFUNCTION("""COMPUTED_VALUE"""),4.2461)</f>
        <v>4.2461</v>
      </c>
    </row>
    <row r="1464">
      <c r="D1464" s="6">
        <f>IFERROR(__xludf.DUMMYFUNCTION("""COMPUTED_VALUE"""),40364.99861111111)</f>
        <v>40364.99861</v>
      </c>
      <c r="E1464" s="3">
        <f>IFERROR(__xludf.DUMMYFUNCTION("""COMPUTED_VALUE"""),4.2461)</f>
        <v>4.2461</v>
      </c>
    </row>
    <row r="1465">
      <c r="D1465" s="6">
        <f>IFERROR(__xludf.DUMMYFUNCTION("""COMPUTED_VALUE"""),40365.99861111111)</f>
        <v>40365.99861</v>
      </c>
      <c r="E1465" s="3">
        <f>IFERROR(__xludf.DUMMYFUNCTION("""COMPUTED_VALUE"""),4.2231)</f>
        <v>4.2231</v>
      </c>
    </row>
    <row r="1466">
      <c r="D1466" s="6">
        <f>IFERROR(__xludf.DUMMYFUNCTION("""COMPUTED_VALUE"""),40366.99861111111)</f>
        <v>40366.99861</v>
      </c>
      <c r="E1466" s="3">
        <f>IFERROR(__xludf.DUMMYFUNCTION("""COMPUTED_VALUE"""),4.2167)</f>
        <v>4.2167</v>
      </c>
    </row>
    <row r="1467">
      <c r="D1467" s="6">
        <f>IFERROR(__xludf.DUMMYFUNCTION("""COMPUTED_VALUE"""),40367.99861111111)</f>
        <v>40367.99861</v>
      </c>
      <c r="E1467" s="3">
        <f>IFERROR(__xludf.DUMMYFUNCTION("""COMPUTED_VALUE"""),4.2277)</f>
        <v>4.2277</v>
      </c>
    </row>
    <row r="1468">
      <c r="D1468" s="6">
        <f>IFERROR(__xludf.DUMMYFUNCTION("""COMPUTED_VALUE"""),40368.99861111111)</f>
        <v>40368.99861</v>
      </c>
      <c r="E1468" s="3">
        <f>IFERROR(__xludf.DUMMYFUNCTION("""COMPUTED_VALUE"""),4.224)</f>
        <v>4.224</v>
      </c>
    </row>
    <row r="1469">
      <c r="D1469" s="6">
        <f>IFERROR(__xludf.DUMMYFUNCTION("""COMPUTED_VALUE"""),40370.99861111111)</f>
        <v>40370.99861</v>
      </c>
      <c r="E1469" s="3">
        <f>IFERROR(__xludf.DUMMYFUNCTION("""COMPUTED_VALUE"""),4.224)</f>
        <v>4.224</v>
      </c>
    </row>
    <row r="1470">
      <c r="D1470" s="6">
        <f>IFERROR(__xludf.DUMMYFUNCTION("""COMPUTED_VALUE"""),40371.99861111111)</f>
        <v>40371.99861</v>
      </c>
      <c r="E1470" s="3">
        <f>IFERROR(__xludf.DUMMYFUNCTION("""COMPUTED_VALUE"""),4.2343)</f>
        <v>4.2343</v>
      </c>
    </row>
    <row r="1471">
      <c r="D1471" s="6">
        <f>IFERROR(__xludf.DUMMYFUNCTION("""COMPUTED_VALUE"""),40372.99861111111)</f>
        <v>40372.99861</v>
      </c>
      <c r="E1471" s="3">
        <f>IFERROR(__xludf.DUMMYFUNCTION("""COMPUTED_VALUE"""),4.2468)</f>
        <v>4.2468</v>
      </c>
    </row>
    <row r="1472">
      <c r="D1472" s="6">
        <f>IFERROR(__xludf.DUMMYFUNCTION("""COMPUTED_VALUE"""),40373.99861111111)</f>
        <v>40373.99861</v>
      </c>
      <c r="E1472" s="3">
        <f>IFERROR(__xludf.DUMMYFUNCTION("""COMPUTED_VALUE"""),4.2628)</f>
        <v>4.2628</v>
      </c>
    </row>
    <row r="1473">
      <c r="D1473" s="6">
        <f>IFERROR(__xludf.DUMMYFUNCTION("""COMPUTED_VALUE"""),40374.99861111111)</f>
        <v>40374.99861</v>
      </c>
      <c r="E1473" s="3">
        <f>IFERROR(__xludf.DUMMYFUNCTION("""COMPUTED_VALUE"""),4.2547)</f>
        <v>4.2547</v>
      </c>
    </row>
    <row r="1474">
      <c r="D1474" s="6">
        <f>IFERROR(__xludf.DUMMYFUNCTION("""COMPUTED_VALUE"""),40375.99861111111)</f>
        <v>40375.99861</v>
      </c>
      <c r="E1474" s="3">
        <f>IFERROR(__xludf.DUMMYFUNCTION("""COMPUTED_VALUE"""),4.2545)</f>
        <v>4.2545</v>
      </c>
    </row>
    <row r="1475">
      <c r="D1475" s="6">
        <f>IFERROR(__xludf.DUMMYFUNCTION("""COMPUTED_VALUE"""),40377.99861111111)</f>
        <v>40377.99861</v>
      </c>
      <c r="E1475" s="3">
        <f>IFERROR(__xludf.DUMMYFUNCTION("""COMPUTED_VALUE"""),4.2545)</f>
        <v>4.2545</v>
      </c>
    </row>
    <row r="1476">
      <c r="D1476" s="6">
        <f>IFERROR(__xludf.DUMMYFUNCTION("""COMPUTED_VALUE"""),40378.99861111111)</f>
        <v>40378.99861</v>
      </c>
      <c r="E1476" s="3">
        <f>IFERROR(__xludf.DUMMYFUNCTION("""COMPUTED_VALUE"""),4.2628)</f>
        <v>4.2628</v>
      </c>
    </row>
    <row r="1477">
      <c r="D1477" s="6">
        <f>IFERROR(__xludf.DUMMYFUNCTION("""COMPUTED_VALUE"""),40379.99861111111)</f>
        <v>40379.99861</v>
      </c>
      <c r="E1477" s="3">
        <f>IFERROR(__xludf.DUMMYFUNCTION("""COMPUTED_VALUE"""),4.2649)</f>
        <v>4.2649</v>
      </c>
    </row>
    <row r="1478">
      <c r="D1478" s="6">
        <f>IFERROR(__xludf.DUMMYFUNCTION("""COMPUTED_VALUE"""),40380.99861111111)</f>
        <v>40380.99861</v>
      </c>
      <c r="E1478" s="3">
        <f>IFERROR(__xludf.DUMMYFUNCTION("""COMPUTED_VALUE"""),4.2536)</f>
        <v>4.2536</v>
      </c>
    </row>
    <row r="1479">
      <c r="D1479" s="6">
        <f>IFERROR(__xludf.DUMMYFUNCTION("""COMPUTED_VALUE"""),40381.99861111111)</f>
        <v>40381.99861</v>
      </c>
      <c r="E1479" s="3">
        <f>IFERROR(__xludf.DUMMYFUNCTION("""COMPUTED_VALUE"""),4.2572)</f>
        <v>4.2572</v>
      </c>
    </row>
    <row r="1480">
      <c r="D1480" s="6">
        <f>IFERROR(__xludf.DUMMYFUNCTION("""COMPUTED_VALUE"""),40382.99861111111)</f>
        <v>40382.99861</v>
      </c>
      <c r="E1480" s="3">
        <f>IFERROR(__xludf.DUMMYFUNCTION("""COMPUTED_VALUE"""),4.2573)</f>
        <v>4.2573</v>
      </c>
    </row>
    <row r="1481">
      <c r="D1481" s="6">
        <f>IFERROR(__xludf.DUMMYFUNCTION("""COMPUTED_VALUE"""),40385.99861111111)</f>
        <v>40385.99861</v>
      </c>
      <c r="E1481" s="3">
        <f>IFERROR(__xludf.DUMMYFUNCTION("""COMPUTED_VALUE"""),4.2474)</f>
        <v>4.2474</v>
      </c>
    </row>
    <row r="1482">
      <c r="D1482" s="6">
        <f>IFERROR(__xludf.DUMMYFUNCTION("""COMPUTED_VALUE"""),40386.99861111111)</f>
        <v>40386.99861</v>
      </c>
      <c r="E1482" s="3">
        <f>IFERROR(__xludf.DUMMYFUNCTION("""COMPUTED_VALUE"""),4.2437)</f>
        <v>4.2437</v>
      </c>
    </row>
    <row r="1483">
      <c r="D1483" s="6">
        <f>IFERROR(__xludf.DUMMYFUNCTION("""COMPUTED_VALUE"""),40387.99861111111)</f>
        <v>40387.99861</v>
      </c>
      <c r="E1483" s="3">
        <f>IFERROR(__xludf.DUMMYFUNCTION("""COMPUTED_VALUE"""),4.2431)</f>
        <v>4.2431</v>
      </c>
    </row>
    <row r="1484">
      <c r="D1484" s="6">
        <f>IFERROR(__xludf.DUMMYFUNCTION("""COMPUTED_VALUE"""),40388.99861111111)</f>
        <v>40388.99861</v>
      </c>
      <c r="E1484" s="3">
        <f>IFERROR(__xludf.DUMMYFUNCTION("""COMPUTED_VALUE"""),4.2413)</f>
        <v>4.2413</v>
      </c>
    </row>
    <row r="1485">
      <c r="D1485" s="6">
        <f>IFERROR(__xludf.DUMMYFUNCTION("""COMPUTED_VALUE"""),40389.99861111111)</f>
        <v>40389.99861</v>
      </c>
      <c r="E1485" s="3">
        <f>IFERROR(__xludf.DUMMYFUNCTION("""COMPUTED_VALUE"""),4.2399)</f>
        <v>4.2399</v>
      </c>
    </row>
    <row r="1486">
      <c r="D1486" s="6">
        <f>IFERROR(__xludf.DUMMYFUNCTION("""COMPUTED_VALUE"""),40391.99861111111)</f>
        <v>40391.99861</v>
      </c>
      <c r="E1486" s="3">
        <f>IFERROR(__xludf.DUMMYFUNCTION("""COMPUTED_VALUE"""),4.2399)</f>
        <v>4.2399</v>
      </c>
    </row>
    <row r="1487">
      <c r="D1487" s="6">
        <f>IFERROR(__xludf.DUMMYFUNCTION("""COMPUTED_VALUE"""),40392.99861111111)</f>
        <v>40392.99861</v>
      </c>
      <c r="E1487" s="3">
        <f>IFERROR(__xludf.DUMMYFUNCTION("""COMPUTED_VALUE"""),4.2314)</f>
        <v>4.2314</v>
      </c>
    </row>
    <row r="1488">
      <c r="D1488" s="6">
        <f>IFERROR(__xludf.DUMMYFUNCTION("""COMPUTED_VALUE"""),40393.99861111111)</f>
        <v>40393.99861</v>
      </c>
      <c r="E1488" s="3">
        <f>IFERROR(__xludf.DUMMYFUNCTION("""COMPUTED_VALUE"""),4.2274)</f>
        <v>4.2274</v>
      </c>
    </row>
    <row r="1489">
      <c r="D1489" s="6">
        <f>IFERROR(__xludf.DUMMYFUNCTION("""COMPUTED_VALUE"""),40394.99861111111)</f>
        <v>40394.99861</v>
      </c>
      <c r="E1489" s="3">
        <f>IFERROR(__xludf.DUMMYFUNCTION("""COMPUTED_VALUE"""),4.2415)</f>
        <v>4.2415</v>
      </c>
    </row>
    <row r="1490">
      <c r="D1490" s="6">
        <f>IFERROR(__xludf.DUMMYFUNCTION("""COMPUTED_VALUE"""),40395.99861111111)</f>
        <v>40395.99861</v>
      </c>
      <c r="E1490" s="3">
        <f>IFERROR(__xludf.DUMMYFUNCTION("""COMPUTED_VALUE"""),4.2438)</f>
        <v>4.2438</v>
      </c>
    </row>
    <row r="1491">
      <c r="D1491" s="6">
        <f>IFERROR(__xludf.DUMMYFUNCTION("""COMPUTED_VALUE"""),40396.99861111111)</f>
        <v>40396.99861</v>
      </c>
      <c r="E1491" s="3">
        <f>IFERROR(__xludf.DUMMYFUNCTION("""COMPUTED_VALUE"""),4.2335)</f>
        <v>4.2335</v>
      </c>
    </row>
    <row r="1492">
      <c r="D1492" s="6">
        <f>IFERROR(__xludf.DUMMYFUNCTION("""COMPUTED_VALUE"""),40399.99861111111)</f>
        <v>40399.99861</v>
      </c>
      <c r="E1492" s="3">
        <f>IFERROR(__xludf.DUMMYFUNCTION("""COMPUTED_VALUE"""),4.2195)</f>
        <v>4.2195</v>
      </c>
    </row>
    <row r="1493">
      <c r="D1493" s="6">
        <f>IFERROR(__xludf.DUMMYFUNCTION("""COMPUTED_VALUE"""),40400.99861111111)</f>
        <v>40400.99861</v>
      </c>
      <c r="E1493" s="3">
        <f>IFERROR(__xludf.DUMMYFUNCTION("""COMPUTED_VALUE"""),4.2265)</f>
        <v>4.2265</v>
      </c>
    </row>
    <row r="1494">
      <c r="D1494" s="6">
        <f>IFERROR(__xludf.DUMMYFUNCTION("""COMPUTED_VALUE"""),40401.99861111111)</f>
        <v>40401.99861</v>
      </c>
      <c r="E1494" s="3">
        <f>IFERROR(__xludf.DUMMYFUNCTION("""COMPUTED_VALUE"""),4.2276)</f>
        <v>4.2276</v>
      </c>
    </row>
    <row r="1495">
      <c r="D1495" s="6">
        <f>IFERROR(__xludf.DUMMYFUNCTION("""COMPUTED_VALUE"""),40402.99861111111)</f>
        <v>40402.99861</v>
      </c>
      <c r="E1495" s="3">
        <f>IFERROR(__xludf.DUMMYFUNCTION("""COMPUTED_VALUE"""),4.2178)</f>
        <v>4.2178</v>
      </c>
    </row>
    <row r="1496">
      <c r="D1496" s="6">
        <f>IFERROR(__xludf.DUMMYFUNCTION("""COMPUTED_VALUE"""),40403.99861111111)</f>
        <v>40403.99861</v>
      </c>
      <c r="E1496" s="3">
        <f>IFERROR(__xludf.DUMMYFUNCTION("""COMPUTED_VALUE"""),4.2261)</f>
        <v>4.2261</v>
      </c>
    </row>
    <row r="1497">
      <c r="D1497" s="6">
        <f>IFERROR(__xludf.DUMMYFUNCTION("""COMPUTED_VALUE"""),40405.99861111111)</f>
        <v>40405.99861</v>
      </c>
      <c r="E1497" s="3">
        <f>IFERROR(__xludf.DUMMYFUNCTION("""COMPUTED_VALUE"""),4.2261)</f>
        <v>4.2261</v>
      </c>
    </row>
    <row r="1498">
      <c r="D1498" s="6">
        <f>IFERROR(__xludf.DUMMYFUNCTION("""COMPUTED_VALUE"""),40406.99861111111)</f>
        <v>40406.99861</v>
      </c>
      <c r="E1498" s="3">
        <f>IFERROR(__xludf.DUMMYFUNCTION("""COMPUTED_VALUE"""),4.2219)</f>
        <v>4.2219</v>
      </c>
    </row>
    <row r="1499">
      <c r="D1499" s="6">
        <f>IFERROR(__xludf.DUMMYFUNCTION("""COMPUTED_VALUE"""),40407.99861111111)</f>
        <v>40407.99861</v>
      </c>
      <c r="E1499" s="3">
        <f>IFERROR(__xludf.DUMMYFUNCTION("""COMPUTED_VALUE"""),4.2194)</f>
        <v>4.2194</v>
      </c>
    </row>
    <row r="1500">
      <c r="D1500" s="6">
        <f>IFERROR(__xludf.DUMMYFUNCTION("""COMPUTED_VALUE"""),40408.99861111111)</f>
        <v>40408.99861</v>
      </c>
      <c r="E1500" s="3">
        <f>IFERROR(__xludf.DUMMYFUNCTION("""COMPUTED_VALUE"""),4.2202)</f>
        <v>4.2202</v>
      </c>
    </row>
    <row r="1501">
      <c r="D1501" s="6">
        <f>IFERROR(__xludf.DUMMYFUNCTION("""COMPUTED_VALUE"""),40409.99861111111)</f>
        <v>40409.99861</v>
      </c>
      <c r="E1501" s="3">
        <f>IFERROR(__xludf.DUMMYFUNCTION("""COMPUTED_VALUE"""),4.2191)</f>
        <v>4.2191</v>
      </c>
    </row>
    <row r="1502">
      <c r="D1502" s="6">
        <f>IFERROR(__xludf.DUMMYFUNCTION("""COMPUTED_VALUE"""),40410.99861111111)</f>
        <v>40410.99861</v>
      </c>
      <c r="E1502" s="3">
        <f>IFERROR(__xludf.DUMMYFUNCTION("""COMPUTED_VALUE"""),4.2199)</f>
        <v>4.2199</v>
      </c>
    </row>
    <row r="1503">
      <c r="D1503" s="6">
        <f>IFERROR(__xludf.DUMMYFUNCTION("""COMPUTED_VALUE"""),40412.99861111111)</f>
        <v>40412.99861</v>
      </c>
      <c r="E1503" s="3">
        <f>IFERROR(__xludf.DUMMYFUNCTION("""COMPUTED_VALUE"""),4.2199)</f>
        <v>4.2199</v>
      </c>
    </row>
    <row r="1504">
      <c r="D1504" s="6">
        <f>IFERROR(__xludf.DUMMYFUNCTION("""COMPUTED_VALUE"""),40413.99861111111)</f>
        <v>40413.99861</v>
      </c>
      <c r="E1504" s="3">
        <f>IFERROR(__xludf.DUMMYFUNCTION("""COMPUTED_VALUE"""),4.2188)</f>
        <v>4.2188</v>
      </c>
    </row>
    <row r="1505">
      <c r="D1505" s="6">
        <f>IFERROR(__xludf.DUMMYFUNCTION("""COMPUTED_VALUE"""),40414.99861111111)</f>
        <v>40414.99861</v>
      </c>
      <c r="E1505" s="3">
        <f>IFERROR(__xludf.DUMMYFUNCTION("""COMPUTED_VALUE"""),4.2372)</f>
        <v>4.2372</v>
      </c>
    </row>
    <row r="1506">
      <c r="D1506" s="6">
        <f>IFERROR(__xludf.DUMMYFUNCTION("""COMPUTED_VALUE"""),40415.99861111111)</f>
        <v>40415.99861</v>
      </c>
      <c r="E1506" s="3">
        <f>IFERROR(__xludf.DUMMYFUNCTION("""COMPUTED_VALUE"""),4.233)</f>
        <v>4.233</v>
      </c>
    </row>
    <row r="1507">
      <c r="D1507" s="6">
        <f>IFERROR(__xludf.DUMMYFUNCTION("""COMPUTED_VALUE"""),40416.99861111111)</f>
        <v>40416.99861</v>
      </c>
      <c r="E1507" s="3">
        <f>IFERROR(__xludf.DUMMYFUNCTION("""COMPUTED_VALUE"""),4.2373)</f>
        <v>4.2373</v>
      </c>
    </row>
    <row r="1508">
      <c r="D1508" s="6">
        <f>IFERROR(__xludf.DUMMYFUNCTION("""COMPUTED_VALUE"""),40417.99861111111)</f>
        <v>40417.99861</v>
      </c>
      <c r="E1508" s="3">
        <f>IFERROR(__xludf.DUMMYFUNCTION("""COMPUTED_VALUE"""),4.2334)</f>
        <v>4.2334</v>
      </c>
    </row>
    <row r="1509">
      <c r="D1509" s="6">
        <f>IFERROR(__xludf.DUMMYFUNCTION("""COMPUTED_VALUE"""),40419.99861111111)</f>
        <v>40419.99861</v>
      </c>
      <c r="E1509" s="3">
        <f>IFERROR(__xludf.DUMMYFUNCTION("""COMPUTED_VALUE"""),4.2276)</f>
        <v>4.2276</v>
      </c>
    </row>
    <row r="1510">
      <c r="D1510" s="6">
        <f>IFERROR(__xludf.DUMMYFUNCTION("""COMPUTED_VALUE"""),40420.99861111111)</f>
        <v>40420.99861</v>
      </c>
      <c r="E1510" s="3">
        <f>IFERROR(__xludf.DUMMYFUNCTION("""COMPUTED_VALUE"""),4.2276)</f>
        <v>4.2276</v>
      </c>
    </row>
    <row r="1511">
      <c r="D1511" s="6">
        <f>IFERROR(__xludf.DUMMYFUNCTION("""COMPUTED_VALUE"""),40421.99861111111)</f>
        <v>40421.99861</v>
      </c>
      <c r="E1511" s="3">
        <f>IFERROR(__xludf.DUMMYFUNCTION("""COMPUTED_VALUE"""),4.254)</f>
        <v>4.254</v>
      </c>
    </row>
    <row r="1512">
      <c r="D1512" s="6">
        <f>IFERROR(__xludf.DUMMYFUNCTION("""COMPUTED_VALUE"""),40422.99861111111)</f>
        <v>40422.99861</v>
      </c>
      <c r="E1512" s="3">
        <f>IFERROR(__xludf.DUMMYFUNCTION("""COMPUTED_VALUE"""),4.246)</f>
        <v>4.246</v>
      </c>
    </row>
    <row r="1513">
      <c r="D1513" s="6">
        <f>IFERROR(__xludf.DUMMYFUNCTION("""COMPUTED_VALUE"""),40423.99861111111)</f>
        <v>40423.99861</v>
      </c>
      <c r="E1513" s="3">
        <f>IFERROR(__xludf.DUMMYFUNCTION("""COMPUTED_VALUE"""),4.2598)</f>
        <v>4.2598</v>
      </c>
    </row>
    <row r="1514">
      <c r="D1514" s="6">
        <f>IFERROR(__xludf.DUMMYFUNCTION("""COMPUTED_VALUE"""),40424.99861111111)</f>
        <v>40424.99861</v>
      </c>
      <c r="E1514" s="3">
        <f>IFERROR(__xludf.DUMMYFUNCTION("""COMPUTED_VALUE"""),4.2672)</f>
        <v>4.2672</v>
      </c>
    </row>
    <row r="1515">
      <c r="D1515" s="6">
        <f>IFERROR(__xludf.DUMMYFUNCTION("""COMPUTED_VALUE"""),40427.99861111111)</f>
        <v>40427.99861</v>
      </c>
      <c r="E1515" s="3">
        <f>IFERROR(__xludf.DUMMYFUNCTION("""COMPUTED_VALUE"""),4.2717)</f>
        <v>4.2717</v>
      </c>
    </row>
    <row r="1516">
      <c r="D1516" s="6">
        <f>IFERROR(__xludf.DUMMYFUNCTION("""COMPUTED_VALUE"""),40428.99861111111)</f>
        <v>40428.99861</v>
      </c>
      <c r="E1516" s="3">
        <f>IFERROR(__xludf.DUMMYFUNCTION("""COMPUTED_VALUE"""),4.2752)</f>
        <v>4.2752</v>
      </c>
    </row>
    <row r="1517">
      <c r="D1517" s="6">
        <f>IFERROR(__xludf.DUMMYFUNCTION("""COMPUTED_VALUE"""),40429.99861111111)</f>
        <v>40429.99861</v>
      </c>
      <c r="E1517" s="3">
        <f>IFERROR(__xludf.DUMMYFUNCTION("""COMPUTED_VALUE"""),4.2765)</f>
        <v>4.2765</v>
      </c>
    </row>
    <row r="1518">
      <c r="D1518" s="6">
        <f>IFERROR(__xludf.DUMMYFUNCTION("""COMPUTED_VALUE"""),40430.99861111111)</f>
        <v>40430.99861</v>
      </c>
      <c r="E1518" s="3">
        <f>IFERROR(__xludf.DUMMYFUNCTION("""COMPUTED_VALUE"""),4.2675)</f>
        <v>4.2675</v>
      </c>
    </row>
    <row r="1519">
      <c r="D1519" s="6">
        <f>IFERROR(__xludf.DUMMYFUNCTION("""COMPUTED_VALUE"""),40431.99861111111)</f>
        <v>40431.99861</v>
      </c>
      <c r="E1519" s="3">
        <f>IFERROR(__xludf.DUMMYFUNCTION("""COMPUTED_VALUE"""),4.2638)</f>
        <v>4.2638</v>
      </c>
    </row>
    <row r="1520">
      <c r="D1520" s="6">
        <f>IFERROR(__xludf.DUMMYFUNCTION("""COMPUTED_VALUE"""),40434.99861111111)</f>
        <v>40434.99861</v>
      </c>
      <c r="E1520" s="3">
        <f>IFERROR(__xludf.DUMMYFUNCTION("""COMPUTED_VALUE"""),4.2504)</f>
        <v>4.2504</v>
      </c>
    </row>
    <row r="1521">
      <c r="D1521" s="6">
        <f>IFERROR(__xludf.DUMMYFUNCTION("""COMPUTED_VALUE"""),40435.99861111111)</f>
        <v>40435.99861</v>
      </c>
      <c r="E1521" s="3">
        <f>IFERROR(__xludf.DUMMYFUNCTION("""COMPUTED_VALUE"""),4.2259)</f>
        <v>4.2259</v>
      </c>
    </row>
    <row r="1522">
      <c r="D1522" s="6">
        <f>IFERROR(__xludf.DUMMYFUNCTION("""COMPUTED_VALUE"""),40436.99861111111)</f>
        <v>40436.99861</v>
      </c>
      <c r="E1522" s="3">
        <f>IFERROR(__xludf.DUMMYFUNCTION("""COMPUTED_VALUE"""),4.2306)</f>
        <v>4.2306</v>
      </c>
    </row>
    <row r="1523">
      <c r="D1523" s="6">
        <f>IFERROR(__xludf.DUMMYFUNCTION("""COMPUTED_VALUE"""),40437.99861111111)</f>
        <v>40437.99861</v>
      </c>
      <c r="E1523" s="3">
        <f>IFERROR(__xludf.DUMMYFUNCTION("""COMPUTED_VALUE"""),4.2365)</f>
        <v>4.2365</v>
      </c>
    </row>
    <row r="1524">
      <c r="D1524" s="6">
        <f>IFERROR(__xludf.DUMMYFUNCTION("""COMPUTED_VALUE"""),40438.99861111111)</f>
        <v>40438.99861</v>
      </c>
      <c r="E1524" s="3">
        <f>IFERROR(__xludf.DUMMYFUNCTION("""COMPUTED_VALUE"""),4.2423)</f>
        <v>4.2423</v>
      </c>
    </row>
    <row r="1525">
      <c r="D1525" s="6">
        <f>IFERROR(__xludf.DUMMYFUNCTION("""COMPUTED_VALUE"""),40440.99861111111)</f>
        <v>40440.99861</v>
      </c>
      <c r="E1525" s="3">
        <f>IFERROR(__xludf.DUMMYFUNCTION("""COMPUTED_VALUE"""),4.2423)</f>
        <v>4.2423</v>
      </c>
    </row>
    <row r="1526">
      <c r="D1526" s="6">
        <f>IFERROR(__xludf.DUMMYFUNCTION("""COMPUTED_VALUE"""),40441.99861111111)</f>
        <v>40441.99861</v>
      </c>
      <c r="E1526" s="3">
        <f>IFERROR(__xludf.DUMMYFUNCTION("""COMPUTED_VALUE"""),4.2505)</f>
        <v>4.2505</v>
      </c>
    </row>
    <row r="1527">
      <c r="D1527" s="6">
        <f>IFERROR(__xludf.DUMMYFUNCTION("""COMPUTED_VALUE"""),40442.99861111111)</f>
        <v>40442.99861</v>
      </c>
      <c r="E1527" s="3">
        <f>IFERROR(__xludf.DUMMYFUNCTION("""COMPUTED_VALUE"""),4.2506)</f>
        <v>4.2506</v>
      </c>
    </row>
    <row r="1528">
      <c r="D1528" s="6">
        <f>IFERROR(__xludf.DUMMYFUNCTION("""COMPUTED_VALUE"""),40443.99861111111)</f>
        <v>40443.99861</v>
      </c>
      <c r="E1528" s="3">
        <f>IFERROR(__xludf.DUMMYFUNCTION("""COMPUTED_VALUE"""),4.2498)</f>
        <v>4.2498</v>
      </c>
    </row>
    <row r="1529">
      <c r="D1529" s="6">
        <f>IFERROR(__xludf.DUMMYFUNCTION("""COMPUTED_VALUE"""),40444.99861111111)</f>
        <v>40444.99861</v>
      </c>
      <c r="E1529" s="3">
        <f>IFERROR(__xludf.DUMMYFUNCTION("""COMPUTED_VALUE"""),4.2488)</f>
        <v>4.2488</v>
      </c>
    </row>
    <row r="1530">
      <c r="D1530" s="6">
        <f>IFERROR(__xludf.DUMMYFUNCTION("""COMPUTED_VALUE"""),40445.99861111111)</f>
        <v>40445.99861</v>
      </c>
      <c r="E1530" s="3">
        <f>IFERROR(__xludf.DUMMYFUNCTION("""COMPUTED_VALUE"""),4.2302)</f>
        <v>4.2302</v>
      </c>
    </row>
    <row r="1531">
      <c r="D1531" s="6">
        <f>IFERROR(__xludf.DUMMYFUNCTION("""COMPUTED_VALUE"""),40447.99861111111)</f>
        <v>40447.99861</v>
      </c>
      <c r="E1531" s="3">
        <f>IFERROR(__xludf.DUMMYFUNCTION("""COMPUTED_VALUE"""),4.2302)</f>
        <v>4.2302</v>
      </c>
    </row>
    <row r="1532">
      <c r="D1532" s="6">
        <f>IFERROR(__xludf.DUMMYFUNCTION("""COMPUTED_VALUE"""),40448.99861111111)</f>
        <v>40448.99861</v>
      </c>
      <c r="E1532" s="3">
        <f>IFERROR(__xludf.DUMMYFUNCTION("""COMPUTED_VALUE"""),4.2363)</f>
        <v>4.2363</v>
      </c>
    </row>
    <row r="1533">
      <c r="D1533" s="6">
        <f>IFERROR(__xludf.DUMMYFUNCTION("""COMPUTED_VALUE"""),40449.99861111111)</f>
        <v>40449.99861</v>
      </c>
      <c r="E1533" s="3">
        <f>IFERROR(__xludf.DUMMYFUNCTION("""COMPUTED_VALUE"""),4.2543)</f>
        <v>4.2543</v>
      </c>
    </row>
    <row r="1534">
      <c r="D1534" s="6">
        <f>IFERROR(__xludf.DUMMYFUNCTION("""COMPUTED_VALUE"""),40450.99861111111)</f>
        <v>40450.99861</v>
      </c>
      <c r="E1534" s="3">
        <f>IFERROR(__xludf.DUMMYFUNCTION("""COMPUTED_VALUE"""),4.2612)</f>
        <v>4.2612</v>
      </c>
    </row>
    <row r="1535">
      <c r="D1535" s="6">
        <f>IFERROR(__xludf.DUMMYFUNCTION("""COMPUTED_VALUE"""),40451.99861111111)</f>
        <v>40451.99861</v>
      </c>
      <c r="E1535" s="3">
        <f>IFERROR(__xludf.DUMMYFUNCTION("""COMPUTED_VALUE"""),4.2596)</f>
        <v>4.2596</v>
      </c>
    </row>
    <row r="1536">
      <c r="D1536" s="6">
        <f>IFERROR(__xludf.DUMMYFUNCTION("""COMPUTED_VALUE"""),40452.99861111111)</f>
        <v>40452.99861</v>
      </c>
      <c r="E1536" s="3">
        <f>IFERROR(__xludf.DUMMYFUNCTION("""COMPUTED_VALUE"""),4.2533)</f>
        <v>4.2533</v>
      </c>
    </row>
    <row r="1537">
      <c r="D1537" s="6">
        <f>IFERROR(__xludf.DUMMYFUNCTION("""COMPUTED_VALUE"""),40454.99861111111)</f>
        <v>40454.99861</v>
      </c>
      <c r="E1537" s="3">
        <f>IFERROR(__xludf.DUMMYFUNCTION("""COMPUTED_VALUE"""),4.2533)</f>
        <v>4.2533</v>
      </c>
    </row>
    <row r="1538">
      <c r="D1538" s="6">
        <f>IFERROR(__xludf.DUMMYFUNCTION("""COMPUTED_VALUE"""),40455.99861111111)</f>
        <v>40455.99861</v>
      </c>
      <c r="E1538" s="3">
        <f>IFERROR(__xludf.DUMMYFUNCTION("""COMPUTED_VALUE"""),4.2629)</f>
        <v>4.2629</v>
      </c>
    </row>
    <row r="1539">
      <c r="D1539" s="6">
        <f>IFERROR(__xludf.DUMMYFUNCTION("""COMPUTED_VALUE"""),40456.99861111111)</f>
        <v>40456.99861</v>
      </c>
      <c r="E1539" s="3">
        <f>IFERROR(__xludf.DUMMYFUNCTION("""COMPUTED_VALUE"""),4.275)</f>
        <v>4.275</v>
      </c>
    </row>
    <row r="1540">
      <c r="D1540" s="6">
        <f>IFERROR(__xludf.DUMMYFUNCTION("""COMPUTED_VALUE"""),40457.99861111111)</f>
        <v>40457.99861</v>
      </c>
      <c r="E1540" s="3">
        <f>IFERROR(__xludf.DUMMYFUNCTION("""COMPUTED_VALUE"""),4.2553)</f>
        <v>4.2553</v>
      </c>
    </row>
    <row r="1541">
      <c r="D1541" s="6">
        <f>IFERROR(__xludf.DUMMYFUNCTION("""COMPUTED_VALUE"""),40458.99861111111)</f>
        <v>40458.99861</v>
      </c>
      <c r="E1541" s="3">
        <f>IFERROR(__xludf.DUMMYFUNCTION("""COMPUTED_VALUE"""),4.2623)</f>
        <v>4.2623</v>
      </c>
    </row>
    <row r="1542">
      <c r="D1542" s="6">
        <f>IFERROR(__xludf.DUMMYFUNCTION("""COMPUTED_VALUE"""),40459.99861111111)</f>
        <v>40459.99861</v>
      </c>
      <c r="E1542" s="3">
        <f>IFERROR(__xludf.DUMMYFUNCTION("""COMPUTED_VALUE"""),4.2556)</f>
        <v>4.2556</v>
      </c>
    </row>
    <row r="1543">
      <c r="D1543" s="6">
        <f>IFERROR(__xludf.DUMMYFUNCTION("""COMPUTED_VALUE"""),40462.99861111111)</f>
        <v>40462.99861</v>
      </c>
      <c r="E1543" s="3">
        <f>IFERROR(__xludf.DUMMYFUNCTION("""COMPUTED_VALUE"""),4.2595)</f>
        <v>4.2595</v>
      </c>
    </row>
    <row r="1544">
      <c r="D1544" s="6">
        <f>IFERROR(__xludf.DUMMYFUNCTION("""COMPUTED_VALUE"""),40463.99861111111)</f>
        <v>40463.99861</v>
      </c>
      <c r="E1544" s="3">
        <f>IFERROR(__xludf.DUMMYFUNCTION("""COMPUTED_VALUE"""),4.2648)</f>
        <v>4.2648</v>
      </c>
    </row>
    <row r="1545">
      <c r="D1545" s="6">
        <f>IFERROR(__xludf.DUMMYFUNCTION("""COMPUTED_VALUE"""),40464.99861111111)</f>
        <v>40464.99861</v>
      </c>
      <c r="E1545" s="3">
        <f>IFERROR(__xludf.DUMMYFUNCTION("""COMPUTED_VALUE"""),4.2676)</f>
        <v>4.2676</v>
      </c>
    </row>
    <row r="1546">
      <c r="D1546" s="6">
        <f>IFERROR(__xludf.DUMMYFUNCTION("""COMPUTED_VALUE"""),40465.99861111111)</f>
        <v>40465.99861</v>
      </c>
      <c r="E1546" s="3">
        <f>IFERROR(__xludf.DUMMYFUNCTION("""COMPUTED_VALUE"""),4.2699)</f>
        <v>4.2699</v>
      </c>
    </row>
    <row r="1547">
      <c r="D1547" s="6">
        <f>IFERROR(__xludf.DUMMYFUNCTION("""COMPUTED_VALUE"""),40466.99861111111)</f>
        <v>40466.99861</v>
      </c>
      <c r="E1547" s="3">
        <f>IFERROR(__xludf.DUMMYFUNCTION("""COMPUTED_VALUE"""),4.27)</f>
        <v>4.27</v>
      </c>
    </row>
    <row r="1548">
      <c r="D1548" s="6">
        <f>IFERROR(__xludf.DUMMYFUNCTION("""COMPUTED_VALUE"""),40468.99861111111)</f>
        <v>40468.99861</v>
      </c>
      <c r="E1548" s="3">
        <f>IFERROR(__xludf.DUMMYFUNCTION("""COMPUTED_VALUE"""),4.2791)</f>
        <v>4.2791</v>
      </c>
    </row>
    <row r="1549">
      <c r="D1549" s="6">
        <f>IFERROR(__xludf.DUMMYFUNCTION("""COMPUTED_VALUE"""),40469.99861111111)</f>
        <v>40469.99861</v>
      </c>
      <c r="E1549" s="3">
        <f>IFERROR(__xludf.DUMMYFUNCTION("""COMPUTED_VALUE"""),4.2791)</f>
        <v>4.2791</v>
      </c>
    </row>
    <row r="1550">
      <c r="D1550" s="6">
        <f>IFERROR(__xludf.DUMMYFUNCTION("""COMPUTED_VALUE"""),40470.99861111111)</f>
        <v>40470.99861</v>
      </c>
      <c r="E1550" s="3">
        <f>IFERROR(__xludf.DUMMYFUNCTION("""COMPUTED_VALUE"""),4.2882)</f>
        <v>4.2882</v>
      </c>
    </row>
    <row r="1551">
      <c r="D1551" s="6">
        <f>IFERROR(__xludf.DUMMYFUNCTION("""COMPUTED_VALUE"""),40471.99861111111)</f>
        <v>40471.99861</v>
      </c>
      <c r="E1551" s="3">
        <f>IFERROR(__xludf.DUMMYFUNCTION("""COMPUTED_VALUE"""),4.2963)</f>
        <v>4.2963</v>
      </c>
    </row>
    <row r="1552">
      <c r="D1552" s="6">
        <f>IFERROR(__xludf.DUMMYFUNCTION("""COMPUTED_VALUE"""),40472.99861111111)</f>
        <v>40472.99861</v>
      </c>
      <c r="E1552" s="3">
        <f>IFERROR(__xludf.DUMMYFUNCTION("""COMPUTED_VALUE"""),4.3035)</f>
        <v>4.3035</v>
      </c>
    </row>
    <row r="1553">
      <c r="D1553" s="6">
        <f>IFERROR(__xludf.DUMMYFUNCTION("""COMPUTED_VALUE"""),40473.99861111111)</f>
        <v>40473.99861</v>
      </c>
      <c r="E1553" s="3">
        <f>IFERROR(__xludf.DUMMYFUNCTION("""COMPUTED_VALUE"""),4.291)</f>
        <v>4.291</v>
      </c>
    </row>
    <row r="1554">
      <c r="D1554" s="6">
        <f>IFERROR(__xludf.DUMMYFUNCTION("""COMPUTED_VALUE"""),40475.99861111111)</f>
        <v>40475.99861</v>
      </c>
      <c r="E1554" s="3">
        <f>IFERROR(__xludf.DUMMYFUNCTION("""COMPUTED_VALUE"""),4.291)</f>
        <v>4.291</v>
      </c>
    </row>
    <row r="1555">
      <c r="D1555" s="6">
        <f>IFERROR(__xludf.DUMMYFUNCTION("""COMPUTED_VALUE"""),40476.99861111111)</f>
        <v>40476.99861</v>
      </c>
      <c r="E1555" s="3">
        <f>IFERROR(__xludf.DUMMYFUNCTION("""COMPUTED_VALUE"""),4.2872)</f>
        <v>4.2872</v>
      </c>
    </row>
    <row r="1556">
      <c r="D1556" s="6">
        <f>IFERROR(__xludf.DUMMYFUNCTION("""COMPUTED_VALUE"""),40477.99861111111)</f>
        <v>40477.99861</v>
      </c>
      <c r="E1556" s="3">
        <f>IFERROR(__xludf.DUMMYFUNCTION("""COMPUTED_VALUE"""),4.2684)</f>
        <v>4.2684</v>
      </c>
    </row>
    <row r="1557">
      <c r="D1557" s="6">
        <f>IFERROR(__xludf.DUMMYFUNCTION("""COMPUTED_VALUE"""),40478.99861111111)</f>
        <v>40478.99861</v>
      </c>
      <c r="E1557" s="3">
        <f>IFERROR(__xludf.DUMMYFUNCTION("""COMPUTED_VALUE"""),4.265)</f>
        <v>4.265</v>
      </c>
    </row>
    <row r="1558">
      <c r="D1558" s="6">
        <f>IFERROR(__xludf.DUMMYFUNCTION("""COMPUTED_VALUE"""),40479.99861111111)</f>
        <v>40479.99861</v>
      </c>
      <c r="E1558" s="3">
        <f>IFERROR(__xludf.DUMMYFUNCTION("""COMPUTED_VALUE"""),4.2553)</f>
        <v>4.2553</v>
      </c>
    </row>
    <row r="1559">
      <c r="D1559" s="6">
        <f>IFERROR(__xludf.DUMMYFUNCTION("""COMPUTED_VALUE"""),40480.99861111111)</f>
        <v>40480.99861</v>
      </c>
      <c r="E1559" s="3">
        <f>IFERROR(__xludf.DUMMYFUNCTION("""COMPUTED_VALUE"""),4.2604)</f>
        <v>4.2604</v>
      </c>
    </row>
    <row r="1560">
      <c r="D1560" s="6">
        <f>IFERROR(__xludf.DUMMYFUNCTION("""COMPUTED_VALUE"""),40482.99861111111)</f>
        <v>40482.99861</v>
      </c>
      <c r="E1560" s="3">
        <f>IFERROR(__xludf.DUMMYFUNCTION("""COMPUTED_VALUE"""),4.2604)</f>
        <v>4.2604</v>
      </c>
    </row>
    <row r="1561">
      <c r="D1561" s="6">
        <f>IFERROR(__xludf.DUMMYFUNCTION("""COMPUTED_VALUE"""),40483.99861111111)</f>
        <v>40483.99861</v>
      </c>
      <c r="E1561" s="3">
        <f>IFERROR(__xludf.DUMMYFUNCTION("""COMPUTED_VALUE"""),4.2636)</f>
        <v>4.2636</v>
      </c>
    </row>
    <row r="1562">
      <c r="D1562" s="6">
        <f>IFERROR(__xludf.DUMMYFUNCTION("""COMPUTED_VALUE"""),40484.99861111111)</f>
        <v>40484.99861</v>
      </c>
      <c r="E1562" s="3">
        <f>IFERROR(__xludf.DUMMYFUNCTION("""COMPUTED_VALUE"""),4.2807)</f>
        <v>4.2807</v>
      </c>
    </row>
    <row r="1563">
      <c r="D1563" s="6">
        <f>IFERROR(__xludf.DUMMYFUNCTION("""COMPUTED_VALUE"""),40485.99861111111)</f>
        <v>40485.99861</v>
      </c>
      <c r="E1563" s="3">
        <f>IFERROR(__xludf.DUMMYFUNCTION("""COMPUTED_VALUE"""),4.286)</f>
        <v>4.286</v>
      </c>
    </row>
    <row r="1564">
      <c r="D1564" s="6">
        <f>IFERROR(__xludf.DUMMYFUNCTION("""COMPUTED_VALUE"""),40486.99861111111)</f>
        <v>40486.99861</v>
      </c>
      <c r="E1564" s="3">
        <f>IFERROR(__xludf.DUMMYFUNCTION("""COMPUTED_VALUE"""),4.2808)</f>
        <v>4.2808</v>
      </c>
    </row>
    <row r="1565">
      <c r="D1565" s="6">
        <f>IFERROR(__xludf.DUMMYFUNCTION("""COMPUTED_VALUE"""),40487.99861111111)</f>
        <v>40487.99861</v>
      </c>
      <c r="E1565" s="3">
        <f>IFERROR(__xludf.DUMMYFUNCTION("""COMPUTED_VALUE"""),4.2821)</f>
        <v>4.2821</v>
      </c>
    </row>
    <row r="1566">
      <c r="D1566" s="6">
        <f>IFERROR(__xludf.DUMMYFUNCTION("""COMPUTED_VALUE"""),40490.99861111111)</f>
        <v>40490.99861</v>
      </c>
      <c r="E1566" s="3">
        <f>IFERROR(__xludf.DUMMYFUNCTION("""COMPUTED_VALUE"""),4.2749)</f>
        <v>4.2749</v>
      </c>
    </row>
    <row r="1567">
      <c r="D1567" s="6">
        <f>IFERROR(__xludf.DUMMYFUNCTION("""COMPUTED_VALUE"""),40491.99861111111)</f>
        <v>40491.99861</v>
      </c>
      <c r="E1567" s="3">
        <f>IFERROR(__xludf.DUMMYFUNCTION("""COMPUTED_VALUE"""),4.2751)</f>
        <v>4.2751</v>
      </c>
    </row>
    <row r="1568">
      <c r="D1568" s="6">
        <f>IFERROR(__xludf.DUMMYFUNCTION("""COMPUTED_VALUE"""),40492.99861111111)</f>
        <v>40492.99861</v>
      </c>
      <c r="E1568" s="3">
        <f>IFERROR(__xludf.DUMMYFUNCTION("""COMPUTED_VALUE"""),4.2703)</f>
        <v>4.2703</v>
      </c>
    </row>
    <row r="1569">
      <c r="D1569" s="6">
        <f>IFERROR(__xludf.DUMMYFUNCTION("""COMPUTED_VALUE"""),40493.99861111111)</f>
        <v>40493.99861</v>
      </c>
      <c r="E1569" s="3">
        <f>IFERROR(__xludf.DUMMYFUNCTION("""COMPUTED_VALUE"""),4.2738)</f>
        <v>4.2738</v>
      </c>
    </row>
    <row r="1570">
      <c r="D1570" s="6">
        <f>IFERROR(__xludf.DUMMYFUNCTION("""COMPUTED_VALUE"""),40494.99861111111)</f>
        <v>40494.99861</v>
      </c>
      <c r="E1570" s="3">
        <f>IFERROR(__xludf.DUMMYFUNCTION("""COMPUTED_VALUE"""),4.2838)</f>
        <v>4.2838</v>
      </c>
    </row>
    <row r="1571">
      <c r="D1571" s="6">
        <f>IFERROR(__xludf.DUMMYFUNCTION("""COMPUTED_VALUE"""),40497.99861111111)</f>
        <v>40497.99861</v>
      </c>
      <c r="E1571" s="3">
        <f>IFERROR(__xludf.DUMMYFUNCTION("""COMPUTED_VALUE"""),4.2846)</f>
        <v>4.2846</v>
      </c>
    </row>
    <row r="1572">
      <c r="D1572" s="6">
        <f>IFERROR(__xludf.DUMMYFUNCTION("""COMPUTED_VALUE"""),40498.99861111111)</f>
        <v>40498.99861</v>
      </c>
      <c r="E1572" s="3">
        <f>IFERROR(__xludf.DUMMYFUNCTION("""COMPUTED_VALUE"""),4.2878)</f>
        <v>4.2878</v>
      </c>
    </row>
    <row r="1573">
      <c r="D1573" s="6">
        <f>IFERROR(__xludf.DUMMYFUNCTION("""COMPUTED_VALUE"""),40499.99861111111)</f>
        <v>40499.99861</v>
      </c>
      <c r="E1573" s="3">
        <f>IFERROR(__xludf.DUMMYFUNCTION("""COMPUTED_VALUE"""),4.2857)</f>
        <v>4.2857</v>
      </c>
    </row>
    <row r="1574">
      <c r="D1574" s="6">
        <f>IFERROR(__xludf.DUMMYFUNCTION("""COMPUTED_VALUE"""),40500.99861111111)</f>
        <v>40500.99861</v>
      </c>
      <c r="E1574" s="3">
        <f>IFERROR(__xludf.DUMMYFUNCTION("""COMPUTED_VALUE"""),4.2876)</f>
        <v>4.2876</v>
      </c>
    </row>
    <row r="1575">
      <c r="D1575" s="6">
        <f>IFERROR(__xludf.DUMMYFUNCTION("""COMPUTED_VALUE"""),40501.99861111111)</f>
        <v>40501.99861</v>
      </c>
      <c r="E1575" s="3">
        <f>IFERROR(__xludf.DUMMYFUNCTION("""COMPUTED_VALUE"""),4.293)</f>
        <v>4.293</v>
      </c>
    </row>
    <row r="1576">
      <c r="D1576" s="6">
        <f>IFERROR(__xludf.DUMMYFUNCTION("""COMPUTED_VALUE"""),40503.99861111111)</f>
        <v>40503.99861</v>
      </c>
      <c r="E1576" s="3">
        <f>IFERROR(__xludf.DUMMYFUNCTION("""COMPUTED_VALUE"""),4.293)</f>
        <v>4.293</v>
      </c>
    </row>
    <row r="1577">
      <c r="D1577" s="6">
        <f>IFERROR(__xludf.DUMMYFUNCTION("""COMPUTED_VALUE"""),40504.99861111111)</f>
        <v>40504.99861</v>
      </c>
      <c r="E1577" s="3">
        <f>IFERROR(__xludf.DUMMYFUNCTION("""COMPUTED_VALUE"""),4.2891)</f>
        <v>4.2891</v>
      </c>
    </row>
    <row r="1578">
      <c r="D1578" s="6">
        <f>IFERROR(__xludf.DUMMYFUNCTION("""COMPUTED_VALUE"""),40505.99861111111)</f>
        <v>40505.99861</v>
      </c>
      <c r="E1578" s="3">
        <f>IFERROR(__xludf.DUMMYFUNCTION("""COMPUTED_VALUE"""),4.3011)</f>
        <v>4.3011</v>
      </c>
    </row>
    <row r="1579">
      <c r="D1579" s="6">
        <f>IFERROR(__xludf.DUMMYFUNCTION("""COMPUTED_VALUE"""),40506.99861111111)</f>
        <v>40506.99861</v>
      </c>
      <c r="E1579" s="3">
        <f>IFERROR(__xludf.DUMMYFUNCTION("""COMPUTED_VALUE"""),4.2933)</f>
        <v>4.2933</v>
      </c>
    </row>
    <row r="1580">
      <c r="D1580" s="6">
        <f>IFERROR(__xludf.DUMMYFUNCTION("""COMPUTED_VALUE"""),40507.99861111111)</f>
        <v>40507.99861</v>
      </c>
      <c r="E1580" s="3">
        <f>IFERROR(__xludf.DUMMYFUNCTION("""COMPUTED_VALUE"""),4.2922)</f>
        <v>4.2922</v>
      </c>
    </row>
    <row r="1581">
      <c r="D1581" s="6">
        <f>IFERROR(__xludf.DUMMYFUNCTION("""COMPUTED_VALUE"""),40508.99861111111)</f>
        <v>40508.99861</v>
      </c>
      <c r="E1581" s="3">
        <f>IFERROR(__xludf.DUMMYFUNCTION("""COMPUTED_VALUE"""),4.3065)</f>
        <v>4.3065</v>
      </c>
    </row>
    <row r="1582">
      <c r="D1582" s="6">
        <f>IFERROR(__xludf.DUMMYFUNCTION("""COMPUTED_VALUE"""),40511.99861111111)</f>
        <v>40511.99861</v>
      </c>
      <c r="E1582" s="3">
        <f>IFERROR(__xludf.DUMMYFUNCTION("""COMPUTED_VALUE"""),4.2941)</f>
        <v>4.2941</v>
      </c>
    </row>
    <row r="1583">
      <c r="D1583" s="6">
        <f>IFERROR(__xludf.DUMMYFUNCTION("""COMPUTED_VALUE"""),40512.99861111111)</f>
        <v>40512.99861</v>
      </c>
      <c r="E1583" s="3">
        <f>IFERROR(__xludf.DUMMYFUNCTION("""COMPUTED_VALUE"""),4.2885)</f>
        <v>4.2885</v>
      </c>
    </row>
    <row r="1584">
      <c r="D1584" s="6">
        <f>IFERROR(__xludf.DUMMYFUNCTION("""COMPUTED_VALUE"""),40513.99861111111)</f>
        <v>40513.99861</v>
      </c>
      <c r="E1584" s="3">
        <f>IFERROR(__xludf.DUMMYFUNCTION("""COMPUTED_VALUE"""),4.2852)</f>
        <v>4.2852</v>
      </c>
    </row>
    <row r="1585">
      <c r="D1585" s="6">
        <f>IFERROR(__xludf.DUMMYFUNCTION("""COMPUTED_VALUE"""),40514.99861111111)</f>
        <v>40514.99861</v>
      </c>
      <c r="E1585" s="3">
        <f>IFERROR(__xludf.DUMMYFUNCTION("""COMPUTED_VALUE"""),4.2904)</f>
        <v>4.2904</v>
      </c>
    </row>
    <row r="1586">
      <c r="D1586" s="6">
        <f>IFERROR(__xludf.DUMMYFUNCTION("""COMPUTED_VALUE"""),40515.99861111111)</f>
        <v>40515.99861</v>
      </c>
      <c r="E1586" s="3">
        <f>IFERROR(__xludf.DUMMYFUNCTION("""COMPUTED_VALUE"""),4.295)</f>
        <v>4.295</v>
      </c>
    </row>
    <row r="1587">
      <c r="D1587" s="6">
        <f>IFERROR(__xludf.DUMMYFUNCTION("""COMPUTED_VALUE"""),40518.99861111111)</f>
        <v>40518.99861</v>
      </c>
      <c r="E1587" s="3">
        <f>IFERROR(__xludf.DUMMYFUNCTION("""COMPUTED_VALUE"""),4.2974)</f>
        <v>4.2974</v>
      </c>
    </row>
    <row r="1588">
      <c r="D1588" s="6">
        <f>IFERROR(__xludf.DUMMYFUNCTION("""COMPUTED_VALUE"""),40519.99861111111)</f>
        <v>40519.99861</v>
      </c>
      <c r="E1588" s="3">
        <f>IFERROR(__xludf.DUMMYFUNCTION("""COMPUTED_VALUE"""),4.2884)</f>
        <v>4.2884</v>
      </c>
    </row>
    <row r="1589">
      <c r="D1589" s="6">
        <f>IFERROR(__xludf.DUMMYFUNCTION("""COMPUTED_VALUE"""),40520.99861111111)</f>
        <v>40520.99861</v>
      </c>
      <c r="E1589" s="3">
        <f>IFERROR(__xludf.DUMMYFUNCTION("""COMPUTED_VALUE"""),4.2907)</f>
        <v>4.2907</v>
      </c>
    </row>
    <row r="1590">
      <c r="D1590" s="6">
        <f>IFERROR(__xludf.DUMMYFUNCTION("""COMPUTED_VALUE"""),40521.99861111111)</f>
        <v>40521.99861</v>
      </c>
      <c r="E1590" s="3">
        <f>IFERROR(__xludf.DUMMYFUNCTION("""COMPUTED_VALUE"""),4.2904)</f>
        <v>4.2904</v>
      </c>
    </row>
    <row r="1591">
      <c r="D1591" s="6">
        <f>IFERROR(__xludf.DUMMYFUNCTION("""COMPUTED_VALUE"""),40522.99861111111)</f>
        <v>40522.99861</v>
      </c>
      <c r="E1591" s="3">
        <f>IFERROR(__xludf.DUMMYFUNCTION("""COMPUTED_VALUE"""),4.285)</f>
        <v>4.285</v>
      </c>
    </row>
    <row r="1592">
      <c r="D1592" s="6">
        <f>IFERROR(__xludf.DUMMYFUNCTION("""COMPUTED_VALUE"""),40525.99861111111)</f>
        <v>40525.99861</v>
      </c>
      <c r="E1592" s="3">
        <f>IFERROR(__xludf.DUMMYFUNCTION("""COMPUTED_VALUE"""),4.2828)</f>
        <v>4.2828</v>
      </c>
    </row>
    <row r="1593">
      <c r="D1593" s="6">
        <f>IFERROR(__xludf.DUMMYFUNCTION("""COMPUTED_VALUE"""),40526.99861111111)</f>
        <v>40526.99861</v>
      </c>
      <c r="E1593" s="3">
        <f>IFERROR(__xludf.DUMMYFUNCTION("""COMPUTED_VALUE"""),4.2797)</f>
        <v>4.2797</v>
      </c>
    </row>
    <row r="1594">
      <c r="D1594" s="6">
        <f>IFERROR(__xludf.DUMMYFUNCTION("""COMPUTED_VALUE"""),40527.99861111111)</f>
        <v>40527.99861</v>
      </c>
      <c r="E1594" s="3">
        <f>IFERROR(__xludf.DUMMYFUNCTION("""COMPUTED_VALUE"""),4.2823)</f>
        <v>4.2823</v>
      </c>
    </row>
    <row r="1595">
      <c r="D1595" s="6">
        <f>IFERROR(__xludf.DUMMYFUNCTION("""COMPUTED_VALUE"""),40528.99861111111)</f>
        <v>40528.99861</v>
      </c>
      <c r="E1595" s="3">
        <f>IFERROR(__xludf.DUMMYFUNCTION("""COMPUTED_VALUE"""),4.2837)</f>
        <v>4.2837</v>
      </c>
    </row>
    <row r="1596">
      <c r="D1596" s="6">
        <f>IFERROR(__xludf.DUMMYFUNCTION("""COMPUTED_VALUE"""),40529.99861111111)</f>
        <v>40529.99861</v>
      </c>
      <c r="E1596" s="3">
        <f>IFERROR(__xludf.DUMMYFUNCTION("""COMPUTED_VALUE"""),4.2771)</f>
        <v>4.2771</v>
      </c>
    </row>
    <row r="1597">
      <c r="D1597" s="6">
        <f>IFERROR(__xludf.DUMMYFUNCTION("""COMPUTED_VALUE"""),40531.99861111111)</f>
        <v>40531.99861</v>
      </c>
      <c r="E1597" s="3">
        <f>IFERROR(__xludf.DUMMYFUNCTION("""COMPUTED_VALUE"""),4.2828)</f>
        <v>4.2828</v>
      </c>
    </row>
    <row r="1598">
      <c r="D1598" s="6">
        <f>IFERROR(__xludf.DUMMYFUNCTION("""COMPUTED_VALUE"""),40532.99861111111)</f>
        <v>40532.99861</v>
      </c>
      <c r="E1598" s="3">
        <f>IFERROR(__xludf.DUMMYFUNCTION("""COMPUTED_VALUE"""),4.2828)</f>
        <v>4.2828</v>
      </c>
    </row>
    <row r="1599">
      <c r="D1599" s="6">
        <f>IFERROR(__xludf.DUMMYFUNCTION("""COMPUTED_VALUE"""),40533.99861111111)</f>
        <v>40533.99861</v>
      </c>
      <c r="E1599" s="3">
        <f>IFERROR(__xludf.DUMMYFUNCTION("""COMPUTED_VALUE"""),4.2761)</f>
        <v>4.2761</v>
      </c>
    </row>
    <row r="1600">
      <c r="D1600" s="6">
        <f>IFERROR(__xludf.DUMMYFUNCTION("""COMPUTED_VALUE"""),40534.99861111111)</f>
        <v>40534.99861</v>
      </c>
      <c r="E1600" s="3">
        <f>IFERROR(__xludf.DUMMYFUNCTION("""COMPUTED_VALUE"""),4.2764)</f>
        <v>4.2764</v>
      </c>
    </row>
    <row r="1601">
      <c r="D1601" s="6">
        <f>IFERROR(__xludf.DUMMYFUNCTION("""COMPUTED_VALUE"""),40535.99861111111)</f>
        <v>40535.99861</v>
      </c>
      <c r="E1601" s="3">
        <f>IFERROR(__xludf.DUMMYFUNCTION("""COMPUTED_VALUE"""),4.2776)</f>
        <v>4.2776</v>
      </c>
    </row>
    <row r="1602">
      <c r="D1602" s="6">
        <f>IFERROR(__xludf.DUMMYFUNCTION("""COMPUTED_VALUE"""),40536.99861111111)</f>
        <v>40536.99861</v>
      </c>
      <c r="E1602" s="3">
        <f>IFERROR(__xludf.DUMMYFUNCTION("""COMPUTED_VALUE"""),4.2776)</f>
        <v>4.2776</v>
      </c>
    </row>
    <row r="1603">
      <c r="D1603" s="6">
        <f>IFERROR(__xludf.DUMMYFUNCTION("""COMPUTED_VALUE"""),40539.99861111111)</f>
        <v>40539.99861</v>
      </c>
      <c r="E1603" s="3">
        <f>IFERROR(__xludf.DUMMYFUNCTION("""COMPUTED_VALUE"""),4.2779)</f>
        <v>4.2779</v>
      </c>
    </row>
    <row r="1604">
      <c r="D1604" s="6">
        <f>IFERROR(__xludf.DUMMYFUNCTION("""COMPUTED_VALUE"""),40540.99861111111)</f>
        <v>40540.99861</v>
      </c>
      <c r="E1604" s="3">
        <f>IFERROR(__xludf.DUMMYFUNCTION("""COMPUTED_VALUE"""),4.279)</f>
        <v>4.279</v>
      </c>
    </row>
    <row r="1605">
      <c r="D1605" s="6">
        <f>IFERROR(__xludf.DUMMYFUNCTION("""COMPUTED_VALUE"""),40541.99861111111)</f>
        <v>40541.99861</v>
      </c>
      <c r="E1605" s="3">
        <f>IFERROR(__xludf.DUMMYFUNCTION("""COMPUTED_VALUE"""),4.2914)</f>
        <v>4.2914</v>
      </c>
    </row>
    <row r="1606">
      <c r="D1606" s="6">
        <f>IFERROR(__xludf.DUMMYFUNCTION("""COMPUTED_VALUE"""),40542.99861111111)</f>
        <v>40542.99861</v>
      </c>
      <c r="E1606" s="3">
        <f>IFERROR(__xludf.DUMMYFUNCTION("""COMPUTED_VALUE"""),4.2776)</f>
        <v>4.2776</v>
      </c>
    </row>
    <row r="1607">
      <c r="D1607" s="6">
        <f>IFERROR(__xludf.DUMMYFUNCTION("""COMPUTED_VALUE"""),40543.99861111111)</f>
        <v>40543.99861</v>
      </c>
      <c r="E1607" s="3">
        <f>IFERROR(__xludf.DUMMYFUNCTION("""COMPUTED_VALUE"""),4.2776)</f>
        <v>4.2776</v>
      </c>
    </row>
    <row r="1608">
      <c r="D1608" s="6">
        <f>IFERROR(__xludf.DUMMYFUNCTION("""COMPUTED_VALUE"""),40545.99861111111)</f>
        <v>40545.99861</v>
      </c>
      <c r="E1608" s="3">
        <f>IFERROR(__xludf.DUMMYFUNCTION("""COMPUTED_VALUE"""),4.2776)</f>
        <v>4.2776</v>
      </c>
    </row>
    <row r="1609">
      <c r="D1609" s="6">
        <f>IFERROR(__xludf.DUMMYFUNCTION("""COMPUTED_VALUE"""),40546.99861111111)</f>
        <v>40546.99861</v>
      </c>
      <c r="E1609" s="3">
        <f>IFERROR(__xludf.DUMMYFUNCTION("""COMPUTED_VALUE"""),4.2653)</f>
        <v>4.2653</v>
      </c>
    </row>
    <row r="1610">
      <c r="D1610" s="6">
        <f>IFERROR(__xludf.DUMMYFUNCTION("""COMPUTED_VALUE"""),40547.99861111111)</f>
        <v>40547.99861</v>
      </c>
      <c r="E1610" s="3">
        <f>IFERROR(__xludf.DUMMYFUNCTION("""COMPUTED_VALUE"""),4.2599)</f>
        <v>4.2599</v>
      </c>
    </row>
    <row r="1611">
      <c r="D1611" s="6">
        <f>IFERROR(__xludf.DUMMYFUNCTION("""COMPUTED_VALUE"""),40548.99861111111)</f>
        <v>40548.99861</v>
      </c>
      <c r="E1611" s="3">
        <f>IFERROR(__xludf.DUMMYFUNCTION("""COMPUTED_VALUE"""),4.2595)</f>
        <v>4.2595</v>
      </c>
    </row>
    <row r="1612">
      <c r="D1612" s="6">
        <f>IFERROR(__xludf.DUMMYFUNCTION("""COMPUTED_VALUE"""),40549.99861111111)</f>
        <v>40549.99861</v>
      </c>
      <c r="E1612" s="3">
        <f>IFERROR(__xludf.DUMMYFUNCTION("""COMPUTED_VALUE"""),4.2466)</f>
        <v>4.2466</v>
      </c>
    </row>
    <row r="1613">
      <c r="D1613" s="6">
        <f>IFERROR(__xludf.DUMMYFUNCTION("""COMPUTED_VALUE"""),40550.99861111111)</f>
        <v>40550.99861</v>
      </c>
      <c r="E1613" s="3">
        <f>IFERROR(__xludf.DUMMYFUNCTION("""COMPUTED_VALUE"""),4.2528)</f>
        <v>4.2528</v>
      </c>
    </row>
    <row r="1614">
      <c r="D1614" s="6">
        <f>IFERROR(__xludf.DUMMYFUNCTION("""COMPUTED_VALUE"""),40552.99861111111)</f>
        <v>40552.99861</v>
      </c>
      <c r="E1614" s="3">
        <f>IFERROR(__xludf.DUMMYFUNCTION("""COMPUTED_VALUE"""),4.2528)</f>
        <v>4.2528</v>
      </c>
    </row>
    <row r="1615">
      <c r="D1615" s="6">
        <f>IFERROR(__xludf.DUMMYFUNCTION("""COMPUTED_VALUE"""),40553.99861111111)</f>
        <v>40553.99861</v>
      </c>
      <c r="E1615" s="3">
        <f>IFERROR(__xludf.DUMMYFUNCTION("""COMPUTED_VALUE"""),4.2552)</f>
        <v>4.2552</v>
      </c>
    </row>
    <row r="1616">
      <c r="D1616" s="6">
        <f>IFERROR(__xludf.DUMMYFUNCTION("""COMPUTED_VALUE"""),40554.99861111111)</f>
        <v>40554.99861</v>
      </c>
      <c r="E1616" s="3">
        <f>IFERROR(__xludf.DUMMYFUNCTION("""COMPUTED_VALUE"""),4.2528)</f>
        <v>4.2528</v>
      </c>
    </row>
    <row r="1617">
      <c r="D1617" s="6">
        <f>IFERROR(__xludf.DUMMYFUNCTION("""COMPUTED_VALUE"""),40555.99861111111)</f>
        <v>40555.99861</v>
      </c>
      <c r="E1617" s="3">
        <f>IFERROR(__xludf.DUMMYFUNCTION("""COMPUTED_VALUE"""),4.2431)</f>
        <v>4.2431</v>
      </c>
    </row>
    <row r="1618">
      <c r="D1618" s="6">
        <f>IFERROR(__xludf.DUMMYFUNCTION("""COMPUTED_VALUE"""),40556.99861111111)</f>
        <v>40556.99861</v>
      </c>
      <c r="E1618" s="3">
        <f>IFERROR(__xludf.DUMMYFUNCTION("""COMPUTED_VALUE"""),4.252)</f>
        <v>4.252</v>
      </c>
    </row>
    <row r="1619">
      <c r="D1619" s="6">
        <f>IFERROR(__xludf.DUMMYFUNCTION("""COMPUTED_VALUE"""),40557.99861111111)</f>
        <v>40557.99861</v>
      </c>
      <c r="E1619" s="3">
        <f>IFERROR(__xludf.DUMMYFUNCTION("""COMPUTED_VALUE"""),4.2533)</f>
        <v>4.2533</v>
      </c>
    </row>
    <row r="1620">
      <c r="D1620" s="6">
        <f>IFERROR(__xludf.DUMMYFUNCTION("""COMPUTED_VALUE"""),40560.99861111111)</f>
        <v>40560.99861</v>
      </c>
      <c r="E1620" s="3">
        <f>IFERROR(__xludf.DUMMYFUNCTION("""COMPUTED_VALUE"""),4.2496)</f>
        <v>4.2496</v>
      </c>
    </row>
    <row r="1621">
      <c r="D1621" s="6">
        <f>IFERROR(__xludf.DUMMYFUNCTION("""COMPUTED_VALUE"""),40561.99861111111)</f>
        <v>40561.99861</v>
      </c>
      <c r="E1621" s="3">
        <f>IFERROR(__xludf.DUMMYFUNCTION("""COMPUTED_VALUE"""),4.2494)</f>
        <v>4.2494</v>
      </c>
    </row>
    <row r="1622">
      <c r="D1622" s="6">
        <f>IFERROR(__xludf.DUMMYFUNCTION("""COMPUTED_VALUE"""),40562.99861111111)</f>
        <v>40562.99861</v>
      </c>
      <c r="E1622" s="3">
        <f>IFERROR(__xludf.DUMMYFUNCTION("""COMPUTED_VALUE"""),4.2536)</f>
        <v>4.2536</v>
      </c>
    </row>
    <row r="1623">
      <c r="D1623" s="6">
        <f>IFERROR(__xludf.DUMMYFUNCTION("""COMPUTED_VALUE"""),40563.99861111111)</f>
        <v>40563.99861</v>
      </c>
      <c r="E1623" s="3">
        <f>IFERROR(__xludf.DUMMYFUNCTION("""COMPUTED_VALUE"""),4.2591)</f>
        <v>4.2591</v>
      </c>
    </row>
    <row r="1624">
      <c r="D1624" s="6">
        <f>IFERROR(__xludf.DUMMYFUNCTION("""COMPUTED_VALUE"""),40564.99861111111)</f>
        <v>40564.99861</v>
      </c>
      <c r="E1624" s="3">
        <f>IFERROR(__xludf.DUMMYFUNCTION("""COMPUTED_VALUE"""),4.26)</f>
        <v>4.26</v>
      </c>
    </row>
    <row r="1625">
      <c r="D1625" s="6">
        <f>IFERROR(__xludf.DUMMYFUNCTION("""COMPUTED_VALUE"""),40567.99861111111)</f>
        <v>40567.99861</v>
      </c>
      <c r="E1625" s="3">
        <f>IFERROR(__xludf.DUMMYFUNCTION("""COMPUTED_VALUE"""),4.2585)</f>
        <v>4.2585</v>
      </c>
    </row>
    <row r="1626">
      <c r="D1626" s="6">
        <f>IFERROR(__xludf.DUMMYFUNCTION("""COMPUTED_VALUE"""),40568.99861111111)</f>
        <v>40568.99861</v>
      </c>
      <c r="E1626" s="3">
        <f>IFERROR(__xludf.DUMMYFUNCTION("""COMPUTED_VALUE"""),4.2533)</f>
        <v>4.2533</v>
      </c>
    </row>
    <row r="1627">
      <c r="D1627" s="6">
        <f>IFERROR(__xludf.DUMMYFUNCTION("""COMPUTED_VALUE"""),40569.99861111111)</f>
        <v>40569.99861</v>
      </c>
      <c r="E1627" s="3">
        <f>IFERROR(__xludf.DUMMYFUNCTION("""COMPUTED_VALUE"""),4.2595)</f>
        <v>4.2595</v>
      </c>
    </row>
    <row r="1628">
      <c r="D1628" s="6">
        <f>IFERROR(__xludf.DUMMYFUNCTION("""COMPUTED_VALUE"""),40570.99861111111)</f>
        <v>40570.99861</v>
      </c>
      <c r="E1628" s="3">
        <f>IFERROR(__xludf.DUMMYFUNCTION("""COMPUTED_VALUE"""),4.2546)</f>
        <v>4.2546</v>
      </c>
    </row>
    <row r="1629">
      <c r="D1629" s="6">
        <f>IFERROR(__xludf.DUMMYFUNCTION("""COMPUTED_VALUE"""),40571.99861111111)</f>
        <v>40571.99861</v>
      </c>
      <c r="E1629" s="3">
        <f>IFERROR(__xludf.DUMMYFUNCTION("""COMPUTED_VALUE"""),4.2478)</f>
        <v>4.2478</v>
      </c>
    </row>
    <row r="1630">
      <c r="D1630" s="6">
        <f>IFERROR(__xludf.DUMMYFUNCTION("""COMPUTED_VALUE"""),40574.99861111111)</f>
        <v>40574.99861</v>
      </c>
      <c r="E1630" s="3">
        <f>IFERROR(__xludf.DUMMYFUNCTION("""COMPUTED_VALUE"""),4.2472)</f>
        <v>4.2472</v>
      </c>
    </row>
    <row r="1631">
      <c r="D1631" s="6">
        <f>IFERROR(__xludf.DUMMYFUNCTION("""COMPUTED_VALUE"""),40575.99861111111)</f>
        <v>40575.99861</v>
      </c>
      <c r="E1631" s="3">
        <f>IFERROR(__xludf.DUMMYFUNCTION("""COMPUTED_VALUE"""),4.2463)</f>
        <v>4.2463</v>
      </c>
    </row>
    <row r="1632">
      <c r="D1632" s="6">
        <f>IFERROR(__xludf.DUMMYFUNCTION("""COMPUTED_VALUE"""),40576.99861111111)</f>
        <v>40576.99861</v>
      </c>
      <c r="E1632" s="3">
        <f>IFERROR(__xludf.DUMMYFUNCTION("""COMPUTED_VALUE"""),4.2459)</f>
        <v>4.2459</v>
      </c>
    </row>
    <row r="1633">
      <c r="D1633" s="6">
        <f>IFERROR(__xludf.DUMMYFUNCTION("""COMPUTED_VALUE"""),40577.99861111111)</f>
        <v>40577.99861</v>
      </c>
      <c r="E1633" s="3">
        <f>IFERROR(__xludf.DUMMYFUNCTION("""COMPUTED_VALUE"""),4.2533)</f>
        <v>4.2533</v>
      </c>
    </row>
    <row r="1634">
      <c r="D1634" s="6">
        <f>IFERROR(__xludf.DUMMYFUNCTION("""COMPUTED_VALUE"""),40578.99861111111)</f>
        <v>40578.99861</v>
      </c>
      <c r="E1634" s="3">
        <f>IFERROR(__xludf.DUMMYFUNCTION("""COMPUTED_VALUE"""),4.249)</f>
        <v>4.249</v>
      </c>
    </row>
    <row r="1635">
      <c r="D1635" s="6">
        <f>IFERROR(__xludf.DUMMYFUNCTION("""COMPUTED_VALUE"""),40580.99861111111)</f>
        <v>40580.99861</v>
      </c>
      <c r="E1635" s="3">
        <f>IFERROR(__xludf.DUMMYFUNCTION("""COMPUTED_VALUE"""),4.2494)</f>
        <v>4.2494</v>
      </c>
    </row>
    <row r="1636">
      <c r="D1636" s="6">
        <f>IFERROR(__xludf.DUMMYFUNCTION("""COMPUTED_VALUE"""),40581.99861111111)</f>
        <v>40581.99861</v>
      </c>
      <c r="E1636" s="3">
        <f>IFERROR(__xludf.DUMMYFUNCTION("""COMPUTED_VALUE"""),4.2494)</f>
        <v>4.2494</v>
      </c>
    </row>
    <row r="1637">
      <c r="D1637" s="6">
        <f>IFERROR(__xludf.DUMMYFUNCTION("""COMPUTED_VALUE"""),40582.99861111111)</f>
        <v>40582.99861</v>
      </c>
      <c r="E1637" s="3">
        <f>IFERROR(__xludf.DUMMYFUNCTION("""COMPUTED_VALUE"""),4.2443)</f>
        <v>4.2443</v>
      </c>
    </row>
    <row r="1638">
      <c r="D1638" s="6">
        <f>IFERROR(__xludf.DUMMYFUNCTION("""COMPUTED_VALUE"""),40583.99861111111)</f>
        <v>40583.99861</v>
      </c>
      <c r="E1638" s="3">
        <f>IFERROR(__xludf.DUMMYFUNCTION("""COMPUTED_VALUE"""),4.2458)</f>
        <v>4.2458</v>
      </c>
    </row>
    <row r="1639">
      <c r="D1639" s="6">
        <f>IFERROR(__xludf.DUMMYFUNCTION("""COMPUTED_VALUE"""),40584.99861111111)</f>
        <v>40584.99861</v>
      </c>
      <c r="E1639" s="3">
        <f>IFERROR(__xludf.DUMMYFUNCTION("""COMPUTED_VALUE"""),4.255)</f>
        <v>4.255</v>
      </c>
    </row>
    <row r="1640">
      <c r="D1640" s="6">
        <f>IFERROR(__xludf.DUMMYFUNCTION("""COMPUTED_VALUE"""),40585.99861111111)</f>
        <v>40585.99861</v>
      </c>
      <c r="E1640" s="3">
        <f>IFERROR(__xludf.DUMMYFUNCTION("""COMPUTED_VALUE"""),4.2493)</f>
        <v>4.2493</v>
      </c>
    </row>
    <row r="1641">
      <c r="D1641" s="6">
        <f>IFERROR(__xludf.DUMMYFUNCTION("""COMPUTED_VALUE"""),40587.99861111111)</f>
        <v>40587.99861</v>
      </c>
      <c r="E1641" s="3">
        <f>IFERROR(__xludf.DUMMYFUNCTION("""COMPUTED_VALUE"""),4.2493)</f>
        <v>4.2493</v>
      </c>
    </row>
    <row r="1642">
      <c r="D1642" s="6">
        <f>IFERROR(__xludf.DUMMYFUNCTION("""COMPUTED_VALUE"""),40588.99861111111)</f>
        <v>40588.99861</v>
      </c>
      <c r="E1642" s="3">
        <f>IFERROR(__xludf.DUMMYFUNCTION("""COMPUTED_VALUE"""),4.239)</f>
        <v>4.239</v>
      </c>
    </row>
    <row r="1643">
      <c r="D1643" s="6">
        <f>IFERROR(__xludf.DUMMYFUNCTION("""COMPUTED_VALUE"""),40589.99861111111)</f>
        <v>40589.99861</v>
      </c>
      <c r="E1643" s="3">
        <f>IFERROR(__xludf.DUMMYFUNCTION("""COMPUTED_VALUE"""),4.2433)</f>
        <v>4.2433</v>
      </c>
    </row>
    <row r="1644">
      <c r="D1644" s="6">
        <f>IFERROR(__xludf.DUMMYFUNCTION("""COMPUTED_VALUE"""),40590.99861111111)</f>
        <v>40590.99861</v>
      </c>
      <c r="E1644" s="3">
        <f>IFERROR(__xludf.DUMMYFUNCTION("""COMPUTED_VALUE"""),4.24)</f>
        <v>4.24</v>
      </c>
    </row>
    <row r="1645">
      <c r="D1645" s="6">
        <f>IFERROR(__xludf.DUMMYFUNCTION("""COMPUTED_VALUE"""),40591.99861111111)</f>
        <v>40591.99861</v>
      </c>
      <c r="E1645" s="3">
        <f>IFERROR(__xludf.DUMMYFUNCTION("""COMPUTED_VALUE"""),4.2371)</f>
        <v>4.2371</v>
      </c>
    </row>
    <row r="1646">
      <c r="D1646" s="6">
        <f>IFERROR(__xludf.DUMMYFUNCTION("""COMPUTED_VALUE"""),40592.99861111111)</f>
        <v>40592.99861</v>
      </c>
      <c r="E1646" s="3">
        <f>IFERROR(__xludf.DUMMYFUNCTION("""COMPUTED_VALUE"""),4.2316)</f>
        <v>4.2316</v>
      </c>
    </row>
    <row r="1647">
      <c r="D1647" s="6">
        <f>IFERROR(__xludf.DUMMYFUNCTION("""COMPUTED_VALUE"""),40595.99861111111)</f>
        <v>40595.99861</v>
      </c>
      <c r="E1647" s="3">
        <f>IFERROR(__xludf.DUMMYFUNCTION("""COMPUTED_VALUE"""),4.2214)</f>
        <v>4.2214</v>
      </c>
    </row>
    <row r="1648">
      <c r="D1648" s="6">
        <f>IFERROR(__xludf.DUMMYFUNCTION("""COMPUTED_VALUE"""),40596.99861111111)</f>
        <v>40596.99861</v>
      </c>
      <c r="E1648" s="3">
        <f>IFERROR(__xludf.DUMMYFUNCTION("""COMPUTED_VALUE"""),4.219)</f>
        <v>4.219</v>
      </c>
    </row>
    <row r="1649">
      <c r="D1649" s="6">
        <f>IFERROR(__xludf.DUMMYFUNCTION("""COMPUTED_VALUE"""),40597.99861111111)</f>
        <v>40597.99861</v>
      </c>
      <c r="E1649" s="3">
        <f>IFERROR(__xludf.DUMMYFUNCTION("""COMPUTED_VALUE"""),4.2249)</f>
        <v>4.2249</v>
      </c>
    </row>
    <row r="1650">
      <c r="D1650" s="6">
        <f>IFERROR(__xludf.DUMMYFUNCTION("""COMPUTED_VALUE"""),40598.99861111111)</f>
        <v>40598.99861</v>
      </c>
      <c r="E1650" s="3">
        <f>IFERROR(__xludf.DUMMYFUNCTION("""COMPUTED_VALUE"""),4.2275)</f>
        <v>4.2275</v>
      </c>
    </row>
    <row r="1651">
      <c r="D1651" s="6">
        <f>IFERROR(__xludf.DUMMYFUNCTION("""COMPUTED_VALUE"""),40599.99861111111)</f>
        <v>40599.99861</v>
      </c>
      <c r="E1651" s="3">
        <f>IFERROR(__xludf.DUMMYFUNCTION("""COMPUTED_VALUE"""),4.2135)</f>
        <v>4.2135</v>
      </c>
    </row>
    <row r="1652">
      <c r="D1652" s="6">
        <f>IFERROR(__xludf.DUMMYFUNCTION("""COMPUTED_VALUE"""),40602.99861111111)</f>
        <v>40602.99861</v>
      </c>
      <c r="E1652" s="3">
        <f>IFERROR(__xludf.DUMMYFUNCTION("""COMPUTED_VALUE"""),4.1998)</f>
        <v>4.1998</v>
      </c>
    </row>
    <row r="1653">
      <c r="D1653" s="6">
        <f>IFERROR(__xludf.DUMMYFUNCTION("""COMPUTED_VALUE"""),40603.99861111111)</f>
        <v>40603.99861</v>
      </c>
      <c r="E1653" s="3">
        <f>IFERROR(__xludf.DUMMYFUNCTION("""COMPUTED_VALUE"""),4.205)</f>
        <v>4.205</v>
      </c>
    </row>
    <row r="1654">
      <c r="D1654" s="6">
        <f>IFERROR(__xludf.DUMMYFUNCTION("""COMPUTED_VALUE"""),40604.99861111111)</f>
        <v>40604.99861</v>
      </c>
      <c r="E1654" s="3">
        <f>IFERROR(__xludf.DUMMYFUNCTION("""COMPUTED_VALUE"""),4.202)</f>
        <v>4.202</v>
      </c>
    </row>
    <row r="1655">
      <c r="D1655" s="6">
        <f>IFERROR(__xludf.DUMMYFUNCTION("""COMPUTED_VALUE"""),40605.99861111111)</f>
        <v>40605.99861</v>
      </c>
      <c r="E1655" s="3">
        <f>IFERROR(__xludf.DUMMYFUNCTION("""COMPUTED_VALUE"""),4.2033)</f>
        <v>4.2033</v>
      </c>
    </row>
    <row r="1656">
      <c r="D1656" s="6">
        <f>IFERROR(__xludf.DUMMYFUNCTION("""COMPUTED_VALUE"""),40606.99861111111)</f>
        <v>40606.99861</v>
      </c>
      <c r="E1656" s="3">
        <f>IFERROR(__xludf.DUMMYFUNCTION("""COMPUTED_VALUE"""),4.2048)</f>
        <v>4.2048</v>
      </c>
    </row>
    <row r="1657">
      <c r="D1657" s="6">
        <f>IFERROR(__xludf.DUMMYFUNCTION("""COMPUTED_VALUE"""),40608.99861111111)</f>
        <v>40608.99861</v>
      </c>
      <c r="E1657" s="3">
        <f>IFERROR(__xludf.DUMMYFUNCTION("""COMPUTED_VALUE"""),4.2048)</f>
        <v>4.2048</v>
      </c>
    </row>
    <row r="1658">
      <c r="D1658" s="6">
        <f>IFERROR(__xludf.DUMMYFUNCTION("""COMPUTED_VALUE"""),40609.99861111111)</f>
        <v>40609.99861</v>
      </c>
      <c r="E1658" s="3">
        <f>IFERROR(__xludf.DUMMYFUNCTION("""COMPUTED_VALUE"""),4.1952)</f>
        <v>4.1952</v>
      </c>
    </row>
    <row r="1659">
      <c r="D1659" s="6">
        <f>IFERROR(__xludf.DUMMYFUNCTION("""COMPUTED_VALUE"""),40610.99861111111)</f>
        <v>40610.99861</v>
      </c>
      <c r="E1659" s="3">
        <f>IFERROR(__xludf.DUMMYFUNCTION("""COMPUTED_VALUE"""),4.1879)</f>
        <v>4.1879</v>
      </c>
    </row>
    <row r="1660">
      <c r="D1660" s="6">
        <f>IFERROR(__xludf.DUMMYFUNCTION("""COMPUTED_VALUE"""),40611.99861111111)</f>
        <v>40611.99861</v>
      </c>
      <c r="E1660" s="3">
        <f>IFERROR(__xludf.DUMMYFUNCTION("""COMPUTED_VALUE"""),4.1874)</f>
        <v>4.1874</v>
      </c>
    </row>
    <row r="1661">
      <c r="D1661" s="6">
        <f>IFERROR(__xludf.DUMMYFUNCTION("""COMPUTED_VALUE"""),40612.99861111111)</f>
        <v>40612.99861</v>
      </c>
      <c r="E1661" s="3">
        <f>IFERROR(__xludf.DUMMYFUNCTION("""COMPUTED_VALUE"""),4.1925)</f>
        <v>4.1925</v>
      </c>
    </row>
    <row r="1662">
      <c r="D1662" s="6">
        <f>IFERROR(__xludf.DUMMYFUNCTION("""COMPUTED_VALUE"""),40613.99861111111)</f>
        <v>40613.99861</v>
      </c>
      <c r="E1662" s="3">
        <f>IFERROR(__xludf.DUMMYFUNCTION("""COMPUTED_VALUE"""),4.1834)</f>
        <v>4.1834</v>
      </c>
    </row>
    <row r="1663">
      <c r="D1663" s="6">
        <f>IFERROR(__xludf.DUMMYFUNCTION("""COMPUTED_VALUE"""),40616.99861111111)</f>
        <v>40616.99861</v>
      </c>
      <c r="E1663" s="3">
        <f>IFERROR(__xludf.DUMMYFUNCTION("""COMPUTED_VALUE"""),4.1765)</f>
        <v>4.1765</v>
      </c>
    </row>
    <row r="1664">
      <c r="D1664" s="6">
        <f>IFERROR(__xludf.DUMMYFUNCTION("""COMPUTED_VALUE"""),40617.99861111111)</f>
        <v>40617.99861</v>
      </c>
      <c r="E1664" s="3">
        <f>IFERROR(__xludf.DUMMYFUNCTION("""COMPUTED_VALUE"""),4.1772)</f>
        <v>4.1772</v>
      </c>
    </row>
    <row r="1665">
      <c r="D1665" s="6">
        <f>IFERROR(__xludf.DUMMYFUNCTION("""COMPUTED_VALUE"""),40618.99861111111)</f>
        <v>40618.99861</v>
      </c>
      <c r="E1665" s="3">
        <f>IFERROR(__xludf.DUMMYFUNCTION("""COMPUTED_VALUE"""),4.1772)</f>
        <v>4.1772</v>
      </c>
    </row>
    <row r="1666">
      <c r="D1666" s="6">
        <f>IFERROR(__xludf.DUMMYFUNCTION("""COMPUTED_VALUE"""),40619.99861111111)</f>
        <v>40619.99861</v>
      </c>
      <c r="E1666" s="3">
        <f>IFERROR(__xludf.DUMMYFUNCTION("""COMPUTED_VALUE"""),4.1701)</f>
        <v>4.1701</v>
      </c>
    </row>
    <row r="1667">
      <c r="D1667" s="6">
        <f>IFERROR(__xludf.DUMMYFUNCTION("""COMPUTED_VALUE"""),40620.99861111111)</f>
        <v>40620.99861</v>
      </c>
      <c r="E1667" s="3">
        <f>IFERROR(__xludf.DUMMYFUNCTION("""COMPUTED_VALUE"""),4.165)</f>
        <v>4.165</v>
      </c>
    </row>
    <row r="1668">
      <c r="D1668" s="6">
        <f>IFERROR(__xludf.DUMMYFUNCTION("""COMPUTED_VALUE"""),40622.99861111111)</f>
        <v>40622.99861</v>
      </c>
      <c r="E1668" s="3">
        <f>IFERROR(__xludf.DUMMYFUNCTION("""COMPUTED_VALUE"""),4.165)</f>
        <v>4.165</v>
      </c>
    </row>
    <row r="1669">
      <c r="D1669" s="6">
        <f>IFERROR(__xludf.DUMMYFUNCTION("""COMPUTED_VALUE"""),40623.99861111111)</f>
        <v>40623.99861</v>
      </c>
      <c r="E1669" s="3">
        <f>IFERROR(__xludf.DUMMYFUNCTION("""COMPUTED_VALUE"""),4.1559)</f>
        <v>4.1559</v>
      </c>
    </row>
    <row r="1670">
      <c r="D1670" s="6">
        <f>IFERROR(__xludf.DUMMYFUNCTION("""COMPUTED_VALUE"""),40624.99861111111)</f>
        <v>40624.99861</v>
      </c>
      <c r="E1670" s="3">
        <f>IFERROR(__xludf.DUMMYFUNCTION("""COMPUTED_VALUE"""),4.126)</f>
        <v>4.126</v>
      </c>
    </row>
    <row r="1671">
      <c r="D1671" s="6">
        <f>IFERROR(__xludf.DUMMYFUNCTION("""COMPUTED_VALUE"""),40625.99861111111)</f>
        <v>40625.99861</v>
      </c>
      <c r="E1671" s="3">
        <f>IFERROR(__xludf.DUMMYFUNCTION("""COMPUTED_VALUE"""),4.1044)</f>
        <v>4.1044</v>
      </c>
    </row>
    <row r="1672">
      <c r="D1672" s="6">
        <f>IFERROR(__xludf.DUMMYFUNCTION("""COMPUTED_VALUE"""),40626.99861111111)</f>
        <v>40626.99861</v>
      </c>
      <c r="E1672" s="3">
        <f>IFERROR(__xludf.DUMMYFUNCTION("""COMPUTED_VALUE"""),4.0886)</f>
        <v>4.0886</v>
      </c>
    </row>
    <row r="1673">
      <c r="D1673" s="6">
        <f>IFERROR(__xludf.DUMMYFUNCTION("""COMPUTED_VALUE"""),40627.99861111111)</f>
        <v>40627.99861</v>
      </c>
      <c r="E1673" s="3">
        <f>IFERROR(__xludf.DUMMYFUNCTION("""COMPUTED_VALUE"""),4.0854)</f>
        <v>4.0854</v>
      </c>
    </row>
    <row r="1674">
      <c r="D1674" s="6">
        <f>IFERROR(__xludf.DUMMYFUNCTION("""COMPUTED_VALUE"""),40629.99861111111)</f>
        <v>40629.99861</v>
      </c>
      <c r="E1674" s="3">
        <f>IFERROR(__xludf.DUMMYFUNCTION("""COMPUTED_VALUE"""),4.0854)</f>
        <v>4.0854</v>
      </c>
    </row>
    <row r="1675">
      <c r="D1675" s="6">
        <f>IFERROR(__xludf.DUMMYFUNCTION("""COMPUTED_VALUE"""),40630.99861111111)</f>
        <v>40630.99861</v>
      </c>
      <c r="E1675" s="3">
        <f>IFERROR(__xludf.DUMMYFUNCTION("""COMPUTED_VALUE"""),4.1075)</f>
        <v>4.1075</v>
      </c>
    </row>
    <row r="1676">
      <c r="D1676" s="6">
        <f>IFERROR(__xludf.DUMMYFUNCTION("""COMPUTED_VALUE"""),40631.99861111111)</f>
        <v>40631.99861</v>
      </c>
      <c r="E1676" s="3">
        <f>IFERROR(__xludf.DUMMYFUNCTION("""COMPUTED_VALUE"""),4.1176)</f>
        <v>4.1176</v>
      </c>
    </row>
    <row r="1677">
      <c r="D1677" s="6">
        <f>IFERROR(__xludf.DUMMYFUNCTION("""COMPUTED_VALUE"""),40632.99861111111)</f>
        <v>40632.99861</v>
      </c>
      <c r="E1677" s="3">
        <f>IFERROR(__xludf.DUMMYFUNCTION("""COMPUTED_VALUE"""),4.1191)</f>
        <v>4.1191</v>
      </c>
    </row>
    <row r="1678">
      <c r="D1678" s="6">
        <f>IFERROR(__xludf.DUMMYFUNCTION("""COMPUTED_VALUE"""),40633.99861111111)</f>
        <v>40633.99861</v>
      </c>
      <c r="E1678" s="3">
        <f>IFERROR(__xludf.DUMMYFUNCTION("""COMPUTED_VALUE"""),4.1218)</f>
        <v>4.1218</v>
      </c>
    </row>
    <row r="1679">
      <c r="D1679" s="6">
        <f>IFERROR(__xludf.DUMMYFUNCTION("""COMPUTED_VALUE"""),40634.99861111111)</f>
        <v>40634.99861</v>
      </c>
      <c r="E1679" s="3">
        <f>IFERROR(__xludf.DUMMYFUNCTION("""COMPUTED_VALUE"""),4.1346)</f>
        <v>4.1346</v>
      </c>
    </row>
    <row r="1680">
      <c r="D1680" s="6">
        <f>IFERROR(__xludf.DUMMYFUNCTION("""COMPUTED_VALUE"""),40636.99861111111)</f>
        <v>40636.99861</v>
      </c>
      <c r="E1680" s="3">
        <f>IFERROR(__xludf.DUMMYFUNCTION("""COMPUTED_VALUE"""),4.1346)</f>
        <v>4.1346</v>
      </c>
    </row>
    <row r="1681">
      <c r="D1681" s="6">
        <f>IFERROR(__xludf.DUMMYFUNCTION("""COMPUTED_VALUE"""),40637.99861111111)</f>
        <v>40637.99861</v>
      </c>
      <c r="E1681" s="3">
        <f>IFERROR(__xludf.DUMMYFUNCTION("""COMPUTED_VALUE"""),4.1393)</f>
        <v>4.1393</v>
      </c>
    </row>
    <row r="1682">
      <c r="D1682" s="6">
        <f>IFERROR(__xludf.DUMMYFUNCTION("""COMPUTED_VALUE"""),40638.99861111111)</f>
        <v>40638.99861</v>
      </c>
      <c r="E1682" s="3">
        <f>IFERROR(__xludf.DUMMYFUNCTION("""COMPUTED_VALUE"""),4.1277)</f>
        <v>4.1277</v>
      </c>
    </row>
    <row r="1683">
      <c r="D1683" s="6">
        <f>IFERROR(__xludf.DUMMYFUNCTION("""COMPUTED_VALUE"""),40639.99861111111)</f>
        <v>40639.99861</v>
      </c>
      <c r="E1683" s="3">
        <f>IFERROR(__xludf.DUMMYFUNCTION("""COMPUTED_VALUE"""),4.1059)</f>
        <v>4.1059</v>
      </c>
    </row>
    <row r="1684">
      <c r="D1684" s="6">
        <f>IFERROR(__xludf.DUMMYFUNCTION("""COMPUTED_VALUE"""),40640.99861111111)</f>
        <v>40640.99861</v>
      </c>
      <c r="E1684" s="3">
        <f>IFERROR(__xludf.DUMMYFUNCTION("""COMPUTED_VALUE"""),4.1159)</f>
        <v>4.1159</v>
      </c>
    </row>
    <row r="1685">
      <c r="D1685" s="6">
        <f>IFERROR(__xludf.DUMMYFUNCTION("""COMPUTED_VALUE"""),40641.99861111111)</f>
        <v>40641.99861</v>
      </c>
      <c r="E1685" s="3">
        <f>IFERROR(__xludf.DUMMYFUNCTION("""COMPUTED_VALUE"""),4.1084)</f>
        <v>4.1084</v>
      </c>
    </row>
    <row r="1686">
      <c r="D1686" s="6">
        <f>IFERROR(__xludf.DUMMYFUNCTION("""COMPUTED_VALUE"""),40644.99861111111)</f>
        <v>40644.99861</v>
      </c>
      <c r="E1686" s="3">
        <f>IFERROR(__xludf.DUMMYFUNCTION("""COMPUTED_VALUE"""),4.1087)</f>
        <v>4.1087</v>
      </c>
    </row>
    <row r="1687">
      <c r="D1687" s="6">
        <f>IFERROR(__xludf.DUMMYFUNCTION("""COMPUTED_VALUE"""),40645.99861111111)</f>
        <v>40645.99861</v>
      </c>
      <c r="E1687" s="3">
        <f>IFERROR(__xludf.DUMMYFUNCTION("""COMPUTED_VALUE"""),4.1044)</f>
        <v>4.1044</v>
      </c>
    </row>
    <row r="1688">
      <c r="D1688" s="6">
        <f>IFERROR(__xludf.DUMMYFUNCTION("""COMPUTED_VALUE"""),40646.99861111111)</f>
        <v>40646.99861</v>
      </c>
      <c r="E1688" s="3">
        <f>IFERROR(__xludf.DUMMYFUNCTION("""COMPUTED_VALUE"""),4.1026)</f>
        <v>4.1026</v>
      </c>
    </row>
    <row r="1689">
      <c r="D1689" s="6">
        <f>IFERROR(__xludf.DUMMYFUNCTION("""COMPUTED_VALUE"""),40647.99861111111)</f>
        <v>40647.99861</v>
      </c>
      <c r="E1689" s="3">
        <f>IFERROR(__xludf.DUMMYFUNCTION("""COMPUTED_VALUE"""),4.1)</f>
        <v>4.1</v>
      </c>
    </row>
    <row r="1690">
      <c r="D1690" s="6">
        <f>IFERROR(__xludf.DUMMYFUNCTION("""COMPUTED_VALUE"""),40648.99861111111)</f>
        <v>40648.99861</v>
      </c>
      <c r="E1690" s="3">
        <f>IFERROR(__xludf.DUMMYFUNCTION("""COMPUTED_VALUE"""),4.0944)</f>
        <v>4.0944</v>
      </c>
    </row>
    <row r="1691">
      <c r="D1691" s="6">
        <f>IFERROR(__xludf.DUMMYFUNCTION("""COMPUTED_VALUE"""),40650.99861111111)</f>
        <v>40650.99861</v>
      </c>
      <c r="E1691" s="3">
        <f>IFERROR(__xludf.DUMMYFUNCTION("""COMPUTED_VALUE"""),4.0944)</f>
        <v>4.0944</v>
      </c>
    </row>
    <row r="1692">
      <c r="D1692" s="6">
        <f>IFERROR(__xludf.DUMMYFUNCTION("""COMPUTED_VALUE"""),40651.99861111111)</f>
        <v>40651.99861</v>
      </c>
      <c r="E1692" s="3">
        <f>IFERROR(__xludf.DUMMYFUNCTION("""COMPUTED_VALUE"""),4.089)</f>
        <v>4.089</v>
      </c>
    </row>
    <row r="1693">
      <c r="D1693" s="6">
        <f>IFERROR(__xludf.DUMMYFUNCTION("""COMPUTED_VALUE"""),40652.99861111111)</f>
        <v>40652.99861</v>
      </c>
      <c r="E1693" s="3">
        <f>IFERROR(__xludf.DUMMYFUNCTION("""COMPUTED_VALUE"""),4.0862)</f>
        <v>4.0862</v>
      </c>
    </row>
    <row r="1694">
      <c r="D1694" s="6">
        <f>IFERROR(__xludf.DUMMYFUNCTION("""COMPUTED_VALUE"""),40653.99861111111)</f>
        <v>40653.99861</v>
      </c>
      <c r="E1694" s="3">
        <f>IFERROR(__xludf.DUMMYFUNCTION("""COMPUTED_VALUE"""),4.0875)</f>
        <v>4.0875</v>
      </c>
    </row>
    <row r="1695">
      <c r="D1695" s="6">
        <f>IFERROR(__xludf.DUMMYFUNCTION("""COMPUTED_VALUE"""),40654.99861111111)</f>
        <v>40654.99861</v>
      </c>
      <c r="E1695" s="3">
        <f>IFERROR(__xludf.DUMMYFUNCTION("""COMPUTED_VALUE"""),4.0871)</f>
        <v>4.0871</v>
      </c>
    </row>
    <row r="1696">
      <c r="D1696" s="6">
        <f>IFERROR(__xludf.DUMMYFUNCTION("""COMPUTED_VALUE"""),40657.99861111111)</f>
        <v>40657.99861</v>
      </c>
      <c r="E1696" s="3">
        <f>IFERROR(__xludf.DUMMYFUNCTION("""COMPUTED_VALUE"""),4.0871)</f>
        <v>4.0871</v>
      </c>
    </row>
    <row r="1697">
      <c r="D1697" s="6">
        <f>IFERROR(__xludf.DUMMYFUNCTION("""COMPUTED_VALUE"""),40659.99861111111)</f>
        <v>40659.99861</v>
      </c>
      <c r="E1697" s="3">
        <f>IFERROR(__xludf.DUMMYFUNCTION("""COMPUTED_VALUE"""),4.0785)</f>
        <v>4.0785</v>
      </c>
    </row>
    <row r="1698">
      <c r="D1698" s="6">
        <f>IFERROR(__xludf.DUMMYFUNCTION("""COMPUTED_VALUE"""),40660.99861111111)</f>
        <v>40660.99861</v>
      </c>
      <c r="E1698" s="3">
        <f>IFERROR(__xludf.DUMMYFUNCTION("""COMPUTED_VALUE"""),4.0655)</f>
        <v>4.0655</v>
      </c>
    </row>
    <row r="1699">
      <c r="D1699" s="6">
        <f>IFERROR(__xludf.DUMMYFUNCTION("""COMPUTED_VALUE"""),40661.99861111111)</f>
        <v>40661.99861</v>
      </c>
      <c r="E1699" s="3">
        <f>IFERROR(__xludf.DUMMYFUNCTION("""COMPUTED_VALUE"""),4.0776)</f>
        <v>4.0776</v>
      </c>
    </row>
    <row r="1700">
      <c r="D1700" s="6">
        <f>IFERROR(__xludf.DUMMYFUNCTION("""COMPUTED_VALUE"""),40662.99861111111)</f>
        <v>40662.99861</v>
      </c>
      <c r="E1700" s="3">
        <f>IFERROR(__xludf.DUMMYFUNCTION("""COMPUTED_VALUE"""),4.073)</f>
        <v>4.073</v>
      </c>
    </row>
    <row r="1701">
      <c r="D1701" s="6">
        <f>IFERROR(__xludf.DUMMYFUNCTION("""COMPUTED_VALUE"""),40665.99861111111)</f>
        <v>40665.99861</v>
      </c>
      <c r="E1701" s="3">
        <f>IFERROR(__xludf.DUMMYFUNCTION("""COMPUTED_VALUE"""),4.0916)</f>
        <v>4.0916</v>
      </c>
    </row>
    <row r="1702">
      <c r="D1702" s="6">
        <f>IFERROR(__xludf.DUMMYFUNCTION("""COMPUTED_VALUE"""),40666.99861111111)</f>
        <v>40666.99861</v>
      </c>
      <c r="E1702" s="3">
        <f>IFERROR(__xludf.DUMMYFUNCTION("""COMPUTED_VALUE"""),4.1059)</f>
        <v>4.1059</v>
      </c>
    </row>
    <row r="1703">
      <c r="D1703" s="6">
        <f>IFERROR(__xludf.DUMMYFUNCTION("""COMPUTED_VALUE"""),40667.99861111111)</f>
        <v>40667.99861</v>
      </c>
      <c r="E1703" s="3">
        <f>IFERROR(__xludf.DUMMYFUNCTION("""COMPUTED_VALUE"""),4.1019)</f>
        <v>4.1019</v>
      </c>
    </row>
    <row r="1704">
      <c r="D1704" s="6">
        <f>IFERROR(__xludf.DUMMYFUNCTION("""COMPUTED_VALUE"""),40668.99861111111)</f>
        <v>40668.99861</v>
      </c>
      <c r="E1704" s="3">
        <f>IFERROR(__xludf.DUMMYFUNCTION("""COMPUTED_VALUE"""),4.1114)</f>
        <v>4.1114</v>
      </c>
    </row>
    <row r="1705">
      <c r="D1705" s="6">
        <f>IFERROR(__xludf.DUMMYFUNCTION("""COMPUTED_VALUE"""),40669.99861111111)</f>
        <v>40669.99861</v>
      </c>
      <c r="E1705" s="3">
        <f>IFERROR(__xludf.DUMMYFUNCTION("""COMPUTED_VALUE"""),4.1118)</f>
        <v>4.1118</v>
      </c>
    </row>
    <row r="1706">
      <c r="D1706" s="6">
        <f>IFERROR(__xludf.DUMMYFUNCTION("""COMPUTED_VALUE"""),40672.99861111111)</f>
        <v>40672.99861</v>
      </c>
      <c r="E1706" s="3">
        <f>IFERROR(__xludf.DUMMYFUNCTION("""COMPUTED_VALUE"""),4.1009)</f>
        <v>4.1009</v>
      </c>
    </row>
    <row r="1707">
      <c r="D1707" s="6">
        <f>IFERROR(__xludf.DUMMYFUNCTION("""COMPUTED_VALUE"""),40673.99861111111)</f>
        <v>40673.99861</v>
      </c>
      <c r="E1707" s="3">
        <f>IFERROR(__xludf.DUMMYFUNCTION("""COMPUTED_VALUE"""),4.088)</f>
        <v>4.088</v>
      </c>
    </row>
    <row r="1708">
      <c r="D1708" s="6">
        <f>IFERROR(__xludf.DUMMYFUNCTION("""COMPUTED_VALUE"""),40674.99861111111)</f>
        <v>40674.99861</v>
      </c>
      <c r="E1708" s="3">
        <f>IFERROR(__xludf.DUMMYFUNCTION("""COMPUTED_VALUE"""),4.0762)</f>
        <v>4.0762</v>
      </c>
    </row>
    <row r="1709">
      <c r="D1709" s="6">
        <f>IFERROR(__xludf.DUMMYFUNCTION("""COMPUTED_VALUE"""),40675.99861111111)</f>
        <v>40675.99861</v>
      </c>
      <c r="E1709" s="3">
        <f>IFERROR(__xludf.DUMMYFUNCTION("""COMPUTED_VALUE"""),4.112)</f>
        <v>4.112</v>
      </c>
    </row>
    <row r="1710">
      <c r="D1710" s="6">
        <f>IFERROR(__xludf.DUMMYFUNCTION("""COMPUTED_VALUE"""),40676.99861111111)</f>
        <v>40676.99861</v>
      </c>
      <c r="E1710" s="3">
        <f>IFERROR(__xludf.DUMMYFUNCTION("""COMPUTED_VALUE"""),4.1125)</f>
        <v>4.1125</v>
      </c>
    </row>
    <row r="1711">
      <c r="D1711" s="6">
        <f>IFERROR(__xludf.DUMMYFUNCTION("""COMPUTED_VALUE"""),40678.99861111111)</f>
        <v>40678.99861</v>
      </c>
      <c r="E1711" s="3">
        <f>IFERROR(__xludf.DUMMYFUNCTION("""COMPUTED_VALUE"""),4.1125)</f>
        <v>4.1125</v>
      </c>
    </row>
    <row r="1712">
      <c r="D1712" s="6">
        <f>IFERROR(__xludf.DUMMYFUNCTION("""COMPUTED_VALUE"""),40679.99861111111)</f>
        <v>40679.99861</v>
      </c>
      <c r="E1712" s="3">
        <f>IFERROR(__xludf.DUMMYFUNCTION("""COMPUTED_VALUE"""),4.117)</f>
        <v>4.117</v>
      </c>
    </row>
    <row r="1713">
      <c r="D1713" s="6">
        <f>IFERROR(__xludf.DUMMYFUNCTION("""COMPUTED_VALUE"""),40680.99861111111)</f>
        <v>40680.99861</v>
      </c>
      <c r="E1713" s="3">
        <f>IFERROR(__xludf.DUMMYFUNCTION("""COMPUTED_VALUE"""),4.1155)</f>
        <v>4.1155</v>
      </c>
    </row>
    <row r="1714">
      <c r="D1714" s="6">
        <f>IFERROR(__xludf.DUMMYFUNCTION("""COMPUTED_VALUE"""),40681.99861111111)</f>
        <v>40681.99861</v>
      </c>
      <c r="E1714" s="3">
        <f>IFERROR(__xludf.DUMMYFUNCTION("""COMPUTED_VALUE"""),4.1248)</f>
        <v>4.1248</v>
      </c>
    </row>
    <row r="1715">
      <c r="D1715" s="6">
        <f>IFERROR(__xludf.DUMMYFUNCTION("""COMPUTED_VALUE"""),40682.99861111111)</f>
        <v>40682.99861</v>
      </c>
      <c r="E1715" s="3">
        <f>IFERROR(__xludf.DUMMYFUNCTION("""COMPUTED_VALUE"""),4.1089)</f>
        <v>4.1089</v>
      </c>
    </row>
    <row r="1716">
      <c r="D1716" s="6">
        <f>IFERROR(__xludf.DUMMYFUNCTION("""COMPUTED_VALUE"""),40683.99861111111)</f>
        <v>40683.99861</v>
      </c>
      <c r="E1716" s="3">
        <f>IFERROR(__xludf.DUMMYFUNCTION("""COMPUTED_VALUE"""),4.1152)</f>
        <v>4.1152</v>
      </c>
    </row>
    <row r="1717">
      <c r="D1717" s="6">
        <f>IFERROR(__xludf.DUMMYFUNCTION("""COMPUTED_VALUE"""),40686.99861111111)</f>
        <v>40686.99861</v>
      </c>
      <c r="E1717" s="3">
        <f>IFERROR(__xludf.DUMMYFUNCTION("""COMPUTED_VALUE"""),4.1278)</f>
        <v>4.1278</v>
      </c>
    </row>
    <row r="1718">
      <c r="D1718" s="6">
        <f>IFERROR(__xludf.DUMMYFUNCTION("""COMPUTED_VALUE"""),40687.99861111111)</f>
        <v>40687.99861</v>
      </c>
      <c r="E1718" s="3">
        <f>IFERROR(__xludf.DUMMYFUNCTION("""COMPUTED_VALUE"""),4.1217)</f>
        <v>4.1217</v>
      </c>
    </row>
    <row r="1719">
      <c r="D1719" s="6">
        <f>IFERROR(__xludf.DUMMYFUNCTION("""COMPUTED_VALUE"""),40688.99861111111)</f>
        <v>40688.99861</v>
      </c>
      <c r="E1719" s="3">
        <f>IFERROR(__xludf.DUMMYFUNCTION("""COMPUTED_VALUE"""),4.1295)</f>
        <v>4.1295</v>
      </c>
    </row>
    <row r="1720">
      <c r="D1720" s="6">
        <f>IFERROR(__xludf.DUMMYFUNCTION("""COMPUTED_VALUE"""),40689.99861111111)</f>
        <v>40689.99861</v>
      </c>
      <c r="E1720" s="3">
        <f>IFERROR(__xludf.DUMMYFUNCTION("""COMPUTED_VALUE"""),4.1344)</f>
        <v>4.1344</v>
      </c>
    </row>
    <row r="1721">
      <c r="D1721" s="6">
        <f>IFERROR(__xludf.DUMMYFUNCTION("""COMPUTED_VALUE"""),40690.99861111111)</f>
        <v>40690.99861</v>
      </c>
      <c r="E1721" s="3">
        <f>IFERROR(__xludf.DUMMYFUNCTION("""COMPUTED_VALUE"""),4.1258)</f>
        <v>4.1258</v>
      </c>
    </row>
    <row r="1722">
      <c r="D1722" s="6">
        <f>IFERROR(__xludf.DUMMYFUNCTION("""COMPUTED_VALUE"""),40693.99861111111)</f>
        <v>40693.99861</v>
      </c>
      <c r="E1722" s="3">
        <f>IFERROR(__xludf.DUMMYFUNCTION("""COMPUTED_VALUE"""),4.1251)</f>
        <v>4.1251</v>
      </c>
    </row>
    <row r="1723">
      <c r="D1723" s="6">
        <f>IFERROR(__xludf.DUMMYFUNCTION("""COMPUTED_VALUE"""),40694.99861111111)</f>
        <v>40694.99861</v>
      </c>
      <c r="E1723" s="3">
        <f>IFERROR(__xludf.DUMMYFUNCTION("""COMPUTED_VALUE"""),4.1293)</f>
        <v>4.1293</v>
      </c>
    </row>
    <row r="1724">
      <c r="D1724" s="6">
        <f>IFERROR(__xludf.DUMMYFUNCTION("""COMPUTED_VALUE"""),40695.99861111111)</f>
        <v>40695.99861</v>
      </c>
      <c r="E1724" s="3">
        <f>IFERROR(__xludf.DUMMYFUNCTION("""COMPUTED_VALUE"""),4.1336)</f>
        <v>4.1336</v>
      </c>
    </row>
    <row r="1725">
      <c r="D1725" s="6">
        <f>IFERROR(__xludf.DUMMYFUNCTION("""COMPUTED_VALUE"""),40696.99861111111)</f>
        <v>40696.99861</v>
      </c>
      <c r="E1725" s="3">
        <f>IFERROR(__xludf.DUMMYFUNCTION("""COMPUTED_VALUE"""),4.132)</f>
        <v>4.132</v>
      </c>
    </row>
    <row r="1726">
      <c r="D1726" s="6">
        <f>IFERROR(__xludf.DUMMYFUNCTION("""COMPUTED_VALUE"""),40697.99861111111)</f>
        <v>40697.99861</v>
      </c>
      <c r="E1726" s="3">
        <f>IFERROR(__xludf.DUMMYFUNCTION("""COMPUTED_VALUE"""),4.1281)</f>
        <v>4.1281</v>
      </c>
    </row>
    <row r="1727">
      <c r="D1727" s="6">
        <f>IFERROR(__xludf.DUMMYFUNCTION("""COMPUTED_VALUE"""),40699.99861111111)</f>
        <v>40699.99861</v>
      </c>
      <c r="E1727" s="3">
        <f>IFERROR(__xludf.DUMMYFUNCTION("""COMPUTED_VALUE"""),4.1281)</f>
        <v>4.1281</v>
      </c>
    </row>
    <row r="1728">
      <c r="D1728" s="6">
        <f>IFERROR(__xludf.DUMMYFUNCTION("""COMPUTED_VALUE"""),40700.99861111111)</f>
        <v>40700.99861</v>
      </c>
      <c r="E1728" s="3">
        <f>IFERROR(__xludf.DUMMYFUNCTION("""COMPUTED_VALUE"""),4.1351)</f>
        <v>4.1351</v>
      </c>
    </row>
    <row r="1729">
      <c r="D1729" s="6">
        <f>IFERROR(__xludf.DUMMYFUNCTION("""COMPUTED_VALUE"""),40701.99861111111)</f>
        <v>40701.99861</v>
      </c>
      <c r="E1729" s="3">
        <f>IFERROR(__xludf.DUMMYFUNCTION("""COMPUTED_VALUE"""),4.1528)</f>
        <v>4.1528</v>
      </c>
    </row>
    <row r="1730">
      <c r="D1730" s="6">
        <f>IFERROR(__xludf.DUMMYFUNCTION("""COMPUTED_VALUE"""),40702.99861111111)</f>
        <v>40702.99861</v>
      </c>
      <c r="E1730" s="3">
        <f>IFERROR(__xludf.DUMMYFUNCTION("""COMPUTED_VALUE"""),4.1723)</f>
        <v>4.1723</v>
      </c>
    </row>
    <row r="1731">
      <c r="D1731" s="6">
        <f>IFERROR(__xludf.DUMMYFUNCTION("""COMPUTED_VALUE"""),40703.99861111111)</f>
        <v>40703.99861</v>
      </c>
      <c r="E1731" s="3">
        <f>IFERROR(__xludf.DUMMYFUNCTION("""COMPUTED_VALUE"""),4.1604)</f>
        <v>4.1604</v>
      </c>
    </row>
    <row r="1732">
      <c r="D1732" s="6">
        <f>IFERROR(__xludf.DUMMYFUNCTION("""COMPUTED_VALUE"""),40704.99861111111)</f>
        <v>40704.99861</v>
      </c>
      <c r="E1732" s="3">
        <f>IFERROR(__xludf.DUMMYFUNCTION("""COMPUTED_VALUE"""),4.1748)</f>
        <v>4.1748</v>
      </c>
    </row>
    <row r="1733">
      <c r="D1733" s="6">
        <f>IFERROR(__xludf.DUMMYFUNCTION("""COMPUTED_VALUE"""),40707.99861111111)</f>
        <v>40707.99861</v>
      </c>
      <c r="E1733" s="3">
        <f>IFERROR(__xludf.DUMMYFUNCTION("""COMPUTED_VALUE"""),4.1723)</f>
        <v>4.1723</v>
      </c>
    </row>
    <row r="1734">
      <c r="D1734" s="6">
        <f>IFERROR(__xludf.DUMMYFUNCTION("""COMPUTED_VALUE"""),40708.99861111111)</f>
        <v>40708.99861</v>
      </c>
      <c r="E1734" s="3">
        <f>IFERROR(__xludf.DUMMYFUNCTION("""COMPUTED_VALUE"""),4.1683)</f>
        <v>4.1683</v>
      </c>
    </row>
    <row r="1735">
      <c r="D1735" s="6">
        <f>IFERROR(__xludf.DUMMYFUNCTION("""COMPUTED_VALUE"""),40709.99861111111)</f>
        <v>40709.99861</v>
      </c>
      <c r="E1735" s="3">
        <f>IFERROR(__xludf.DUMMYFUNCTION("""COMPUTED_VALUE"""),4.1755)</f>
        <v>4.1755</v>
      </c>
    </row>
    <row r="1736">
      <c r="D1736" s="6">
        <f>IFERROR(__xludf.DUMMYFUNCTION("""COMPUTED_VALUE"""),40710.99861111111)</f>
        <v>40710.99861</v>
      </c>
      <c r="E1736" s="3">
        <f>IFERROR(__xludf.DUMMYFUNCTION("""COMPUTED_VALUE"""),4.2361)</f>
        <v>4.2361</v>
      </c>
    </row>
    <row r="1737">
      <c r="D1737" s="6">
        <f>IFERROR(__xludf.DUMMYFUNCTION("""COMPUTED_VALUE"""),40711.99861111111)</f>
        <v>40711.99861</v>
      </c>
      <c r="E1737" s="3">
        <f>IFERROR(__xludf.DUMMYFUNCTION("""COMPUTED_VALUE"""),4.2383)</f>
        <v>4.2383</v>
      </c>
    </row>
    <row r="1738">
      <c r="D1738" s="6">
        <f>IFERROR(__xludf.DUMMYFUNCTION("""COMPUTED_VALUE"""),40714.99861111111)</f>
        <v>40714.99861</v>
      </c>
      <c r="E1738" s="3">
        <f>IFERROR(__xludf.DUMMYFUNCTION("""COMPUTED_VALUE"""),4.2494)</f>
        <v>4.2494</v>
      </c>
    </row>
    <row r="1739">
      <c r="D1739" s="6">
        <f>IFERROR(__xludf.DUMMYFUNCTION("""COMPUTED_VALUE"""),40715.99861111111)</f>
        <v>40715.99861</v>
      </c>
      <c r="E1739" s="3">
        <f>IFERROR(__xludf.DUMMYFUNCTION("""COMPUTED_VALUE"""),4.2351)</f>
        <v>4.2351</v>
      </c>
    </row>
    <row r="1740">
      <c r="D1740" s="6">
        <f>IFERROR(__xludf.DUMMYFUNCTION("""COMPUTED_VALUE"""),40716.99861111111)</f>
        <v>40716.99861</v>
      </c>
      <c r="E1740" s="3">
        <f>IFERROR(__xludf.DUMMYFUNCTION("""COMPUTED_VALUE"""),4.2045)</f>
        <v>4.2045</v>
      </c>
    </row>
    <row r="1741">
      <c r="D1741" s="6">
        <f>IFERROR(__xludf.DUMMYFUNCTION("""COMPUTED_VALUE"""),40717.99861111111)</f>
        <v>40717.99861</v>
      </c>
      <c r="E1741" s="3">
        <f>IFERROR(__xludf.DUMMYFUNCTION("""COMPUTED_VALUE"""),4.2282)</f>
        <v>4.2282</v>
      </c>
    </row>
    <row r="1742">
      <c r="D1742" s="6">
        <f>IFERROR(__xludf.DUMMYFUNCTION("""COMPUTED_VALUE"""),40718.99861111111)</f>
        <v>40718.99861</v>
      </c>
      <c r="E1742" s="3">
        <f>IFERROR(__xludf.DUMMYFUNCTION("""COMPUTED_VALUE"""),4.2233)</f>
        <v>4.2233</v>
      </c>
    </row>
    <row r="1743">
      <c r="D1743" s="6">
        <f>IFERROR(__xludf.DUMMYFUNCTION("""COMPUTED_VALUE"""),40721.99861111111)</f>
        <v>40721.99861</v>
      </c>
      <c r="E1743" s="3">
        <f>IFERROR(__xludf.DUMMYFUNCTION("""COMPUTED_VALUE"""),4.2231)</f>
        <v>4.2231</v>
      </c>
    </row>
    <row r="1744">
      <c r="D1744" s="6">
        <f>IFERROR(__xludf.DUMMYFUNCTION("""COMPUTED_VALUE"""),40722.99861111111)</f>
        <v>40722.99861</v>
      </c>
      <c r="E1744" s="3">
        <f>IFERROR(__xludf.DUMMYFUNCTION("""COMPUTED_VALUE"""),4.2107)</f>
        <v>4.2107</v>
      </c>
    </row>
    <row r="1745">
      <c r="D1745" s="6">
        <f>IFERROR(__xludf.DUMMYFUNCTION("""COMPUTED_VALUE"""),40723.99861111111)</f>
        <v>40723.99861</v>
      </c>
      <c r="E1745" s="3">
        <f>IFERROR(__xludf.DUMMYFUNCTION("""COMPUTED_VALUE"""),4.2159)</f>
        <v>4.2159</v>
      </c>
    </row>
    <row r="1746">
      <c r="D1746" s="6">
        <f>IFERROR(__xludf.DUMMYFUNCTION("""COMPUTED_VALUE"""),40724.99861111111)</f>
        <v>40724.99861</v>
      </c>
      <c r="E1746" s="3">
        <f>IFERROR(__xludf.DUMMYFUNCTION("""COMPUTED_VALUE"""),4.2417)</f>
        <v>4.2417</v>
      </c>
    </row>
    <row r="1747">
      <c r="D1747" s="6">
        <f>IFERROR(__xludf.DUMMYFUNCTION("""COMPUTED_VALUE"""),40725.99861111111)</f>
        <v>40725.99861</v>
      </c>
      <c r="E1747" s="3">
        <f>IFERROR(__xludf.DUMMYFUNCTION("""COMPUTED_VALUE"""),4.237)</f>
        <v>4.237</v>
      </c>
    </row>
    <row r="1748">
      <c r="D1748" s="6">
        <f>IFERROR(__xludf.DUMMYFUNCTION("""COMPUTED_VALUE"""),40728.99861111111)</f>
        <v>40728.99861</v>
      </c>
      <c r="E1748" s="3">
        <f>IFERROR(__xludf.DUMMYFUNCTION("""COMPUTED_VALUE"""),4.1935)</f>
        <v>4.1935</v>
      </c>
    </row>
    <row r="1749">
      <c r="D1749" s="6">
        <f>IFERROR(__xludf.DUMMYFUNCTION("""COMPUTED_VALUE"""),40729.99861111111)</f>
        <v>40729.99861</v>
      </c>
      <c r="E1749" s="3">
        <f>IFERROR(__xludf.DUMMYFUNCTION("""COMPUTED_VALUE"""),4.1807)</f>
        <v>4.1807</v>
      </c>
    </row>
    <row r="1750">
      <c r="D1750" s="6">
        <f>IFERROR(__xludf.DUMMYFUNCTION("""COMPUTED_VALUE"""),40730.99861111111)</f>
        <v>40730.99861</v>
      </c>
      <c r="E1750" s="3">
        <f>IFERROR(__xludf.DUMMYFUNCTION("""COMPUTED_VALUE"""),4.2062)</f>
        <v>4.2062</v>
      </c>
    </row>
    <row r="1751">
      <c r="D1751" s="6">
        <f>IFERROR(__xludf.DUMMYFUNCTION("""COMPUTED_VALUE"""),40731.99861111111)</f>
        <v>40731.99861</v>
      </c>
      <c r="E1751" s="3">
        <f>IFERROR(__xludf.DUMMYFUNCTION("""COMPUTED_VALUE"""),4.1934)</f>
        <v>4.1934</v>
      </c>
    </row>
    <row r="1752">
      <c r="D1752" s="6">
        <f>IFERROR(__xludf.DUMMYFUNCTION("""COMPUTED_VALUE"""),40732.99861111111)</f>
        <v>40732.99861</v>
      </c>
      <c r="E1752" s="3">
        <f>IFERROR(__xludf.DUMMYFUNCTION("""COMPUTED_VALUE"""),4.2065)</f>
        <v>4.2065</v>
      </c>
    </row>
    <row r="1753">
      <c r="D1753" s="6">
        <f>IFERROR(__xludf.DUMMYFUNCTION("""COMPUTED_VALUE"""),40734.99861111111)</f>
        <v>40734.99861</v>
      </c>
      <c r="E1753" s="3">
        <f>IFERROR(__xludf.DUMMYFUNCTION("""COMPUTED_VALUE"""),4.2065)</f>
        <v>4.2065</v>
      </c>
    </row>
    <row r="1754">
      <c r="D1754" s="6">
        <f>IFERROR(__xludf.DUMMYFUNCTION("""COMPUTED_VALUE"""),40735.99861111111)</f>
        <v>40735.99861</v>
      </c>
      <c r="E1754" s="3">
        <f>IFERROR(__xludf.DUMMYFUNCTION("""COMPUTED_VALUE"""),4.2494)</f>
        <v>4.2494</v>
      </c>
    </row>
    <row r="1755">
      <c r="D1755" s="6">
        <f>IFERROR(__xludf.DUMMYFUNCTION("""COMPUTED_VALUE"""),40736.99861111111)</f>
        <v>40736.99861</v>
      </c>
      <c r="E1755" s="3">
        <f>IFERROR(__xludf.DUMMYFUNCTION("""COMPUTED_VALUE"""),4.2785)</f>
        <v>4.2785</v>
      </c>
    </row>
    <row r="1756">
      <c r="D1756" s="6">
        <f>IFERROR(__xludf.DUMMYFUNCTION("""COMPUTED_VALUE"""),40737.99861111111)</f>
        <v>40737.99861</v>
      </c>
      <c r="E1756" s="3">
        <f>IFERROR(__xludf.DUMMYFUNCTION("""COMPUTED_VALUE"""),4.2793)</f>
        <v>4.2793</v>
      </c>
    </row>
    <row r="1757">
      <c r="D1757" s="6">
        <f>IFERROR(__xludf.DUMMYFUNCTION("""COMPUTED_VALUE"""),40738.99861111111)</f>
        <v>40738.99861</v>
      </c>
      <c r="E1757" s="3">
        <f>IFERROR(__xludf.DUMMYFUNCTION("""COMPUTED_VALUE"""),4.2698)</f>
        <v>4.2698</v>
      </c>
    </row>
    <row r="1758">
      <c r="D1758" s="6">
        <f>IFERROR(__xludf.DUMMYFUNCTION("""COMPUTED_VALUE"""),40739.99861111111)</f>
        <v>40739.99861</v>
      </c>
      <c r="E1758" s="3">
        <f>IFERROR(__xludf.DUMMYFUNCTION("""COMPUTED_VALUE"""),4.2626)</f>
        <v>4.2626</v>
      </c>
    </row>
    <row r="1759">
      <c r="D1759" s="6">
        <f>IFERROR(__xludf.DUMMYFUNCTION("""COMPUTED_VALUE"""),40742.99861111111)</f>
        <v>40742.99861</v>
      </c>
      <c r="E1759" s="3">
        <f>IFERROR(__xludf.DUMMYFUNCTION("""COMPUTED_VALUE"""),4.277)</f>
        <v>4.277</v>
      </c>
    </row>
    <row r="1760">
      <c r="D1760" s="6">
        <f>IFERROR(__xludf.DUMMYFUNCTION("""COMPUTED_VALUE"""),40743.99861111111)</f>
        <v>40743.99861</v>
      </c>
      <c r="E1760" s="3">
        <f>IFERROR(__xludf.DUMMYFUNCTION("""COMPUTED_VALUE"""),4.2489)</f>
        <v>4.2489</v>
      </c>
    </row>
    <row r="1761">
      <c r="D1761" s="6">
        <f>IFERROR(__xludf.DUMMYFUNCTION("""COMPUTED_VALUE"""),40744.99861111111)</f>
        <v>40744.99861</v>
      </c>
      <c r="E1761" s="3">
        <f>IFERROR(__xludf.DUMMYFUNCTION("""COMPUTED_VALUE"""),4.2417)</f>
        <v>4.2417</v>
      </c>
    </row>
    <row r="1762">
      <c r="D1762" s="6">
        <f>IFERROR(__xludf.DUMMYFUNCTION("""COMPUTED_VALUE"""),40745.99861111111)</f>
        <v>40745.99861</v>
      </c>
      <c r="E1762" s="3">
        <f>IFERROR(__xludf.DUMMYFUNCTION("""COMPUTED_VALUE"""),4.2419)</f>
        <v>4.2419</v>
      </c>
    </row>
    <row r="1763">
      <c r="D1763" s="6">
        <f>IFERROR(__xludf.DUMMYFUNCTION("""COMPUTED_VALUE"""),40746.99861111111)</f>
        <v>40746.99861</v>
      </c>
      <c r="E1763" s="3">
        <f>IFERROR(__xludf.DUMMYFUNCTION("""COMPUTED_VALUE"""),4.2385)</f>
        <v>4.2385</v>
      </c>
    </row>
    <row r="1764">
      <c r="D1764" s="6">
        <f>IFERROR(__xludf.DUMMYFUNCTION("""COMPUTED_VALUE"""),40748.99861111111)</f>
        <v>40748.99861</v>
      </c>
      <c r="E1764" s="3">
        <f>IFERROR(__xludf.DUMMYFUNCTION("""COMPUTED_VALUE"""),4.2385)</f>
        <v>4.2385</v>
      </c>
    </row>
    <row r="1765">
      <c r="D1765" s="6">
        <f>IFERROR(__xludf.DUMMYFUNCTION("""COMPUTED_VALUE"""),40749.99861111111)</f>
        <v>40749.99861</v>
      </c>
      <c r="E1765" s="3">
        <f>IFERROR(__xludf.DUMMYFUNCTION("""COMPUTED_VALUE"""),4.2565)</f>
        <v>4.2565</v>
      </c>
    </row>
    <row r="1766">
      <c r="D1766" s="6">
        <f>IFERROR(__xludf.DUMMYFUNCTION("""COMPUTED_VALUE"""),40750.99861111111)</f>
        <v>40750.99861</v>
      </c>
      <c r="E1766" s="3">
        <f>IFERROR(__xludf.DUMMYFUNCTION("""COMPUTED_VALUE"""),4.2284)</f>
        <v>4.2284</v>
      </c>
    </row>
    <row r="1767">
      <c r="D1767" s="6">
        <f>IFERROR(__xludf.DUMMYFUNCTION("""COMPUTED_VALUE"""),40751.99861111111)</f>
        <v>40751.99861</v>
      </c>
      <c r="E1767" s="3">
        <f>IFERROR(__xludf.DUMMYFUNCTION("""COMPUTED_VALUE"""),4.2403)</f>
        <v>4.2403</v>
      </c>
    </row>
    <row r="1768">
      <c r="D1768" s="6">
        <f>IFERROR(__xludf.DUMMYFUNCTION("""COMPUTED_VALUE"""),40752.99861111111)</f>
        <v>40752.99861</v>
      </c>
      <c r="E1768" s="3">
        <f>IFERROR(__xludf.DUMMYFUNCTION("""COMPUTED_VALUE"""),4.2397)</f>
        <v>4.2397</v>
      </c>
    </row>
    <row r="1769">
      <c r="D1769" s="6">
        <f>IFERROR(__xludf.DUMMYFUNCTION("""COMPUTED_VALUE"""),40753.99861111111)</f>
        <v>40753.99861</v>
      </c>
      <c r="E1769" s="3">
        <f>IFERROR(__xludf.DUMMYFUNCTION("""COMPUTED_VALUE"""),4.2533)</f>
        <v>4.2533</v>
      </c>
    </row>
    <row r="1770">
      <c r="D1770" s="6">
        <f>IFERROR(__xludf.DUMMYFUNCTION("""COMPUTED_VALUE"""),40756.99861111111)</f>
        <v>40756.99861</v>
      </c>
      <c r="E1770" s="3">
        <f>IFERROR(__xludf.DUMMYFUNCTION("""COMPUTED_VALUE"""),4.2354)</f>
        <v>4.2354</v>
      </c>
    </row>
    <row r="1771">
      <c r="D1771" s="6">
        <f>IFERROR(__xludf.DUMMYFUNCTION("""COMPUTED_VALUE"""),40757.99861111111)</f>
        <v>40757.99861</v>
      </c>
      <c r="E1771" s="3">
        <f>IFERROR(__xludf.DUMMYFUNCTION("""COMPUTED_VALUE"""),4.2367)</f>
        <v>4.2367</v>
      </c>
    </row>
    <row r="1772">
      <c r="D1772" s="6">
        <f>IFERROR(__xludf.DUMMYFUNCTION("""COMPUTED_VALUE"""),40758.99861111111)</f>
        <v>40758.99861</v>
      </c>
      <c r="E1772" s="3">
        <f>IFERROR(__xludf.DUMMYFUNCTION("""COMPUTED_VALUE"""),4.2254)</f>
        <v>4.2254</v>
      </c>
    </row>
    <row r="1773">
      <c r="D1773" s="6">
        <f>IFERROR(__xludf.DUMMYFUNCTION("""COMPUTED_VALUE"""),40759.99861111111)</f>
        <v>40759.99861</v>
      </c>
      <c r="E1773" s="3">
        <f>IFERROR(__xludf.DUMMYFUNCTION("""COMPUTED_VALUE"""),4.2383)</f>
        <v>4.2383</v>
      </c>
    </row>
    <row r="1774">
      <c r="D1774" s="6">
        <f>IFERROR(__xludf.DUMMYFUNCTION("""COMPUTED_VALUE"""),40760.99861111111)</f>
        <v>40760.99861</v>
      </c>
      <c r="E1774" s="3">
        <f>IFERROR(__xludf.DUMMYFUNCTION("""COMPUTED_VALUE"""),4.254)</f>
        <v>4.254</v>
      </c>
    </row>
    <row r="1775">
      <c r="D1775" s="6">
        <f>IFERROR(__xludf.DUMMYFUNCTION("""COMPUTED_VALUE"""),40763.99861111111)</f>
        <v>40763.99861</v>
      </c>
      <c r="E1775" s="3">
        <f>IFERROR(__xludf.DUMMYFUNCTION("""COMPUTED_VALUE"""),4.2457)</f>
        <v>4.2457</v>
      </c>
    </row>
    <row r="1776">
      <c r="D1776" s="6">
        <f>IFERROR(__xludf.DUMMYFUNCTION("""COMPUTED_VALUE"""),40764.99861111111)</f>
        <v>40764.99861</v>
      </c>
      <c r="E1776" s="3">
        <f>IFERROR(__xludf.DUMMYFUNCTION("""COMPUTED_VALUE"""),4.2697)</f>
        <v>4.2697</v>
      </c>
    </row>
    <row r="1777">
      <c r="D1777" s="6">
        <f>IFERROR(__xludf.DUMMYFUNCTION("""COMPUTED_VALUE"""),40765.99861111111)</f>
        <v>40765.99861</v>
      </c>
      <c r="E1777" s="3">
        <f>IFERROR(__xludf.DUMMYFUNCTION("""COMPUTED_VALUE"""),4.2922)</f>
        <v>4.2922</v>
      </c>
    </row>
    <row r="1778">
      <c r="D1778" s="6">
        <f>IFERROR(__xludf.DUMMYFUNCTION("""COMPUTED_VALUE"""),40766.99861111111)</f>
        <v>40766.99861</v>
      </c>
      <c r="E1778" s="3">
        <f>IFERROR(__xludf.DUMMYFUNCTION("""COMPUTED_VALUE"""),4.297)</f>
        <v>4.297</v>
      </c>
    </row>
    <row r="1779">
      <c r="D1779" s="6">
        <f>IFERROR(__xludf.DUMMYFUNCTION("""COMPUTED_VALUE"""),40770.99861111111)</f>
        <v>40770.99861</v>
      </c>
      <c r="E1779" s="3">
        <f>IFERROR(__xludf.DUMMYFUNCTION("""COMPUTED_VALUE"""),4.2784)</f>
        <v>4.2784</v>
      </c>
    </row>
    <row r="1780">
      <c r="D1780" s="6">
        <f>IFERROR(__xludf.DUMMYFUNCTION("""COMPUTED_VALUE"""),40771.99861111111)</f>
        <v>40771.99861</v>
      </c>
      <c r="E1780" s="3">
        <f>IFERROR(__xludf.DUMMYFUNCTION("""COMPUTED_VALUE"""),4.2737)</f>
        <v>4.2737</v>
      </c>
    </row>
    <row r="1781">
      <c r="D1781" s="6">
        <f>IFERROR(__xludf.DUMMYFUNCTION("""COMPUTED_VALUE"""),40772.99861111111)</f>
        <v>40772.99861</v>
      </c>
      <c r="E1781" s="3">
        <f>IFERROR(__xludf.DUMMYFUNCTION("""COMPUTED_VALUE"""),4.2714)</f>
        <v>4.2714</v>
      </c>
    </row>
    <row r="1782">
      <c r="D1782" s="6">
        <f>IFERROR(__xludf.DUMMYFUNCTION("""COMPUTED_VALUE"""),40773.99861111111)</f>
        <v>40773.99861</v>
      </c>
      <c r="E1782" s="3">
        <f>IFERROR(__xludf.DUMMYFUNCTION("""COMPUTED_VALUE"""),4.256)</f>
        <v>4.256</v>
      </c>
    </row>
    <row r="1783">
      <c r="D1783" s="6">
        <f>IFERROR(__xludf.DUMMYFUNCTION("""COMPUTED_VALUE"""),40774.99861111111)</f>
        <v>40774.99861</v>
      </c>
      <c r="E1783" s="3">
        <f>IFERROR(__xludf.DUMMYFUNCTION("""COMPUTED_VALUE"""),4.2705)</f>
        <v>4.2705</v>
      </c>
    </row>
    <row r="1784">
      <c r="D1784" s="6">
        <f>IFERROR(__xludf.DUMMYFUNCTION("""COMPUTED_VALUE"""),40777.99861111111)</f>
        <v>40777.99861</v>
      </c>
      <c r="E1784" s="3">
        <f>IFERROR(__xludf.DUMMYFUNCTION("""COMPUTED_VALUE"""),4.2679)</f>
        <v>4.2679</v>
      </c>
    </row>
    <row r="1785">
      <c r="D1785" s="6">
        <f>IFERROR(__xludf.DUMMYFUNCTION("""COMPUTED_VALUE"""),40778.99861111111)</f>
        <v>40778.99861</v>
      </c>
      <c r="E1785" s="3">
        <f>IFERROR(__xludf.DUMMYFUNCTION("""COMPUTED_VALUE"""),4.2577)</f>
        <v>4.2577</v>
      </c>
    </row>
    <row r="1786">
      <c r="D1786" s="6">
        <f>IFERROR(__xludf.DUMMYFUNCTION("""COMPUTED_VALUE"""),40779.99861111111)</f>
        <v>40779.99861</v>
      </c>
      <c r="E1786" s="3">
        <f>IFERROR(__xludf.DUMMYFUNCTION("""COMPUTED_VALUE"""),4.2581)</f>
        <v>4.2581</v>
      </c>
    </row>
    <row r="1787">
      <c r="D1787" s="6">
        <f>IFERROR(__xludf.DUMMYFUNCTION("""COMPUTED_VALUE"""),40780.99861111111)</f>
        <v>40780.99861</v>
      </c>
      <c r="E1787" s="3">
        <f>IFERROR(__xludf.DUMMYFUNCTION("""COMPUTED_VALUE"""),4.2513)</f>
        <v>4.2513</v>
      </c>
    </row>
    <row r="1788">
      <c r="D1788" s="6">
        <f>IFERROR(__xludf.DUMMYFUNCTION("""COMPUTED_VALUE"""),40781.99861111111)</f>
        <v>40781.99861</v>
      </c>
      <c r="E1788" s="3">
        <f>IFERROR(__xludf.DUMMYFUNCTION("""COMPUTED_VALUE"""),4.2404)</f>
        <v>4.2404</v>
      </c>
    </row>
    <row r="1789">
      <c r="D1789" s="6">
        <f>IFERROR(__xludf.DUMMYFUNCTION("""COMPUTED_VALUE"""),40784.99861111111)</f>
        <v>40784.99861</v>
      </c>
      <c r="E1789" s="3">
        <f>IFERROR(__xludf.DUMMYFUNCTION("""COMPUTED_VALUE"""),4.2273)</f>
        <v>4.2273</v>
      </c>
    </row>
    <row r="1790">
      <c r="D1790" s="6">
        <f>IFERROR(__xludf.DUMMYFUNCTION("""COMPUTED_VALUE"""),40785.99861111111)</f>
        <v>40785.99861</v>
      </c>
      <c r="E1790" s="3">
        <f>IFERROR(__xludf.DUMMYFUNCTION("""COMPUTED_VALUE"""),4.2171)</f>
        <v>4.2171</v>
      </c>
    </row>
    <row r="1791">
      <c r="D1791" s="6">
        <f>IFERROR(__xludf.DUMMYFUNCTION("""COMPUTED_VALUE"""),40786.99861111111)</f>
        <v>40786.99861</v>
      </c>
      <c r="E1791" s="3">
        <f>IFERROR(__xludf.DUMMYFUNCTION("""COMPUTED_VALUE"""),4.2266)</f>
        <v>4.2266</v>
      </c>
    </row>
    <row r="1792">
      <c r="D1792" s="6">
        <f>IFERROR(__xludf.DUMMYFUNCTION("""COMPUTED_VALUE"""),40787.99861111111)</f>
        <v>40787.99861</v>
      </c>
      <c r="E1792" s="3">
        <f>IFERROR(__xludf.DUMMYFUNCTION("""COMPUTED_VALUE"""),4.2325)</f>
        <v>4.2325</v>
      </c>
    </row>
    <row r="1793">
      <c r="D1793" s="6">
        <f>IFERROR(__xludf.DUMMYFUNCTION("""COMPUTED_VALUE"""),40788.99861111111)</f>
        <v>40788.99861</v>
      </c>
      <c r="E1793" s="3">
        <f>IFERROR(__xludf.DUMMYFUNCTION("""COMPUTED_VALUE"""),4.2366)</f>
        <v>4.2366</v>
      </c>
    </row>
    <row r="1794">
      <c r="D1794" s="6">
        <f>IFERROR(__xludf.DUMMYFUNCTION("""COMPUTED_VALUE"""),40791.99861111111)</f>
        <v>40791.99861</v>
      </c>
      <c r="E1794" s="3">
        <f>IFERROR(__xludf.DUMMYFUNCTION("""COMPUTED_VALUE"""),4.2461)</f>
        <v>4.2461</v>
      </c>
    </row>
    <row r="1795">
      <c r="D1795" s="6">
        <f>IFERROR(__xludf.DUMMYFUNCTION("""COMPUTED_VALUE"""),40792.99861111111)</f>
        <v>40792.99861</v>
      </c>
      <c r="E1795" s="3">
        <f>IFERROR(__xludf.DUMMYFUNCTION("""COMPUTED_VALUE"""),4.2444)</f>
        <v>4.2444</v>
      </c>
    </row>
    <row r="1796">
      <c r="D1796" s="6">
        <f>IFERROR(__xludf.DUMMYFUNCTION("""COMPUTED_VALUE"""),40793.99861111111)</f>
        <v>40793.99861</v>
      </c>
      <c r="E1796" s="3">
        <f>IFERROR(__xludf.DUMMYFUNCTION("""COMPUTED_VALUE"""),4.2364)</f>
        <v>4.2364</v>
      </c>
    </row>
    <row r="1797">
      <c r="D1797" s="6">
        <f>IFERROR(__xludf.DUMMYFUNCTION("""COMPUTED_VALUE"""),40794.99861111111)</f>
        <v>40794.99861</v>
      </c>
      <c r="E1797" s="3">
        <f>IFERROR(__xludf.DUMMYFUNCTION("""COMPUTED_VALUE"""),4.2473)</f>
        <v>4.2473</v>
      </c>
    </row>
    <row r="1798">
      <c r="D1798" s="6">
        <f>IFERROR(__xludf.DUMMYFUNCTION("""COMPUTED_VALUE"""),40795.99861111111)</f>
        <v>40795.99861</v>
      </c>
      <c r="E1798" s="3">
        <f>IFERROR(__xludf.DUMMYFUNCTION("""COMPUTED_VALUE"""),4.2802)</f>
        <v>4.2802</v>
      </c>
    </row>
    <row r="1799">
      <c r="D1799" s="6">
        <f>IFERROR(__xludf.DUMMYFUNCTION("""COMPUTED_VALUE"""),40797.99861111111)</f>
        <v>40797.99861</v>
      </c>
      <c r="E1799" s="3">
        <f>IFERROR(__xludf.DUMMYFUNCTION("""COMPUTED_VALUE"""),4.2802)</f>
        <v>4.2802</v>
      </c>
    </row>
    <row r="1800">
      <c r="D1800" s="6">
        <f>IFERROR(__xludf.DUMMYFUNCTION("""COMPUTED_VALUE"""),40798.99861111111)</f>
        <v>40798.99861</v>
      </c>
      <c r="E1800" s="3">
        <f>IFERROR(__xludf.DUMMYFUNCTION("""COMPUTED_VALUE"""),4.2753)</f>
        <v>4.2753</v>
      </c>
    </row>
    <row r="1801">
      <c r="D1801" s="6">
        <f>IFERROR(__xludf.DUMMYFUNCTION("""COMPUTED_VALUE"""),40799.99861111111)</f>
        <v>40799.99861</v>
      </c>
      <c r="E1801" s="3">
        <f>IFERROR(__xludf.DUMMYFUNCTION("""COMPUTED_VALUE"""),4.279)</f>
        <v>4.279</v>
      </c>
    </row>
    <row r="1802">
      <c r="D1802" s="6">
        <f>IFERROR(__xludf.DUMMYFUNCTION("""COMPUTED_VALUE"""),40800.99861111111)</f>
        <v>40800.99861</v>
      </c>
      <c r="E1802" s="3">
        <f>IFERROR(__xludf.DUMMYFUNCTION("""COMPUTED_VALUE"""),4.3121)</f>
        <v>4.3121</v>
      </c>
    </row>
    <row r="1803">
      <c r="D1803" s="6">
        <f>IFERROR(__xludf.DUMMYFUNCTION("""COMPUTED_VALUE"""),40801.99861111111)</f>
        <v>40801.99861</v>
      </c>
      <c r="E1803" s="3">
        <f>IFERROR(__xludf.DUMMYFUNCTION("""COMPUTED_VALUE"""),4.2721)</f>
        <v>4.2721</v>
      </c>
    </row>
    <row r="1804">
      <c r="D1804" s="6">
        <f>IFERROR(__xludf.DUMMYFUNCTION("""COMPUTED_VALUE"""),40802.99861111111)</f>
        <v>40802.99861</v>
      </c>
      <c r="E1804" s="3">
        <f>IFERROR(__xludf.DUMMYFUNCTION("""COMPUTED_VALUE"""),4.2931)</f>
        <v>4.2931</v>
      </c>
    </row>
    <row r="1805">
      <c r="D1805" s="6">
        <f>IFERROR(__xludf.DUMMYFUNCTION("""COMPUTED_VALUE"""),40805.99861111111)</f>
        <v>40805.99861</v>
      </c>
      <c r="E1805" s="3">
        <f>IFERROR(__xludf.DUMMYFUNCTION("""COMPUTED_VALUE"""),4.2849)</f>
        <v>4.2849</v>
      </c>
    </row>
    <row r="1806">
      <c r="D1806" s="6">
        <f>IFERROR(__xludf.DUMMYFUNCTION("""COMPUTED_VALUE"""),40806.99861111111)</f>
        <v>40806.99861</v>
      </c>
      <c r="E1806" s="3">
        <f>IFERROR(__xludf.DUMMYFUNCTION("""COMPUTED_VALUE"""),4.2803)</f>
        <v>4.2803</v>
      </c>
    </row>
    <row r="1807">
      <c r="D1807" s="6">
        <f>IFERROR(__xludf.DUMMYFUNCTION("""COMPUTED_VALUE"""),40807.99861111111)</f>
        <v>40807.99861</v>
      </c>
      <c r="E1807" s="3">
        <f>IFERROR(__xludf.DUMMYFUNCTION("""COMPUTED_VALUE"""),4.2929)</f>
        <v>4.2929</v>
      </c>
    </row>
    <row r="1808">
      <c r="D1808" s="6">
        <f>IFERROR(__xludf.DUMMYFUNCTION("""COMPUTED_VALUE"""),40808.99861111111)</f>
        <v>40808.99861</v>
      </c>
      <c r="E1808" s="3">
        <f>IFERROR(__xludf.DUMMYFUNCTION("""COMPUTED_VALUE"""),4.3069)</f>
        <v>4.3069</v>
      </c>
    </row>
    <row r="1809">
      <c r="D1809" s="6">
        <f>IFERROR(__xludf.DUMMYFUNCTION("""COMPUTED_VALUE"""),40809.99861111111)</f>
        <v>40809.99861</v>
      </c>
      <c r="E1809" s="3">
        <f>IFERROR(__xludf.DUMMYFUNCTION("""COMPUTED_VALUE"""),4.2987)</f>
        <v>4.2987</v>
      </c>
    </row>
    <row r="1810">
      <c r="D1810" s="6">
        <f>IFERROR(__xludf.DUMMYFUNCTION("""COMPUTED_VALUE"""),40812.99861111111)</f>
        <v>40812.99861</v>
      </c>
      <c r="E1810" s="3">
        <f>IFERROR(__xludf.DUMMYFUNCTION("""COMPUTED_VALUE"""),4.3026)</f>
        <v>4.3026</v>
      </c>
    </row>
    <row r="1811">
      <c r="D1811" s="6">
        <f>IFERROR(__xludf.DUMMYFUNCTION("""COMPUTED_VALUE"""),40813.99861111111)</f>
        <v>40813.99861</v>
      </c>
      <c r="E1811" s="3">
        <f>IFERROR(__xludf.DUMMYFUNCTION("""COMPUTED_VALUE"""),4.3002)</f>
        <v>4.3002</v>
      </c>
    </row>
    <row r="1812">
      <c r="D1812" s="6">
        <f>IFERROR(__xludf.DUMMYFUNCTION("""COMPUTED_VALUE"""),40814.99861111111)</f>
        <v>40814.99861</v>
      </c>
      <c r="E1812" s="3">
        <f>IFERROR(__xludf.DUMMYFUNCTION("""COMPUTED_VALUE"""),4.3254)</f>
        <v>4.3254</v>
      </c>
    </row>
    <row r="1813">
      <c r="D1813" s="6">
        <f>IFERROR(__xludf.DUMMYFUNCTION("""COMPUTED_VALUE"""),40815.99861111111)</f>
        <v>40815.99861</v>
      </c>
      <c r="E1813" s="3">
        <f>IFERROR(__xludf.DUMMYFUNCTION("""COMPUTED_VALUE"""),4.3225)</f>
        <v>4.3225</v>
      </c>
    </row>
    <row r="1814">
      <c r="D1814" s="6">
        <f>IFERROR(__xludf.DUMMYFUNCTION("""COMPUTED_VALUE"""),40816.99861111111)</f>
        <v>40816.99861</v>
      </c>
      <c r="E1814" s="3">
        <f>IFERROR(__xludf.DUMMYFUNCTION("""COMPUTED_VALUE"""),4.3552)</f>
        <v>4.3552</v>
      </c>
    </row>
    <row r="1815">
      <c r="D1815" s="6">
        <f>IFERROR(__xludf.DUMMYFUNCTION("""COMPUTED_VALUE"""),40819.99861111111)</f>
        <v>40819.99861</v>
      </c>
      <c r="E1815" s="3">
        <f>IFERROR(__xludf.DUMMYFUNCTION("""COMPUTED_VALUE"""),4.3118)</f>
        <v>4.3118</v>
      </c>
    </row>
    <row r="1816">
      <c r="D1816" s="6">
        <f>IFERROR(__xludf.DUMMYFUNCTION("""COMPUTED_VALUE"""),40820.99861111111)</f>
        <v>40820.99861</v>
      </c>
      <c r="E1816" s="3">
        <f>IFERROR(__xludf.DUMMYFUNCTION("""COMPUTED_VALUE"""),4.3316)</f>
        <v>4.3316</v>
      </c>
    </row>
    <row r="1817">
      <c r="D1817" s="6">
        <f>IFERROR(__xludf.DUMMYFUNCTION("""COMPUTED_VALUE"""),40821.99861111111)</f>
        <v>40821.99861</v>
      </c>
      <c r="E1817" s="3">
        <f>IFERROR(__xludf.DUMMYFUNCTION("""COMPUTED_VALUE"""),4.3131)</f>
        <v>4.3131</v>
      </c>
    </row>
    <row r="1818">
      <c r="D1818" s="6">
        <f>IFERROR(__xludf.DUMMYFUNCTION("""COMPUTED_VALUE"""),40822.99861111111)</f>
        <v>40822.99861</v>
      </c>
      <c r="E1818" s="3">
        <f>IFERROR(__xludf.DUMMYFUNCTION("""COMPUTED_VALUE"""),4.3148)</f>
        <v>4.3148</v>
      </c>
    </row>
    <row r="1819">
      <c r="D1819" s="6">
        <f>IFERROR(__xludf.DUMMYFUNCTION("""COMPUTED_VALUE"""),40823.99861111111)</f>
        <v>40823.99861</v>
      </c>
      <c r="E1819" s="3">
        <f>IFERROR(__xludf.DUMMYFUNCTION("""COMPUTED_VALUE"""),4.3105)</f>
        <v>4.3105</v>
      </c>
    </row>
    <row r="1820">
      <c r="D1820" s="6">
        <f>IFERROR(__xludf.DUMMYFUNCTION("""COMPUTED_VALUE"""),40825.99861111111)</f>
        <v>40825.99861</v>
      </c>
      <c r="E1820" s="3">
        <f>IFERROR(__xludf.DUMMYFUNCTION("""COMPUTED_VALUE"""),4.3105)</f>
        <v>4.3105</v>
      </c>
    </row>
    <row r="1821">
      <c r="D1821" s="6">
        <f>IFERROR(__xludf.DUMMYFUNCTION("""COMPUTED_VALUE"""),40826.99861111111)</f>
        <v>40826.99861</v>
      </c>
      <c r="E1821" s="3">
        <f>IFERROR(__xludf.DUMMYFUNCTION("""COMPUTED_VALUE"""),4.3181)</f>
        <v>4.3181</v>
      </c>
    </row>
    <row r="1822">
      <c r="D1822" s="6">
        <f>IFERROR(__xludf.DUMMYFUNCTION("""COMPUTED_VALUE"""),40827.99861111111)</f>
        <v>40827.99861</v>
      </c>
      <c r="E1822" s="3">
        <f>IFERROR(__xludf.DUMMYFUNCTION("""COMPUTED_VALUE"""),4.3275)</f>
        <v>4.3275</v>
      </c>
    </row>
    <row r="1823">
      <c r="D1823" s="6">
        <f>IFERROR(__xludf.DUMMYFUNCTION("""COMPUTED_VALUE"""),40828.99861111111)</f>
        <v>40828.99861</v>
      </c>
      <c r="E1823" s="3">
        <f>IFERROR(__xludf.DUMMYFUNCTION("""COMPUTED_VALUE"""),4.3111)</f>
        <v>4.3111</v>
      </c>
    </row>
    <row r="1824">
      <c r="D1824" s="6">
        <f>IFERROR(__xludf.DUMMYFUNCTION("""COMPUTED_VALUE"""),40829.99861111111)</f>
        <v>40829.99861</v>
      </c>
      <c r="E1824" s="3">
        <f>IFERROR(__xludf.DUMMYFUNCTION("""COMPUTED_VALUE"""),4.3225)</f>
        <v>4.3225</v>
      </c>
    </row>
    <row r="1825">
      <c r="D1825" s="6">
        <f>IFERROR(__xludf.DUMMYFUNCTION("""COMPUTED_VALUE"""),40830.99861111111)</f>
        <v>40830.99861</v>
      </c>
      <c r="E1825" s="3">
        <f>IFERROR(__xludf.DUMMYFUNCTION("""COMPUTED_VALUE"""),4.329)</f>
        <v>4.329</v>
      </c>
    </row>
    <row r="1826">
      <c r="D1826" s="6">
        <f>IFERROR(__xludf.DUMMYFUNCTION("""COMPUTED_VALUE"""),40833.99861111111)</f>
        <v>40833.99861</v>
      </c>
      <c r="E1826" s="3">
        <f>IFERROR(__xludf.DUMMYFUNCTION("""COMPUTED_VALUE"""),4.3321)</f>
        <v>4.3321</v>
      </c>
    </row>
    <row r="1827">
      <c r="D1827" s="6">
        <f>IFERROR(__xludf.DUMMYFUNCTION("""COMPUTED_VALUE"""),40834.99861111111)</f>
        <v>40834.99861</v>
      </c>
      <c r="E1827" s="3">
        <f>IFERROR(__xludf.DUMMYFUNCTION("""COMPUTED_VALUE"""),4.3575)</f>
        <v>4.3575</v>
      </c>
    </row>
    <row r="1828">
      <c r="D1828" s="6">
        <f>IFERROR(__xludf.DUMMYFUNCTION("""COMPUTED_VALUE"""),40835.99861111111)</f>
        <v>40835.99861</v>
      </c>
      <c r="E1828" s="3">
        <f>IFERROR(__xludf.DUMMYFUNCTION("""COMPUTED_VALUE"""),4.3337)</f>
        <v>4.3337</v>
      </c>
    </row>
    <row r="1829">
      <c r="D1829" s="6">
        <f>IFERROR(__xludf.DUMMYFUNCTION("""COMPUTED_VALUE"""),40836.99861111111)</f>
        <v>40836.99861</v>
      </c>
      <c r="E1829" s="3">
        <f>IFERROR(__xludf.DUMMYFUNCTION("""COMPUTED_VALUE"""),4.3338)</f>
        <v>4.3338</v>
      </c>
    </row>
    <row r="1830">
      <c r="D1830" s="6">
        <f>IFERROR(__xludf.DUMMYFUNCTION("""COMPUTED_VALUE"""),40837.99861111111)</f>
        <v>40837.99861</v>
      </c>
      <c r="E1830" s="3">
        <f>IFERROR(__xludf.DUMMYFUNCTION("""COMPUTED_VALUE"""),4.3361)</f>
        <v>4.3361</v>
      </c>
    </row>
    <row r="1831">
      <c r="D1831" s="6">
        <f>IFERROR(__xludf.DUMMYFUNCTION("""COMPUTED_VALUE"""),40840.99861111111)</f>
        <v>40840.99861</v>
      </c>
      <c r="E1831" s="3">
        <f>IFERROR(__xludf.DUMMYFUNCTION("""COMPUTED_VALUE"""),4.3192)</f>
        <v>4.3192</v>
      </c>
    </row>
    <row r="1832">
      <c r="D1832" s="6">
        <f>IFERROR(__xludf.DUMMYFUNCTION("""COMPUTED_VALUE"""),40841.99861111111)</f>
        <v>40841.99861</v>
      </c>
      <c r="E1832" s="3">
        <f>IFERROR(__xludf.DUMMYFUNCTION("""COMPUTED_VALUE"""),4.3285)</f>
        <v>4.3285</v>
      </c>
    </row>
    <row r="1833">
      <c r="D1833" s="6">
        <f>IFERROR(__xludf.DUMMYFUNCTION("""COMPUTED_VALUE"""),40842.99861111111)</f>
        <v>40842.99861</v>
      </c>
      <c r="E1833" s="3">
        <f>IFERROR(__xludf.DUMMYFUNCTION("""COMPUTED_VALUE"""),4.335)</f>
        <v>4.335</v>
      </c>
    </row>
    <row r="1834">
      <c r="D1834" s="6">
        <f>IFERROR(__xludf.DUMMYFUNCTION("""COMPUTED_VALUE"""),40843.99861111111)</f>
        <v>40843.99861</v>
      </c>
      <c r="E1834" s="3">
        <f>IFERROR(__xludf.DUMMYFUNCTION("""COMPUTED_VALUE"""),4.34)</f>
        <v>4.34</v>
      </c>
    </row>
    <row r="1835">
      <c r="D1835" s="6">
        <f>IFERROR(__xludf.DUMMYFUNCTION("""COMPUTED_VALUE"""),40844.99861111111)</f>
        <v>40844.99861</v>
      </c>
      <c r="E1835" s="3">
        <f>IFERROR(__xludf.DUMMYFUNCTION("""COMPUTED_VALUE"""),4.3165)</f>
        <v>4.3165</v>
      </c>
    </row>
    <row r="1836">
      <c r="D1836" s="6">
        <f>IFERROR(__xludf.DUMMYFUNCTION("""COMPUTED_VALUE"""),40847.99861111111)</f>
        <v>40847.99861</v>
      </c>
      <c r="E1836" s="3">
        <f>IFERROR(__xludf.DUMMYFUNCTION("""COMPUTED_VALUE"""),4.3386)</f>
        <v>4.3386</v>
      </c>
    </row>
    <row r="1837">
      <c r="D1837" s="6">
        <f>IFERROR(__xludf.DUMMYFUNCTION("""COMPUTED_VALUE"""),40848.99861111111)</f>
        <v>40848.99861</v>
      </c>
      <c r="E1837" s="3">
        <f>IFERROR(__xludf.DUMMYFUNCTION("""COMPUTED_VALUE"""),4.3449)</f>
        <v>4.3449</v>
      </c>
    </row>
    <row r="1838">
      <c r="D1838" s="6">
        <f>IFERROR(__xludf.DUMMYFUNCTION("""COMPUTED_VALUE"""),40849.99861111111)</f>
        <v>40849.99861</v>
      </c>
      <c r="E1838" s="3">
        <f>IFERROR(__xludf.DUMMYFUNCTION("""COMPUTED_VALUE"""),4.3465)</f>
        <v>4.3465</v>
      </c>
    </row>
    <row r="1839">
      <c r="D1839" s="6">
        <f>IFERROR(__xludf.DUMMYFUNCTION("""COMPUTED_VALUE"""),40850.99861111111)</f>
        <v>40850.99861</v>
      </c>
      <c r="E1839" s="3">
        <f>IFERROR(__xludf.DUMMYFUNCTION("""COMPUTED_VALUE"""),4.3495)</f>
        <v>4.3495</v>
      </c>
    </row>
    <row r="1840">
      <c r="D1840" s="6">
        <f>IFERROR(__xludf.DUMMYFUNCTION("""COMPUTED_VALUE"""),40851.99861111111)</f>
        <v>40851.99861</v>
      </c>
      <c r="E1840" s="3">
        <f>IFERROR(__xludf.DUMMYFUNCTION("""COMPUTED_VALUE"""),4.3593)</f>
        <v>4.3593</v>
      </c>
    </row>
    <row r="1841">
      <c r="D1841" s="6">
        <f>IFERROR(__xludf.DUMMYFUNCTION("""COMPUTED_VALUE"""),40854.99861111111)</f>
        <v>40854.99861</v>
      </c>
      <c r="E1841" s="3">
        <f>IFERROR(__xludf.DUMMYFUNCTION("""COMPUTED_VALUE"""),4.3523)</f>
        <v>4.3523</v>
      </c>
    </row>
    <row r="1842">
      <c r="D1842" s="6">
        <f>IFERROR(__xludf.DUMMYFUNCTION("""COMPUTED_VALUE"""),40855.99861111111)</f>
        <v>40855.99861</v>
      </c>
      <c r="E1842" s="3">
        <f>IFERROR(__xludf.DUMMYFUNCTION("""COMPUTED_VALUE"""),4.3551)</f>
        <v>4.3551</v>
      </c>
    </row>
    <row r="1843">
      <c r="D1843" s="6">
        <f>IFERROR(__xludf.DUMMYFUNCTION("""COMPUTED_VALUE"""),40856.99861111111)</f>
        <v>40856.99861</v>
      </c>
      <c r="E1843" s="3">
        <f>IFERROR(__xludf.DUMMYFUNCTION("""COMPUTED_VALUE"""),4.3725)</f>
        <v>4.3725</v>
      </c>
    </row>
    <row r="1844">
      <c r="D1844" s="6">
        <f>IFERROR(__xludf.DUMMYFUNCTION("""COMPUTED_VALUE"""),40857.99861111111)</f>
        <v>40857.99861</v>
      </c>
      <c r="E1844" s="3">
        <f>IFERROR(__xludf.DUMMYFUNCTION("""COMPUTED_VALUE"""),4.348)</f>
        <v>4.348</v>
      </c>
    </row>
    <row r="1845">
      <c r="D1845" s="6">
        <f>IFERROR(__xludf.DUMMYFUNCTION("""COMPUTED_VALUE"""),40858.99861111111)</f>
        <v>40858.99861</v>
      </c>
      <c r="E1845" s="3">
        <f>IFERROR(__xludf.DUMMYFUNCTION("""COMPUTED_VALUE"""),4.3413)</f>
        <v>4.3413</v>
      </c>
    </row>
    <row r="1846">
      <c r="D1846" s="6">
        <f>IFERROR(__xludf.DUMMYFUNCTION("""COMPUTED_VALUE"""),40860.99861111111)</f>
        <v>40860.99861</v>
      </c>
      <c r="E1846" s="3">
        <f>IFERROR(__xludf.DUMMYFUNCTION("""COMPUTED_VALUE"""),4.3413)</f>
        <v>4.3413</v>
      </c>
    </row>
    <row r="1847">
      <c r="D1847" s="6">
        <f>IFERROR(__xludf.DUMMYFUNCTION("""COMPUTED_VALUE"""),40861.99861111111)</f>
        <v>40861.99861</v>
      </c>
      <c r="E1847" s="3">
        <f>IFERROR(__xludf.DUMMYFUNCTION("""COMPUTED_VALUE"""),4.3551)</f>
        <v>4.3551</v>
      </c>
    </row>
    <row r="1848">
      <c r="D1848" s="6">
        <f>IFERROR(__xludf.DUMMYFUNCTION("""COMPUTED_VALUE"""),40862.99861111111)</f>
        <v>40862.99861</v>
      </c>
      <c r="E1848" s="3">
        <f>IFERROR(__xludf.DUMMYFUNCTION("""COMPUTED_VALUE"""),4.3528)</f>
        <v>4.3528</v>
      </c>
    </row>
    <row r="1849">
      <c r="D1849" s="6">
        <f>IFERROR(__xludf.DUMMYFUNCTION("""COMPUTED_VALUE"""),40863.99861111111)</f>
        <v>40863.99861</v>
      </c>
      <c r="E1849" s="3">
        <f>IFERROR(__xludf.DUMMYFUNCTION("""COMPUTED_VALUE"""),4.3622)</f>
        <v>4.3622</v>
      </c>
    </row>
    <row r="1850">
      <c r="D1850" s="6">
        <f>IFERROR(__xludf.DUMMYFUNCTION("""COMPUTED_VALUE"""),40864.99861111111)</f>
        <v>40864.99861</v>
      </c>
      <c r="E1850" s="3">
        <f>IFERROR(__xludf.DUMMYFUNCTION("""COMPUTED_VALUE"""),4.3643)</f>
        <v>4.3643</v>
      </c>
    </row>
    <row r="1851">
      <c r="D1851" s="6">
        <f>IFERROR(__xludf.DUMMYFUNCTION("""COMPUTED_VALUE"""),40865.99861111111)</f>
        <v>40865.99861</v>
      </c>
      <c r="E1851" s="3">
        <f>IFERROR(__xludf.DUMMYFUNCTION("""COMPUTED_VALUE"""),4.3668)</f>
        <v>4.3668</v>
      </c>
    </row>
    <row r="1852">
      <c r="D1852" s="6">
        <f>IFERROR(__xludf.DUMMYFUNCTION("""COMPUTED_VALUE"""),40868.99861111111)</f>
        <v>40868.99861</v>
      </c>
      <c r="E1852" s="3">
        <f>IFERROR(__xludf.DUMMYFUNCTION("""COMPUTED_VALUE"""),4.3628)</f>
        <v>4.3628</v>
      </c>
    </row>
    <row r="1853">
      <c r="D1853" s="6">
        <f>IFERROR(__xludf.DUMMYFUNCTION("""COMPUTED_VALUE"""),40869.99861111111)</f>
        <v>40869.99861</v>
      </c>
      <c r="E1853" s="3">
        <f>IFERROR(__xludf.DUMMYFUNCTION("""COMPUTED_VALUE"""),4.3619)</f>
        <v>4.3619</v>
      </c>
    </row>
    <row r="1854">
      <c r="D1854" s="6">
        <f>IFERROR(__xludf.DUMMYFUNCTION("""COMPUTED_VALUE"""),40870.99861111111)</f>
        <v>40870.99861</v>
      </c>
      <c r="E1854" s="3">
        <f>IFERROR(__xludf.DUMMYFUNCTION("""COMPUTED_VALUE"""),4.3512)</f>
        <v>4.3512</v>
      </c>
    </row>
    <row r="1855">
      <c r="D1855" s="6">
        <f>IFERROR(__xludf.DUMMYFUNCTION("""COMPUTED_VALUE"""),40871.99861111111)</f>
        <v>40871.99861</v>
      </c>
      <c r="E1855" s="3">
        <f>IFERROR(__xludf.DUMMYFUNCTION("""COMPUTED_VALUE"""),4.3549)</f>
        <v>4.3549</v>
      </c>
    </row>
    <row r="1856">
      <c r="D1856" s="6">
        <f>IFERROR(__xludf.DUMMYFUNCTION("""COMPUTED_VALUE"""),40872.99861111111)</f>
        <v>40872.99861</v>
      </c>
      <c r="E1856" s="3">
        <f>IFERROR(__xludf.DUMMYFUNCTION("""COMPUTED_VALUE"""),4.3606)</f>
        <v>4.3606</v>
      </c>
    </row>
    <row r="1857">
      <c r="D1857" s="6">
        <f>IFERROR(__xludf.DUMMYFUNCTION("""COMPUTED_VALUE"""),40874.99861111111)</f>
        <v>40874.99861</v>
      </c>
      <c r="E1857" s="3">
        <f>IFERROR(__xludf.DUMMYFUNCTION("""COMPUTED_VALUE"""),4.3606)</f>
        <v>4.3606</v>
      </c>
    </row>
    <row r="1858">
      <c r="D1858" s="6">
        <f>IFERROR(__xludf.DUMMYFUNCTION("""COMPUTED_VALUE"""),40875.99861111111)</f>
        <v>40875.99861</v>
      </c>
      <c r="E1858" s="3">
        <f>IFERROR(__xludf.DUMMYFUNCTION("""COMPUTED_VALUE"""),4.3615)</f>
        <v>4.3615</v>
      </c>
    </row>
    <row r="1859">
      <c r="D1859" s="6">
        <f>IFERROR(__xludf.DUMMYFUNCTION("""COMPUTED_VALUE"""),40876.99861111111)</f>
        <v>40876.99861</v>
      </c>
      <c r="E1859" s="3">
        <f>IFERROR(__xludf.DUMMYFUNCTION("""COMPUTED_VALUE"""),4.3514)</f>
        <v>4.3514</v>
      </c>
    </row>
    <row r="1860">
      <c r="D1860" s="6">
        <f>IFERROR(__xludf.DUMMYFUNCTION("""COMPUTED_VALUE"""),40877.99861111111)</f>
        <v>40877.99861</v>
      </c>
      <c r="E1860" s="3">
        <f>IFERROR(__xludf.DUMMYFUNCTION("""COMPUTED_VALUE"""),4.3686)</f>
        <v>4.3686</v>
      </c>
    </row>
    <row r="1861">
      <c r="D1861" s="6">
        <f>IFERROR(__xludf.DUMMYFUNCTION("""COMPUTED_VALUE"""),40878.99861111111)</f>
        <v>40878.99861</v>
      </c>
      <c r="E1861" s="3">
        <f>IFERROR(__xludf.DUMMYFUNCTION("""COMPUTED_VALUE"""),4.355)</f>
        <v>4.355</v>
      </c>
    </row>
    <row r="1862">
      <c r="D1862" s="6">
        <f>IFERROR(__xludf.DUMMYFUNCTION("""COMPUTED_VALUE"""),40879.99861111111)</f>
        <v>40879.99861</v>
      </c>
      <c r="E1862" s="3">
        <f>IFERROR(__xludf.DUMMYFUNCTION("""COMPUTED_VALUE"""),4.3578)</f>
        <v>4.3578</v>
      </c>
    </row>
    <row r="1863">
      <c r="D1863" s="6">
        <f>IFERROR(__xludf.DUMMYFUNCTION("""COMPUTED_VALUE"""),40881.99861111111)</f>
        <v>40881.99861</v>
      </c>
      <c r="E1863" s="3">
        <f>IFERROR(__xludf.DUMMYFUNCTION("""COMPUTED_VALUE"""),4.3566)</f>
        <v>4.3566</v>
      </c>
    </row>
    <row r="1864">
      <c r="D1864" s="6">
        <f>IFERROR(__xludf.DUMMYFUNCTION("""COMPUTED_VALUE"""),40882.99861111111)</f>
        <v>40882.99861</v>
      </c>
      <c r="E1864" s="3">
        <f>IFERROR(__xludf.DUMMYFUNCTION("""COMPUTED_VALUE"""),4.3566)</f>
        <v>4.3566</v>
      </c>
    </row>
    <row r="1865">
      <c r="D1865" s="6">
        <f>IFERROR(__xludf.DUMMYFUNCTION("""COMPUTED_VALUE"""),40883.99861111111)</f>
        <v>40883.99861</v>
      </c>
      <c r="E1865" s="3">
        <f>IFERROR(__xludf.DUMMYFUNCTION("""COMPUTED_VALUE"""),4.3535)</f>
        <v>4.3535</v>
      </c>
    </row>
    <row r="1866">
      <c r="D1866" s="6">
        <f>IFERROR(__xludf.DUMMYFUNCTION("""COMPUTED_VALUE"""),40884.99861111111)</f>
        <v>40884.99861</v>
      </c>
      <c r="E1866" s="3">
        <f>IFERROR(__xludf.DUMMYFUNCTION("""COMPUTED_VALUE"""),4.3433)</f>
        <v>4.3433</v>
      </c>
    </row>
    <row r="1867">
      <c r="D1867" s="6">
        <f>IFERROR(__xludf.DUMMYFUNCTION("""COMPUTED_VALUE"""),40885.99861111111)</f>
        <v>40885.99861</v>
      </c>
      <c r="E1867" s="3">
        <f>IFERROR(__xludf.DUMMYFUNCTION("""COMPUTED_VALUE"""),4.3455)</f>
        <v>4.3455</v>
      </c>
    </row>
    <row r="1868">
      <c r="D1868" s="6">
        <f>IFERROR(__xludf.DUMMYFUNCTION("""COMPUTED_VALUE"""),40886.99861111111)</f>
        <v>40886.99861</v>
      </c>
      <c r="E1868" s="3">
        <f>IFERROR(__xludf.DUMMYFUNCTION("""COMPUTED_VALUE"""),4.3443)</f>
        <v>4.3443</v>
      </c>
    </row>
    <row r="1869">
      <c r="D1869" s="6">
        <f>IFERROR(__xludf.DUMMYFUNCTION("""COMPUTED_VALUE"""),40889.99861111111)</f>
        <v>40889.99861</v>
      </c>
      <c r="E1869" s="3">
        <f>IFERROR(__xludf.DUMMYFUNCTION("""COMPUTED_VALUE"""),4.3508)</f>
        <v>4.3508</v>
      </c>
    </row>
    <row r="1870">
      <c r="D1870" s="6">
        <f>IFERROR(__xludf.DUMMYFUNCTION("""COMPUTED_VALUE"""),40890.99861111111)</f>
        <v>40890.99861</v>
      </c>
      <c r="E1870" s="3">
        <f>IFERROR(__xludf.DUMMYFUNCTION("""COMPUTED_VALUE"""),4.3487)</f>
        <v>4.3487</v>
      </c>
    </row>
    <row r="1871">
      <c r="D1871" s="6">
        <f>IFERROR(__xludf.DUMMYFUNCTION("""COMPUTED_VALUE"""),40891.99861111111)</f>
        <v>40891.99861</v>
      </c>
      <c r="E1871" s="3">
        <f>IFERROR(__xludf.DUMMYFUNCTION("""COMPUTED_VALUE"""),4.349)</f>
        <v>4.349</v>
      </c>
    </row>
    <row r="1872">
      <c r="D1872" s="6">
        <f>IFERROR(__xludf.DUMMYFUNCTION("""COMPUTED_VALUE"""),40892.99861111111)</f>
        <v>40892.99861</v>
      </c>
      <c r="E1872" s="3">
        <f>IFERROR(__xludf.DUMMYFUNCTION("""COMPUTED_VALUE"""),4.3383)</f>
        <v>4.3383</v>
      </c>
    </row>
    <row r="1873">
      <c r="D1873" s="6">
        <f>IFERROR(__xludf.DUMMYFUNCTION("""COMPUTED_VALUE"""),40893.99861111111)</f>
        <v>40893.99861</v>
      </c>
      <c r="E1873" s="3">
        <f>IFERROR(__xludf.DUMMYFUNCTION("""COMPUTED_VALUE"""),4.3343)</f>
        <v>4.3343</v>
      </c>
    </row>
    <row r="1874">
      <c r="D1874" s="6">
        <f>IFERROR(__xludf.DUMMYFUNCTION("""COMPUTED_VALUE"""),40895.99861111111)</f>
        <v>40895.99861</v>
      </c>
      <c r="E1874" s="3">
        <f>IFERROR(__xludf.DUMMYFUNCTION("""COMPUTED_VALUE"""),4.3343)</f>
        <v>4.3343</v>
      </c>
    </row>
    <row r="1875">
      <c r="D1875" s="6">
        <f>IFERROR(__xludf.DUMMYFUNCTION("""COMPUTED_VALUE"""),40896.99861111111)</f>
        <v>40896.99861</v>
      </c>
      <c r="E1875" s="3">
        <f>IFERROR(__xludf.DUMMYFUNCTION("""COMPUTED_VALUE"""),4.3058)</f>
        <v>4.3058</v>
      </c>
    </row>
    <row r="1876">
      <c r="D1876" s="6">
        <f>IFERROR(__xludf.DUMMYFUNCTION("""COMPUTED_VALUE"""),40897.99861111111)</f>
        <v>40897.99861</v>
      </c>
      <c r="E1876" s="3">
        <f>IFERROR(__xludf.DUMMYFUNCTION("""COMPUTED_VALUE"""),4.3092)</f>
        <v>4.3092</v>
      </c>
    </row>
    <row r="1877">
      <c r="D1877" s="6">
        <f>IFERROR(__xludf.DUMMYFUNCTION("""COMPUTED_VALUE"""),40898.99861111111)</f>
        <v>40898.99861</v>
      </c>
      <c r="E1877" s="3">
        <f>IFERROR(__xludf.DUMMYFUNCTION("""COMPUTED_VALUE"""),4.3021)</f>
        <v>4.3021</v>
      </c>
    </row>
    <row r="1878">
      <c r="D1878" s="6">
        <f>IFERROR(__xludf.DUMMYFUNCTION("""COMPUTED_VALUE"""),40899.99861111111)</f>
        <v>40899.99861</v>
      </c>
      <c r="E1878" s="3">
        <f>IFERROR(__xludf.DUMMYFUNCTION("""COMPUTED_VALUE"""),4.2981)</f>
        <v>4.2981</v>
      </c>
    </row>
    <row r="1879">
      <c r="D1879" s="6">
        <f>IFERROR(__xludf.DUMMYFUNCTION("""COMPUTED_VALUE"""),40900.99861111111)</f>
        <v>40900.99861</v>
      </c>
      <c r="E1879" s="3">
        <f>IFERROR(__xludf.DUMMYFUNCTION("""COMPUTED_VALUE"""),4.2912)</f>
        <v>4.2912</v>
      </c>
    </row>
    <row r="1880">
      <c r="D1880" s="6">
        <f>IFERROR(__xludf.DUMMYFUNCTION("""COMPUTED_VALUE"""),40904.99861111111)</f>
        <v>40904.99861</v>
      </c>
      <c r="E1880" s="3">
        <f>IFERROR(__xludf.DUMMYFUNCTION("""COMPUTED_VALUE"""),4.295)</f>
        <v>4.295</v>
      </c>
    </row>
    <row r="1881">
      <c r="D1881" s="6">
        <f>IFERROR(__xludf.DUMMYFUNCTION("""COMPUTED_VALUE"""),40905.99861111111)</f>
        <v>40905.99861</v>
      </c>
      <c r="E1881" s="3">
        <f>IFERROR(__xludf.DUMMYFUNCTION("""COMPUTED_VALUE"""),4.2887)</f>
        <v>4.2887</v>
      </c>
    </row>
    <row r="1882">
      <c r="D1882" s="6">
        <f>IFERROR(__xludf.DUMMYFUNCTION("""COMPUTED_VALUE"""),40906.99861111111)</f>
        <v>40906.99861</v>
      </c>
      <c r="E1882" s="3">
        <f>IFERROR(__xludf.DUMMYFUNCTION("""COMPUTED_VALUE"""),4.312)</f>
        <v>4.312</v>
      </c>
    </row>
    <row r="1883">
      <c r="D1883" s="6">
        <f>IFERROR(__xludf.DUMMYFUNCTION("""COMPUTED_VALUE"""),40907.99861111111)</f>
        <v>40907.99861</v>
      </c>
      <c r="E1883" s="3">
        <f>IFERROR(__xludf.DUMMYFUNCTION("""COMPUTED_VALUE"""),4.3121)</f>
        <v>4.3121</v>
      </c>
    </row>
    <row r="1884">
      <c r="D1884" s="6">
        <f>IFERROR(__xludf.DUMMYFUNCTION("""COMPUTED_VALUE"""),40910.99861111111)</f>
        <v>40910.99861</v>
      </c>
      <c r="E1884" s="3">
        <f>IFERROR(__xludf.DUMMYFUNCTION("""COMPUTED_VALUE"""),4.3225)</f>
        <v>4.3225</v>
      </c>
    </row>
    <row r="1885">
      <c r="D1885" s="6">
        <f>IFERROR(__xludf.DUMMYFUNCTION("""COMPUTED_VALUE"""),40911.99861111111)</f>
        <v>40911.99861</v>
      </c>
      <c r="E1885" s="3">
        <f>IFERROR(__xludf.DUMMYFUNCTION("""COMPUTED_VALUE"""),4.3232)</f>
        <v>4.3232</v>
      </c>
    </row>
    <row r="1886">
      <c r="D1886" s="6">
        <f>IFERROR(__xludf.DUMMYFUNCTION("""COMPUTED_VALUE"""),40912.99861111111)</f>
        <v>40912.99861</v>
      </c>
      <c r="E1886" s="3">
        <f>IFERROR(__xludf.DUMMYFUNCTION("""COMPUTED_VALUE"""),4.3303)</f>
        <v>4.3303</v>
      </c>
    </row>
    <row r="1887">
      <c r="D1887" s="6">
        <f>IFERROR(__xludf.DUMMYFUNCTION("""COMPUTED_VALUE"""),40913.99861111111)</f>
        <v>40913.99861</v>
      </c>
      <c r="E1887" s="3">
        <f>IFERROR(__xludf.DUMMYFUNCTION("""COMPUTED_VALUE"""),4.3445)</f>
        <v>4.3445</v>
      </c>
    </row>
    <row r="1888">
      <c r="D1888" s="6">
        <f>IFERROR(__xludf.DUMMYFUNCTION("""COMPUTED_VALUE"""),40914.99861111111)</f>
        <v>40914.99861</v>
      </c>
      <c r="E1888" s="3">
        <f>IFERROR(__xludf.DUMMYFUNCTION("""COMPUTED_VALUE"""),4.353)</f>
        <v>4.353</v>
      </c>
    </row>
    <row r="1889">
      <c r="D1889" s="6">
        <f>IFERROR(__xludf.DUMMYFUNCTION("""COMPUTED_VALUE"""),40917.99861111111)</f>
        <v>40917.99861</v>
      </c>
      <c r="E1889" s="3">
        <f>IFERROR(__xludf.DUMMYFUNCTION("""COMPUTED_VALUE"""),4.348)</f>
        <v>4.348</v>
      </c>
    </row>
    <row r="1890">
      <c r="D1890" s="6">
        <f>IFERROR(__xludf.DUMMYFUNCTION("""COMPUTED_VALUE"""),40918.99861111111)</f>
        <v>40918.99861</v>
      </c>
      <c r="E1890" s="3">
        <f>IFERROR(__xludf.DUMMYFUNCTION("""COMPUTED_VALUE"""),4.3603)</f>
        <v>4.3603</v>
      </c>
    </row>
    <row r="1891">
      <c r="D1891" s="6">
        <f>IFERROR(__xludf.DUMMYFUNCTION("""COMPUTED_VALUE"""),40919.99861111111)</f>
        <v>40919.99861</v>
      </c>
      <c r="E1891" s="3">
        <f>IFERROR(__xludf.DUMMYFUNCTION("""COMPUTED_VALUE"""),4.3636)</f>
        <v>4.3636</v>
      </c>
    </row>
    <row r="1892">
      <c r="D1892" s="6">
        <f>IFERROR(__xludf.DUMMYFUNCTION("""COMPUTED_VALUE"""),40920.99861111111)</f>
        <v>40920.99861</v>
      </c>
      <c r="E1892" s="3">
        <f>IFERROR(__xludf.DUMMYFUNCTION("""COMPUTED_VALUE"""),4.343)</f>
        <v>4.343</v>
      </c>
    </row>
    <row r="1893">
      <c r="D1893" s="6">
        <f>IFERROR(__xludf.DUMMYFUNCTION("""COMPUTED_VALUE"""),40921.99861111111)</f>
        <v>40921.99861</v>
      </c>
      <c r="E1893" s="3">
        <f>IFERROR(__xludf.DUMMYFUNCTION("""COMPUTED_VALUE"""),4.3428)</f>
        <v>4.3428</v>
      </c>
    </row>
    <row r="1894">
      <c r="D1894" s="6">
        <f>IFERROR(__xludf.DUMMYFUNCTION("""COMPUTED_VALUE"""),40924.99861111111)</f>
        <v>40924.99861</v>
      </c>
      <c r="E1894" s="3">
        <f>IFERROR(__xludf.DUMMYFUNCTION("""COMPUTED_VALUE"""),4.3322)</f>
        <v>4.3322</v>
      </c>
    </row>
    <row r="1895">
      <c r="D1895" s="6">
        <f>IFERROR(__xludf.DUMMYFUNCTION("""COMPUTED_VALUE"""),40925.99861111111)</f>
        <v>40925.99861</v>
      </c>
      <c r="E1895" s="3">
        <f>IFERROR(__xludf.DUMMYFUNCTION("""COMPUTED_VALUE"""),4.3335)</f>
        <v>4.3335</v>
      </c>
    </row>
    <row r="1896">
      <c r="D1896" s="6">
        <f>IFERROR(__xludf.DUMMYFUNCTION("""COMPUTED_VALUE"""),40926.99861111111)</f>
        <v>40926.99861</v>
      </c>
      <c r="E1896" s="3">
        <f>IFERROR(__xludf.DUMMYFUNCTION("""COMPUTED_VALUE"""),4.344)</f>
        <v>4.344</v>
      </c>
    </row>
    <row r="1897">
      <c r="D1897" s="6">
        <f>IFERROR(__xludf.DUMMYFUNCTION("""COMPUTED_VALUE"""),40927.99861111111)</f>
        <v>40927.99861</v>
      </c>
      <c r="E1897" s="3">
        <f>IFERROR(__xludf.DUMMYFUNCTION("""COMPUTED_VALUE"""),4.3487)</f>
        <v>4.3487</v>
      </c>
    </row>
    <row r="1898">
      <c r="D1898" s="6">
        <f>IFERROR(__xludf.DUMMYFUNCTION("""COMPUTED_VALUE"""),40928.99861111111)</f>
        <v>40928.99861</v>
      </c>
      <c r="E1898" s="3">
        <f>IFERROR(__xludf.DUMMYFUNCTION("""COMPUTED_VALUE"""),4.3456)</f>
        <v>4.3456</v>
      </c>
    </row>
    <row r="1899">
      <c r="D1899" s="6">
        <f>IFERROR(__xludf.DUMMYFUNCTION("""COMPUTED_VALUE"""),40931.99861111111)</f>
        <v>40931.99861</v>
      </c>
      <c r="E1899" s="3">
        <f>IFERROR(__xludf.DUMMYFUNCTION("""COMPUTED_VALUE"""),4.3365)</f>
        <v>4.3365</v>
      </c>
    </row>
    <row r="1900">
      <c r="D1900" s="6">
        <f>IFERROR(__xludf.DUMMYFUNCTION("""COMPUTED_VALUE"""),40932.99861111111)</f>
        <v>40932.99861</v>
      </c>
      <c r="E1900" s="3">
        <f>IFERROR(__xludf.DUMMYFUNCTION("""COMPUTED_VALUE"""),4.3428)</f>
        <v>4.3428</v>
      </c>
    </row>
    <row r="1901">
      <c r="D1901" s="6">
        <f>IFERROR(__xludf.DUMMYFUNCTION("""COMPUTED_VALUE"""),40933.99861111111)</f>
        <v>40933.99861</v>
      </c>
      <c r="E1901" s="3">
        <f>IFERROR(__xludf.DUMMYFUNCTION("""COMPUTED_VALUE"""),4.345)</f>
        <v>4.345</v>
      </c>
    </row>
    <row r="1902">
      <c r="D1902" s="6">
        <f>IFERROR(__xludf.DUMMYFUNCTION("""COMPUTED_VALUE"""),40934.99861111111)</f>
        <v>40934.99861</v>
      </c>
      <c r="E1902" s="3">
        <f>IFERROR(__xludf.DUMMYFUNCTION("""COMPUTED_VALUE"""),4.3335)</f>
        <v>4.3335</v>
      </c>
    </row>
    <row r="1903">
      <c r="D1903" s="6">
        <f>IFERROR(__xludf.DUMMYFUNCTION("""COMPUTED_VALUE"""),40935.99861111111)</f>
        <v>40935.99861</v>
      </c>
      <c r="E1903" s="3">
        <f>IFERROR(__xludf.DUMMYFUNCTION("""COMPUTED_VALUE"""),4.3378)</f>
        <v>4.3378</v>
      </c>
    </row>
    <row r="1904">
      <c r="D1904" s="6">
        <f>IFERROR(__xludf.DUMMYFUNCTION("""COMPUTED_VALUE"""),40938.99861111111)</f>
        <v>40938.99861</v>
      </c>
      <c r="E1904" s="3">
        <f>IFERROR(__xludf.DUMMYFUNCTION("""COMPUTED_VALUE"""),4.3387)</f>
        <v>4.3387</v>
      </c>
    </row>
    <row r="1905">
      <c r="D1905" s="6">
        <f>IFERROR(__xludf.DUMMYFUNCTION("""COMPUTED_VALUE"""),40939.99861111111)</f>
        <v>40939.99861</v>
      </c>
      <c r="E1905" s="3">
        <f>IFERROR(__xludf.DUMMYFUNCTION("""COMPUTED_VALUE"""),4.3481)</f>
        <v>4.3481</v>
      </c>
    </row>
    <row r="1906">
      <c r="D1906" s="6">
        <f>IFERROR(__xludf.DUMMYFUNCTION("""COMPUTED_VALUE"""),40940.99861111111)</f>
        <v>40940.99861</v>
      </c>
      <c r="E1906" s="3">
        <f>IFERROR(__xludf.DUMMYFUNCTION("""COMPUTED_VALUE"""),4.3449)</f>
        <v>4.3449</v>
      </c>
    </row>
    <row r="1907">
      <c r="D1907" s="6">
        <f>IFERROR(__xludf.DUMMYFUNCTION("""COMPUTED_VALUE"""),40941.99861111111)</f>
        <v>40941.99861</v>
      </c>
      <c r="E1907" s="3">
        <f>IFERROR(__xludf.DUMMYFUNCTION("""COMPUTED_VALUE"""),4.3464)</f>
        <v>4.3464</v>
      </c>
    </row>
    <row r="1908">
      <c r="D1908" s="6">
        <f>IFERROR(__xludf.DUMMYFUNCTION("""COMPUTED_VALUE"""),40942.99861111111)</f>
        <v>40942.99861</v>
      </c>
      <c r="E1908" s="3">
        <f>IFERROR(__xludf.DUMMYFUNCTION("""COMPUTED_VALUE"""),4.3445)</f>
        <v>4.3445</v>
      </c>
    </row>
    <row r="1909">
      <c r="D1909" s="6">
        <f>IFERROR(__xludf.DUMMYFUNCTION("""COMPUTED_VALUE"""),40945.99861111111)</f>
        <v>40945.99861</v>
      </c>
      <c r="E1909" s="3">
        <f>IFERROR(__xludf.DUMMYFUNCTION("""COMPUTED_VALUE"""),4.3403)</f>
        <v>4.3403</v>
      </c>
    </row>
    <row r="1910">
      <c r="D1910" s="6">
        <f>IFERROR(__xludf.DUMMYFUNCTION("""COMPUTED_VALUE"""),40946.99861111111)</f>
        <v>40946.99861</v>
      </c>
      <c r="E1910" s="3">
        <f>IFERROR(__xludf.DUMMYFUNCTION("""COMPUTED_VALUE"""),4.3519)</f>
        <v>4.3519</v>
      </c>
    </row>
    <row r="1911">
      <c r="D1911" s="6">
        <f>IFERROR(__xludf.DUMMYFUNCTION("""COMPUTED_VALUE"""),40947.99861111111)</f>
        <v>40947.99861</v>
      </c>
      <c r="E1911" s="3">
        <f>IFERROR(__xludf.DUMMYFUNCTION("""COMPUTED_VALUE"""),4.3572)</f>
        <v>4.3572</v>
      </c>
    </row>
    <row r="1912">
      <c r="D1912" s="6">
        <f>IFERROR(__xludf.DUMMYFUNCTION("""COMPUTED_VALUE"""),40948.99861111111)</f>
        <v>40948.99861</v>
      </c>
      <c r="E1912" s="3">
        <f>IFERROR(__xludf.DUMMYFUNCTION("""COMPUTED_VALUE"""),4.3547)</f>
        <v>4.3547</v>
      </c>
    </row>
    <row r="1913">
      <c r="D1913" s="6">
        <f>IFERROR(__xludf.DUMMYFUNCTION("""COMPUTED_VALUE"""),40949.99861111111)</f>
        <v>40949.99861</v>
      </c>
      <c r="E1913" s="3">
        <f>IFERROR(__xludf.DUMMYFUNCTION("""COMPUTED_VALUE"""),4.3557)</f>
        <v>4.3557</v>
      </c>
    </row>
    <row r="1914">
      <c r="D1914" s="6">
        <f>IFERROR(__xludf.DUMMYFUNCTION("""COMPUTED_VALUE"""),40951.99861111111)</f>
        <v>40951.99861</v>
      </c>
      <c r="E1914" s="3">
        <f>IFERROR(__xludf.DUMMYFUNCTION("""COMPUTED_VALUE"""),4.3503)</f>
        <v>4.3503</v>
      </c>
    </row>
    <row r="1915">
      <c r="D1915" s="6">
        <f>IFERROR(__xludf.DUMMYFUNCTION("""COMPUTED_VALUE"""),40952.99861111111)</f>
        <v>40952.99861</v>
      </c>
      <c r="E1915" s="3">
        <f>IFERROR(__xludf.DUMMYFUNCTION("""COMPUTED_VALUE"""),4.344)</f>
        <v>4.344</v>
      </c>
    </row>
    <row r="1916">
      <c r="D1916" s="6">
        <f>IFERROR(__xludf.DUMMYFUNCTION("""COMPUTED_VALUE"""),40953.99861111111)</f>
        <v>40953.99861</v>
      </c>
      <c r="E1916" s="3">
        <f>IFERROR(__xludf.DUMMYFUNCTION("""COMPUTED_VALUE"""),4.3448)</f>
        <v>4.3448</v>
      </c>
    </row>
    <row r="1917">
      <c r="D1917" s="6">
        <f>IFERROR(__xludf.DUMMYFUNCTION("""COMPUTED_VALUE"""),40954.99861111111)</f>
        <v>40954.99861</v>
      </c>
      <c r="E1917" s="3">
        <f>IFERROR(__xludf.DUMMYFUNCTION("""COMPUTED_VALUE"""),4.3449)</f>
        <v>4.3449</v>
      </c>
    </row>
    <row r="1918">
      <c r="D1918" s="6">
        <f>IFERROR(__xludf.DUMMYFUNCTION("""COMPUTED_VALUE"""),40955.99861111111)</f>
        <v>40955.99861</v>
      </c>
      <c r="E1918" s="3">
        <f>IFERROR(__xludf.DUMMYFUNCTION("""COMPUTED_VALUE"""),4.3494)</f>
        <v>4.3494</v>
      </c>
    </row>
    <row r="1919">
      <c r="D1919" s="6">
        <f>IFERROR(__xludf.DUMMYFUNCTION("""COMPUTED_VALUE"""),40956.99861111111)</f>
        <v>40956.99861</v>
      </c>
      <c r="E1919" s="3">
        <f>IFERROR(__xludf.DUMMYFUNCTION("""COMPUTED_VALUE"""),4.3498)</f>
        <v>4.3498</v>
      </c>
    </row>
    <row r="1920">
      <c r="D1920" s="6">
        <f>IFERROR(__xludf.DUMMYFUNCTION("""COMPUTED_VALUE"""),40958.99861111111)</f>
        <v>40958.99861</v>
      </c>
      <c r="E1920" s="3">
        <f>IFERROR(__xludf.DUMMYFUNCTION("""COMPUTED_VALUE"""),4.3558)</f>
        <v>4.3558</v>
      </c>
    </row>
    <row r="1921">
      <c r="D1921" s="6">
        <f>IFERROR(__xludf.DUMMYFUNCTION("""COMPUTED_VALUE"""),40959.99861111111)</f>
        <v>40959.99861</v>
      </c>
      <c r="E1921" s="3">
        <f>IFERROR(__xludf.DUMMYFUNCTION("""COMPUTED_VALUE"""),4.3558)</f>
        <v>4.3558</v>
      </c>
    </row>
    <row r="1922">
      <c r="D1922" s="6">
        <f>IFERROR(__xludf.DUMMYFUNCTION("""COMPUTED_VALUE"""),40960.99861111111)</f>
        <v>40960.99861</v>
      </c>
      <c r="E1922" s="3">
        <f>IFERROR(__xludf.DUMMYFUNCTION("""COMPUTED_VALUE"""),4.3508)</f>
        <v>4.3508</v>
      </c>
    </row>
    <row r="1923">
      <c r="D1923" s="6">
        <f>IFERROR(__xludf.DUMMYFUNCTION("""COMPUTED_VALUE"""),40961.99861111111)</f>
        <v>40961.99861</v>
      </c>
      <c r="E1923" s="3">
        <f>IFERROR(__xludf.DUMMYFUNCTION("""COMPUTED_VALUE"""),4.3565)</f>
        <v>4.3565</v>
      </c>
    </row>
    <row r="1924">
      <c r="D1924" s="6">
        <f>IFERROR(__xludf.DUMMYFUNCTION("""COMPUTED_VALUE"""),40962.99861111111)</f>
        <v>40962.99861</v>
      </c>
      <c r="E1924" s="3">
        <f>IFERROR(__xludf.DUMMYFUNCTION("""COMPUTED_VALUE"""),4.3622)</f>
        <v>4.3622</v>
      </c>
    </row>
    <row r="1925">
      <c r="D1925" s="6">
        <f>IFERROR(__xludf.DUMMYFUNCTION("""COMPUTED_VALUE"""),40963.99861111111)</f>
        <v>40963.99861</v>
      </c>
      <c r="E1925" s="3">
        <f>IFERROR(__xludf.DUMMYFUNCTION("""COMPUTED_VALUE"""),4.3498)</f>
        <v>4.3498</v>
      </c>
    </row>
    <row r="1926">
      <c r="D1926" s="6">
        <f>IFERROR(__xludf.DUMMYFUNCTION("""COMPUTED_VALUE"""),40966.99861111111)</f>
        <v>40966.99861</v>
      </c>
      <c r="E1926" s="3">
        <f>IFERROR(__xludf.DUMMYFUNCTION("""COMPUTED_VALUE"""),4.3478)</f>
        <v>4.3478</v>
      </c>
    </row>
    <row r="1927">
      <c r="D1927" s="6">
        <f>IFERROR(__xludf.DUMMYFUNCTION("""COMPUTED_VALUE"""),40967.99861111111)</f>
        <v>40967.99861</v>
      </c>
      <c r="E1927" s="3">
        <f>IFERROR(__xludf.DUMMYFUNCTION("""COMPUTED_VALUE"""),4.3454)</f>
        <v>4.3454</v>
      </c>
    </row>
    <row r="1928">
      <c r="D1928" s="6">
        <f>IFERROR(__xludf.DUMMYFUNCTION("""COMPUTED_VALUE"""),40968.99861111111)</f>
        <v>40968.99861</v>
      </c>
      <c r="E1928" s="3">
        <f>IFERROR(__xludf.DUMMYFUNCTION("""COMPUTED_VALUE"""),4.3447)</f>
        <v>4.3447</v>
      </c>
    </row>
    <row r="1929">
      <c r="D1929" s="6">
        <f>IFERROR(__xludf.DUMMYFUNCTION("""COMPUTED_VALUE"""),40969.99861111111)</f>
        <v>40969.99861</v>
      </c>
      <c r="E1929" s="3">
        <f>IFERROR(__xludf.DUMMYFUNCTION("""COMPUTED_VALUE"""),4.3535)</f>
        <v>4.3535</v>
      </c>
    </row>
    <row r="1930">
      <c r="D1930" s="6">
        <f>IFERROR(__xludf.DUMMYFUNCTION("""COMPUTED_VALUE"""),40970.99861111111)</f>
        <v>40970.99861</v>
      </c>
      <c r="E1930" s="3">
        <f>IFERROR(__xludf.DUMMYFUNCTION("""COMPUTED_VALUE"""),4.348)</f>
        <v>4.348</v>
      </c>
    </row>
    <row r="1931">
      <c r="D1931" s="6">
        <f>IFERROR(__xludf.DUMMYFUNCTION("""COMPUTED_VALUE"""),40972.99861111111)</f>
        <v>40972.99861</v>
      </c>
      <c r="E1931" s="3">
        <f>IFERROR(__xludf.DUMMYFUNCTION("""COMPUTED_VALUE"""),4.3478)</f>
        <v>4.3478</v>
      </c>
    </row>
    <row r="1932">
      <c r="D1932" s="6">
        <f>IFERROR(__xludf.DUMMYFUNCTION("""COMPUTED_VALUE"""),40973.99861111111)</f>
        <v>40973.99861</v>
      </c>
      <c r="E1932" s="3">
        <f>IFERROR(__xludf.DUMMYFUNCTION("""COMPUTED_VALUE"""),4.3482)</f>
        <v>4.3482</v>
      </c>
    </row>
    <row r="1933">
      <c r="D1933" s="6">
        <f>IFERROR(__xludf.DUMMYFUNCTION("""COMPUTED_VALUE"""),40974.99861111111)</f>
        <v>40974.99861</v>
      </c>
      <c r="E1933" s="3">
        <f>IFERROR(__xludf.DUMMYFUNCTION("""COMPUTED_VALUE"""),4.3525)</f>
        <v>4.3525</v>
      </c>
    </row>
    <row r="1934">
      <c r="D1934" s="6">
        <f>IFERROR(__xludf.DUMMYFUNCTION("""COMPUTED_VALUE"""),40975.99861111111)</f>
        <v>40975.99861</v>
      </c>
      <c r="E1934" s="3">
        <f>IFERROR(__xludf.DUMMYFUNCTION("""COMPUTED_VALUE"""),4.3527)</f>
        <v>4.3527</v>
      </c>
    </row>
    <row r="1935">
      <c r="D1935" s="6">
        <f>IFERROR(__xludf.DUMMYFUNCTION("""COMPUTED_VALUE"""),40976.99861111111)</f>
        <v>40976.99861</v>
      </c>
      <c r="E1935" s="3">
        <f>IFERROR(__xludf.DUMMYFUNCTION("""COMPUTED_VALUE"""),4.3579)</f>
        <v>4.3579</v>
      </c>
    </row>
    <row r="1936">
      <c r="D1936" s="6">
        <f>IFERROR(__xludf.DUMMYFUNCTION("""COMPUTED_VALUE"""),40977.99861111111)</f>
        <v>40977.99861</v>
      </c>
      <c r="E1936" s="3">
        <f>IFERROR(__xludf.DUMMYFUNCTION("""COMPUTED_VALUE"""),4.3578)</f>
        <v>4.3578</v>
      </c>
    </row>
    <row r="1937">
      <c r="D1937" s="6">
        <f>IFERROR(__xludf.DUMMYFUNCTION("""COMPUTED_VALUE"""),40980.99861111111)</f>
        <v>40980.99861</v>
      </c>
      <c r="E1937" s="3">
        <f>IFERROR(__xludf.DUMMYFUNCTION("""COMPUTED_VALUE"""),4.3522)</f>
        <v>4.3522</v>
      </c>
    </row>
    <row r="1938">
      <c r="D1938" s="6">
        <f>IFERROR(__xludf.DUMMYFUNCTION("""COMPUTED_VALUE"""),40981.99861111111)</f>
        <v>40981.99861</v>
      </c>
      <c r="E1938" s="3">
        <f>IFERROR(__xludf.DUMMYFUNCTION("""COMPUTED_VALUE"""),4.3631)</f>
        <v>4.3631</v>
      </c>
    </row>
    <row r="1939">
      <c r="D1939" s="6">
        <f>IFERROR(__xludf.DUMMYFUNCTION("""COMPUTED_VALUE"""),40982.99861111111)</f>
        <v>40982.99861</v>
      </c>
      <c r="E1939" s="3">
        <f>IFERROR(__xludf.DUMMYFUNCTION("""COMPUTED_VALUE"""),4.3663)</f>
        <v>4.3663</v>
      </c>
    </row>
    <row r="1940">
      <c r="D1940" s="6">
        <f>IFERROR(__xludf.DUMMYFUNCTION("""COMPUTED_VALUE"""),40983.99861111111)</f>
        <v>40983.99861</v>
      </c>
      <c r="E1940" s="3">
        <f>IFERROR(__xludf.DUMMYFUNCTION("""COMPUTED_VALUE"""),4.3812)</f>
        <v>4.3812</v>
      </c>
    </row>
    <row r="1941">
      <c r="D1941" s="6">
        <f>IFERROR(__xludf.DUMMYFUNCTION("""COMPUTED_VALUE"""),40984.99861111111)</f>
        <v>40984.99861</v>
      </c>
      <c r="E1941" s="3">
        <f>IFERROR(__xludf.DUMMYFUNCTION("""COMPUTED_VALUE"""),4.3765)</f>
        <v>4.3765</v>
      </c>
    </row>
    <row r="1942">
      <c r="D1942" s="6">
        <f>IFERROR(__xludf.DUMMYFUNCTION("""COMPUTED_VALUE"""),40987.99861111111)</f>
        <v>40987.99861</v>
      </c>
      <c r="E1942" s="3">
        <f>IFERROR(__xludf.DUMMYFUNCTION("""COMPUTED_VALUE"""),4.3748)</f>
        <v>4.3748</v>
      </c>
    </row>
    <row r="1943">
      <c r="D1943" s="6">
        <f>IFERROR(__xludf.DUMMYFUNCTION("""COMPUTED_VALUE"""),40988.99861111111)</f>
        <v>40988.99861</v>
      </c>
      <c r="E1943" s="3">
        <f>IFERROR(__xludf.DUMMYFUNCTION("""COMPUTED_VALUE"""),4.3742)</f>
        <v>4.3742</v>
      </c>
    </row>
    <row r="1944">
      <c r="D1944" s="6">
        <f>IFERROR(__xludf.DUMMYFUNCTION("""COMPUTED_VALUE"""),40989.99861111111)</f>
        <v>40989.99861</v>
      </c>
      <c r="E1944" s="3">
        <f>IFERROR(__xludf.DUMMYFUNCTION("""COMPUTED_VALUE"""),4.3704)</f>
        <v>4.3704</v>
      </c>
    </row>
    <row r="1945">
      <c r="D1945" s="6">
        <f>IFERROR(__xludf.DUMMYFUNCTION("""COMPUTED_VALUE"""),40990.99861111111)</f>
        <v>40990.99861</v>
      </c>
      <c r="E1945" s="3">
        <f>IFERROR(__xludf.DUMMYFUNCTION("""COMPUTED_VALUE"""),4.3718)</f>
        <v>4.3718</v>
      </c>
    </row>
    <row r="1946">
      <c r="D1946" s="6">
        <f>IFERROR(__xludf.DUMMYFUNCTION("""COMPUTED_VALUE"""),40991.99861111111)</f>
        <v>40991.99861</v>
      </c>
      <c r="E1946" s="3">
        <f>IFERROR(__xludf.DUMMYFUNCTION("""COMPUTED_VALUE"""),4.3678)</f>
        <v>4.3678</v>
      </c>
    </row>
    <row r="1947">
      <c r="D1947" s="6">
        <f>IFERROR(__xludf.DUMMYFUNCTION("""COMPUTED_VALUE"""),40993.99861111111)</f>
        <v>40993.99861</v>
      </c>
      <c r="E1947" s="3">
        <f>IFERROR(__xludf.DUMMYFUNCTION("""COMPUTED_VALUE"""),4.3678)</f>
        <v>4.3678</v>
      </c>
    </row>
    <row r="1948">
      <c r="D1948" s="6">
        <f>IFERROR(__xludf.DUMMYFUNCTION("""COMPUTED_VALUE"""),40994.99861111111)</f>
        <v>40994.99861</v>
      </c>
      <c r="E1948" s="3">
        <f>IFERROR(__xludf.DUMMYFUNCTION("""COMPUTED_VALUE"""),4.3705)</f>
        <v>4.3705</v>
      </c>
    </row>
    <row r="1949">
      <c r="D1949" s="6">
        <f>IFERROR(__xludf.DUMMYFUNCTION("""COMPUTED_VALUE"""),40995.99861111111)</f>
        <v>40995.99861</v>
      </c>
      <c r="E1949" s="3">
        <f>IFERROR(__xludf.DUMMYFUNCTION("""COMPUTED_VALUE"""),4.367)</f>
        <v>4.367</v>
      </c>
    </row>
    <row r="1950">
      <c r="D1950" s="6">
        <f>IFERROR(__xludf.DUMMYFUNCTION("""COMPUTED_VALUE"""),40996.99861111111)</f>
        <v>40996.99861</v>
      </c>
      <c r="E1950" s="3">
        <f>IFERROR(__xludf.DUMMYFUNCTION("""COMPUTED_VALUE"""),4.3697)</f>
        <v>4.3697</v>
      </c>
    </row>
    <row r="1951">
      <c r="D1951" s="6">
        <f>IFERROR(__xludf.DUMMYFUNCTION("""COMPUTED_VALUE"""),40997.99861111111)</f>
        <v>40997.99861</v>
      </c>
      <c r="E1951" s="3">
        <f>IFERROR(__xludf.DUMMYFUNCTION("""COMPUTED_VALUE"""),4.385)</f>
        <v>4.385</v>
      </c>
    </row>
    <row r="1952">
      <c r="D1952" s="6">
        <f>IFERROR(__xludf.DUMMYFUNCTION("""COMPUTED_VALUE"""),40998.99861111111)</f>
        <v>40998.99861</v>
      </c>
      <c r="E1952" s="3">
        <f>IFERROR(__xludf.DUMMYFUNCTION("""COMPUTED_VALUE"""),4.3846)</f>
        <v>4.3846</v>
      </c>
    </row>
    <row r="1953">
      <c r="D1953" s="6">
        <f>IFERROR(__xludf.DUMMYFUNCTION("""COMPUTED_VALUE"""),41001.99861111111)</f>
        <v>41001.99861</v>
      </c>
      <c r="E1953" s="3">
        <f>IFERROR(__xludf.DUMMYFUNCTION("""COMPUTED_VALUE"""),4.3771)</f>
        <v>4.3771</v>
      </c>
    </row>
    <row r="1954">
      <c r="D1954" s="6">
        <f>IFERROR(__xludf.DUMMYFUNCTION("""COMPUTED_VALUE"""),41002.99861111111)</f>
        <v>41002.99861</v>
      </c>
      <c r="E1954" s="3">
        <f>IFERROR(__xludf.DUMMYFUNCTION("""COMPUTED_VALUE"""),4.3728)</f>
        <v>4.3728</v>
      </c>
    </row>
    <row r="1955">
      <c r="D1955" s="6">
        <f>IFERROR(__xludf.DUMMYFUNCTION("""COMPUTED_VALUE"""),41003.99861111111)</f>
        <v>41003.99861</v>
      </c>
      <c r="E1955" s="3">
        <f>IFERROR(__xludf.DUMMYFUNCTION("""COMPUTED_VALUE"""),4.3692)</f>
        <v>4.3692</v>
      </c>
    </row>
    <row r="1956">
      <c r="D1956" s="6">
        <f>IFERROR(__xludf.DUMMYFUNCTION("""COMPUTED_VALUE"""),41004.99861111111)</f>
        <v>41004.99861</v>
      </c>
      <c r="E1956" s="3">
        <f>IFERROR(__xludf.DUMMYFUNCTION("""COMPUTED_VALUE"""),4.3705)</f>
        <v>4.3705</v>
      </c>
    </row>
    <row r="1957">
      <c r="D1957" s="6">
        <f>IFERROR(__xludf.DUMMYFUNCTION("""COMPUTED_VALUE"""),41007.99861111111)</f>
        <v>41007.99861</v>
      </c>
      <c r="E1957" s="3">
        <f>IFERROR(__xludf.DUMMYFUNCTION("""COMPUTED_VALUE"""),4.3771)</f>
        <v>4.3771</v>
      </c>
    </row>
    <row r="1958">
      <c r="D1958" s="6">
        <f>IFERROR(__xludf.DUMMYFUNCTION("""COMPUTED_VALUE"""),41009.99861111111)</f>
        <v>41009.99861</v>
      </c>
      <c r="E1958" s="3">
        <f>IFERROR(__xludf.DUMMYFUNCTION("""COMPUTED_VALUE"""),4.3831)</f>
        <v>4.3831</v>
      </c>
    </row>
    <row r="1959">
      <c r="D1959" s="6">
        <f>IFERROR(__xludf.DUMMYFUNCTION("""COMPUTED_VALUE"""),41010.99861111111)</f>
        <v>41010.99861</v>
      </c>
      <c r="E1959" s="3">
        <f>IFERROR(__xludf.DUMMYFUNCTION("""COMPUTED_VALUE"""),4.3827)</f>
        <v>4.3827</v>
      </c>
    </row>
    <row r="1960">
      <c r="D1960" s="6">
        <f>IFERROR(__xludf.DUMMYFUNCTION("""COMPUTED_VALUE"""),41011.99861111111)</f>
        <v>41011.99861</v>
      </c>
      <c r="E1960" s="3">
        <f>IFERROR(__xludf.DUMMYFUNCTION("""COMPUTED_VALUE"""),4.3715)</f>
        <v>4.3715</v>
      </c>
    </row>
    <row r="1961">
      <c r="D1961" s="6">
        <f>IFERROR(__xludf.DUMMYFUNCTION("""COMPUTED_VALUE"""),41012.99861111111)</f>
        <v>41012.99861</v>
      </c>
      <c r="E1961" s="3">
        <f>IFERROR(__xludf.DUMMYFUNCTION("""COMPUTED_VALUE"""),4.3715)</f>
        <v>4.3715</v>
      </c>
    </row>
    <row r="1962">
      <c r="D1962" s="6">
        <f>IFERROR(__xludf.DUMMYFUNCTION("""COMPUTED_VALUE"""),41014.99861111111)</f>
        <v>41014.99861</v>
      </c>
      <c r="E1962" s="3">
        <f>IFERROR(__xludf.DUMMYFUNCTION("""COMPUTED_VALUE"""),4.3715)</f>
        <v>4.3715</v>
      </c>
    </row>
    <row r="1963">
      <c r="D1963" s="6">
        <f>IFERROR(__xludf.DUMMYFUNCTION("""COMPUTED_VALUE"""),41015.99861111111)</f>
        <v>41015.99861</v>
      </c>
      <c r="E1963" s="3">
        <f>IFERROR(__xludf.DUMMYFUNCTION("""COMPUTED_VALUE"""),4.3743)</f>
        <v>4.3743</v>
      </c>
    </row>
    <row r="1964">
      <c r="D1964" s="6">
        <f>IFERROR(__xludf.DUMMYFUNCTION("""COMPUTED_VALUE"""),41016.99861111111)</f>
        <v>41016.99861</v>
      </c>
      <c r="E1964" s="3">
        <f>IFERROR(__xludf.DUMMYFUNCTION("""COMPUTED_VALUE"""),4.3765)</f>
        <v>4.3765</v>
      </c>
    </row>
    <row r="1965">
      <c r="D1965" s="6">
        <f>IFERROR(__xludf.DUMMYFUNCTION("""COMPUTED_VALUE"""),41017.99861111111)</f>
        <v>41017.99861</v>
      </c>
      <c r="E1965" s="3">
        <f>IFERROR(__xludf.DUMMYFUNCTION("""COMPUTED_VALUE"""),4.3756)</f>
        <v>4.3756</v>
      </c>
    </row>
    <row r="1966">
      <c r="D1966" s="6">
        <f>IFERROR(__xludf.DUMMYFUNCTION("""COMPUTED_VALUE"""),41018.99861111111)</f>
        <v>41018.99861</v>
      </c>
      <c r="E1966" s="3">
        <f>IFERROR(__xludf.DUMMYFUNCTION("""COMPUTED_VALUE"""),4.3728)</f>
        <v>4.3728</v>
      </c>
    </row>
    <row r="1967">
      <c r="D1967" s="6">
        <f>IFERROR(__xludf.DUMMYFUNCTION("""COMPUTED_VALUE"""),41019.99861111111)</f>
        <v>41019.99861</v>
      </c>
      <c r="E1967" s="3">
        <f>IFERROR(__xludf.DUMMYFUNCTION("""COMPUTED_VALUE"""),4.3844)</f>
        <v>4.3844</v>
      </c>
    </row>
    <row r="1968">
      <c r="D1968" s="6">
        <f>IFERROR(__xludf.DUMMYFUNCTION("""COMPUTED_VALUE"""),41021.99861111111)</f>
        <v>41021.99861</v>
      </c>
      <c r="E1968" s="3">
        <f>IFERROR(__xludf.DUMMYFUNCTION("""COMPUTED_VALUE"""),4.3747)</f>
        <v>4.3747</v>
      </c>
    </row>
    <row r="1969">
      <c r="D1969" s="6">
        <f>IFERROR(__xludf.DUMMYFUNCTION("""COMPUTED_VALUE"""),41022.99861111111)</f>
        <v>41022.99861</v>
      </c>
      <c r="E1969" s="3">
        <f>IFERROR(__xludf.DUMMYFUNCTION("""COMPUTED_VALUE"""),4.3791)</f>
        <v>4.3791</v>
      </c>
    </row>
    <row r="1970">
      <c r="D1970" s="6">
        <f>IFERROR(__xludf.DUMMYFUNCTION("""COMPUTED_VALUE"""),41023.99861111111)</f>
        <v>41023.99861</v>
      </c>
      <c r="E1970" s="3">
        <f>IFERROR(__xludf.DUMMYFUNCTION("""COMPUTED_VALUE"""),4.3772)</f>
        <v>4.3772</v>
      </c>
    </row>
    <row r="1971">
      <c r="D1971" s="6">
        <f>IFERROR(__xludf.DUMMYFUNCTION("""COMPUTED_VALUE"""),41024.99861111111)</f>
        <v>41024.99861</v>
      </c>
      <c r="E1971" s="3">
        <f>IFERROR(__xludf.DUMMYFUNCTION("""COMPUTED_VALUE"""),4.373)</f>
        <v>4.373</v>
      </c>
    </row>
    <row r="1972">
      <c r="D1972" s="6">
        <f>IFERROR(__xludf.DUMMYFUNCTION("""COMPUTED_VALUE"""),41025.99861111111)</f>
        <v>41025.99861</v>
      </c>
      <c r="E1972" s="3">
        <f>IFERROR(__xludf.DUMMYFUNCTION("""COMPUTED_VALUE"""),4.3779)</f>
        <v>4.3779</v>
      </c>
    </row>
    <row r="1973">
      <c r="D1973" s="6">
        <f>IFERROR(__xludf.DUMMYFUNCTION("""COMPUTED_VALUE"""),41026.99861111111)</f>
        <v>41026.99861</v>
      </c>
      <c r="E1973" s="3">
        <f>IFERROR(__xludf.DUMMYFUNCTION("""COMPUTED_VALUE"""),4.399)</f>
        <v>4.399</v>
      </c>
    </row>
    <row r="1974">
      <c r="D1974" s="6">
        <f>IFERROR(__xludf.DUMMYFUNCTION("""COMPUTED_VALUE"""),41028.99861111111)</f>
        <v>41028.99861</v>
      </c>
      <c r="E1974" s="3">
        <f>IFERROR(__xludf.DUMMYFUNCTION("""COMPUTED_VALUE"""),4.3898)</f>
        <v>4.3898</v>
      </c>
    </row>
    <row r="1975">
      <c r="D1975" s="6">
        <f>IFERROR(__xludf.DUMMYFUNCTION("""COMPUTED_VALUE"""),41029.99861111111)</f>
        <v>41029.99861</v>
      </c>
      <c r="E1975" s="3">
        <f>IFERROR(__xludf.DUMMYFUNCTION("""COMPUTED_VALUE"""),4.4327)</f>
        <v>4.4327</v>
      </c>
    </row>
    <row r="1976">
      <c r="D1976" s="6">
        <f>IFERROR(__xludf.DUMMYFUNCTION("""COMPUTED_VALUE"""),41031.99861111111)</f>
        <v>41031.99861</v>
      </c>
      <c r="E1976" s="3">
        <f>IFERROR(__xludf.DUMMYFUNCTION("""COMPUTED_VALUE"""),4.4075)</f>
        <v>4.4075</v>
      </c>
    </row>
    <row r="1977">
      <c r="D1977" s="6">
        <f>IFERROR(__xludf.DUMMYFUNCTION("""COMPUTED_VALUE"""),41032.99861111111)</f>
        <v>41032.99861</v>
      </c>
      <c r="E1977" s="3">
        <f>IFERROR(__xludf.DUMMYFUNCTION("""COMPUTED_VALUE"""),4.4055)</f>
        <v>4.4055</v>
      </c>
    </row>
    <row r="1978">
      <c r="D1978" s="6">
        <f>IFERROR(__xludf.DUMMYFUNCTION("""COMPUTED_VALUE"""),41033.99861111111)</f>
        <v>41033.99861</v>
      </c>
      <c r="E1978" s="3">
        <f>IFERROR(__xludf.DUMMYFUNCTION("""COMPUTED_VALUE"""),4.4028)</f>
        <v>4.4028</v>
      </c>
    </row>
    <row r="1979">
      <c r="D1979" s="6">
        <f>IFERROR(__xludf.DUMMYFUNCTION("""COMPUTED_VALUE"""),41035.99861111111)</f>
        <v>41035.99861</v>
      </c>
      <c r="E1979" s="3">
        <f>IFERROR(__xludf.DUMMYFUNCTION("""COMPUTED_VALUE"""),4.3938)</f>
        <v>4.3938</v>
      </c>
    </row>
    <row r="1980">
      <c r="D1980" s="6">
        <f>IFERROR(__xludf.DUMMYFUNCTION("""COMPUTED_VALUE"""),41036.99861111111)</f>
        <v>41036.99861</v>
      </c>
      <c r="E1980" s="3">
        <f>IFERROR(__xludf.DUMMYFUNCTION("""COMPUTED_VALUE"""),4.3938)</f>
        <v>4.3938</v>
      </c>
    </row>
    <row r="1981">
      <c r="D1981" s="6">
        <f>IFERROR(__xludf.DUMMYFUNCTION("""COMPUTED_VALUE"""),41037.99861111111)</f>
        <v>41037.99861</v>
      </c>
      <c r="E1981" s="3">
        <f>IFERROR(__xludf.DUMMYFUNCTION("""COMPUTED_VALUE"""),4.4039)</f>
        <v>4.4039</v>
      </c>
    </row>
    <row r="1982">
      <c r="D1982" s="6">
        <f>IFERROR(__xludf.DUMMYFUNCTION("""COMPUTED_VALUE"""),41038.99861111111)</f>
        <v>41038.99861</v>
      </c>
      <c r="E1982" s="3">
        <f>IFERROR(__xludf.DUMMYFUNCTION("""COMPUTED_VALUE"""),4.4186)</f>
        <v>4.4186</v>
      </c>
    </row>
    <row r="1983">
      <c r="D1983" s="6">
        <f>IFERROR(__xludf.DUMMYFUNCTION("""COMPUTED_VALUE"""),41039.99861111111)</f>
        <v>41039.99861</v>
      </c>
      <c r="E1983" s="3">
        <f>IFERROR(__xludf.DUMMYFUNCTION("""COMPUTED_VALUE"""),4.4166)</f>
        <v>4.4166</v>
      </c>
    </row>
    <row r="1984">
      <c r="D1984" s="6">
        <f>IFERROR(__xludf.DUMMYFUNCTION("""COMPUTED_VALUE"""),41040.99861111111)</f>
        <v>41040.99861</v>
      </c>
      <c r="E1984" s="3">
        <f>IFERROR(__xludf.DUMMYFUNCTION("""COMPUTED_VALUE"""),4.4327)</f>
        <v>4.4327</v>
      </c>
    </row>
    <row r="1985">
      <c r="D1985" s="6">
        <f>IFERROR(__xludf.DUMMYFUNCTION("""COMPUTED_VALUE"""),41042.99861111111)</f>
        <v>41042.99861</v>
      </c>
      <c r="E1985" s="3">
        <f>IFERROR(__xludf.DUMMYFUNCTION("""COMPUTED_VALUE"""),4.4329)</f>
        <v>4.4329</v>
      </c>
    </row>
    <row r="1986">
      <c r="D1986" s="6">
        <f>IFERROR(__xludf.DUMMYFUNCTION("""COMPUTED_VALUE"""),41043.99861111111)</f>
        <v>41043.99861</v>
      </c>
      <c r="E1986" s="3">
        <f>IFERROR(__xludf.DUMMYFUNCTION("""COMPUTED_VALUE"""),4.4428)</f>
        <v>4.4428</v>
      </c>
    </row>
    <row r="1987">
      <c r="D1987" s="6">
        <f>IFERROR(__xludf.DUMMYFUNCTION("""COMPUTED_VALUE"""),41044.99861111111)</f>
        <v>41044.99861</v>
      </c>
      <c r="E1987" s="3">
        <f>IFERROR(__xludf.DUMMYFUNCTION("""COMPUTED_VALUE"""),4.4393)</f>
        <v>4.4393</v>
      </c>
    </row>
    <row r="1988">
      <c r="D1988" s="6">
        <f>IFERROR(__xludf.DUMMYFUNCTION("""COMPUTED_VALUE"""),41045.99861111111)</f>
        <v>41045.99861</v>
      </c>
      <c r="E1988" s="3">
        <f>IFERROR(__xludf.DUMMYFUNCTION("""COMPUTED_VALUE"""),4.4458)</f>
        <v>4.4458</v>
      </c>
    </row>
    <row r="1989">
      <c r="D1989" s="6">
        <f>IFERROR(__xludf.DUMMYFUNCTION("""COMPUTED_VALUE"""),41046.99861111111)</f>
        <v>41046.99861</v>
      </c>
      <c r="E1989" s="3">
        <f>IFERROR(__xludf.DUMMYFUNCTION("""COMPUTED_VALUE"""),4.444)</f>
        <v>4.444</v>
      </c>
    </row>
    <row r="1990">
      <c r="D1990" s="6">
        <f>IFERROR(__xludf.DUMMYFUNCTION("""COMPUTED_VALUE"""),41047.99861111111)</f>
        <v>41047.99861</v>
      </c>
      <c r="E1990" s="3">
        <f>IFERROR(__xludf.DUMMYFUNCTION("""COMPUTED_VALUE"""),4.4418)</f>
        <v>4.4418</v>
      </c>
    </row>
    <row r="1991">
      <c r="D1991" s="6">
        <f>IFERROR(__xludf.DUMMYFUNCTION("""COMPUTED_VALUE"""),41050.99861111111)</f>
        <v>41050.99861</v>
      </c>
      <c r="E1991" s="3">
        <f>IFERROR(__xludf.DUMMYFUNCTION("""COMPUTED_VALUE"""),4.4464)</f>
        <v>4.4464</v>
      </c>
    </row>
    <row r="1992">
      <c r="D1992" s="6">
        <f>IFERROR(__xludf.DUMMYFUNCTION("""COMPUTED_VALUE"""),41051.99861111111)</f>
        <v>41051.99861</v>
      </c>
      <c r="E1992" s="3">
        <f>IFERROR(__xludf.DUMMYFUNCTION("""COMPUTED_VALUE"""),4.4524)</f>
        <v>4.4524</v>
      </c>
    </row>
    <row r="1993">
      <c r="D1993" s="6">
        <f>IFERROR(__xludf.DUMMYFUNCTION("""COMPUTED_VALUE"""),41052.99861111111)</f>
        <v>41052.99861</v>
      </c>
      <c r="E1993" s="3">
        <f>IFERROR(__xludf.DUMMYFUNCTION("""COMPUTED_VALUE"""),4.4602)</f>
        <v>4.4602</v>
      </c>
    </row>
    <row r="1994">
      <c r="D1994" s="6">
        <f>IFERROR(__xludf.DUMMYFUNCTION("""COMPUTED_VALUE"""),41053.99861111111)</f>
        <v>41053.99861</v>
      </c>
      <c r="E1994" s="3">
        <f>IFERROR(__xludf.DUMMYFUNCTION("""COMPUTED_VALUE"""),4.4683)</f>
        <v>4.4683</v>
      </c>
    </row>
    <row r="1995">
      <c r="D1995" s="6">
        <f>IFERROR(__xludf.DUMMYFUNCTION("""COMPUTED_VALUE"""),41054.99861111111)</f>
        <v>41054.99861</v>
      </c>
      <c r="E1995" s="3">
        <f>IFERROR(__xludf.DUMMYFUNCTION("""COMPUTED_VALUE"""),4.4771)</f>
        <v>4.4771</v>
      </c>
    </row>
    <row r="1996">
      <c r="D1996" s="6">
        <f>IFERROR(__xludf.DUMMYFUNCTION("""COMPUTED_VALUE"""),41056.99861111111)</f>
        <v>41056.99861</v>
      </c>
      <c r="E1996" s="3">
        <f>IFERROR(__xludf.DUMMYFUNCTION("""COMPUTED_VALUE"""),4.4771)</f>
        <v>4.4771</v>
      </c>
    </row>
    <row r="1997">
      <c r="D1997" s="6">
        <f>IFERROR(__xludf.DUMMYFUNCTION("""COMPUTED_VALUE"""),41057.99861111111)</f>
        <v>41057.99861</v>
      </c>
      <c r="E1997" s="3">
        <f>IFERROR(__xludf.DUMMYFUNCTION("""COMPUTED_VALUE"""),4.4771)</f>
        <v>4.4771</v>
      </c>
    </row>
    <row r="1998">
      <c r="D1998" s="6">
        <f>IFERROR(__xludf.DUMMYFUNCTION("""COMPUTED_VALUE"""),41058.99861111111)</f>
        <v>41058.99861</v>
      </c>
      <c r="E1998" s="3">
        <f>IFERROR(__xludf.DUMMYFUNCTION("""COMPUTED_VALUE"""),4.4641)</f>
        <v>4.4641</v>
      </c>
    </row>
    <row r="1999">
      <c r="D1999" s="6">
        <f>IFERROR(__xludf.DUMMYFUNCTION("""COMPUTED_VALUE"""),41059.99861111111)</f>
        <v>41059.99861</v>
      </c>
      <c r="E1999" s="3">
        <f>IFERROR(__xludf.DUMMYFUNCTION("""COMPUTED_VALUE"""),4.47)</f>
        <v>4.47</v>
      </c>
    </row>
    <row r="2000">
      <c r="D2000" s="6">
        <f>IFERROR(__xludf.DUMMYFUNCTION("""COMPUTED_VALUE"""),41060.99861111111)</f>
        <v>41060.99861</v>
      </c>
      <c r="E2000" s="3">
        <f>IFERROR(__xludf.DUMMYFUNCTION("""COMPUTED_VALUE"""),4.4802)</f>
        <v>4.4802</v>
      </c>
    </row>
    <row r="2001">
      <c r="D2001" s="6">
        <f>IFERROR(__xludf.DUMMYFUNCTION("""COMPUTED_VALUE"""),41061.99861111111)</f>
        <v>41061.99861</v>
      </c>
      <c r="E2001" s="3">
        <f>IFERROR(__xludf.DUMMYFUNCTION("""COMPUTED_VALUE"""),4.4605)</f>
        <v>4.4605</v>
      </c>
    </row>
    <row r="2002">
      <c r="D2002" s="6">
        <f>IFERROR(__xludf.DUMMYFUNCTION("""COMPUTED_VALUE"""),41063.99861111111)</f>
        <v>41063.99861</v>
      </c>
      <c r="E2002" s="3">
        <f>IFERROR(__xludf.DUMMYFUNCTION("""COMPUTED_VALUE"""),4.4605)</f>
        <v>4.4605</v>
      </c>
    </row>
    <row r="2003">
      <c r="D2003" s="6">
        <f>IFERROR(__xludf.DUMMYFUNCTION("""COMPUTED_VALUE"""),41064.99861111111)</f>
        <v>41064.99861</v>
      </c>
      <c r="E2003" s="3">
        <f>IFERROR(__xludf.DUMMYFUNCTION("""COMPUTED_VALUE"""),4.4602)</f>
        <v>4.4602</v>
      </c>
    </row>
    <row r="2004">
      <c r="D2004" s="6">
        <f>IFERROR(__xludf.DUMMYFUNCTION("""COMPUTED_VALUE"""),41065.99861111111)</f>
        <v>41065.99861</v>
      </c>
      <c r="E2004" s="3">
        <f>IFERROR(__xludf.DUMMYFUNCTION("""COMPUTED_VALUE"""),4.4639)</f>
        <v>4.4639</v>
      </c>
    </row>
    <row r="2005">
      <c r="D2005" s="6">
        <f>IFERROR(__xludf.DUMMYFUNCTION("""COMPUTED_VALUE"""),41066.99861111111)</f>
        <v>41066.99861</v>
      </c>
      <c r="E2005" s="3">
        <f>IFERROR(__xludf.DUMMYFUNCTION("""COMPUTED_VALUE"""),4.4584)</f>
        <v>4.4584</v>
      </c>
    </row>
    <row r="2006">
      <c r="D2006" s="6">
        <f>IFERROR(__xludf.DUMMYFUNCTION("""COMPUTED_VALUE"""),41067.99861111111)</f>
        <v>41067.99861</v>
      </c>
      <c r="E2006" s="3">
        <f>IFERROR(__xludf.DUMMYFUNCTION("""COMPUTED_VALUE"""),4.466)</f>
        <v>4.466</v>
      </c>
    </row>
    <row r="2007">
      <c r="D2007" s="6">
        <f>IFERROR(__xludf.DUMMYFUNCTION("""COMPUTED_VALUE"""),41068.99861111111)</f>
        <v>41068.99861</v>
      </c>
      <c r="E2007" s="3">
        <f>IFERROR(__xludf.DUMMYFUNCTION("""COMPUTED_VALUE"""),4.4608)</f>
        <v>4.4608</v>
      </c>
    </row>
    <row r="2008">
      <c r="D2008" s="6">
        <f>IFERROR(__xludf.DUMMYFUNCTION("""COMPUTED_VALUE"""),41070.99861111111)</f>
        <v>41070.99861</v>
      </c>
      <c r="E2008" s="3">
        <f>IFERROR(__xludf.DUMMYFUNCTION("""COMPUTED_VALUE"""),4.4652)</f>
        <v>4.4652</v>
      </c>
    </row>
    <row r="2009">
      <c r="D2009" s="6">
        <f>IFERROR(__xludf.DUMMYFUNCTION("""COMPUTED_VALUE"""),41071.99861111111)</f>
        <v>41071.99861</v>
      </c>
      <c r="E2009" s="3">
        <f>IFERROR(__xludf.DUMMYFUNCTION("""COMPUTED_VALUE"""),4.4652)</f>
        <v>4.4652</v>
      </c>
    </row>
    <row r="2010">
      <c r="D2010" s="6">
        <f>IFERROR(__xludf.DUMMYFUNCTION("""COMPUTED_VALUE"""),41072.99861111111)</f>
        <v>41072.99861</v>
      </c>
      <c r="E2010" s="3">
        <f>IFERROR(__xludf.DUMMYFUNCTION("""COMPUTED_VALUE"""),4.46)</f>
        <v>4.46</v>
      </c>
    </row>
    <row r="2011">
      <c r="D2011" s="6">
        <f>IFERROR(__xludf.DUMMYFUNCTION("""COMPUTED_VALUE"""),41073.99861111111)</f>
        <v>41073.99861</v>
      </c>
      <c r="E2011" s="3">
        <f>IFERROR(__xludf.DUMMYFUNCTION("""COMPUTED_VALUE"""),4.46)</f>
        <v>4.46</v>
      </c>
    </row>
    <row r="2012">
      <c r="D2012" s="6">
        <f>IFERROR(__xludf.DUMMYFUNCTION("""COMPUTED_VALUE"""),41074.99861111111)</f>
        <v>41074.99861</v>
      </c>
      <c r="E2012" s="3">
        <f>IFERROR(__xludf.DUMMYFUNCTION("""COMPUTED_VALUE"""),4.455)</f>
        <v>4.455</v>
      </c>
    </row>
    <row r="2013">
      <c r="D2013" s="6">
        <f>IFERROR(__xludf.DUMMYFUNCTION("""COMPUTED_VALUE"""),41075.99861111111)</f>
        <v>41075.99861</v>
      </c>
      <c r="E2013" s="3">
        <f>IFERROR(__xludf.DUMMYFUNCTION("""COMPUTED_VALUE"""),4.4647)</f>
        <v>4.4647</v>
      </c>
    </row>
    <row r="2014">
      <c r="D2014" s="6">
        <f>IFERROR(__xludf.DUMMYFUNCTION("""COMPUTED_VALUE"""),41078.99861111111)</f>
        <v>41078.99861</v>
      </c>
      <c r="E2014" s="3">
        <f>IFERROR(__xludf.DUMMYFUNCTION("""COMPUTED_VALUE"""),4.4622)</f>
        <v>4.4622</v>
      </c>
    </row>
    <row r="2015">
      <c r="D2015" s="6">
        <f>IFERROR(__xludf.DUMMYFUNCTION("""COMPUTED_VALUE"""),41079.99861111111)</f>
        <v>41079.99861</v>
      </c>
      <c r="E2015" s="3">
        <f>IFERROR(__xludf.DUMMYFUNCTION("""COMPUTED_VALUE"""),4.4602)</f>
        <v>4.4602</v>
      </c>
    </row>
    <row r="2016">
      <c r="D2016" s="6">
        <f>IFERROR(__xludf.DUMMYFUNCTION("""COMPUTED_VALUE"""),41080.99861111111)</f>
        <v>41080.99861</v>
      </c>
      <c r="E2016" s="3">
        <f>IFERROR(__xludf.DUMMYFUNCTION("""COMPUTED_VALUE"""),4.4599)</f>
        <v>4.4599</v>
      </c>
    </row>
    <row r="2017">
      <c r="D2017" s="6">
        <f>IFERROR(__xludf.DUMMYFUNCTION("""COMPUTED_VALUE"""),41081.99861111111)</f>
        <v>41081.99861</v>
      </c>
      <c r="E2017" s="3">
        <f>IFERROR(__xludf.DUMMYFUNCTION("""COMPUTED_VALUE"""),4.463)</f>
        <v>4.463</v>
      </c>
    </row>
    <row r="2018">
      <c r="D2018" s="6">
        <f>IFERROR(__xludf.DUMMYFUNCTION("""COMPUTED_VALUE"""),41082.99861111111)</f>
        <v>41082.99861</v>
      </c>
      <c r="E2018" s="3">
        <f>IFERROR(__xludf.DUMMYFUNCTION("""COMPUTED_VALUE"""),4.4694)</f>
        <v>4.4694</v>
      </c>
    </row>
    <row r="2019">
      <c r="D2019" s="6">
        <f>IFERROR(__xludf.DUMMYFUNCTION("""COMPUTED_VALUE"""),41084.99861111111)</f>
        <v>41084.99861</v>
      </c>
      <c r="E2019" s="3">
        <f>IFERROR(__xludf.DUMMYFUNCTION("""COMPUTED_VALUE"""),4.4694)</f>
        <v>4.4694</v>
      </c>
    </row>
    <row r="2020">
      <c r="D2020" s="6">
        <f>IFERROR(__xludf.DUMMYFUNCTION("""COMPUTED_VALUE"""),41085.99861111111)</f>
        <v>41085.99861</v>
      </c>
      <c r="E2020" s="3">
        <f>IFERROR(__xludf.DUMMYFUNCTION("""COMPUTED_VALUE"""),4.4665)</f>
        <v>4.4665</v>
      </c>
    </row>
    <row r="2021">
      <c r="D2021" s="6">
        <f>IFERROR(__xludf.DUMMYFUNCTION("""COMPUTED_VALUE"""),41086.99861111111)</f>
        <v>41086.99861</v>
      </c>
      <c r="E2021" s="3">
        <f>IFERROR(__xludf.DUMMYFUNCTION("""COMPUTED_VALUE"""),4.4527)</f>
        <v>4.4527</v>
      </c>
    </row>
    <row r="2022">
      <c r="D2022" s="6">
        <f>IFERROR(__xludf.DUMMYFUNCTION("""COMPUTED_VALUE"""),41087.99861111111)</f>
        <v>41087.99861</v>
      </c>
      <c r="E2022" s="3">
        <f>IFERROR(__xludf.DUMMYFUNCTION("""COMPUTED_VALUE"""),4.4462)</f>
        <v>4.4462</v>
      </c>
    </row>
    <row r="2023">
      <c r="D2023" s="6">
        <f>IFERROR(__xludf.DUMMYFUNCTION("""COMPUTED_VALUE"""),41088.99861111111)</f>
        <v>41088.99861</v>
      </c>
      <c r="E2023" s="3">
        <f>IFERROR(__xludf.DUMMYFUNCTION("""COMPUTED_VALUE"""),4.4485)</f>
        <v>4.4485</v>
      </c>
    </row>
    <row r="2024">
      <c r="D2024" s="6">
        <f>IFERROR(__xludf.DUMMYFUNCTION("""COMPUTED_VALUE"""),41089.99861111111)</f>
        <v>41089.99861</v>
      </c>
      <c r="E2024" s="3">
        <f>IFERROR(__xludf.DUMMYFUNCTION("""COMPUTED_VALUE"""),4.4467)</f>
        <v>4.4467</v>
      </c>
    </row>
    <row r="2025">
      <c r="D2025" s="6">
        <f>IFERROR(__xludf.DUMMYFUNCTION("""COMPUTED_VALUE"""),41092.99861111111)</f>
        <v>41092.99861</v>
      </c>
      <c r="E2025" s="3">
        <f>IFERROR(__xludf.DUMMYFUNCTION("""COMPUTED_VALUE"""),4.4475)</f>
        <v>4.4475</v>
      </c>
    </row>
    <row r="2026">
      <c r="D2026" s="6">
        <f>IFERROR(__xludf.DUMMYFUNCTION("""COMPUTED_VALUE"""),41093.99861111111)</f>
        <v>41093.99861</v>
      </c>
      <c r="E2026" s="3">
        <f>IFERROR(__xludf.DUMMYFUNCTION("""COMPUTED_VALUE"""),4.4498)</f>
        <v>4.4498</v>
      </c>
    </row>
    <row r="2027">
      <c r="D2027" s="6">
        <f>IFERROR(__xludf.DUMMYFUNCTION("""COMPUTED_VALUE"""),41094.99861111111)</f>
        <v>41094.99861</v>
      </c>
      <c r="E2027" s="3">
        <f>IFERROR(__xludf.DUMMYFUNCTION("""COMPUTED_VALUE"""),4.4731)</f>
        <v>4.4731</v>
      </c>
    </row>
    <row r="2028">
      <c r="D2028" s="6">
        <f>IFERROR(__xludf.DUMMYFUNCTION("""COMPUTED_VALUE"""),41095.99861111111)</f>
        <v>41095.99861</v>
      </c>
      <c r="E2028" s="3">
        <f>IFERROR(__xludf.DUMMYFUNCTION("""COMPUTED_VALUE"""),4.4888)</f>
        <v>4.4888</v>
      </c>
    </row>
    <row r="2029">
      <c r="D2029" s="6">
        <f>IFERROR(__xludf.DUMMYFUNCTION("""COMPUTED_VALUE"""),41096.99861111111)</f>
        <v>41096.99861</v>
      </c>
      <c r="E2029" s="3">
        <f>IFERROR(__xludf.DUMMYFUNCTION("""COMPUTED_VALUE"""),4.5334)</f>
        <v>4.5334</v>
      </c>
    </row>
    <row r="2030">
      <c r="D2030" s="6">
        <f>IFERROR(__xludf.DUMMYFUNCTION("""COMPUTED_VALUE"""),41099.99861111111)</f>
        <v>41099.99861</v>
      </c>
      <c r="E2030" s="3">
        <f>IFERROR(__xludf.DUMMYFUNCTION("""COMPUTED_VALUE"""),4.531)</f>
        <v>4.531</v>
      </c>
    </row>
    <row r="2031">
      <c r="D2031" s="6">
        <f>IFERROR(__xludf.DUMMYFUNCTION("""COMPUTED_VALUE"""),41100.99861111111)</f>
        <v>41100.99861</v>
      </c>
      <c r="E2031" s="3">
        <f>IFERROR(__xludf.DUMMYFUNCTION("""COMPUTED_VALUE"""),4.5183)</f>
        <v>4.5183</v>
      </c>
    </row>
    <row r="2032">
      <c r="D2032" s="6">
        <f>IFERROR(__xludf.DUMMYFUNCTION("""COMPUTED_VALUE"""),41101.99861111111)</f>
        <v>41101.99861</v>
      </c>
      <c r="E2032" s="3">
        <f>IFERROR(__xludf.DUMMYFUNCTION("""COMPUTED_VALUE"""),4.5216)</f>
        <v>4.5216</v>
      </c>
    </row>
    <row r="2033">
      <c r="D2033" s="6">
        <f>IFERROR(__xludf.DUMMYFUNCTION("""COMPUTED_VALUE"""),41102.99861111111)</f>
        <v>41102.99861</v>
      </c>
      <c r="E2033" s="3">
        <f>IFERROR(__xludf.DUMMYFUNCTION("""COMPUTED_VALUE"""),4.538)</f>
        <v>4.538</v>
      </c>
    </row>
    <row r="2034">
      <c r="D2034" s="6">
        <f>IFERROR(__xludf.DUMMYFUNCTION("""COMPUTED_VALUE"""),41103.99861111111)</f>
        <v>41103.99861</v>
      </c>
      <c r="E2034" s="3">
        <f>IFERROR(__xludf.DUMMYFUNCTION("""COMPUTED_VALUE"""),4.5575)</f>
        <v>4.5575</v>
      </c>
    </row>
    <row r="2035">
      <c r="D2035" s="6">
        <f>IFERROR(__xludf.DUMMYFUNCTION("""COMPUTED_VALUE"""),41106.99861111111)</f>
        <v>41106.99861</v>
      </c>
      <c r="E2035" s="3">
        <f>IFERROR(__xludf.DUMMYFUNCTION("""COMPUTED_VALUE"""),4.5656)</f>
        <v>4.5656</v>
      </c>
    </row>
    <row r="2036">
      <c r="D2036" s="6">
        <f>IFERROR(__xludf.DUMMYFUNCTION("""COMPUTED_VALUE"""),41107.99861111111)</f>
        <v>41107.99861</v>
      </c>
      <c r="E2036" s="3">
        <f>IFERROR(__xludf.DUMMYFUNCTION("""COMPUTED_VALUE"""),4.5581)</f>
        <v>4.5581</v>
      </c>
    </row>
    <row r="2037">
      <c r="D2037" s="6">
        <f>IFERROR(__xludf.DUMMYFUNCTION("""COMPUTED_VALUE"""),41108.99861111111)</f>
        <v>41108.99861</v>
      </c>
      <c r="E2037" s="3">
        <f>IFERROR(__xludf.DUMMYFUNCTION("""COMPUTED_VALUE"""),4.5642)</f>
        <v>4.5642</v>
      </c>
    </row>
    <row r="2038">
      <c r="D2038" s="6">
        <f>IFERROR(__xludf.DUMMYFUNCTION("""COMPUTED_VALUE"""),41109.99861111111)</f>
        <v>41109.99861</v>
      </c>
      <c r="E2038" s="3">
        <f>IFERROR(__xludf.DUMMYFUNCTION("""COMPUTED_VALUE"""),4.5759)</f>
        <v>4.5759</v>
      </c>
    </row>
    <row r="2039">
      <c r="D2039" s="6">
        <f>IFERROR(__xludf.DUMMYFUNCTION("""COMPUTED_VALUE"""),41110.99861111111)</f>
        <v>41110.99861</v>
      </c>
      <c r="E2039" s="3">
        <f>IFERROR(__xludf.DUMMYFUNCTION("""COMPUTED_VALUE"""),4.5982)</f>
        <v>4.5982</v>
      </c>
    </row>
    <row r="2040">
      <c r="D2040" s="6">
        <f>IFERROR(__xludf.DUMMYFUNCTION("""COMPUTED_VALUE"""),41113.99861111111)</f>
        <v>41113.99861</v>
      </c>
      <c r="E2040" s="3">
        <f>IFERROR(__xludf.DUMMYFUNCTION("""COMPUTED_VALUE"""),4.6379)</f>
        <v>4.6379</v>
      </c>
    </row>
    <row r="2041">
      <c r="D2041" s="6">
        <f>IFERROR(__xludf.DUMMYFUNCTION("""COMPUTED_VALUE"""),41114.99861111111)</f>
        <v>41114.99861</v>
      </c>
      <c r="E2041" s="3">
        <f>IFERROR(__xludf.DUMMYFUNCTION("""COMPUTED_VALUE"""),4.6238)</f>
        <v>4.6238</v>
      </c>
    </row>
    <row r="2042">
      <c r="D2042" s="6">
        <f>IFERROR(__xludf.DUMMYFUNCTION("""COMPUTED_VALUE"""),41115.99861111111)</f>
        <v>41115.99861</v>
      </c>
      <c r="E2042" s="3">
        <f>IFERROR(__xludf.DUMMYFUNCTION("""COMPUTED_VALUE"""),4.6228)</f>
        <v>4.6228</v>
      </c>
    </row>
    <row r="2043">
      <c r="D2043" s="6">
        <f>IFERROR(__xludf.DUMMYFUNCTION("""COMPUTED_VALUE"""),41116.99861111111)</f>
        <v>41116.99861</v>
      </c>
      <c r="E2043" s="3">
        <f>IFERROR(__xludf.DUMMYFUNCTION("""COMPUTED_VALUE"""),4.6077)</f>
        <v>4.6077</v>
      </c>
    </row>
    <row r="2044">
      <c r="D2044" s="6">
        <f>IFERROR(__xludf.DUMMYFUNCTION("""COMPUTED_VALUE"""),41117.99861111111)</f>
        <v>41117.99861</v>
      </c>
      <c r="E2044" s="3">
        <f>IFERROR(__xludf.DUMMYFUNCTION("""COMPUTED_VALUE"""),4.597)</f>
        <v>4.597</v>
      </c>
    </row>
    <row r="2045">
      <c r="D2045" s="6">
        <f>IFERROR(__xludf.DUMMYFUNCTION("""COMPUTED_VALUE"""),41119.99861111111)</f>
        <v>41119.99861</v>
      </c>
      <c r="E2045" s="3">
        <f>IFERROR(__xludf.DUMMYFUNCTION("""COMPUTED_VALUE"""),4.597)</f>
        <v>4.597</v>
      </c>
    </row>
    <row r="2046">
      <c r="D2046" s="6">
        <f>IFERROR(__xludf.DUMMYFUNCTION("""COMPUTED_VALUE"""),41120.99861111111)</f>
        <v>41120.99861</v>
      </c>
      <c r="E2046" s="3">
        <f>IFERROR(__xludf.DUMMYFUNCTION("""COMPUTED_VALUE"""),4.5672)</f>
        <v>4.5672</v>
      </c>
    </row>
    <row r="2047">
      <c r="D2047" s="6">
        <f>IFERROR(__xludf.DUMMYFUNCTION("""COMPUTED_VALUE"""),41121.99861111111)</f>
        <v>41121.99861</v>
      </c>
      <c r="E2047" s="3">
        <f>IFERROR(__xludf.DUMMYFUNCTION("""COMPUTED_VALUE"""),4.5776)</f>
        <v>4.5776</v>
      </c>
    </row>
    <row r="2048">
      <c r="D2048" s="6">
        <f>IFERROR(__xludf.DUMMYFUNCTION("""COMPUTED_VALUE"""),41122.99861111111)</f>
        <v>41122.99861</v>
      </c>
      <c r="E2048" s="3">
        <f>IFERROR(__xludf.DUMMYFUNCTION("""COMPUTED_VALUE"""),4.6166)</f>
        <v>4.6166</v>
      </c>
    </row>
    <row r="2049">
      <c r="D2049" s="6">
        <f>IFERROR(__xludf.DUMMYFUNCTION("""COMPUTED_VALUE"""),41123.99861111111)</f>
        <v>41123.99861</v>
      </c>
      <c r="E2049" s="3">
        <f>IFERROR(__xludf.DUMMYFUNCTION("""COMPUTED_VALUE"""),4.6221)</f>
        <v>4.6221</v>
      </c>
    </row>
    <row r="2050">
      <c r="D2050" s="6">
        <f>IFERROR(__xludf.DUMMYFUNCTION("""COMPUTED_VALUE"""),41124.99861111111)</f>
        <v>41124.99861</v>
      </c>
      <c r="E2050" s="3">
        <f>IFERROR(__xludf.DUMMYFUNCTION("""COMPUTED_VALUE"""),4.6217)</f>
        <v>4.6217</v>
      </c>
    </row>
    <row r="2051">
      <c r="D2051" s="6">
        <f>IFERROR(__xludf.DUMMYFUNCTION("""COMPUTED_VALUE"""),41127.99861111111)</f>
        <v>41127.99861</v>
      </c>
      <c r="E2051" s="3">
        <f>IFERROR(__xludf.DUMMYFUNCTION("""COMPUTED_VALUE"""),4.5738)</f>
        <v>4.5738</v>
      </c>
    </row>
    <row r="2052">
      <c r="D2052" s="6">
        <f>IFERROR(__xludf.DUMMYFUNCTION("""COMPUTED_VALUE"""),41128.99861111111)</f>
        <v>41128.99861</v>
      </c>
      <c r="E2052" s="3">
        <f>IFERROR(__xludf.DUMMYFUNCTION("""COMPUTED_VALUE"""),4.5429)</f>
        <v>4.5429</v>
      </c>
    </row>
    <row r="2053">
      <c r="D2053" s="6">
        <f>IFERROR(__xludf.DUMMYFUNCTION("""COMPUTED_VALUE"""),41129.99861111111)</f>
        <v>41129.99861</v>
      </c>
      <c r="E2053" s="3">
        <f>IFERROR(__xludf.DUMMYFUNCTION("""COMPUTED_VALUE"""),4.5345)</f>
        <v>4.5345</v>
      </c>
    </row>
    <row r="2054">
      <c r="D2054" s="6">
        <f>IFERROR(__xludf.DUMMYFUNCTION("""COMPUTED_VALUE"""),41130.99861111111)</f>
        <v>41130.99861</v>
      </c>
      <c r="E2054" s="3">
        <f>IFERROR(__xludf.DUMMYFUNCTION("""COMPUTED_VALUE"""),4.5422)</f>
        <v>4.5422</v>
      </c>
    </row>
    <row r="2055">
      <c r="D2055" s="6">
        <f>IFERROR(__xludf.DUMMYFUNCTION("""COMPUTED_VALUE"""),41131.99861111111)</f>
        <v>41131.99861</v>
      </c>
      <c r="E2055" s="3">
        <f>IFERROR(__xludf.DUMMYFUNCTION("""COMPUTED_VALUE"""),4.5329)</f>
        <v>4.5329</v>
      </c>
    </row>
    <row r="2056">
      <c r="D2056" s="6">
        <f>IFERROR(__xludf.DUMMYFUNCTION("""COMPUTED_VALUE"""),41134.99861111111)</f>
        <v>41134.99861</v>
      </c>
      <c r="E2056" s="3">
        <f>IFERROR(__xludf.DUMMYFUNCTION("""COMPUTED_VALUE"""),4.5375)</f>
        <v>4.5375</v>
      </c>
    </row>
    <row r="2057">
      <c r="D2057" s="6">
        <f>IFERROR(__xludf.DUMMYFUNCTION("""COMPUTED_VALUE"""),41135.99861111111)</f>
        <v>41135.99861</v>
      </c>
      <c r="E2057" s="3">
        <f>IFERROR(__xludf.DUMMYFUNCTION("""COMPUTED_VALUE"""),4.4897)</f>
        <v>4.4897</v>
      </c>
    </row>
    <row r="2058">
      <c r="D2058" s="6">
        <f>IFERROR(__xludf.DUMMYFUNCTION("""COMPUTED_VALUE"""),41136.99861111111)</f>
        <v>41136.99861</v>
      </c>
      <c r="E2058" s="3">
        <f>IFERROR(__xludf.DUMMYFUNCTION("""COMPUTED_VALUE"""),4.488)</f>
        <v>4.488</v>
      </c>
    </row>
    <row r="2059">
      <c r="D2059" s="6">
        <f>IFERROR(__xludf.DUMMYFUNCTION("""COMPUTED_VALUE"""),41137.99861111111)</f>
        <v>41137.99861</v>
      </c>
      <c r="E2059" s="3">
        <f>IFERROR(__xludf.DUMMYFUNCTION("""COMPUTED_VALUE"""),4.4817)</f>
        <v>4.4817</v>
      </c>
    </row>
    <row r="2060">
      <c r="D2060" s="6">
        <f>IFERROR(__xludf.DUMMYFUNCTION("""COMPUTED_VALUE"""),41138.99861111111)</f>
        <v>41138.99861</v>
      </c>
      <c r="E2060" s="3">
        <f>IFERROR(__xludf.DUMMYFUNCTION("""COMPUTED_VALUE"""),4.487)</f>
        <v>4.487</v>
      </c>
    </row>
    <row r="2061">
      <c r="D2061" s="6">
        <f>IFERROR(__xludf.DUMMYFUNCTION("""COMPUTED_VALUE"""),41140.99861111111)</f>
        <v>41140.99861</v>
      </c>
      <c r="E2061" s="3">
        <f>IFERROR(__xludf.DUMMYFUNCTION("""COMPUTED_VALUE"""),4.487)</f>
        <v>4.487</v>
      </c>
    </row>
    <row r="2062">
      <c r="D2062" s="6">
        <f>IFERROR(__xludf.DUMMYFUNCTION("""COMPUTED_VALUE"""),41141.99861111111)</f>
        <v>41141.99861</v>
      </c>
      <c r="E2062" s="3">
        <f>IFERROR(__xludf.DUMMYFUNCTION("""COMPUTED_VALUE"""),4.4932)</f>
        <v>4.4932</v>
      </c>
    </row>
    <row r="2063">
      <c r="D2063" s="6">
        <f>IFERROR(__xludf.DUMMYFUNCTION("""COMPUTED_VALUE"""),41143.99861111111)</f>
        <v>41143.99861</v>
      </c>
      <c r="E2063" s="3">
        <f>IFERROR(__xludf.DUMMYFUNCTION("""COMPUTED_VALUE"""),4.4923)</f>
        <v>4.4923</v>
      </c>
    </row>
    <row r="2064">
      <c r="D2064" s="6">
        <f>IFERROR(__xludf.DUMMYFUNCTION("""COMPUTED_VALUE"""),41144.99861111111)</f>
        <v>41144.99861</v>
      </c>
      <c r="E2064" s="3">
        <f>IFERROR(__xludf.DUMMYFUNCTION("""COMPUTED_VALUE"""),4.4814)</f>
        <v>4.4814</v>
      </c>
    </row>
    <row r="2065">
      <c r="D2065" s="6">
        <f>IFERROR(__xludf.DUMMYFUNCTION("""COMPUTED_VALUE"""),41145.99861111111)</f>
        <v>41145.99861</v>
      </c>
      <c r="E2065" s="3">
        <f>IFERROR(__xludf.DUMMYFUNCTION("""COMPUTED_VALUE"""),4.468)</f>
        <v>4.468</v>
      </c>
    </row>
    <row r="2066">
      <c r="D2066" s="6">
        <f>IFERROR(__xludf.DUMMYFUNCTION("""COMPUTED_VALUE"""),41148.99861111111)</f>
        <v>41148.99861</v>
      </c>
      <c r="E2066" s="3">
        <f>IFERROR(__xludf.DUMMYFUNCTION("""COMPUTED_VALUE"""),4.4668)</f>
        <v>4.4668</v>
      </c>
    </row>
    <row r="2067">
      <c r="D2067" s="6">
        <f>IFERROR(__xludf.DUMMYFUNCTION("""COMPUTED_VALUE"""),41149.99861111111)</f>
        <v>41149.99861</v>
      </c>
      <c r="E2067" s="3">
        <f>IFERROR(__xludf.DUMMYFUNCTION("""COMPUTED_VALUE"""),4.4514)</f>
        <v>4.4514</v>
      </c>
    </row>
    <row r="2068">
      <c r="D2068" s="6">
        <f>IFERROR(__xludf.DUMMYFUNCTION("""COMPUTED_VALUE"""),41150.99861111111)</f>
        <v>41150.99861</v>
      </c>
      <c r="E2068" s="3">
        <f>IFERROR(__xludf.DUMMYFUNCTION("""COMPUTED_VALUE"""),4.4683)</f>
        <v>4.4683</v>
      </c>
    </row>
    <row r="2069">
      <c r="D2069" s="6">
        <f>IFERROR(__xludf.DUMMYFUNCTION("""COMPUTED_VALUE"""),41151.99861111111)</f>
        <v>41151.99861</v>
      </c>
      <c r="E2069" s="3">
        <f>IFERROR(__xludf.DUMMYFUNCTION("""COMPUTED_VALUE"""),4.4649)</f>
        <v>4.4649</v>
      </c>
    </row>
    <row r="2070">
      <c r="D2070" s="6">
        <f>IFERROR(__xludf.DUMMYFUNCTION("""COMPUTED_VALUE"""),41152.99861111111)</f>
        <v>41152.99861</v>
      </c>
      <c r="E2070" s="3">
        <f>IFERROR(__xludf.DUMMYFUNCTION("""COMPUTED_VALUE"""),4.4749)</f>
        <v>4.4749</v>
      </c>
    </row>
    <row r="2071">
      <c r="D2071" s="6">
        <f>IFERROR(__xludf.DUMMYFUNCTION("""COMPUTED_VALUE"""),41154.99861111111)</f>
        <v>41154.99861</v>
      </c>
      <c r="E2071" s="3">
        <f>IFERROR(__xludf.DUMMYFUNCTION("""COMPUTED_VALUE"""),4.4749)</f>
        <v>4.4749</v>
      </c>
    </row>
    <row r="2072">
      <c r="D2072" s="6">
        <f>IFERROR(__xludf.DUMMYFUNCTION("""COMPUTED_VALUE"""),41155.99861111111)</f>
        <v>41155.99861</v>
      </c>
      <c r="E2072" s="3">
        <f>IFERROR(__xludf.DUMMYFUNCTION("""COMPUTED_VALUE"""),4.485)</f>
        <v>4.485</v>
      </c>
    </row>
    <row r="2073">
      <c r="D2073" s="6">
        <f>IFERROR(__xludf.DUMMYFUNCTION("""COMPUTED_VALUE"""),41156.99861111111)</f>
        <v>41156.99861</v>
      </c>
      <c r="E2073" s="3">
        <f>IFERROR(__xludf.DUMMYFUNCTION("""COMPUTED_VALUE"""),4.4866)</f>
        <v>4.4866</v>
      </c>
    </row>
    <row r="2074">
      <c r="D2074" s="6">
        <f>IFERROR(__xludf.DUMMYFUNCTION("""COMPUTED_VALUE"""),41157.99861111111)</f>
        <v>41157.99861</v>
      </c>
      <c r="E2074" s="3">
        <f>IFERROR(__xludf.DUMMYFUNCTION("""COMPUTED_VALUE"""),4.4819)</f>
        <v>4.4819</v>
      </c>
    </row>
    <row r="2075">
      <c r="D2075" s="6">
        <f>IFERROR(__xludf.DUMMYFUNCTION("""COMPUTED_VALUE"""),41158.99861111111)</f>
        <v>41158.99861</v>
      </c>
      <c r="E2075" s="3">
        <f>IFERROR(__xludf.DUMMYFUNCTION("""COMPUTED_VALUE"""),4.4868)</f>
        <v>4.4868</v>
      </c>
    </row>
    <row r="2076">
      <c r="D2076" s="6">
        <f>IFERROR(__xludf.DUMMYFUNCTION("""COMPUTED_VALUE"""),41159.99861111111)</f>
        <v>41159.99861</v>
      </c>
      <c r="E2076" s="3">
        <f>IFERROR(__xludf.DUMMYFUNCTION("""COMPUTED_VALUE"""),4.4749)</f>
        <v>4.4749</v>
      </c>
    </row>
    <row r="2077">
      <c r="D2077" s="6">
        <f>IFERROR(__xludf.DUMMYFUNCTION("""COMPUTED_VALUE"""),41162.99861111111)</f>
        <v>41162.99861</v>
      </c>
      <c r="E2077" s="3">
        <f>IFERROR(__xludf.DUMMYFUNCTION("""COMPUTED_VALUE"""),4.4712)</f>
        <v>4.4712</v>
      </c>
    </row>
    <row r="2078">
      <c r="D2078" s="6">
        <f>IFERROR(__xludf.DUMMYFUNCTION("""COMPUTED_VALUE"""),41163.99861111111)</f>
        <v>41163.99861</v>
      </c>
      <c r="E2078" s="3">
        <f>IFERROR(__xludf.DUMMYFUNCTION("""COMPUTED_VALUE"""),4.4822)</f>
        <v>4.4822</v>
      </c>
    </row>
    <row r="2079">
      <c r="D2079" s="6">
        <f>IFERROR(__xludf.DUMMYFUNCTION("""COMPUTED_VALUE"""),41164.99861111111)</f>
        <v>41164.99861</v>
      </c>
      <c r="E2079" s="3">
        <f>IFERROR(__xludf.DUMMYFUNCTION("""COMPUTED_VALUE"""),4.4932)</f>
        <v>4.4932</v>
      </c>
    </row>
    <row r="2080">
      <c r="D2080" s="6">
        <f>IFERROR(__xludf.DUMMYFUNCTION("""COMPUTED_VALUE"""),41165.99861111111)</f>
        <v>41165.99861</v>
      </c>
      <c r="E2080" s="3">
        <f>IFERROR(__xludf.DUMMYFUNCTION("""COMPUTED_VALUE"""),4.5065)</f>
        <v>4.5065</v>
      </c>
    </row>
    <row r="2081">
      <c r="D2081" s="6">
        <f>IFERROR(__xludf.DUMMYFUNCTION("""COMPUTED_VALUE"""),41166.99861111111)</f>
        <v>41166.99861</v>
      </c>
      <c r="E2081" s="3">
        <f>IFERROR(__xludf.DUMMYFUNCTION("""COMPUTED_VALUE"""),4.4986)</f>
        <v>4.4986</v>
      </c>
    </row>
    <row r="2082">
      <c r="D2082" s="6">
        <f>IFERROR(__xludf.DUMMYFUNCTION("""COMPUTED_VALUE"""),41169.99861111111)</f>
        <v>41169.99861</v>
      </c>
      <c r="E2082" s="3">
        <f>IFERROR(__xludf.DUMMYFUNCTION("""COMPUTED_VALUE"""),4.4932)</f>
        <v>4.4932</v>
      </c>
    </row>
    <row r="2083">
      <c r="D2083" s="6">
        <f>IFERROR(__xludf.DUMMYFUNCTION("""COMPUTED_VALUE"""),41170.99861111111)</f>
        <v>41170.99861</v>
      </c>
      <c r="E2083" s="3">
        <f>IFERROR(__xludf.DUMMYFUNCTION("""COMPUTED_VALUE"""),4.5037)</f>
        <v>4.5037</v>
      </c>
    </row>
    <row r="2084">
      <c r="D2084" s="6">
        <f>IFERROR(__xludf.DUMMYFUNCTION("""COMPUTED_VALUE"""),41171.99861111111)</f>
        <v>41171.99861</v>
      </c>
      <c r="E2084" s="3">
        <f>IFERROR(__xludf.DUMMYFUNCTION("""COMPUTED_VALUE"""),4.499)</f>
        <v>4.499</v>
      </c>
    </row>
    <row r="2085">
      <c r="D2085" s="6">
        <f>IFERROR(__xludf.DUMMYFUNCTION("""COMPUTED_VALUE"""),41172.99861111111)</f>
        <v>41172.99861</v>
      </c>
      <c r="E2085" s="3">
        <f>IFERROR(__xludf.DUMMYFUNCTION("""COMPUTED_VALUE"""),4.5108)</f>
        <v>4.5108</v>
      </c>
    </row>
    <row r="2086">
      <c r="D2086" s="6">
        <f>IFERROR(__xludf.DUMMYFUNCTION("""COMPUTED_VALUE"""),41173.99861111111)</f>
        <v>41173.99861</v>
      </c>
      <c r="E2086" s="3">
        <f>IFERROR(__xludf.DUMMYFUNCTION("""COMPUTED_VALUE"""),4.5142)</f>
        <v>4.5142</v>
      </c>
    </row>
    <row r="2087">
      <c r="D2087" s="6">
        <f>IFERROR(__xludf.DUMMYFUNCTION("""COMPUTED_VALUE"""),41176.99861111111)</f>
        <v>41176.99861</v>
      </c>
      <c r="E2087" s="3">
        <f>IFERROR(__xludf.DUMMYFUNCTION("""COMPUTED_VALUE"""),4.5135)</f>
        <v>4.5135</v>
      </c>
    </row>
    <row r="2088">
      <c r="D2088" s="6">
        <f>IFERROR(__xludf.DUMMYFUNCTION("""COMPUTED_VALUE"""),41177.99861111111)</f>
        <v>41177.99861</v>
      </c>
      <c r="E2088" s="3">
        <f>IFERROR(__xludf.DUMMYFUNCTION("""COMPUTED_VALUE"""),4.5087)</f>
        <v>4.5087</v>
      </c>
    </row>
    <row r="2089">
      <c r="D2089" s="6">
        <f>IFERROR(__xludf.DUMMYFUNCTION("""COMPUTED_VALUE"""),41178.99861111111)</f>
        <v>41178.99861</v>
      </c>
      <c r="E2089" s="3">
        <f>IFERROR(__xludf.DUMMYFUNCTION("""COMPUTED_VALUE"""),4.5151)</f>
        <v>4.5151</v>
      </c>
    </row>
    <row r="2090">
      <c r="D2090" s="6">
        <f>IFERROR(__xludf.DUMMYFUNCTION("""COMPUTED_VALUE"""),41179.99861111111)</f>
        <v>41179.99861</v>
      </c>
      <c r="E2090" s="3">
        <f>IFERROR(__xludf.DUMMYFUNCTION("""COMPUTED_VALUE"""),4.5174)</f>
        <v>4.5174</v>
      </c>
    </row>
    <row r="2091">
      <c r="D2091" s="6">
        <f>IFERROR(__xludf.DUMMYFUNCTION("""COMPUTED_VALUE"""),41180.99861111111)</f>
        <v>41180.99861</v>
      </c>
      <c r="E2091" s="3">
        <f>IFERROR(__xludf.DUMMYFUNCTION("""COMPUTED_VALUE"""),4.5357)</f>
        <v>4.5357</v>
      </c>
    </row>
    <row r="2092">
      <c r="D2092" s="6">
        <f>IFERROR(__xludf.DUMMYFUNCTION("""COMPUTED_VALUE"""),41183.99861111111)</f>
        <v>41183.99861</v>
      </c>
      <c r="E2092" s="3">
        <f>IFERROR(__xludf.DUMMYFUNCTION("""COMPUTED_VALUE"""),4.5187)</f>
        <v>4.5187</v>
      </c>
    </row>
    <row r="2093">
      <c r="D2093" s="6">
        <f>IFERROR(__xludf.DUMMYFUNCTION("""COMPUTED_VALUE"""),41184.99861111111)</f>
        <v>41184.99861</v>
      </c>
      <c r="E2093" s="3">
        <f>IFERROR(__xludf.DUMMYFUNCTION("""COMPUTED_VALUE"""),4.525)</f>
        <v>4.525</v>
      </c>
    </row>
    <row r="2094">
      <c r="D2094" s="6">
        <f>IFERROR(__xludf.DUMMYFUNCTION("""COMPUTED_VALUE"""),41185.99861111111)</f>
        <v>41185.99861</v>
      </c>
      <c r="E2094" s="3">
        <f>IFERROR(__xludf.DUMMYFUNCTION("""COMPUTED_VALUE"""),4.5331)</f>
        <v>4.5331</v>
      </c>
    </row>
    <row r="2095">
      <c r="D2095" s="6">
        <f>IFERROR(__xludf.DUMMYFUNCTION("""COMPUTED_VALUE"""),41186.99861111111)</f>
        <v>41186.99861</v>
      </c>
      <c r="E2095" s="3">
        <f>IFERROR(__xludf.DUMMYFUNCTION("""COMPUTED_VALUE"""),4.5517)</f>
        <v>4.5517</v>
      </c>
    </row>
    <row r="2096">
      <c r="D2096" s="6">
        <f>IFERROR(__xludf.DUMMYFUNCTION("""COMPUTED_VALUE"""),41187.99861111111)</f>
        <v>41187.99861</v>
      </c>
      <c r="E2096" s="3">
        <f>IFERROR(__xludf.DUMMYFUNCTION("""COMPUTED_VALUE"""),4.5677)</f>
        <v>4.5677</v>
      </c>
    </row>
    <row r="2097">
      <c r="D2097" s="6">
        <f>IFERROR(__xludf.DUMMYFUNCTION("""COMPUTED_VALUE"""),41189.99861111111)</f>
        <v>41189.99861</v>
      </c>
      <c r="E2097" s="3">
        <f>IFERROR(__xludf.DUMMYFUNCTION("""COMPUTED_VALUE"""),4.5667)</f>
        <v>4.5667</v>
      </c>
    </row>
    <row r="2098">
      <c r="D2098" s="6">
        <f>IFERROR(__xludf.DUMMYFUNCTION("""COMPUTED_VALUE"""),41190.99861111111)</f>
        <v>41190.99861</v>
      </c>
      <c r="E2098" s="3">
        <f>IFERROR(__xludf.DUMMYFUNCTION("""COMPUTED_VALUE"""),4.5667)</f>
        <v>4.5667</v>
      </c>
    </row>
    <row r="2099">
      <c r="D2099" s="6">
        <f>IFERROR(__xludf.DUMMYFUNCTION("""COMPUTED_VALUE"""),41191.99861111111)</f>
        <v>41191.99861</v>
      </c>
      <c r="E2099" s="3">
        <f>IFERROR(__xludf.DUMMYFUNCTION("""COMPUTED_VALUE"""),4.5795)</f>
        <v>4.5795</v>
      </c>
    </row>
    <row r="2100">
      <c r="D2100" s="6">
        <f>IFERROR(__xludf.DUMMYFUNCTION("""COMPUTED_VALUE"""),41192.99861111111)</f>
        <v>41192.99861</v>
      </c>
      <c r="E2100" s="3">
        <f>IFERROR(__xludf.DUMMYFUNCTION("""COMPUTED_VALUE"""),4.5645)</f>
        <v>4.5645</v>
      </c>
    </row>
    <row r="2101">
      <c r="D2101" s="6">
        <f>IFERROR(__xludf.DUMMYFUNCTION("""COMPUTED_VALUE"""),41193.99861111111)</f>
        <v>41193.99861</v>
      </c>
      <c r="E2101" s="3">
        <f>IFERROR(__xludf.DUMMYFUNCTION("""COMPUTED_VALUE"""),4.5639)</f>
        <v>4.5639</v>
      </c>
    </row>
    <row r="2102">
      <c r="D2102" s="6">
        <f>IFERROR(__xludf.DUMMYFUNCTION("""COMPUTED_VALUE"""),41194.99861111111)</f>
        <v>41194.99861</v>
      </c>
      <c r="E2102" s="3">
        <f>IFERROR(__xludf.DUMMYFUNCTION("""COMPUTED_VALUE"""),4.565)</f>
        <v>4.565</v>
      </c>
    </row>
    <row r="2103">
      <c r="D2103" s="6">
        <f>IFERROR(__xludf.DUMMYFUNCTION("""COMPUTED_VALUE"""),41196.99861111111)</f>
        <v>41196.99861</v>
      </c>
      <c r="E2103" s="3">
        <f>IFERROR(__xludf.DUMMYFUNCTION("""COMPUTED_VALUE"""),4.565)</f>
        <v>4.565</v>
      </c>
    </row>
    <row r="2104">
      <c r="D2104" s="6">
        <f>IFERROR(__xludf.DUMMYFUNCTION("""COMPUTED_VALUE"""),41197.99861111111)</f>
        <v>41197.99861</v>
      </c>
      <c r="E2104" s="3">
        <f>IFERROR(__xludf.DUMMYFUNCTION("""COMPUTED_VALUE"""),4.5745)</f>
        <v>4.5745</v>
      </c>
    </row>
    <row r="2105">
      <c r="D2105" s="6">
        <f>IFERROR(__xludf.DUMMYFUNCTION("""COMPUTED_VALUE"""),41198.99861111111)</f>
        <v>41198.99861</v>
      </c>
      <c r="E2105" s="3">
        <f>IFERROR(__xludf.DUMMYFUNCTION("""COMPUTED_VALUE"""),4.575)</f>
        <v>4.575</v>
      </c>
    </row>
    <row r="2106">
      <c r="D2106" s="6">
        <f>IFERROR(__xludf.DUMMYFUNCTION("""COMPUTED_VALUE"""),41199.99861111111)</f>
        <v>41199.99861</v>
      </c>
      <c r="E2106" s="3">
        <f>IFERROR(__xludf.DUMMYFUNCTION("""COMPUTED_VALUE"""),4.574)</f>
        <v>4.574</v>
      </c>
    </row>
    <row r="2107">
      <c r="D2107" s="6">
        <f>IFERROR(__xludf.DUMMYFUNCTION("""COMPUTED_VALUE"""),41200.99861111111)</f>
        <v>41200.99861</v>
      </c>
      <c r="E2107" s="3">
        <f>IFERROR(__xludf.DUMMYFUNCTION("""COMPUTED_VALUE"""),4.5773)</f>
        <v>4.5773</v>
      </c>
    </row>
    <row r="2108">
      <c r="D2108" s="6">
        <f>IFERROR(__xludf.DUMMYFUNCTION("""COMPUTED_VALUE"""),41201.99861111111)</f>
        <v>41201.99861</v>
      </c>
      <c r="E2108" s="3">
        <f>IFERROR(__xludf.DUMMYFUNCTION("""COMPUTED_VALUE"""),4.5751)</f>
        <v>4.5751</v>
      </c>
    </row>
    <row r="2109">
      <c r="D2109" s="6">
        <f>IFERROR(__xludf.DUMMYFUNCTION("""COMPUTED_VALUE"""),41203.99861111111)</f>
        <v>41203.99861</v>
      </c>
      <c r="E2109" s="3">
        <f>IFERROR(__xludf.DUMMYFUNCTION("""COMPUTED_VALUE"""),4.5731)</f>
        <v>4.5731</v>
      </c>
    </row>
    <row r="2110">
      <c r="D2110" s="6">
        <f>IFERROR(__xludf.DUMMYFUNCTION("""COMPUTED_VALUE"""),41204.99861111111)</f>
        <v>41204.99861</v>
      </c>
      <c r="E2110" s="3">
        <f>IFERROR(__xludf.DUMMYFUNCTION("""COMPUTED_VALUE"""),4.5731)</f>
        <v>4.5731</v>
      </c>
    </row>
    <row r="2111">
      <c r="D2111" s="6">
        <f>IFERROR(__xludf.DUMMYFUNCTION("""COMPUTED_VALUE"""),41205.99861111111)</f>
        <v>41205.99861</v>
      </c>
      <c r="E2111" s="3">
        <f>IFERROR(__xludf.DUMMYFUNCTION("""COMPUTED_VALUE"""),4.5739)</f>
        <v>4.5739</v>
      </c>
    </row>
    <row r="2112">
      <c r="D2112" s="6">
        <f>IFERROR(__xludf.DUMMYFUNCTION("""COMPUTED_VALUE"""),41206.99861111111)</f>
        <v>41206.99861</v>
      </c>
      <c r="E2112" s="3">
        <f>IFERROR(__xludf.DUMMYFUNCTION("""COMPUTED_VALUE"""),4.5703)</f>
        <v>4.5703</v>
      </c>
    </row>
    <row r="2113">
      <c r="D2113" s="6">
        <f>IFERROR(__xludf.DUMMYFUNCTION("""COMPUTED_VALUE"""),41207.99861111111)</f>
        <v>41207.99861</v>
      </c>
      <c r="E2113" s="3">
        <f>IFERROR(__xludf.DUMMYFUNCTION("""COMPUTED_VALUE"""),4.5601)</f>
        <v>4.5601</v>
      </c>
    </row>
    <row r="2114">
      <c r="D2114" s="6">
        <f>IFERROR(__xludf.DUMMYFUNCTION("""COMPUTED_VALUE"""),41208.99861111111)</f>
        <v>41208.99861</v>
      </c>
      <c r="E2114" s="3">
        <f>IFERROR(__xludf.DUMMYFUNCTION("""COMPUTED_VALUE"""),4.5628)</f>
        <v>4.5628</v>
      </c>
    </row>
    <row r="2115">
      <c r="D2115" s="6">
        <f>IFERROR(__xludf.DUMMYFUNCTION("""COMPUTED_VALUE"""),41211.99861111111)</f>
        <v>41211.99861</v>
      </c>
      <c r="E2115" s="3">
        <f>IFERROR(__xludf.DUMMYFUNCTION("""COMPUTED_VALUE"""),4.5446)</f>
        <v>4.5446</v>
      </c>
    </row>
    <row r="2116">
      <c r="D2116" s="6">
        <f>IFERROR(__xludf.DUMMYFUNCTION("""COMPUTED_VALUE"""),41212.99861111111)</f>
        <v>41212.99861</v>
      </c>
      <c r="E2116" s="3">
        <f>IFERROR(__xludf.DUMMYFUNCTION("""COMPUTED_VALUE"""),4.5527)</f>
        <v>4.5527</v>
      </c>
    </row>
    <row r="2117">
      <c r="D2117" s="6">
        <f>IFERROR(__xludf.DUMMYFUNCTION("""COMPUTED_VALUE"""),41213.99861111111)</f>
        <v>41213.99861</v>
      </c>
      <c r="E2117" s="3">
        <f>IFERROR(__xludf.DUMMYFUNCTION("""COMPUTED_VALUE"""),4.5431)</f>
        <v>4.5431</v>
      </c>
    </row>
    <row r="2118">
      <c r="D2118" s="6">
        <f>IFERROR(__xludf.DUMMYFUNCTION("""COMPUTED_VALUE"""),41214.99861111111)</f>
        <v>41214.99861</v>
      </c>
      <c r="E2118" s="3">
        <f>IFERROR(__xludf.DUMMYFUNCTION("""COMPUTED_VALUE"""),4.5301)</f>
        <v>4.5301</v>
      </c>
    </row>
    <row r="2119">
      <c r="D2119" s="6">
        <f>IFERROR(__xludf.DUMMYFUNCTION("""COMPUTED_VALUE"""),41215.99861111111)</f>
        <v>41215.99861</v>
      </c>
      <c r="E2119" s="3">
        <f>IFERROR(__xludf.DUMMYFUNCTION("""COMPUTED_VALUE"""),4.5257)</f>
        <v>4.5257</v>
      </c>
    </row>
    <row r="2120">
      <c r="D2120" s="6">
        <f>IFERROR(__xludf.DUMMYFUNCTION("""COMPUTED_VALUE"""),41217.99861111111)</f>
        <v>41217.99861</v>
      </c>
      <c r="E2120" s="3">
        <f>IFERROR(__xludf.DUMMYFUNCTION("""COMPUTED_VALUE"""),4.5257)</f>
        <v>4.5257</v>
      </c>
    </row>
    <row r="2121">
      <c r="D2121" s="6">
        <f>IFERROR(__xludf.DUMMYFUNCTION("""COMPUTED_VALUE"""),41218.99861111111)</f>
        <v>41218.99861</v>
      </c>
      <c r="E2121" s="3">
        <f>IFERROR(__xludf.DUMMYFUNCTION("""COMPUTED_VALUE"""),4.5224)</f>
        <v>4.5224</v>
      </c>
    </row>
    <row r="2122">
      <c r="D2122" s="6">
        <f>IFERROR(__xludf.DUMMYFUNCTION("""COMPUTED_VALUE"""),41219.99861111111)</f>
        <v>41219.99861</v>
      </c>
      <c r="E2122" s="3">
        <f>IFERROR(__xludf.DUMMYFUNCTION("""COMPUTED_VALUE"""),4.5122)</f>
        <v>4.5122</v>
      </c>
    </row>
    <row r="2123">
      <c r="D2123" s="6">
        <f>IFERROR(__xludf.DUMMYFUNCTION("""COMPUTED_VALUE"""),41220.99861111111)</f>
        <v>41220.99861</v>
      </c>
      <c r="E2123" s="3">
        <f>IFERROR(__xludf.DUMMYFUNCTION("""COMPUTED_VALUE"""),4.5151)</f>
        <v>4.5151</v>
      </c>
    </row>
    <row r="2124">
      <c r="D2124" s="6">
        <f>IFERROR(__xludf.DUMMYFUNCTION("""COMPUTED_VALUE"""),41221.99861111111)</f>
        <v>41221.99861</v>
      </c>
      <c r="E2124" s="3">
        <f>IFERROR(__xludf.DUMMYFUNCTION("""COMPUTED_VALUE"""),4.52)</f>
        <v>4.52</v>
      </c>
    </row>
    <row r="2125">
      <c r="D2125" s="6">
        <f>IFERROR(__xludf.DUMMYFUNCTION("""COMPUTED_VALUE"""),41222.99861111111)</f>
        <v>41222.99861</v>
      </c>
      <c r="E2125" s="3">
        <f>IFERROR(__xludf.DUMMYFUNCTION("""COMPUTED_VALUE"""),4.5223)</f>
        <v>4.5223</v>
      </c>
    </row>
    <row r="2126">
      <c r="D2126" s="6">
        <f>IFERROR(__xludf.DUMMYFUNCTION("""COMPUTED_VALUE"""),41224.99861111111)</f>
        <v>41224.99861</v>
      </c>
      <c r="E2126" s="3">
        <f>IFERROR(__xludf.DUMMYFUNCTION("""COMPUTED_VALUE"""),4.527)</f>
        <v>4.527</v>
      </c>
    </row>
    <row r="2127">
      <c r="D2127" s="6">
        <f>IFERROR(__xludf.DUMMYFUNCTION("""COMPUTED_VALUE"""),41225.99861111111)</f>
        <v>41225.99861</v>
      </c>
      <c r="E2127" s="3">
        <f>IFERROR(__xludf.DUMMYFUNCTION("""COMPUTED_VALUE"""),4.527)</f>
        <v>4.527</v>
      </c>
    </row>
    <row r="2128">
      <c r="D2128" s="6">
        <f>IFERROR(__xludf.DUMMYFUNCTION("""COMPUTED_VALUE"""),41226.99861111111)</f>
        <v>41226.99861</v>
      </c>
      <c r="E2128" s="3">
        <f>IFERROR(__xludf.DUMMYFUNCTION("""COMPUTED_VALUE"""),4.537)</f>
        <v>4.537</v>
      </c>
    </row>
    <row r="2129">
      <c r="D2129" s="6">
        <f>IFERROR(__xludf.DUMMYFUNCTION("""COMPUTED_VALUE"""),41227.99861111111)</f>
        <v>41227.99861</v>
      </c>
      <c r="E2129" s="3">
        <f>IFERROR(__xludf.DUMMYFUNCTION("""COMPUTED_VALUE"""),4.543)</f>
        <v>4.543</v>
      </c>
    </row>
    <row r="2130">
      <c r="D2130" s="6">
        <f>IFERROR(__xludf.DUMMYFUNCTION("""COMPUTED_VALUE"""),41228.99861111111)</f>
        <v>41228.99861</v>
      </c>
      <c r="E2130" s="3">
        <f>IFERROR(__xludf.DUMMYFUNCTION("""COMPUTED_VALUE"""),4.5344)</f>
        <v>4.5344</v>
      </c>
    </row>
    <row r="2131">
      <c r="D2131" s="6">
        <f>IFERROR(__xludf.DUMMYFUNCTION("""COMPUTED_VALUE"""),41229.99861111111)</f>
        <v>41229.99861</v>
      </c>
      <c r="E2131" s="3">
        <f>IFERROR(__xludf.DUMMYFUNCTION("""COMPUTED_VALUE"""),4.5336)</f>
        <v>4.5336</v>
      </c>
    </row>
    <row r="2132">
      <c r="D2132" s="6">
        <f>IFERROR(__xludf.DUMMYFUNCTION("""COMPUTED_VALUE"""),41232.99861111111)</f>
        <v>41232.99861</v>
      </c>
      <c r="E2132" s="3">
        <f>IFERROR(__xludf.DUMMYFUNCTION("""COMPUTED_VALUE"""),4.5335)</f>
        <v>4.5335</v>
      </c>
    </row>
    <row r="2133">
      <c r="D2133" s="6">
        <f>IFERROR(__xludf.DUMMYFUNCTION("""COMPUTED_VALUE"""),41233.99861111111)</f>
        <v>41233.99861</v>
      </c>
      <c r="E2133" s="3">
        <f>IFERROR(__xludf.DUMMYFUNCTION("""COMPUTED_VALUE"""),4.533)</f>
        <v>4.533</v>
      </c>
    </row>
    <row r="2134">
      <c r="D2134" s="6">
        <f>IFERROR(__xludf.DUMMYFUNCTION("""COMPUTED_VALUE"""),41234.99861111111)</f>
        <v>41234.99861</v>
      </c>
      <c r="E2134" s="3">
        <f>IFERROR(__xludf.DUMMYFUNCTION("""COMPUTED_VALUE"""),4.5291)</f>
        <v>4.5291</v>
      </c>
    </row>
    <row r="2135">
      <c r="D2135" s="6">
        <f>IFERROR(__xludf.DUMMYFUNCTION("""COMPUTED_VALUE"""),41235.99861111111)</f>
        <v>41235.99861</v>
      </c>
      <c r="E2135" s="3">
        <f>IFERROR(__xludf.DUMMYFUNCTION("""COMPUTED_VALUE"""),4.536)</f>
        <v>4.536</v>
      </c>
    </row>
    <row r="2136">
      <c r="D2136" s="6">
        <f>IFERROR(__xludf.DUMMYFUNCTION("""COMPUTED_VALUE"""),41236.99861111111)</f>
        <v>41236.99861</v>
      </c>
      <c r="E2136" s="3">
        <f>IFERROR(__xludf.DUMMYFUNCTION("""COMPUTED_VALUE"""),4.5311)</f>
        <v>4.5311</v>
      </c>
    </row>
    <row r="2137">
      <c r="D2137" s="6">
        <f>IFERROR(__xludf.DUMMYFUNCTION("""COMPUTED_VALUE"""),41239.99861111111)</f>
        <v>41239.99861</v>
      </c>
      <c r="E2137" s="3">
        <f>IFERROR(__xludf.DUMMYFUNCTION("""COMPUTED_VALUE"""),4.5352)</f>
        <v>4.5352</v>
      </c>
    </row>
    <row r="2138">
      <c r="D2138" s="6">
        <f>IFERROR(__xludf.DUMMYFUNCTION("""COMPUTED_VALUE"""),41240.99861111111)</f>
        <v>41240.99861</v>
      </c>
      <c r="E2138" s="3">
        <f>IFERROR(__xludf.DUMMYFUNCTION("""COMPUTED_VALUE"""),4.5056)</f>
        <v>4.5056</v>
      </c>
    </row>
    <row r="2139">
      <c r="D2139" s="6">
        <f>IFERROR(__xludf.DUMMYFUNCTION("""COMPUTED_VALUE"""),41241.99861111111)</f>
        <v>41241.99861</v>
      </c>
      <c r="E2139" s="3">
        <f>IFERROR(__xludf.DUMMYFUNCTION("""COMPUTED_VALUE"""),4.5048)</f>
        <v>4.5048</v>
      </c>
    </row>
    <row r="2140">
      <c r="D2140" s="6">
        <f>IFERROR(__xludf.DUMMYFUNCTION("""COMPUTED_VALUE"""),41242.99861111111)</f>
        <v>41242.99861</v>
      </c>
      <c r="E2140" s="3">
        <f>IFERROR(__xludf.DUMMYFUNCTION("""COMPUTED_VALUE"""),4.5083)</f>
        <v>4.5083</v>
      </c>
    </row>
    <row r="2141">
      <c r="D2141" s="6">
        <f>IFERROR(__xludf.DUMMYFUNCTION("""COMPUTED_VALUE"""),41243.99861111111)</f>
        <v>41243.99861</v>
      </c>
      <c r="E2141" s="3">
        <f>IFERROR(__xludf.DUMMYFUNCTION("""COMPUTED_VALUE"""),4.5031)</f>
        <v>4.5031</v>
      </c>
    </row>
    <row r="2142">
      <c r="D2142" s="6">
        <f>IFERROR(__xludf.DUMMYFUNCTION("""COMPUTED_VALUE"""),41246.99861111111)</f>
        <v>41246.99861</v>
      </c>
      <c r="E2142" s="3">
        <f>IFERROR(__xludf.DUMMYFUNCTION("""COMPUTED_VALUE"""),4.5215)</f>
        <v>4.5215</v>
      </c>
    </row>
    <row r="2143">
      <c r="D2143" s="6">
        <f>IFERROR(__xludf.DUMMYFUNCTION("""COMPUTED_VALUE"""),41247.99861111111)</f>
        <v>41247.99861</v>
      </c>
      <c r="E2143" s="3">
        <f>IFERROR(__xludf.DUMMYFUNCTION("""COMPUTED_VALUE"""),4.5318)</f>
        <v>4.5318</v>
      </c>
    </row>
    <row r="2144">
      <c r="D2144" s="6">
        <f>IFERROR(__xludf.DUMMYFUNCTION("""COMPUTED_VALUE"""),41248.99861111111)</f>
        <v>41248.99861</v>
      </c>
      <c r="E2144" s="3">
        <f>IFERROR(__xludf.DUMMYFUNCTION("""COMPUTED_VALUE"""),4.5325)</f>
        <v>4.5325</v>
      </c>
    </row>
    <row r="2145">
      <c r="D2145" s="6">
        <f>IFERROR(__xludf.DUMMYFUNCTION("""COMPUTED_VALUE"""),41249.99861111111)</f>
        <v>41249.99861</v>
      </c>
      <c r="E2145" s="3">
        <f>IFERROR(__xludf.DUMMYFUNCTION("""COMPUTED_VALUE"""),4.5325)</f>
        <v>4.5325</v>
      </c>
    </row>
    <row r="2146">
      <c r="D2146" s="6">
        <f>IFERROR(__xludf.DUMMYFUNCTION("""COMPUTED_VALUE"""),41250.99861111111)</f>
        <v>41250.99861</v>
      </c>
      <c r="E2146" s="3">
        <f>IFERROR(__xludf.DUMMYFUNCTION("""COMPUTED_VALUE"""),4.5295)</f>
        <v>4.5295</v>
      </c>
    </row>
    <row r="2147">
      <c r="D2147" s="6">
        <f>IFERROR(__xludf.DUMMYFUNCTION("""COMPUTED_VALUE"""),41253.99861111111)</f>
        <v>41253.99861</v>
      </c>
      <c r="E2147" s="3">
        <f>IFERROR(__xludf.DUMMYFUNCTION("""COMPUTED_VALUE"""),4.5308)</f>
        <v>4.5308</v>
      </c>
    </row>
    <row r="2148">
      <c r="D2148" s="6">
        <f>IFERROR(__xludf.DUMMYFUNCTION("""COMPUTED_VALUE"""),41254.99861111111)</f>
        <v>41254.99861</v>
      </c>
      <c r="E2148" s="3">
        <f>IFERROR(__xludf.DUMMYFUNCTION("""COMPUTED_VALUE"""),4.5416)</f>
        <v>4.5416</v>
      </c>
    </row>
    <row r="2149">
      <c r="D2149" s="6">
        <f>IFERROR(__xludf.DUMMYFUNCTION("""COMPUTED_VALUE"""),41255.99861111111)</f>
        <v>41255.99861</v>
      </c>
      <c r="E2149" s="3">
        <f>IFERROR(__xludf.DUMMYFUNCTION("""COMPUTED_VALUE"""),4.5204)</f>
        <v>4.5204</v>
      </c>
    </row>
    <row r="2150">
      <c r="D2150" s="6">
        <f>IFERROR(__xludf.DUMMYFUNCTION("""COMPUTED_VALUE"""),41256.99861111111)</f>
        <v>41256.99861</v>
      </c>
      <c r="E2150" s="3">
        <f>IFERROR(__xludf.DUMMYFUNCTION("""COMPUTED_VALUE"""),4.4773)</f>
        <v>4.4773</v>
      </c>
    </row>
    <row r="2151">
      <c r="D2151" s="6">
        <f>IFERROR(__xludf.DUMMYFUNCTION("""COMPUTED_VALUE"""),41257.99861111111)</f>
        <v>41257.99861</v>
      </c>
      <c r="E2151" s="3">
        <f>IFERROR(__xludf.DUMMYFUNCTION("""COMPUTED_VALUE"""),4.4697)</f>
        <v>4.4697</v>
      </c>
    </row>
    <row r="2152">
      <c r="D2152" s="6">
        <f>IFERROR(__xludf.DUMMYFUNCTION("""COMPUTED_VALUE"""),41260.99861111111)</f>
        <v>41260.99861</v>
      </c>
      <c r="E2152" s="3">
        <f>IFERROR(__xludf.DUMMYFUNCTION("""COMPUTED_VALUE"""),4.4743)</f>
        <v>4.4743</v>
      </c>
    </row>
    <row r="2153">
      <c r="D2153" s="6">
        <f>IFERROR(__xludf.DUMMYFUNCTION("""COMPUTED_VALUE"""),41261.99861111111)</f>
        <v>41261.99861</v>
      </c>
      <c r="E2153" s="3">
        <f>IFERROR(__xludf.DUMMYFUNCTION("""COMPUTED_VALUE"""),4.4632)</f>
        <v>4.4632</v>
      </c>
    </row>
    <row r="2154">
      <c r="D2154" s="6">
        <f>IFERROR(__xludf.DUMMYFUNCTION("""COMPUTED_VALUE"""),41262.99861111111)</f>
        <v>41262.99861</v>
      </c>
      <c r="E2154" s="3">
        <f>IFERROR(__xludf.DUMMYFUNCTION("""COMPUTED_VALUE"""),4.4698)</f>
        <v>4.4698</v>
      </c>
    </row>
    <row r="2155">
      <c r="D2155" s="6">
        <f>IFERROR(__xludf.DUMMYFUNCTION("""COMPUTED_VALUE"""),41263.99861111111)</f>
        <v>41263.99861</v>
      </c>
      <c r="E2155" s="3">
        <f>IFERROR(__xludf.DUMMYFUNCTION("""COMPUTED_VALUE"""),4.4473)</f>
        <v>4.4473</v>
      </c>
    </row>
    <row r="2156">
      <c r="D2156" s="6">
        <f>IFERROR(__xludf.DUMMYFUNCTION("""COMPUTED_VALUE"""),41264.99861111111)</f>
        <v>41264.99861</v>
      </c>
      <c r="E2156" s="3">
        <f>IFERROR(__xludf.DUMMYFUNCTION("""COMPUTED_VALUE"""),4.4502)</f>
        <v>4.4502</v>
      </c>
    </row>
    <row r="2157">
      <c r="D2157" s="6">
        <f>IFERROR(__xludf.DUMMYFUNCTION("""COMPUTED_VALUE"""),41267.99861111111)</f>
        <v>41267.99861</v>
      </c>
      <c r="E2157" s="3">
        <f>IFERROR(__xludf.DUMMYFUNCTION("""COMPUTED_VALUE"""),4.4192)</f>
        <v>4.4192</v>
      </c>
    </row>
    <row r="2158">
      <c r="D2158" s="6">
        <f>IFERROR(__xludf.DUMMYFUNCTION("""COMPUTED_VALUE"""),41268.99861111111)</f>
        <v>41268.99861</v>
      </c>
      <c r="E2158" s="3">
        <f>IFERROR(__xludf.DUMMYFUNCTION("""COMPUTED_VALUE"""),4.4166)</f>
        <v>4.4166</v>
      </c>
    </row>
    <row r="2159">
      <c r="D2159" s="6">
        <f>IFERROR(__xludf.DUMMYFUNCTION("""COMPUTED_VALUE"""),41269.99861111111)</f>
        <v>41269.99861</v>
      </c>
      <c r="E2159" s="3">
        <f>IFERROR(__xludf.DUMMYFUNCTION("""COMPUTED_VALUE"""),4.4167)</f>
        <v>4.4167</v>
      </c>
    </row>
    <row r="2160">
      <c r="D2160" s="6">
        <f>IFERROR(__xludf.DUMMYFUNCTION("""COMPUTED_VALUE"""),41270.99861111111)</f>
        <v>41270.99861</v>
      </c>
      <c r="E2160" s="3">
        <f>IFERROR(__xludf.DUMMYFUNCTION("""COMPUTED_VALUE"""),4.4283)</f>
        <v>4.4283</v>
      </c>
    </row>
    <row r="2161">
      <c r="D2161" s="6">
        <f>IFERROR(__xludf.DUMMYFUNCTION("""COMPUTED_VALUE"""),41271.99861111111)</f>
        <v>41271.99861</v>
      </c>
      <c r="E2161" s="3">
        <f>IFERROR(__xludf.DUMMYFUNCTION("""COMPUTED_VALUE"""),4.4409)</f>
        <v>4.4409</v>
      </c>
    </row>
    <row r="2162">
      <c r="D2162" s="6">
        <f>IFERROR(__xludf.DUMMYFUNCTION("""COMPUTED_VALUE"""),41274.99861111111)</f>
        <v>41274.99861</v>
      </c>
      <c r="E2162" s="3">
        <f>IFERROR(__xludf.DUMMYFUNCTION("""COMPUTED_VALUE"""),4.4434)</f>
        <v>4.4434</v>
      </c>
    </row>
    <row r="2163">
      <c r="D2163" s="6">
        <f>IFERROR(__xludf.DUMMYFUNCTION("""COMPUTED_VALUE"""),41275.99861111111)</f>
        <v>41275.99861</v>
      </c>
      <c r="E2163" s="3">
        <f>IFERROR(__xludf.DUMMYFUNCTION("""COMPUTED_VALUE"""),4.4392)</f>
        <v>4.4392</v>
      </c>
    </row>
    <row r="2164">
      <c r="D2164" s="6">
        <f>IFERROR(__xludf.DUMMYFUNCTION("""COMPUTED_VALUE"""),41276.99861111111)</f>
        <v>41276.99861</v>
      </c>
      <c r="E2164" s="3">
        <f>IFERROR(__xludf.DUMMYFUNCTION("""COMPUTED_VALUE"""),4.412)</f>
        <v>4.412</v>
      </c>
    </row>
    <row r="2165">
      <c r="D2165" s="6">
        <f>IFERROR(__xludf.DUMMYFUNCTION("""COMPUTED_VALUE"""),41277.99861111111)</f>
        <v>41277.99861</v>
      </c>
      <c r="E2165" s="3">
        <f>IFERROR(__xludf.DUMMYFUNCTION("""COMPUTED_VALUE"""),4.4119)</f>
        <v>4.4119</v>
      </c>
    </row>
    <row r="2166">
      <c r="D2166" s="6">
        <f>IFERROR(__xludf.DUMMYFUNCTION("""COMPUTED_VALUE"""),41278.99861111111)</f>
        <v>41278.99861</v>
      </c>
      <c r="E2166" s="3">
        <f>IFERROR(__xludf.DUMMYFUNCTION("""COMPUTED_VALUE"""),4.4199)</f>
        <v>4.4199</v>
      </c>
    </row>
    <row r="2167">
      <c r="D2167" s="6">
        <f>IFERROR(__xludf.DUMMYFUNCTION("""COMPUTED_VALUE"""),41281.99861111111)</f>
        <v>41281.99861</v>
      </c>
      <c r="E2167" s="3">
        <f>IFERROR(__xludf.DUMMYFUNCTION("""COMPUTED_VALUE"""),4.4219)</f>
        <v>4.4219</v>
      </c>
    </row>
    <row r="2168">
      <c r="D2168" s="6">
        <f>IFERROR(__xludf.DUMMYFUNCTION("""COMPUTED_VALUE"""),41282.99861111111)</f>
        <v>41282.99861</v>
      </c>
      <c r="E2168" s="3">
        <f>IFERROR(__xludf.DUMMYFUNCTION("""COMPUTED_VALUE"""),4.4026)</f>
        <v>4.4026</v>
      </c>
    </row>
    <row r="2169">
      <c r="D2169" s="6">
        <f>IFERROR(__xludf.DUMMYFUNCTION("""COMPUTED_VALUE"""),41283.99861111111)</f>
        <v>41283.99861</v>
      </c>
      <c r="E2169" s="3">
        <f>IFERROR(__xludf.DUMMYFUNCTION("""COMPUTED_VALUE"""),4.3943)</f>
        <v>4.3943</v>
      </c>
    </row>
    <row r="2170">
      <c r="D2170" s="6">
        <f>IFERROR(__xludf.DUMMYFUNCTION("""COMPUTED_VALUE"""),41284.99861111111)</f>
        <v>41284.99861</v>
      </c>
      <c r="E2170" s="3">
        <f>IFERROR(__xludf.DUMMYFUNCTION("""COMPUTED_VALUE"""),4.3987)</f>
        <v>4.3987</v>
      </c>
    </row>
    <row r="2171">
      <c r="D2171" s="6">
        <f>IFERROR(__xludf.DUMMYFUNCTION("""COMPUTED_VALUE"""),41285.99861111111)</f>
        <v>41285.99861</v>
      </c>
      <c r="E2171" s="3">
        <f>IFERROR(__xludf.DUMMYFUNCTION("""COMPUTED_VALUE"""),4.3791)</f>
        <v>4.3791</v>
      </c>
    </row>
    <row r="2172">
      <c r="D2172" s="6">
        <f>IFERROR(__xludf.DUMMYFUNCTION("""COMPUTED_VALUE"""),41288.99861111111)</f>
        <v>41288.99861</v>
      </c>
      <c r="E2172" s="3">
        <f>IFERROR(__xludf.DUMMYFUNCTION("""COMPUTED_VALUE"""),4.3822)</f>
        <v>4.3822</v>
      </c>
    </row>
    <row r="2173">
      <c r="D2173" s="6">
        <f>IFERROR(__xludf.DUMMYFUNCTION("""COMPUTED_VALUE"""),41289.99861111111)</f>
        <v>41289.99861</v>
      </c>
      <c r="E2173" s="3">
        <f>IFERROR(__xludf.DUMMYFUNCTION("""COMPUTED_VALUE"""),4.3403)</f>
        <v>4.3403</v>
      </c>
    </row>
    <row r="2174">
      <c r="D2174" s="6">
        <f>IFERROR(__xludf.DUMMYFUNCTION("""COMPUTED_VALUE"""),41290.99861111111)</f>
        <v>41290.99861</v>
      </c>
      <c r="E2174" s="3">
        <f>IFERROR(__xludf.DUMMYFUNCTION("""COMPUTED_VALUE"""),4.3199)</f>
        <v>4.3199</v>
      </c>
    </row>
    <row r="2175">
      <c r="D2175" s="6">
        <f>IFERROR(__xludf.DUMMYFUNCTION("""COMPUTED_VALUE"""),41291.99861111111)</f>
        <v>41291.99861</v>
      </c>
      <c r="E2175" s="3">
        <f>IFERROR(__xludf.DUMMYFUNCTION("""COMPUTED_VALUE"""),4.3245)</f>
        <v>4.3245</v>
      </c>
    </row>
    <row r="2176">
      <c r="D2176" s="6">
        <f>IFERROR(__xludf.DUMMYFUNCTION("""COMPUTED_VALUE"""),41292.99861111111)</f>
        <v>41292.99861</v>
      </c>
      <c r="E2176" s="3">
        <f>IFERROR(__xludf.DUMMYFUNCTION("""COMPUTED_VALUE"""),4.3394)</f>
        <v>4.3394</v>
      </c>
    </row>
    <row r="2177">
      <c r="D2177" s="6">
        <f>IFERROR(__xludf.DUMMYFUNCTION("""COMPUTED_VALUE"""),41294.99861111111)</f>
        <v>41294.99861</v>
      </c>
      <c r="E2177" s="3">
        <f>IFERROR(__xludf.DUMMYFUNCTION("""COMPUTED_VALUE"""),4.3394)</f>
        <v>4.3394</v>
      </c>
    </row>
    <row r="2178">
      <c r="D2178" s="6">
        <f>IFERROR(__xludf.DUMMYFUNCTION("""COMPUTED_VALUE"""),41295.99861111111)</f>
        <v>41295.99861</v>
      </c>
      <c r="E2178" s="3">
        <f>IFERROR(__xludf.DUMMYFUNCTION("""COMPUTED_VALUE"""),4.3499)</f>
        <v>4.3499</v>
      </c>
    </row>
    <row r="2179">
      <c r="D2179" s="6">
        <f>IFERROR(__xludf.DUMMYFUNCTION("""COMPUTED_VALUE"""),41296.99861111111)</f>
        <v>41296.99861</v>
      </c>
      <c r="E2179" s="3">
        <f>IFERROR(__xludf.DUMMYFUNCTION("""COMPUTED_VALUE"""),4.3548)</f>
        <v>4.3548</v>
      </c>
    </row>
    <row r="2180">
      <c r="D2180" s="6">
        <f>IFERROR(__xludf.DUMMYFUNCTION("""COMPUTED_VALUE"""),41297.99861111111)</f>
        <v>41297.99861</v>
      </c>
      <c r="E2180" s="3">
        <f>IFERROR(__xludf.DUMMYFUNCTION("""COMPUTED_VALUE"""),4.3699)</f>
        <v>4.3699</v>
      </c>
    </row>
    <row r="2181">
      <c r="D2181" s="6">
        <f>IFERROR(__xludf.DUMMYFUNCTION("""COMPUTED_VALUE"""),41298.99861111111)</f>
        <v>41298.99861</v>
      </c>
      <c r="E2181" s="3">
        <f>IFERROR(__xludf.DUMMYFUNCTION("""COMPUTED_VALUE"""),4.3562)</f>
        <v>4.3562</v>
      </c>
    </row>
    <row r="2182">
      <c r="D2182" s="6">
        <f>IFERROR(__xludf.DUMMYFUNCTION("""COMPUTED_VALUE"""),41299.99861111111)</f>
        <v>41299.99861</v>
      </c>
      <c r="E2182" s="3">
        <f>IFERROR(__xludf.DUMMYFUNCTION("""COMPUTED_VALUE"""),4.3686)</f>
        <v>4.3686</v>
      </c>
    </row>
    <row r="2183">
      <c r="D2183" s="6">
        <f>IFERROR(__xludf.DUMMYFUNCTION("""COMPUTED_VALUE"""),41302.99861111111)</f>
        <v>41302.99861</v>
      </c>
      <c r="E2183" s="3">
        <f>IFERROR(__xludf.DUMMYFUNCTION("""COMPUTED_VALUE"""),4.3918)</f>
        <v>4.3918</v>
      </c>
    </row>
    <row r="2184">
      <c r="D2184" s="6">
        <f>IFERROR(__xludf.DUMMYFUNCTION("""COMPUTED_VALUE"""),41303.99861111111)</f>
        <v>41303.99861</v>
      </c>
      <c r="E2184" s="3">
        <f>IFERROR(__xludf.DUMMYFUNCTION("""COMPUTED_VALUE"""),4.375)</f>
        <v>4.375</v>
      </c>
    </row>
    <row r="2185">
      <c r="D2185" s="6">
        <f>IFERROR(__xludf.DUMMYFUNCTION("""COMPUTED_VALUE"""),41304.99861111111)</f>
        <v>41304.99861</v>
      </c>
      <c r="E2185" s="3">
        <f>IFERROR(__xludf.DUMMYFUNCTION("""COMPUTED_VALUE"""),4.3802)</f>
        <v>4.3802</v>
      </c>
    </row>
    <row r="2186">
      <c r="D2186" s="6">
        <f>IFERROR(__xludf.DUMMYFUNCTION("""COMPUTED_VALUE"""),41305.99861111111)</f>
        <v>41305.99861</v>
      </c>
      <c r="E2186" s="3">
        <f>IFERROR(__xludf.DUMMYFUNCTION("""COMPUTED_VALUE"""),4.3838)</f>
        <v>4.3838</v>
      </c>
    </row>
    <row r="2187">
      <c r="D2187" s="6">
        <f>IFERROR(__xludf.DUMMYFUNCTION("""COMPUTED_VALUE"""),41306.99861111111)</f>
        <v>41306.99861</v>
      </c>
      <c r="E2187" s="3">
        <f>IFERROR(__xludf.DUMMYFUNCTION("""COMPUTED_VALUE"""),4.3673)</f>
        <v>4.3673</v>
      </c>
    </row>
    <row r="2188">
      <c r="D2188" s="6">
        <f>IFERROR(__xludf.DUMMYFUNCTION("""COMPUTED_VALUE"""),41308.99861111111)</f>
        <v>41308.99861</v>
      </c>
      <c r="E2188" s="3">
        <f>IFERROR(__xludf.DUMMYFUNCTION("""COMPUTED_VALUE"""),4.3712)</f>
        <v>4.3712</v>
      </c>
    </row>
    <row r="2189">
      <c r="D2189" s="6">
        <f>IFERROR(__xludf.DUMMYFUNCTION("""COMPUTED_VALUE"""),41309.99861111111)</f>
        <v>41309.99861</v>
      </c>
      <c r="E2189" s="3">
        <f>IFERROR(__xludf.DUMMYFUNCTION("""COMPUTED_VALUE"""),4.3712)</f>
        <v>4.3712</v>
      </c>
    </row>
    <row r="2190">
      <c r="D2190" s="6">
        <f>IFERROR(__xludf.DUMMYFUNCTION("""COMPUTED_VALUE"""),41310.99861111111)</f>
        <v>41310.99861</v>
      </c>
      <c r="E2190" s="3">
        <f>IFERROR(__xludf.DUMMYFUNCTION("""COMPUTED_VALUE"""),4.3786)</f>
        <v>4.3786</v>
      </c>
    </row>
    <row r="2191">
      <c r="D2191" s="6">
        <f>IFERROR(__xludf.DUMMYFUNCTION("""COMPUTED_VALUE"""),41311.99861111111)</f>
        <v>41311.99861</v>
      </c>
      <c r="E2191" s="3">
        <f>IFERROR(__xludf.DUMMYFUNCTION("""COMPUTED_VALUE"""),4.3856)</f>
        <v>4.3856</v>
      </c>
    </row>
    <row r="2192">
      <c r="D2192" s="6">
        <f>IFERROR(__xludf.DUMMYFUNCTION("""COMPUTED_VALUE"""),41312.99861111111)</f>
        <v>41312.99861</v>
      </c>
      <c r="E2192" s="3">
        <f>IFERROR(__xludf.DUMMYFUNCTION("""COMPUTED_VALUE"""),4.397)</f>
        <v>4.397</v>
      </c>
    </row>
    <row r="2193">
      <c r="D2193" s="6">
        <f>IFERROR(__xludf.DUMMYFUNCTION("""COMPUTED_VALUE"""),41313.99861111111)</f>
        <v>41313.99861</v>
      </c>
      <c r="E2193" s="3">
        <f>IFERROR(__xludf.DUMMYFUNCTION("""COMPUTED_VALUE"""),4.3945)</f>
        <v>4.3945</v>
      </c>
    </row>
    <row r="2194">
      <c r="D2194" s="6">
        <f>IFERROR(__xludf.DUMMYFUNCTION("""COMPUTED_VALUE"""),41316.99861111111)</f>
        <v>41316.99861</v>
      </c>
      <c r="E2194" s="3">
        <f>IFERROR(__xludf.DUMMYFUNCTION("""COMPUTED_VALUE"""),4.3938)</f>
        <v>4.3938</v>
      </c>
    </row>
    <row r="2195">
      <c r="D2195" s="6">
        <f>IFERROR(__xludf.DUMMYFUNCTION("""COMPUTED_VALUE"""),41317.99861111111)</f>
        <v>41317.99861</v>
      </c>
      <c r="E2195" s="3">
        <f>IFERROR(__xludf.DUMMYFUNCTION("""COMPUTED_VALUE"""),4.3991)</f>
        <v>4.3991</v>
      </c>
    </row>
    <row r="2196">
      <c r="D2196" s="6">
        <f>IFERROR(__xludf.DUMMYFUNCTION("""COMPUTED_VALUE"""),41318.99861111111)</f>
        <v>41318.99861</v>
      </c>
      <c r="E2196" s="3">
        <f>IFERROR(__xludf.DUMMYFUNCTION("""COMPUTED_VALUE"""),4.3806)</f>
        <v>4.3806</v>
      </c>
    </row>
    <row r="2197">
      <c r="D2197" s="6">
        <f>IFERROR(__xludf.DUMMYFUNCTION("""COMPUTED_VALUE"""),41319.99861111111)</f>
        <v>41319.99861</v>
      </c>
      <c r="E2197" s="3">
        <f>IFERROR(__xludf.DUMMYFUNCTION("""COMPUTED_VALUE"""),4.3805)</f>
        <v>4.3805</v>
      </c>
    </row>
    <row r="2198">
      <c r="D2198" s="6">
        <f>IFERROR(__xludf.DUMMYFUNCTION("""COMPUTED_VALUE"""),41320.99861111111)</f>
        <v>41320.99861</v>
      </c>
      <c r="E2198" s="3">
        <f>IFERROR(__xludf.DUMMYFUNCTION("""COMPUTED_VALUE"""),4.3822)</f>
        <v>4.3822</v>
      </c>
    </row>
    <row r="2199">
      <c r="D2199" s="6">
        <f>IFERROR(__xludf.DUMMYFUNCTION("""COMPUTED_VALUE"""),41323.99861111111)</f>
        <v>41323.99861</v>
      </c>
      <c r="E2199" s="3">
        <f>IFERROR(__xludf.DUMMYFUNCTION("""COMPUTED_VALUE"""),4.3837)</f>
        <v>4.3837</v>
      </c>
    </row>
    <row r="2200">
      <c r="D2200" s="6">
        <f>IFERROR(__xludf.DUMMYFUNCTION("""COMPUTED_VALUE"""),41324.99861111111)</f>
        <v>41324.99861</v>
      </c>
      <c r="E2200" s="3">
        <f>IFERROR(__xludf.DUMMYFUNCTION("""COMPUTED_VALUE"""),4.3746)</f>
        <v>4.3746</v>
      </c>
    </row>
    <row r="2201">
      <c r="D2201" s="6">
        <f>IFERROR(__xludf.DUMMYFUNCTION("""COMPUTED_VALUE"""),41325.99861111111)</f>
        <v>41325.99861</v>
      </c>
      <c r="E2201" s="3">
        <f>IFERROR(__xludf.DUMMYFUNCTION("""COMPUTED_VALUE"""),4.377)</f>
        <v>4.377</v>
      </c>
    </row>
    <row r="2202">
      <c r="D2202" s="6">
        <f>IFERROR(__xludf.DUMMYFUNCTION("""COMPUTED_VALUE"""),41326.99861111111)</f>
        <v>41326.99861</v>
      </c>
      <c r="E2202" s="3">
        <f>IFERROR(__xludf.DUMMYFUNCTION("""COMPUTED_VALUE"""),4.3858)</f>
        <v>4.3858</v>
      </c>
    </row>
    <row r="2203">
      <c r="D2203" s="6">
        <f>IFERROR(__xludf.DUMMYFUNCTION("""COMPUTED_VALUE"""),41327.99861111111)</f>
        <v>41327.99861</v>
      </c>
      <c r="E2203" s="3">
        <f>IFERROR(__xludf.DUMMYFUNCTION("""COMPUTED_VALUE"""),4.3831)</f>
        <v>4.3831</v>
      </c>
    </row>
    <row r="2204">
      <c r="D2204" s="6">
        <f>IFERROR(__xludf.DUMMYFUNCTION("""COMPUTED_VALUE"""),41330.99861111111)</f>
        <v>41330.99861</v>
      </c>
      <c r="E2204" s="3">
        <f>IFERROR(__xludf.DUMMYFUNCTION("""COMPUTED_VALUE"""),4.3759)</f>
        <v>4.3759</v>
      </c>
    </row>
    <row r="2205">
      <c r="D2205" s="6">
        <f>IFERROR(__xludf.DUMMYFUNCTION("""COMPUTED_VALUE"""),41331.99861111111)</f>
        <v>41331.99861</v>
      </c>
      <c r="E2205" s="3">
        <f>IFERROR(__xludf.DUMMYFUNCTION("""COMPUTED_VALUE"""),4.3837)</f>
        <v>4.3837</v>
      </c>
    </row>
    <row r="2206">
      <c r="D2206" s="6">
        <f>IFERROR(__xludf.DUMMYFUNCTION("""COMPUTED_VALUE"""),41332.99861111111)</f>
        <v>41332.99861</v>
      </c>
      <c r="E2206" s="3">
        <f>IFERROR(__xludf.DUMMYFUNCTION("""COMPUTED_VALUE"""),4.371)</f>
        <v>4.371</v>
      </c>
    </row>
    <row r="2207">
      <c r="D2207" s="6">
        <f>IFERROR(__xludf.DUMMYFUNCTION("""COMPUTED_VALUE"""),41333.99861111111)</f>
        <v>41333.99861</v>
      </c>
      <c r="E2207" s="3">
        <f>IFERROR(__xludf.DUMMYFUNCTION("""COMPUTED_VALUE"""),4.3581)</f>
        <v>4.3581</v>
      </c>
    </row>
    <row r="2208">
      <c r="D2208" s="6">
        <f>IFERROR(__xludf.DUMMYFUNCTION("""COMPUTED_VALUE"""),41334.99861111111)</f>
        <v>41334.99861</v>
      </c>
      <c r="E2208" s="3">
        <f>IFERROR(__xludf.DUMMYFUNCTION("""COMPUTED_VALUE"""),4.3575)</f>
        <v>4.3575</v>
      </c>
    </row>
    <row r="2209">
      <c r="D2209" s="6">
        <f>IFERROR(__xludf.DUMMYFUNCTION("""COMPUTED_VALUE"""),41337.99861111111)</f>
        <v>41337.99861</v>
      </c>
      <c r="E2209" s="3">
        <f>IFERROR(__xludf.DUMMYFUNCTION("""COMPUTED_VALUE"""),4.3637)</f>
        <v>4.3637</v>
      </c>
    </row>
    <row r="2210">
      <c r="D2210" s="6">
        <f>IFERROR(__xludf.DUMMYFUNCTION("""COMPUTED_VALUE"""),41338.99861111111)</f>
        <v>41338.99861</v>
      </c>
      <c r="E2210" s="3">
        <f>IFERROR(__xludf.DUMMYFUNCTION("""COMPUTED_VALUE"""),4.3524)</f>
        <v>4.3524</v>
      </c>
    </row>
    <row r="2211">
      <c r="D2211" s="6">
        <f>IFERROR(__xludf.DUMMYFUNCTION("""COMPUTED_VALUE"""),41339.99861111111)</f>
        <v>41339.99861</v>
      </c>
      <c r="E2211" s="3">
        <f>IFERROR(__xludf.DUMMYFUNCTION("""COMPUTED_VALUE"""),4.3553)</f>
        <v>4.3553</v>
      </c>
    </row>
    <row r="2212">
      <c r="D2212" s="6">
        <f>IFERROR(__xludf.DUMMYFUNCTION("""COMPUTED_VALUE"""),41340.99861111111)</f>
        <v>41340.99861</v>
      </c>
      <c r="E2212" s="3">
        <f>IFERROR(__xludf.DUMMYFUNCTION("""COMPUTED_VALUE"""),4.3531)</f>
        <v>4.3531</v>
      </c>
    </row>
    <row r="2213">
      <c r="D2213" s="6">
        <f>IFERROR(__xludf.DUMMYFUNCTION("""COMPUTED_VALUE"""),41341.99861111111)</f>
        <v>41341.99861</v>
      </c>
      <c r="E2213" s="3">
        <f>IFERROR(__xludf.DUMMYFUNCTION("""COMPUTED_VALUE"""),4.3524)</f>
        <v>4.3524</v>
      </c>
    </row>
    <row r="2214">
      <c r="D2214" s="6">
        <f>IFERROR(__xludf.DUMMYFUNCTION("""COMPUTED_VALUE"""),41344.99861111111)</f>
        <v>41344.99861</v>
      </c>
      <c r="E2214" s="3">
        <f>IFERROR(__xludf.DUMMYFUNCTION("""COMPUTED_VALUE"""),4.3708)</f>
        <v>4.3708</v>
      </c>
    </row>
    <row r="2215">
      <c r="D2215" s="6">
        <f>IFERROR(__xludf.DUMMYFUNCTION("""COMPUTED_VALUE"""),41345.99861111111)</f>
        <v>41345.99861</v>
      </c>
      <c r="E2215" s="3">
        <f>IFERROR(__xludf.DUMMYFUNCTION("""COMPUTED_VALUE"""),4.374)</f>
        <v>4.374</v>
      </c>
    </row>
    <row r="2216">
      <c r="D2216" s="6">
        <f>IFERROR(__xludf.DUMMYFUNCTION("""COMPUTED_VALUE"""),41346.99861111111)</f>
        <v>41346.99861</v>
      </c>
      <c r="E2216" s="3">
        <f>IFERROR(__xludf.DUMMYFUNCTION("""COMPUTED_VALUE"""),4.394)</f>
        <v>4.394</v>
      </c>
    </row>
    <row r="2217">
      <c r="D2217" s="6">
        <f>IFERROR(__xludf.DUMMYFUNCTION("""COMPUTED_VALUE"""),41347.99861111111)</f>
        <v>41347.99861</v>
      </c>
      <c r="E2217" s="3">
        <f>IFERROR(__xludf.DUMMYFUNCTION("""COMPUTED_VALUE"""),4.3912)</f>
        <v>4.3912</v>
      </c>
    </row>
    <row r="2218">
      <c r="D2218" s="6">
        <f>IFERROR(__xludf.DUMMYFUNCTION("""COMPUTED_VALUE"""),41348.99861111111)</f>
        <v>41348.99861</v>
      </c>
      <c r="E2218" s="3">
        <f>IFERROR(__xludf.DUMMYFUNCTION("""COMPUTED_VALUE"""),4.3898)</f>
        <v>4.3898</v>
      </c>
    </row>
    <row r="2219">
      <c r="D2219" s="6">
        <f>IFERROR(__xludf.DUMMYFUNCTION("""COMPUTED_VALUE"""),41351.99861111111)</f>
        <v>41351.99861</v>
      </c>
      <c r="E2219" s="3">
        <f>IFERROR(__xludf.DUMMYFUNCTION("""COMPUTED_VALUE"""),4.4073)</f>
        <v>4.4073</v>
      </c>
    </row>
    <row r="2220">
      <c r="D2220" s="6">
        <f>IFERROR(__xludf.DUMMYFUNCTION("""COMPUTED_VALUE"""),41352.99861111111)</f>
        <v>41352.99861</v>
      </c>
      <c r="E2220" s="3">
        <f>IFERROR(__xludf.DUMMYFUNCTION("""COMPUTED_VALUE"""),4.4106)</f>
        <v>4.4106</v>
      </c>
    </row>
    <row r="2221">
      <c r="D2221" s="6">
        <f>IFERROR(__xludf.DUMMYFUNCTION("""COMPUTED_VALUE"""),41353.99861111111)</f>
        <v>41353.99861</v>
      </c>
      <c r="E2221" s="3">
        <f>IFERROR(__xludf.DUMMYFUNCTION("""COMPUTED_VALUE"""),4.4211)</f>
        <v>4.4211</v>
      </c>
    </row>
    <row r="2222">
      <c r="D2222" s="6">
        <f>IFERROR(__xludf.DUMMYFUNCTION("""COMPUTED_VALUE"""),41354.99861111111)</f>
        <v>41354.99861</v>
      </c>
      <c r="E2222" s="3">
        <f>IFERROR(__xludf.DUMMYFUNCTION("""COMPUTED_VALUE"""),4.4191)</f>
        <v>4.4191</v>
      </c>
    </row>
    <row r="2223">
      <c r="D2223" s="6">
        <f>IFERROR(__xludf.DUMMYFUNCTION("""COMPUTED_VALUE"""),41355.99861111111)</f>
        <v>41355.99861</v>
      </c>
      <c r="E2223" s="3">
        <f>IFERROR(__xludf.DUMMYFUNCTION("""COMPUTED_VALUE"""),4.4247)</f>
        <v>4.4247</v>
      </c>
    </row>
    <row r="2224">
      <c r="D2224" s="6">
        <f>IFERROR(__xludf.DUMMYFUNCTION("""COMPUTED_VALUE"""),41358.99861111111)</f>
        <v>41358.99861</v>
      </c>
      <c r="E2224" s="3">
        <f>IFERROR(__xludf.DUMMYFUNCTION("""COMPUTED_VALUE"""),4.4128)</f>
        <v>4.4128</v>
      </c>
    </row>
    <row r="2225">
      <c r="D2225" s="6">
        <f>IFERROR(__xludf.DUMMYFUNCTION("""COMPUTED_VALUE"""),41359.99861111111)</f>
        <v>41359.99861</v>
      </c>
      <c r="E2225" s="3">
        <f>IFERROR(__xludf.DUMMYFUNCTION("""COMPUTED_VALUE"""),4.4103)</f>
        <v>4.4103</v>
      </c>
    </row>
    <row r="2226">
      <c r="D2226" s="6">
        <f>IFERROR(__xludf.DUMMYFUNCTION("""COMPUTED_VALUE"""),41360.99861111111)</f>
        <v>41360.99861</v>
      </c>
      <c r="E2226" s="3">
        <f>IFERROR(__xludf.DUMMYFUNCTION("""COMPUTED_VALUE"""),4.4111)</f>
        <v>4.4111</v>
      </c>
    </row>
    <row r="2227">
      <c r="D2227" s="6">
        <f>IFERROR(__xludf.DUMMYFUNCTION("""COMPUTED_VALUE"""),41361.99861111111)</f>
        <v>41361.99861</v>
      </c>
      <c r="E2227" s="3">
        <f>IFERROR(__xludf.DUMMYFUNCTION("""COMPUTED_VALUE"""),4.4137)</f>
        <v>4.4137</v>
      </c>
    </row>
    <row r="2228">
      <c r="D2228" s="6">
        <f>IFERROR(__xludf.DUMMYFUNCTION("""COMPUTED_VALUE"""),41362.99861111111)</f>
        <v>41362.99861</v>
      </c>
      <c r="E2228" s="3">
        <f>IFERROR(__xludf.DUMMYFUNCTION("""COMPUTED_VALUE"""),4.4137)</f>
        <v>4.4137</v>
      </c>
    </row>
    <row r="2229">
      <c r="D2229" s="6">
        <f>IFERROR(__xludf.DUMMYFUNCTION("""COMPUTED_VALUE"""),41366.99861111111)</f>
        <v>41366.99861</v>
      </c>
      <c r="E2229" s="3">
        <f>IFERROR(__xludf.DUMMYFUNCTION("""COMPUTED_VALUE"""),4.4202)</f>
        <v>4.4202</v>
      </c>
    </row>
    <row r="2230">
      <c r="D2230" s="6">
        <f>IFERROR(__xludf.DUMMYFUNCTION("""COMPUTED_VALUE"""),41367.99861111111)</f>
        <v>41367.99861</v>
      </c>
      <c r="E2230" s="3">
        <f>IFERROR(__xludf.DUMMYFUNCTION("""COMPUTED_VALUE"""),4.424)</f>
        <v>4.424</v>
      </c>
    </row>
    <row r="2231">
      <c r="D2231" s="6">
        <f>IFERROR(__xludf.DUMMYFUNCTION("""COMPUTED_VALUE"""),41368.99861111111)</f>
        <v>41368.99861</v>
      </c>
      <c r="E2231" s="3">
        <f>IFERROR(__xludf.DUMMYFUNCTION("""COMPUTED_VALUE"""),4.4161)</f>
        <v>4.4161</v>
      </c>
    </row>
    <row r="2232">
      <c r="D2232" s="6">
        <f>IFERROR(__xludf.DUMMYFUNCTION("""COMPUTED_VALUE"""),41369.99861111111)</f>
        <v>41369.99861</v>
      </c>
      <c r="E2232" s="3">
        <f>IFERROR(__xludf.DUMMYFUNCTION("""COMPUTED_VALUE"""),4.4119)</f>
        <v>4.4119</v>
      </c>
    </row>
    <row r="2233">
      <c r="D2233" s="6">
        <f>IFERROR(__xludf.DUMMYFUNCTION("""COMPUTED_VALUE"""),41371.99861111111)</f>
        <v>41371.99861</v>
      </c>
      <c r="E2233" s="3">
        <f>IFERROR(__xludf.DUMMYFUNCTION("""COMPUTED_VALUE"""),4.4015)</f>
        <v>4.4015</v>
      </c>
    </row>
    <row r="2234">
      <c r="D2234" s="6">
        <f>IFERROR(__xludf.DUMMYFUNCTION("""COMPUTED_VALUE"""),41372.99861111111)</f>
        <v>41372.99861</v>
      </c>
      <c r="E2234" s="3">
        <f>IFERROR(__xludf.DUMMYFUNCTION("""COMPUTED_VALUE"""),4.4015)</f>
        <v>4.4015</v>
      </c>
    </row>
    <row r="2235">
      <c r="D2235" s="6">
        <f>IFERROR(__xludf.DUMMYFUNCTION("""COMPUTED_VALUE"""),41373.99861111111)</f>
        <v>41373.99861</v>
      </c>
      <c r="E2235" s="3">
        <f>IFERROR(__xludf.DUMMYFUNCTION("""COMPUTED_VALUE"""),4.3986)</f>
        <v>4.3986</v>
      </c>
    </row>
    <row r="2236">
      <c r="D2236" s="6">
        <f>IFERROR(__xludf.DUMMYFUNCTION("""COMPUTED_VALUE"""),41374.99861111111)</f>
        <v>41374.99861</v>
      </c>
      <c r="E2236" s="3">
        <f>IFERROR(__xludf.DUMMYFUNCTION("""COMPUTED_VALUE"""),4.3872)</f>
        <v>4.3872</v>
      </c>
    </row>
    <row r="2237">
      <c r="D2237" s="6">
        <f>IFERROR(__xludf.DUMMYFUNCTION("""COMPUTED_VALUE"""),41375.99861111111)</f>
        <v>41375.99861</v>
      </c>
      <c r="E2237" s="3">
        <f>IFERROR(__xludf.DUMMYFUNCTION("""COMPUTED_VALUE"""),4.3889)</f>
        <v>4.3889</v>
      </c>
    </row>
    <row r="2238">
      <c r="D2238" s="6">
        <f>IFERROR(__xludf.DUMMYFUNCTION("""COMPUTED_VALUE"""),41376.99861111111)</f>
        <v>41376.99861</v>
      </c>
      <c r="E2238" s="3">
        <f>IFERROR(__xludf.DUMMYFUNCTION("""COMPUTED_VALUE"""),4.3799)</f>
        <v>4.3799</v>
      </c>
    </row>
    <row r="2239">
      <c r="D2239" s="6">
        <f>IFERROR(__xludf.DUMMYFUNCTION("""COMPUTED_VALUE"""),41378.99861111111)</f>
        <v>41378.99861</v>
      </c>
      <c r="E2239" s="3">
        <f>IFERROR(__xludf.DUMMYFUNCTION("""COMPUTED_VALUE"""),4.3799)</f>
        <v>4.3799</v>
      </c>
    </row>
    <row r="2240">
      <c r="D2240" s="6">
        <f>IFERROR(__xludf.DUMMYFUNCTION("""COMPUTED_VALUE"""),41379.99861111111)</f>
        <v>41379.99861</v>
      </c>
      <c r="E2240" s="3">
        <f>IFERROR(__xludf.DUMMYFUNCTION("""COMPUTED_VALUE"""),4.381)</f>
        <v>4.381</v>
      </c>
    </row>
    <row r="2241">
      <c r="D2241" s="6">
        <f>IFERROR(__xludf.DUMMYFUNCTION("""COMPUTED_VALUE"""),41380.99861111111)</f>
        <v>41380.99861</v>
      </c>
      <c r="E2241" s="3">
        <f>IFERROR(__xludf.DUMMYFUNCTION("""COMPUTED_VALUE"""),4.3683)</f>
        <v>4.3683</v>
      </c>
    </row>
    <row r="2242">
      <c r="D2242" s="6">
        <f>IFERROR(__xludf.DUMMYFUNCTION("""COMPUTED_VALUE"""),41381.99861111111)</f>
        <v>41381.99861</v>
      </c>
      <c r="E2242" s="3">
        <f>IFERROR(__xludf.DUMMYFUNCTION("""COMPUTED_VALUE"""),4.3661)</f>
        <v>4.3661</v>
      </c>
    </row>
    <row r="2243">
      <c r="D2243" s="6">
        <f>IFERROR(__xludf.DUMMYFUNCTION("""COMPUTED_VALUE"""),41382.99861111111)</f>
        <v>41382.99861</v>
      </c>
      <c r="E2243" s="3">
        <f>IFERROR(__xludf.DUMMYFUNCTION("""COMPUTED_VALUE"""),4.3768)</f>
        <v>4.3768</v>
      </c>
    </row>
    <row r="2244">
      <c r="D2244" s="6">
        <f>IFERROR(__xludf.DUMMYFUNCTION("""COMPUTED_VALUE"""),41383.99861111111)</f>
        <v>41383.99861</v>
      </c>
      <c r="E2244" s="3">
        <f>IFERROR(__xludf.DUMMYFUNCTION("""COMPUTED_VALUE"""),4.3621)</f>
        <v>4.3621</v>
      </c>
    </row>
    <row r="2245">
      <c r="D2245" s="6">
        <f>IFERROR(__xludf.DUMMYFUNCTION("""COMPUTED_VALUE"""),41385.99861111111)</f>
        <v>41385.99861</v>
      </c>
      <c r="E2245" s="3">
        <f>IFERROR(__xludf.DUMMYFUNCTION("""COMPUTED_VALUE"""),4.3621)</f>
        <v>4.3621</v>
      </c>
    </row>
    <row r="2246">
      <c r="D2246" s="6">
        <f>IFERROR(__xludf.DUMMYFUNCTION("""COMPUTED_VALUE"""),41386.99861111111)</f>
        <v>41386.99861</v>
      </c>
      <c r="E2246" s="3">
        <f>IFERROR(__xludf.DUMMYFUNCTION("""COMPUTED_VALUE"""),4.3509)</f>
        <v>4.3509</v>
      </c>
    </row>
    <row r="2247">
      <c r="D2247" s="6">
        <f>IFERROR(__xludf.DUMMYFUNCTION("""COMPUTED_VALUE"""),41387.99861111111)</f>
        <v>41387.99861</v>
      </c>
      <c r="E2247" s="3">
        <f>IFERROR(__xludf.DUMMYFUNCTION("""COMPUTED_VALUE"""),4.343)</f>
        <v>4.343</v>
      </c>
    </row>
    <row r="2248">
      <c r="D2248" s="6">
        <f>IFERROR(__xludf.DUMMYFUNCTION("""COMPUTED_VALUE"""),41388.99861111111)</f>
        <v>41388.99861</v>
      </c>
      <c r="E2248" s="3">
        <f>IFERROR(__xludf.DUMMYFUNCTION("""COMPUTED_VALUE"""),4.3531)</f>
        <v>4.3531</v>
      </c>
    </row>
    <row r="2249">
      <c r="D2249" s="6">
        <f>IFERROR(__xludf.DUMMYFUNCTION("""COMPUTED_VALUE"""),41389.99861111111)</f>
        <v>41389.99861</v>
      </c>
      <c r="E2249" s="3">
        <f>IFERROR(__xludf.DUMMYFUNCTION("""COMPUTED_VALUE"""),4.3418)</f>
        <v>4.3418</v>
      </c>
    </row>
    <row r="2250">
      <c r="D2250" s="6">
        <f>IFERROR(__xludf.DUMMYFUNCTION("""COMPUTED_VALUE"""),41390.99861111111)</f>
        <v>41390.99861</v>
      </c>
      <c r="E2250" s="3">
        <f>IFERROR(__xludf.DUMMYFUNCTION("""COMPUTED_VALUE"""),4.3445)</f>
        <v>4.3445</v>
      </c>
    </row>
    <row r="2251">
      <c r="D2251" s="6">
        <f>IFERROR(__xludf.DUMMYFUNCTION("""COMPUTED_VALUE"""),41392.99861111111)</f>
        <v>41392.99861</v>
      </c>
      <c r="E2251" s="3">
        <f>IFERROR(__xludf.DUMMYFUNCTION("""COMPUTED_VALUE"""),4.317)</f>
        <v>4.317</v>
      </c>
    </row>
    <row r="2252">
      <c r="D2252" s="6">
        <f>IFERROR(__xludf.DUMMYFUNCTION("""COMPUTED_VALUE"""),41393.99861111111)</f>
        <v>41393.99861</v>
      </c>
      <c r="E2252" s="3">
        <f>IFERROR(__xludf.DUMMYFUNCTION("""COMPUTED_VALUE"""),4.317)</f>
        <v>4.317</v>
      </c>
    </row>
    <row r="2253">
      <c r="D2253" s="6">
        <f>IFERROR(__xludf.DUMMYFUNCTION("""COMPUTED_VALUE"""),41394.99861111111)</f>
        <v>41394.99861</v>
      </c>
      <c r="E2253" s="3">
        <f>IFERROR(__xludf.DUMMYFUNCTION("""COMPUTED_VALUE"""),4.3254)</f>
        <v>4.3254</v>
      </c>
    </row>
    <row r="2254">
      <c r="D2254" s="6">
        <f>IFERROR(__xludf.DUMMYFUNCTION("""COMPUTED_VALUE"""),41395.99861111111)</f>
        <v>41395.99861</v>
      </c>
      <c r="E2254" s="3">
        <f>IFERROR(__xludf.DUMMYFUNCTION("""COMPUTED_VALUE"""),4.3167)</f>
        <v>4.3167</v>
      </c>
    </row>
    <row r="2255">
      <c r="D2255" s="6">
        <f>IFERROR(__xludf.DUMMYFUNCTION("""COMPUTED_VALUE"""),41396.99861111111)</f>
        <v>41396.99861</v>
      </c>
      <c r="E2255" s="3">
        <f>IFERROR(__xludf.DUMMYFUNCTION("""COMPUTED_VALUE"""),4.313)</f>
        <v>4.313</v>
      </c>
    </row>
    <row r="2256">
      <c r="D2256" s="6">
        <f>IFERROR(__xludf.DUMMYFUNCTION("""COMPUTED_VALUE"""),41397.99861111111)</f>
        <v>41397.99861</v>
      </c>
      <c r="E2256" s="3">
        <f>IFERROR(__xludf.DUMMYFUNCTION("""COMPUTED_VALUE"""),4.3011)</f>
        <v>4.3011</v>
      </c>
    </row>
    <row r="2257">
      <c r="D2257" s="6">
        <f>IFERROR(__xludf.DUMMYFUNCTION("""COMPUTED_VALUE"""),41400.99861111111)</f>
        <v>41400.99861</v>
      </c>
      <c r="E2257" s="3">
        <f>IFERROR(__xludf.DUMMYFUNCTION("""COMPUTED_VALUE"""),4.303)</f>
        <v>4.303</v>
      </c>
    </row>
    <row r="2258">
      <c r="D2258" s="6">
        <f>IFERROR(__xludf.DUMMYFUNCTION("""COMPUTED_VALUE"""),41401.99861111111)</f>
        <v>41401.99861</v>
      </c>
      <c r="E2258" s="3">
        <f>IFERROR(__xludf.DUMMYFUNCTION("""COMPUTED_VALUE"""),4.3127)</f>
        <v>4.3127</v>
      </c>
    </row>
    <row r="2259">
      <c r="D2259" s="6">
        <f>IFERROR(__xludf.DUMMYFUNCTION("""COMPUTED_VALUE"""),41402.99861111111)</f>
        <v>41402.99861</v>
      </c>
      <c r="E2259" s="3">
        <f>IFERROR(__xludf.DUMMYFUNCTION("""COMPUTED_VALUE"""),4.3225)</f>
        <v>4.3225</v>
      </c>
    </row>
    <row r="2260">
      <c r="D2260" s="6">
        <f>IFERROR(__xludf.DUMMYFUNCTION("""COMPUTED_VALUE"""),41403.99861111111)</f>
        <v>41403.99861</v>
      </c>
      <c r="E2260" s="3">
        <f>IFERROR(__xludf.DUMMYFUNCTION("""COMPUTED_VALUE"""),4.324)</f>
        <v>4.324</v>
      </c>
    </row>
    <row r="2261">
      <c r="D2261" s="6">
        <f>IFERROR(__xludf.DUMMYFUNCTION("""COMPUTED_VALUE"""),41404.99861111111)</f>
        <v>41404.99861</v>
      </c>
      <c r="E2261" s="3">
        <f>IFERROR(__xludf.DUMMYFUNCTION("""COMPUTED_VALUE"""),4.323)</f>
        <v>4.323</v>
      </c>
    </row>
    <row r="2262">
      <c r="D2262" s="6">
        <f>IFERROR(__xludf.DUMMYFUNCTION("""COMPUTED_VALUE"""),41407.99861111111)</f>
        <v>41407.99861</v>
      </c>
      <c r="E2262" s="3">
        <f>IFERROR(__xludf.DUMMYFUNCTION("""COMPUTED_VALUE"""),4.3226)</f>
        <v>4.3226</v>
      </c>
    </row>
    <row r="2263">
      <c r="D2263" s="6">
        <f>IFERROR(__xludf.DUMMYFUNCTION("""COMPUTED_VALUE"""),41408.99861111111)</f>
        <v>41408.99861</v>
      </c>
      <c r="E2263" s="3">
        <f>IFERROR(__xludf.DUMMYFUNCTION("""COMPUTED_VALUE"""),4.3296)</f>
        <v>4.3296</v>
      </c>
    </row>
    <row r="2264">
      <c r="D2264" s="6">
        <f>IFERROR(__xludf.DUMMYFUNCTION("""COMPUTED_VALUE"""),41409.99861111111)</f>
        <v>41409.99861</v>
      </c>
      <c r="E2264" s="3">
        <f>IFERROR(__xludf.DUMMYFUNCTION("""COMPUTED_VALUE"""),4.3392)</f>
        <v>4.3392</v>
      </c>
    </row>
    <row r="2265">
      <c r="D2265" s="6">
        <f>IFERROR(__xludf.DUMMYFUNCTION("""COMPUTED_VALUE"""),41410.99861111111)</f>
        <v>41410.99861</v>
      </c>
      <c r="E2265" s="3">
        <f>IFERROR(__xludf.DUMMYFUNCTION("""COMPUTED_VALUE"""),4.3352)</f>
        <v>4.3352</v>
      </c>
    </row>
    <row r="2266">
      <c r="D2266" s="6">
        <f>IFERROR(__xludf.DUMMYFUNCTION("""COMPUTED_VALUE"""),41411.99861111111)</f>
        <v>41411.99861</v>
      </c>
      <c r="E2266" s="3">
        <f>IFERROR(__xludf.DUMMYFUNCTION("""COMPUTED_VALUE"""),4.338)</f>
        <v>4.338</v>
      </c>
    </row>
    <row r="2267">
      <c r="D2267" s="6">
        <f>IFERROR(__xludf.DUMMYFUNCTION("""COMPUTED_VALUE"""),41413.99861111111)</f>
        <v>41413.99861</v>
      </c>
      <c r="E2267" s="3">
        <f>IFERROR(__xludf.DUMMYFUNCTION("""COMPUTED_VALUE"""),4.338)</f>
        <v>4.338</v>
      </c>
    </row>
    <row r="2268">
      <c r="D2268" s="6">
        <f>IFERROR(__xludf.DUMMYFUNCTION("""COMPUTED_VALUE"""),41414.99861111111)</f>
        <v>41414.99861</v>
      </c>
      <c r="E2268" s="3">
        <f>IFERROR(__xludf.DUMMYFUNCTION("""COMPUTED_VALUE"""),4.347)</f>
        <v>4.347</v>
      </c>
    </row>
    <row r="2269">
      <c r="D2269" s="6">
        <f>IFERROR(__xludf.DUMMYFUNCTION("""COMPUTED_VALUE"""),41415.99861111111)</f>
        <v>41415.99861</v>
      </c>
      <c r="E2269" s="3">
        <f>IFERROR(__xludf.DUMMYFUNCTION("""COMPUTED_VALUE"""),4.349)</f>
        <v>4.349</v>
      </c>
    </row>
    <row r="2270">
      <c r="D2270" s="6">
        <f>IFERROR(__xludf.DUMMYFUNCTION("""COMPUTED_VALUE"""),41416.99861111111)</f>
        <v>41416.99861</v>
      </c>
      <c r="E2270" s="3">
        <f>IFERROR(__xludf.DUMMYFUNCTION("""COMPUTED_VALUE"""),4.3474)</f>
        <v>4.3474</v>
      </c>
    </row>
    <row r="2271">
      <c r="D2271" s="6">
        <f>IFERROR(__xludf.DUMMYFUNCTION("""COMPUTED_VALUE"""),41417.99861111111)</f>
        <v>41417.99861</v>
      </c>
      <c r="E2271" s="3">
        <f>IFERROR(__xludf.DUMMYFUNCTION("""COMPUTED_VALUE"""),4.3542)</f>
        <v>4.3542</v>
      </c>
    </row>
    <row r="2272">
      <c r="D2272" s="6">
        <f>IFERROR(__xludf.DUMMYFUNCTION("""COMPUTED_VALUE"""),41418.99861111111)</f>
        <v>41418.99861</v>
      </c>
      <c r="E2272" s="3">
        <f>IFERROR(__xludf.DUMMYFUNCTION("""COMPUTED_VALUE"""),4.3459)</f>
        <v>4.3459</v>
      </c>
    </row>
    <row r="2273">
      <c r="D2273" s="6">
        <f>IFERROR(__xludf.DUMMYFUNCTION("""COMPUTED_VALUE"""),41421.99861111111)</f>
        <v>41421.99861</v>
      </c>
      <c r="E2273" s="3">
        <f>IFERROR(__xludf.DUMMYFUNCTION("""COMPUTED_VALUE"""),4.3368)</f>
        <v>4.3368</v>
      </c>
    </row>
    <row r="2274">
      <c r="D2274" s="6">
        <f>IFERROR(__xludf.DUMMYFUNCTION("""COMPUTED_VALUE"""),41422.99861111111)</f>
        <v>41422.99861</v>
      </c>
      <c r="E2274" s="3">
        <f>IFERROR(__xludf.DUMMYFUNCTION("""COMPUTED_VALUE"""),4.3245)</f>
        <v>4.3245</v>
      </c>
    </row>
    <row r="2275">
      <c r="D2275" s="6">
        <f>IFERROR(__xludf.DUMMYFUNCTION("""COMPUTED_VALUE"""),41423.99861111111)</f>
        <v>41423.99861</v>
      </c>
      <c r="E2275" s="3">
        <f>IFERROR(__xludf.DUMMYFUNCTION("""COMPUTED_VALUE"""),4.3479)</f>
        <v>4.3479</v>
      </c>
    </row>
    <row r="2276">
      <c r="D2276" s="6">
        <f>IFERROR(__xludf.DUMMYFUNCTION("""COMPUTED_VALUE"""),41424.99861111111)</f>
        <v>41424.99861</v>
      </c>
      <c r="E2276" s="3">
        <f>IFERROR(__xludf.DUMMYFUNCTION("""COMPUTED_VALUE"""),4.3522)</f>
        <v>4.3522</v>
      </c>
    </row>
    <row r="2277">
      <c r="D2277" s="6">
        <f>IFERROR(__xludf.DUMMYFUNCTION("""COMPUTED_VALUE"""),41425.99861111111)</f>
        <v>41425.99861</v>
      </c>
      <c r="E2277" s="3">
        <f>IFERROR(__xludf.DUMMYFUNCTION("""COMPUTED_VALUE"""),4.3881)</f>
        <v>4.3881</v>
      </c>
    </row>
    <row r="2278">
      <c r="D2278" s="6">
        <f>IFERROR(__xludf.DUMMYFUNCTION("""COMPUTED_VALUE"""),41427.99861111111)</f>
        <v>41427.99861</v>
      </c>
      <c r="E2278" s="3">
        <f>IFERROR(__xludf.DUMMYFUNCTION("""COMPUTED_VALUE"""),4.4165)</f>
        <v>4.4165</v>
      </c>
    </row>
    <row r="2279">
      <c r="D2279" s="6">
        <f>IFERROR(__xludf.DUMMYFUNCTION("""COMPUTED_VALUE"""),41428.99861111111)</f>
        <v>41428.99861</v>
      </c>
      <c r="E2279" s="3">
        <f>IFERROR(__xludf.DUMMYFUNCTION("""COMPUTED_VALUE"""),4.4165)</f>
        <v>4.4165</v>
      </c>
    </row>
    <row r="2280">
      <c r="D2280" s="6">
        <f>IFERROR(__xludf.DUMMYFUNCTION("""COMPUTED_VALUE"""),41429.99861111111)</f>
        <v>41429.99861</v>
      </c>
      <c r="E2280" s="3">
        <f>IFERROR(__xludf.DUMMYFUNCTION("""COMPUTED_VALUE"""),4.3997)</f>
        <v>4.3997</v>
      </c>
    </row>
    <row r="2281">
      <c r="D2281" s="6">
        <f>IFERROR(__xludf.DUMMYFUNCTION("""COMPUTED_VALUE"""),41430.99861111111)</f>
        <v>41430.99861</v>
      </c>
      <c r="E2281" s="3">
        <f>IFERROR(__xludf.DUMMYFUNCTION("""COMPUTED_VALUE"""),4.4607)</f>
        <v>4.4607</v>
      </c>
    </row>
    <row r="2282">
      <c r="D2282" s="6">
        <f>IFERROR(__xludf.DUMMYFUNCTION("""COMPUTED_VALUE"""),41431.99861111111)</f>
        <v>41431.99861</v>
      </c>
      <c r="E2282" s="3">
        <f>IFERROR(__xludf.DUMMYFUNCTION("""COMPUTED_VALUE"""),4.5321)</f>
        <v>4.5321</v>
      </c>
    </row>
    <row r="2283">
      <c r="D2283" s="6">
        <f>IFERROR(__xludf.DUMMYFUNCTION("""COMPUTED_VALUE"""),41432.99861111111)</f>
        <v>41432.99861</v>
      </c>
      <c r="E2283" s="3">
        <f>IFERROR(__xludf.DUMMYFUNCTION("""COMPUTED_VALUE"""),4.5072)</f>
        <v>4.5072</v>
      </c>
    </row>
    <row r="2284">
      <c r="D2284" s="6">
        <f>IFERROR(__xludf.DUMMYFUNCTION("""COMPUTED_VALUE"""),41434.99861111111)</f>
        <v>41434.99861</v>
      </c>
      <c r="E2284" s="3">
        <f>IFERROR(__xludf.DUMMYFUNCTION("""COMPUTED_VALUE"""),4.46)</f>
        <v>4.46</v>
      </c>
    </row>
    <row r="2285">
      <c r="D2285" s="6">
        <f>IFERROR(__xludf.DUMMYFUNCTION("""COMPUTED_VALUE"""),41435.99861111111)</f>
        <v>41435.99861</v>
      </c>
      <c r="E2285" s="3">
        <f>IFERROR(__xludf.DUMMYFUNCTION("""COMPUTED_VALUE"""),4.5196)</f>
        <v>4.5196</v>
      </c>
    </row>
    <row r="2286">
      <c r="D2286" s="6">
        <f>IFERROR(__xludf.DUMMYFUNCTION("""COMPUTED_VALUE"""),41436.99861111111)</f>
        <v>41436.99861</v>
      </c>
      <c r="E2286" s="3">
        <f>IFERROR(__xludf.DUMMYFUNCTION("""COMPUTED_VALUE"""),4.5162)</f>
        <v>4.5162</v>
      </c>
    </row>
    <row r="2287">
      <c r="D2287" s="6">
        <f>IFERROR(__xludf.DUMMYFUNCTION("""COMPUTED_VALUE"""),41437.99861111111)</f>
        <v>41437.99861</v>
      </c>
      <c r="E2287" s="3">
        <f>IFERROR(__xludf.DUMMYFUNCTION("""COMPUTED_VALUE"""),4.4868)</f>
        <v>4.4868</v>
      </c>
    </row>
    <row r="2288">
      <c r="D2288" s="6">
        <f>IFERROR(__xludf.DUMMYFUNCTION("""COMPUTED_VALUE"""),41438.99861111111)</f>
        <v>41438.99861</v>
      </c>
      <c r="E2288" s="3">
        <f>IFERROR(__xludf.DUMMYFUNCTION("""COMPUTED_VALUE"""),4.469)</f>
        <v>4.469</v>
      </c>
    </row>
    <row r="2289">
      <c r="D2289" s="6">
        <f>IFERROR(__xludf.DUMMYFUNCTION("""COMPUTED_VALUE"""),41439.99861111111)</f>
        <v>41439.99861</v>
      </c>
      <c r="E2289" s="3">
        <f>IFERROR(__xludf.DUMMYFUNCTION("""COMPUTED_VALUE"""),4.4529)</f>
        <v>4.4529</v>
      </c>
    </row>
    <row r="2290">
      <c r="D2290" s="6">
        <f>IFERROR(__xludf.DUMMYFUNCTION("""COMPUTED_VALUE"""),41441.99861111111)</f>
        <v>41441.99861</v>
      </c>
      <c r="E2290" s="3">
        <f>IFERROR(__xludf.DUMMYFUNCTION("""COMPUTED_VALUE"""),4.4529)</f>
        <v>4.4529</v>
      </c>
    </row>
    <row r="2291">
      <c r="D2291" s="6">
        <f>IFERROR(__xludf.DUMMYFUNCTION("""COMPUTED_VALUE"""),41442.99861111111)</f>
        <v>41442.99861</v>
      </c>
      <c r="E2291" s="3">
        <f>IFERROR(__xludf.DUMMYFUNCTION("""COMPUTED_VALUE"""),4.4522)</f>
        <v>4.4522</v>
      </c>
    </row>
    <row r="2292">
      <c r="D2292" s="6">
        <f>IFERROR(__xludf.DUMMYFUNCTION("""COMPUTED_VALUE"""),41443.99861111111)</f>
        <v>41443.99861</v>
      </c>
      <c r="E2292" s="3">
        <f>IFERROR(__xludf.DUMMYFUNCTION("""COMPUTED_VALUE"""),4.4874)</f>
        <v>4.4874</v>
      </c>
    </row>
    <row r="2293">
      <c r="D2293" s="6">
        <f>IFERROR(__xludf.DUMMYFUNCTION("""COMPUTED_VALUE"""),41444.99861111111)</f>
        <v>41444.99861</v>
      </c>
      <c r="E2293" s="3">
        <f>IFERROR(__xludf.DUMMYFUNCTION("""COMPUTED_VALUE"""),4.5125)</f>
        <v>4.5125</v>
      </c>
    </row>
    <row r="2294">
      <c r="D2294" s="6">
        <f>IFERROR(__xludf.DUMMYFUNCTION("""COMPUTED_VALUE"""),41445.99861111111)</f>
        <v>41445.99861</v>
      </c>
      <c r="E2294" s="3">
        <f>IFERROR(__xludf.DUMMYFUNCTION("""COMPUTED_VALUE"""),4.5349)</f>
        <v>4.5349</v>
      </c>
    </row>
    <row r="2295">
      <c r="D2295" s="6">
        <f>IFERROR(__xludf.DUMMYFUNCTION("""COMPUTED_VALUE"""),41446.99861111111)</f>
        <v>41446.99861</v>
      </c>
      <c r="E2295" s="3">
        <f>IFERROR(__xludf.DUMMYFUNCTION("""COMPUTED_VALUE"""),4.544)</f>
        <v>4.544</v>
      </c>
    </row>
    <row r="2296">
      <c r="D2296" s="6">
        <f>IFERROR(__xludf.DUMMYFUNCTION("""COMPUTED_VALUE"""),41448.99861111111)</f>
        <v>41448.99861</v>
      </c>
      <c r="E2296" s="3">
        <f>IFERROR(__xludf.DUMMYFUNCTION("""COMPUTED_VALUE"""),4.544)</f>
        <v>4.544</v>
      </c>
    </row>
    <row r="2297">
      <c r="D2297" s="6">
        <f>IFERROR(__xludf.DUMMYFUNCTION("""COMPUTED_VALUE"""),41449.99861111111)</f>
        <v>41449.99861</v>
      </c>
      <c r="E2297" s="3">
        <f>IFERROR(__xludf.DUMMYFUNCTION("""COMPUTED_VALUE"""),4.5267)</f>
        <v>4.5267</v>
      </c>
    </row>
    <row r="2298">
      <c r="D2298" s="6">
        <f>IFERROR(__xludf.DUMMYFUNCTION("""COMPUTED_VALUE"""),41450.99861111111)</f>
        <v>41450.99861</v>
      </c>
      <c r="E2298" s="3">
        <f>IFERROR(__xludf.DUMMYFUNCTION("""COMPUTED_VALUE"""),4.4785)</f>
        <v>4.4785</v>
      </c>
    </row>
    <row r="2299">
      <c r="D2299" s="6">
        <f>IFERROR(__xludf.DUMMYFUNCTION("""COMPUTED_VALUE"""),41451.99861111111)</f>
        <v>41451.99861</v>
      </c>
      <c r="E2299" s="3">
        <f>IFERROR(__xludf.DUMMYFUNCTION("""COMPUTED_VALUE"""),4.4815)</f>
        <v>4.4815</v>
      </c>
    </row>
    <row r="2300">
      <c r="D2300" s="6">
        <f>IFERROR(__xludf.DUMMYFUNCTION("""COMPUTED_VALUE"""),41452.99861111111)</f>
        <v>41452.99861</v>
      </c>
      <c r="E2300" s="3">
        <f>IFERROR(__xludf.DUMMYFUNCTION("""COMPUTED_VALUE"""),4.4531)</f>
        <v>4.4531</v>
      </c>
    </row>
    <row r="2301">
      <c r="D2301" s="6">
        <f>IFERROR(__xludf.DUMMYFUNCTION("""COMPUTED_VALUE"""),41453.99861111111)</f>
        <v>41453.99861</v>
      </c>
      <c r="E2301" s="3">
        <f>IFERROR(__xludf.DUMMYFUNCTION("""COMPUTED_VALUE"""),4.46)</f>
        <v>4.46</v>
      </c>
    </row>
    <row r="2302">
      <c r="D2302" s="6">
        <f>IFERROR(__xludf.DUMMYFUNCTION("""COMPUTED_VALUE"""),41455.99861111111)</f>
        <v>41455.99861</v>
      </c>
      <c r="E2302" s="3">
        <f>IFERROR(__xludf.DUMMYFUNCTION("""COMPUTED_VALUE"""),4.446)</f>
        <v>4.446</v>
      </c>
    </row>
    <row r="2303">
      <c r="D2303" s="6">
        <f>IFERROR(__xludf.DUMMYFUNCTION("""COMPUTED_VALUE"""),41456.99861111111)</f>
        <v>41456.99861</v>
      </c>
      <c r="E2303" s="3">
        <f>IFERROR(__xludf.DUMMYFUNCTION("""COMPUTED_VALUE"""),4.446)</f>
        <v>4.446</v>
      </c>
    </row>
    <row r="2304">
      <c r="D2304" s="6">
        <f>IFERROR(__xludf.DUMMYFUNCTION("""COMPUTED_VALUE"""),41457.99861111111)</f>
        <v>41457.99861</v>
      </c>
      <c r="E2304" s="3">
        <f>IFERROR(__xludf.DUMMYFUNCTION("""COMPUTED_VALUE"""),4.4358)</f>
        <v>4.4358</v>
      </c>
    </row>
    <row r="2305">
      <c r="D2305" s="6">
        <f>IFERROR(__xludf.DUMMYFUNCTION("""COMPUTED_VALUE"""),41458.99861111111)</f>
        <v>41458.99861</v>
      </c>
      <c r="E2305" s="3">
        <f>IFERROR(__xludf.DUMMYFUNCTION("""COMPUTED_VALUE"""),4.4465)</f>
        <v>4.4465</v>
      </c>
    </row>
    <row r="2306">
      <c r="D2306" s="6">
        <f>IFERROR(__xludf.DUMMYFUNCTION("""COMPUTED_VALUE"""),41459.99861111111)</f>
        <v>41459.99861</v>
      </c>
      <c r="E2306" s="3">
        <f>IFERROR(__xludf.DUMMYFUNCTION("""COMPUTED_VALUE"""),4.434)</f>
        <v>4.434</v>
      </c>
    </row>
    <row r="2307">
      <c r="D2307" s="6">
        <f>IFERROR(__xludf.DUMMYFUNCTION("""COMPUTED_VALUE"""),41460.99861111111)</f>
        <v>41460.99861</v>
      </c>
      <c r="E2307" s="3">
        <f>IFERROR(__xludf.DUMMYFUNCTION("""COMPUTED_VALUE"""),4.4484)</f>
        <v>4.4484</v>
      </c>
    </row>
    <row r="2308">
      <c r="D2308" s="6">
        <f>IFERROR(__xludf.DUMMYFUNCTION("""COMPUTED_VALUE"""),41462.99861111111)</f>
        <v>41462.99861</v>
      </c>
      <c r="E2308" s="3">
        <f>IFERROR(__xludf.DUMMYFUNCTION("""COMPUTED_VALUE"""),4.4484)</f>
        <v>4.4484</v>
      </c>
    </row>
    <row r="2309">
      <c r="D2309" s="6">
        <f>IFERROR(__xludf.DUMMYFUNCTION("""COMPUTED_VALUE"""),41463.99861111111)</f>
        <v>41463.99861</v>
      </c>
      <c r="E2309" s="3">
        <f>IFERROR(__xludf.DUMMYFUNCTION("""COMPUTED_VALUE"""),4.4502)</f>
        <v>4.4502</v>
      </c>
    </row>
    <row r="2310">
      <c r="D2310" s="6">
        <f>IFERROR(__xludf.DUMMYFUNCTION("""COMPUTED_VALUE"""),41464.99861111111)</f>
        <v>41464.99861</v>
      </c>
      <c r="E2310" s="3">
        <f>IFERROR(__xludf.DUMMYFUNCTION("""COMPUTED_VALUE"""),4.442)</f>
        <v>4.442</v>
      </c>
    </row>
    <row r="2311">
      <c r="D2311" s="6">
        <f>IFERROR(__xludf.DUMMYFUNCTION("""COMPUTED_VALUE"""),41465.99861111111)</f>
        <v>41465.99861</v>
      </c>
      <c r="E2311" s="3">
        <f>IFERROR(__xludf.DUMMYFUNCTION("""COMPUTED_VALUE"""),4.4302)</f>
        <v>4.4302</v>
      </c>
    </row>
    <row r="2312">
      <c r="D2312" s="6">
        <f>IFERROR(__xludf.DUMMYFUNCTION("""COMPUTED_VALUE"""),41466.99861111111)</f>
        <v>41466.99861</v>
      </c>
      <c r="E2312" s="3">
        <f>IFERROR(__xludf.DUMMYFUNCTION("""COMPUTED_VALUE"""),4.4245)</f>
        <v>4.4245</v>
      </c>
    </row>
    <row r="2313">
      <c r="D2313" s="6">
        <f>IFERROR(__xludf.DUMMYFUNCTION("""COMPUTED_VALUE"""),41467.99861111111)</f>
        <v>41467.99861</v>
      </c>
      <c r="E2313" s="3">
        <f>IFERROR(__xludf.DUMMYFUNCTION("""COMPUTED_VALUE"""),4.427)</f>
        <v>4.427</v>
      </c>
    </row>
    <row r="2314">
      <c r="D2314" s="6">
        <f>IFERROR(__xludf.DUMMYFUNCTION("""COMPUTED_VALUE"""),41469.99861111111)</f>
        <v>41469.99861</v>
      </c>
      <c r="E2314" s="3">
        <f>IFERROR(__xludf.DUMMYFUNCTION("""COMPUTED_VALUE"""),4.427)</f>
        <v>4.427</v>
      </c>
    </row>
    <row r="2315">
      <c r="D2315" s="6">
        <f>IFERROR(__xludf.DUMMYFUNCTION("""COMPUTED_VALUE"""),41470.99861111111)</f>
        <v>41470.99861</v>
      </c>
      <c r="E2315" s="3">
        <f>IFERROR(__xludf.DUMMYFUNCTION("""COMPUTED_VALUE"""),4.4247)</f>
        <v>4.4247</v>
      </c>
    </row>
    <row r="2316">
      <c r="D2316" s="6">
        <f>IFERROR(__xludf.DUMMYFUNCTION("""COMPUTED_VALUE"""),41471.99861111111)</f>
        <v>41471.99861</v>
      </c>
      <c r="E2316" s="3">
        <f>IFERROR(__xludf.DUMMYFUNCTION("""COMPUTED_VALUE"""),4.4369)</f>
        <v>4.4369</v>
      </c>
    </row>
    <row r="2317">
      <c r="D2317" s="6">
        <f>IFERROR(__xludf.DUMMYFUNCTION("""COMPUTED_VALUE"""),41472.99861111111)</f>
        <v>41472.99861</v>
      </c>
      <c r="E2317" s="3">
        <f>IFERROR(__xludf.DUMMYFUNCTION("""COMPUTED_VALUE"""),4.4346)</f>
        <v>4.4346</v>
      </c>
    </row>
    <row r="2318">
      <c r="D2318" s="6">
        <f>IFERROR(__xludf.DUMMYFUNCTION("""COMPUTED_VALUE"""),41473.99861111111)</f>
        <v>41473.99861</v>
      </c>
      <c r="E2318" s="3">
        <f>IFERROR(__xludf.DUMMYFUNCTION("""COMPUTED_VALUE"""),4.4248)</f>
        <v>4.4248</v>
      </c>
    </row>
    <row r="2319">
      <c r="D2319" s="6">
        <f>IFERROR(__xludf.DUMMYFUNCTION("""COMPUTED_VALUE"""),41474.99861111111)</f>
        <v>41474.99861</v>
      </c>
      <c r="E2319" s="3">
        <f>IFERROR(__xludf.DUMMYFUNCTION("""COMPUTED_VALUE"""),4.427)</f>
        <v>4.427</v>
      </c>
    </row>
    <row r="2320">
      <c r="D2320" s="6">
        <f>IFERROR(__xludf.DUMMYFUNCTION("""COMPUTED_VALUE"""),41477.99861111111)</f>
        <v>41477.99861</v>
      </c>
      <c r="E2320" s="3">
        <f>IFERROR(__xludf.DUMMYFUNCTION("""COMPUTED_VALUE"""),4.418)</f>
        <v>4.418</v>
      </c>
    </row>
    <row r="2321">
      <c r="D2321" s="6">
        <f>IFERROR(__xludf.DUMMYFUNCTION("""COMPUTED_VALUE"""),41478.99861111111)</f>
        <v>41478.99861</v>
      </c>
      <c r="E2321" s="3">
        <f>IFERROR(__xludf.DUMMYFUNCTION("""COMPUTED_VALUE"""),4.4128)</f>
        <v>4.4128</v>
      </c>
    </row>
    <row r="2322">
      <c r="D2322" s="6">
        <f>IFERROR(__xludf.DUMMYFUNCTION("""COMPUTED_VALUE"""),41479.99861111111)</f>
        <v>41479.99861</v>
      </c>
      <c r="E2322" s="3">
        <f>IFERROR(__xludf.DUMMYFUNCTION("""COMPUTED_VALUE"""),4.3911)</f>
        <v>4.3911</v>
      </c>
    </row>
    <row r="2323">
      <c r="D2323" s="6">
        <f>IFERROR(__xludf.DUMMYFUNCTION("""COMPUTED_VALUE"""),41480.99861111111)</f>
        <v>41480.99861</v>
      </c>
      <c r="E2323" s="3">
        <f>IFERROR(__xludf.DUMMYFUNCTION("""COMPUTED_VALUE"""),4.3925)</f>
        <v>4.3925</v>
      </c>
    </row>
    <row r="2324">
      <c r="D2324" s="6">
        <f>IFERROR(__xludf.DUMMYFUNCTION("""COMPUTED_VALUE"""),41481.99861111111)</f>
        <v>41481.99861</v>
      </c>
      <c r="E2324" s="3">
        <f>IFERROR(__xludf.DUMMYFUNCTION("""COMPUTED_VALUE"""),4.3866)</f>
        <v>4.3866</v>
      </c>
    </row>
    <row r="2325">
      <c r="D2325" s="6">
        <f>IFERROR(__xludf.DUMMYFUNCTION("""COMPUTED_VALUE"""),41483.99861111111)</f>
        <v>41483.99861</v>
      </c>
      <c r="E2325" s="3">
        <f>IFERROR(__xludf.DUMMYFUNCTION("""COMPUTED_VALUE"""),4.3866)</f>
        <v>4.3866</v>
      </c>
    </row>
    <row r="2326">
      <c r="D2326" s="6">
        <f>IFERROR(__xludf.DUMMYFUNCTION("""COMPUTED_VALUE"""),41484.99861111111)</f>
        <v>41484.99861</v>
      </c>
      <c r="E2326" s="3">
        <f>IFERROR(__xludf.DUMMYFUNCTION("""COMPUTED_VALUE"""),4.394)</f>
        <v>4.394</v>
      </c>
    </row>
    <row r="2327">
      <c r="D2327" s="6">
        <f>IFERROR(__xludf.DUMMYFUNCTION("""COMPUTED_VALUE"""),41485.99861111111)</f>
        <v>41485.99861</v>
      </c>
      <c r="E2327" s="3">
        <f>IFERROR(__xludf.DUMMYFUNCTION("""COMPUTED_VALUE"""),4.3914)</f>
        <v>4.3914</v>
      </c>
    </row>
    <row r="2328">
      <c r="D2328" s="6">
        <f>IFERROR(__xludf.DUMMYFUNCTION("""COMPUTED_VALUE"""),41486.99861111111)</f>
        <v>41486.99861</v>
      </c>
      <c r="E2328" s="3">
        <f>IFERROR(__xludf.DUMMYFUNCTION("""COMPUTED_VALUE"""),4.4138)</f>
        <v>4.4138</v>
      </c>
    </row>
    <row r="2329">
      <c r="D2329" s="6">
        <f>IFERROR(__xludf.DUMMYFUNCTION("""COMPUTED_VALUE"""),41487.99861111111)</f>
        <v>41487.99861</v>
      </c>
      <c r="E2329" s="3">
        <f>IFERROR(__xludf.DUMMYFUNCTION("""COMPUTED_VALUE"""),4.4138)</f>
        <v>4.4138</v>
      </c>
    </row>
    <row r="2330">
      <c r="D2330" s="6">
        <f>IFERROR(__xludf.DUMMYFUNCTION("""COMPUTED_VALUE"""),41488.99861111111)</f>
        <v>41488.99861</v>
      </c>
      <c r="E2330" s="3">
        <f>IFERROR(__xludf.DUMMYFUNCTION("""COMPUTED_VALUE"""),4.4193)</f>
        <v>4.4193</v>
      </c>
    </row>
    <row r="2331">
      <c r="D2331" s="6">
        <f>IFERROR(__xludf.DUMMYFUNCTION("""COMPUTED_VALUE"""),41490.99861111111)</f>
        <v>41490.99861</v>
      </c>
      <c r="E2331" s="3">
        <f>IFERROR(__xludf.DUMMYFUNCTION("""COMPUTED_VALUE"""),4.4193)</f>
        <v>4.4193</v>
      </c>
    </row>
    <row r="2332">
      <c r="D2332" s="6">
        <f>IFERROR(__xludf.DUMMYFUNCTION("""COMPUTED_VALUE"""),41491.99861111111)</f>
        <v>41491.99861</v>
      </c>
      <c r="E2332" s="3">
        <f>IFERROR(__xludf.DUMMYFUNCTION("""COMPUTED_VALUE"""),4.41)</f>
        <v>4.41</v>
      </c>
    </row>
    <row r="2333">
      <c r="D2333" s="6">
        <f>IFERROR(__xludf.DUMMYFUNCTION("""COMPUTED_VALUE"""),41492.99861111111)</f>
        <v>41492.99861</v>
      </c>
      <c r="E2333" s="3">
        <f>IFERROR(__xludf.DUMMYFUNCTION("""COMPUTED_VALUE"""),4.4049)</f>
        <v>4.4049</v>
      </c>
    </row>
    <row r="2334">
      <c r="D2334" s="6">
        <f>IFERROR(__xludf.DUMMYFUNCTION("""COMPUTED_VALUE"""),41493.99861111111)</f>
        <v>41493.99861</v>
      </c>
      <c r="E2334" s="3">
        <f>IFERROR(__xludf.DUMMYFUNCTION("""COMPUTED_VALUE"""),4.4417)</f>
        <v>4.4417</v>
      </c>
    </row>
    <row r="2335">
      <c r="D2335" s="6">
        <f>IFERROR(__xludf.DUMMYFUNCTION("""COMPUTED_VALUE"""),41494.99861111111)</f>
        <v>41494.99861</v>
      </c>
      <c r="E2335" s="3">
        <f>IFERROR(__xludf.DUMMYFUNCTION("""COMPUTED_VALUE"""),4.4388)</f>
        <v>4.4388</v>
      </c>
    </row>
    <row r="2336">
      <c r="D2336" s="6">
        <f>IFERROR(__xludf.DUMMYFUNCTION("""COMPUTED_VALUE"""),41495.99861111111)</f>
        <v>41495.99861</v>
      </c>
      <c r="E2336" s="3">
        <f>IFERROR(__xludf.DUMMYFUNCTION("""COMPUTED_VALUE"""),4.43)</f>
        <v>4.43</v>
      </c>
    </row>
    <row r="2337">
      <c r="D2337" s="6">
        <f>IFERROR(__xludf.DUMMYFUNCTION("""COMPUTED_VALUE"""),41498.99861111111)</f>
        <v>41498.99861</v>
      </c>
      <c r="E2337" s="3">
        <f>IFERROR(__xludf.DUMMYFUNCTION("""COMPUTED_VALUE"""),4.4096)</f>
        <v>4.4096</v>
      </c>
    </row>
    <row r="2338">
      <c r="D2338" s="6">
        <f>IFERROR(__xludf.DUMMYFUNCTION("""COMPUTED_VALUE"""),41499.99861111111)</f>
        <v>41499.99861</v>
      </c>
      <c r="E2338" s="3">
        <f>IFERROR(__xludf.DUMMYFUNCTION("""COMPUTED_VALUE"""),4.427)</f>
        <v>4.427</v>
      </c>
    </row>
    <row r="2339">
      <c r="D2339" s="6">
        <f>IFERROR(__xludf.DUMMYFUNCTION("""COMPUTED_VALUE"""),41500.99861111111)</f>
        <v>41500.99861</v>
      </c>
      <c r="E2339" s="3">
        <f>IFERROR(__xludf.DUMMYFUNCTION("""COMPUTED_VALUE"""),4.4343)</f>
        <v>4.4343</v>
      </c>
    </row>
    <row r="2340">
      <c r="D2340" s="6">
        <f>IFERROR(__xludf.DUMMYFUNCTION("""COMPUTED_VALUE"""),41501.99861111111)</f>
        <v>41501.99861</v>
      </c>
      <c r="E2340" s="3">
        <f>IFERROR(__xludf.DUMMYFUNCTION("""COMPUTED_VALUE"""),4.4483)</f>
        <v>4.4483</v>
      </c>
    </row>
    <row r="2341">
      <c r="D2341" s="6">
        <f>IFERROR(__xludf.DUMMYFUNCTION("""COMPUTED_VALUE"""),41502.99861111111)</f>
        <v>41502.99861</v>
      </c>
      <c r="E2341" s="3">
        <f>IFERROR(__xludf.DUMMYFUNCTION("""COMPUTED_VALUE"""),4.4452)</f>
        <v>4.4452</v>
      </c>
    </row>
    <row r="2342">
      <c r="D2342" s="6">
        <f>IFERROR(__xludf.DUMMYFUNCTION("""COMPUTED_VALUE"""),41504.99861111111)</f>
        <v>41504.99861</v>
      </c>
      <c r="E2342" s="3">
        <f>IFERROR(__xludf.DUMMYFUNCTION("""COMPUTED_VALUE"""),4.4452)</f>
        <v>4.4452</v>
      </c>
    </row>
    <row r="2343">
      <c r="D2343" s="6">
        <f>IFERROR(__xludf.DUMMYFUNCTION("""COMPUTED_VALUE"""),41505.99861111111)</f>
        <v>41505.99861</v>
      </c>
      <c r="E2343" s="3">
        <f>IFERROR(__xludf.DUMMYFUNCTION("""COMPUTED_VALUE"""),4.4531)</f>
        <v>4.4531</v>
      </c>
    </row>
    <row r="2344">
      <c r="D2344" s="6">
        <f>IFERROR(__xludf.DUMMYFUNCTION("""COMPUTED_VALUE"""),41506.99861111111)</f>
        <v>41506.99861</v>
      </c>
      <c r="E2344" s="3">
        <f>IFERROR(__xludf.DUMMYFUNCTION("""COMPUTED_VALUE"""),4.4428)</f>
        <v>4.4428</v>
      </c>
    </row>
    <row r="2345">
      <c r="D2345" s="6">
        <f>IFERROR(__xludf.DUMMYFUNCTION("""COMPUTED_VALUE"""),41507.99861111111)</f>
        <v>41507.99861</v>
      </c>
      <c r="E2345" s="3">
        <f>IFERROR(__xludf.DUMMYFUNCTION("""COMPUTED_VALUE"""),4.4435)</f>
        <v>4.4435</v>
      </c>
    </row>
    <row r="2346">
      <c r="D2346" s="6">
        <f>IFERROR(__xludf.DUMMYFUNCTION("""COMPUTED_VALUE"""),41508.99861111111)</f>
        <v>41508.99861</v>
      </c>
      <c r="E2346" s="3">
        <f>IFERROR(__xludf.DUMMYFUNCTION("""COMPUTED_VALUE"""),4.4386)</f>
        <v>4.4386</v>
      </c>
    </row>
    <row r="2347">
      <c r="D2347" s="6">
        <f>IFERROR(__xludf.DUMMYFUNCTION("""COMPUTED_VALUE"""),41509.99861111111)</f>
        <v>41509.99861</v>
      </c>
      <c r="E2347" s="3">
        <f>IFERROR(__xludf.DUMMYFUNCTION("""COMPUTED_VALUE"""),4.4295)</f>
        <v>4.4295</v>
      </c>
    </row>
    <row r="2348">
      <c r="D2348" s="6">
        <f>IFERROR(__xludf.DUMMYFUNCTION("""COMPUTED_VALUE"""),41511.99861111111)</f>
        <v>41511.99861</v>
      </c>
      <c r="E2348" s="3">
        <f>IFERROR(__xludf.DUMMYFUNCTION("""COMPUTED_VALUE"""),4.4265)</f>
        <v>4.4265</v>
      </c>
    </row>
    <row r="2349">
      <c r="D2349" s="6">
        <f>IFERROR(__xludf.DUMMYFUNCTION("""COMPUTED_VALUE"""),41512.99861111111)</f>
        <v>41512.99861</v>
      </c>
      <c r="E2349" s="3">
        <f>IFERROR(__xludf.DUMMYFUNCTION("""COMPUTED_VALUE"""),4.4265)</f>
        <v>4.4265</v>
      </c>
    </row>
    <row r="2350">
      <c r="D2350" s="6">
        <f>IFERROR(__xludf.DUMMYFUNCTION("""COMPUTED_VALUE"""),41513.99861111111)</f>
        <v>41513.99861</v>
      </c>
      <c r="E2350" s="3">
        <f>IFERROR(__xludf.DUMMYFUNCTION("""COMPUTED_VALUE"""),4.4385)</f>
        <v>4.4385</v>
      </c>
    </row>
    <row r="2351">
      <c r="D2351" s="6">
        <f>IFERROR(__xludf.DUMMYFUNCTION("""COMPUTED_VALUE"""),41514.99861111111)</f>
        <v>41514.99861</v>
      </c>
      <c r="E2351" s="3">
        <f>IFERROR(__xludf.DUMMYFUNCTION("""COMPUTED_VALUE"""),4.44)</f>
        <v>4.44</v>
      </c>
    </row>
    <row r="2352">
      <c r="D2352" s="6">
        <f>IFERROR(__xludf.DUMMYFUNCTION("""COMPUTED_VALUE"""),41515.99861111111)</f>
        <v>41515.99861</v>
      </c>
      <c r="E2352" s="3">
        <f>IFERROR(__xludf.DUMMYFUNCTION("""COMPUTED_VALUE"""),4.4383)</f>
        <v>4.4383</v>
      </c>
    </row>
    <row r="2353">
      <c r="D2353" s="6">
        <f>IFERROR(__xludf.DUMMYFUNCTION("""COMPUTED_VALUE"""),41516.99861111111)</f>
        <v>41516.99861</v>
      </c>
      <c r="E2353" s="3">
        <f>IFERROR(__xludf.DUMMYFUNCTION("""COMPUTED_VALUE"""),4.4333)</f>
        <v>4.4333</v>
      </c>
    </row>
    <row r="2354">
      <c r="D2354" s="6">
        <f>IFERROR(__xludf.DUMMYFUNCTION("""COMPUTED_VALUE"""),41519.99861111111)</f>
        <v>41519.99861</v>
      </c>
      <c r="E2354" s="3">
        <f>IFERROR(__xludf.DUMMYFUNCTION("""COMPUTED_VALUE"""),4.4174)</f>
        <v>4.4174</v>
      </c>
    </row>
    <row r="2355">
      <c r="D2355" s="6">
        <f>IFERROR(__xludf.DUMMYFUNCTION("""COMPUTED_VALUE"""),41520.99861111111)</f>
        <v>41520.99861</v>
      </c>
      <c r="E2355" s="3">
        <f>IFERROR(__xludf.DUMMYFUNCTION("""COMPUTED_VALUE"""),4.434)</f>
        <v>4.434</v>
      </c>
    </row>
    <row r="2356">
      <c r="D2356" s="6">
        <f>IFERROR(__xludf.DUMMYFUNCTION("""COMPUTED_VALUE"""),41521.99861111111)</f>
        <v>41521.99861</v>
      </c>
      <c r="E2356" s="3">
        <f>IFERROR(__xludf.DUMMYFUNCTION("""COMPUTED_VALUE"""),4.4545)</f>
        <v>4.4545</v>
      </c>
    </row>
    <row r="2357">
      <c r="D2357" s="6">
        <f>IFERROR(__xludf.DUMMYFUNCTION("""COMPUTED_VALUE"""),41522.99861111111)</f>
        <v>41522.99861</v>
      </c>
      <c r="E2357" s="3">
        <f>IFERROR(__xludf.DUMMYFUNCTION("""COMPUTED_VALUE"""),4.4653)</f>
        <v>4.4653</v>
      </c>
    </row>
    <row r="2358">
      <c r="D2358" s="6">
        <f>IFERROR(__xludf.DUMMYFUNCTION("""COMPUTED_VALUE"""),41523.99861111111)</f>
        <v>41523.99861</v>
      </c>
      <c r="E2358" s="3">
        <f>IFERROR(__xludf.DUMMYFUNCTION("""COMPUTED_VALUE"""),4.465)</f>
        <v>4.465</v>
      </c>
    </row>
    <row r="2359">
      <c r="D2359" s="6">
        <f>IFERROR(__xludf.DUMMYFUNCTION("""COMPUTED_VALUE"""),41525.99861111111)</f>
        <v>41525.99861</v>
      </c>
      <c r="E2359" s="3">
        <f>IFERROR(__xludf.DUMMYFUNCTION("""COMPUTED_VALUE"""),4.465)</f>
        <v>4.465</v>
      </c>
    </row>
    <row r="2360">
      <c r="D2360" s="6">
        <f>IFERROR(__xludf.DUMMYFUNCTION("""COMPUTED_VALUE"""),41526.99861111111)</f>
        <v>41526.99861</v>
      </c>
      <c r="E2360" s="3">
        <f>IFERROR(__xludf.DUMMYFUNCTION("""COMPUTED_VALUE"""),4.47)</f>
        <v>4.47</v>
      </c>
    </row>
    <row r="2361">
      <c r="D2361" s="6">
        <f>IFERROR(__xludf.DUMMYFUNCTION("""COMPUTED_VALUE"""),41527.99861111111)</f>
        <v>41527.99861</v>
      </c>
      <c r="E2361" s="3">
        <f>IFERROR(__xludf.DUMMYFUNCTION("""COMPUTED_VALUE"""),4.456)</f>
        <v>4.456</v>
      </c>
    </row>
    <row r="2362">
      <c r="D2362" s="6">
        <f>IFERROR(__xludf.DUMMYFUNCTION("""COMPUTED_VALUE"""),41528.99861111111)</f>
        <v>41528.99861</v>
      </c>
      <c r="E2362" s="3">
        <f>IFERROR(__xludf.DUMMYFUNCTION("""COMPUTED_VALUE"""),4.4799)</f>
        <v>4.4799</v>
      </c>
    </row>
    <row r="2363">
      <c r="D2363" s="6">
        <f>IFERROR(__xludf.DUMMYFUNCTION("""COMPUTED_VALUE"""),41529.99861111111)</f>
        <v>41529.99861</v>
      </c>
      <c r="E2363" s="3">
        <f>IFERROR(__xludf.DUMMYFUNCTION("""COMPUTED_VALUE"""),4.4783)</f>
        <v>4.4783</v>
      </c>
    </row>
    <row r="2364">
      <c r="D2364" s="6">
        <f>IFERROR(__xludf.DUMMYFUNCTION("""COMPUTED_VALUE"""),41530.99861111111)</f>
        <v>41530.99861</v>
      </c>
      <c r="E2364" s="3">
        <f>IFERROR(__xludf.DUMMYFUNCTION("""COMPUTED_VALUE"""),4.47)</f>
        <v>4.47</v>
      </c>
    </row>
    <row r="2365">
      <c r="D2365" s="6">
        <f>IFERROR(__xludf.DUMMYFUNCTION("""COMPUTED_VALUE"""),41532.99861111111)</f>
        <v>41532.99861</v>
      </c>
      <c r="E2365" s="3">
        <f>IFERROR(__xludf.DUMMYFUNCTION("""COMPUTED_VALUE"""),4.47)</f>
        <v>4.47</v>
      </c>
    </row>
    <row r="2366">
      <c r="D2366" s="6">
        <f>IFERROR(__xludf.DUMMYFUNCTION("""COMPUTED_VALUE"""),41533.99861111111)</f>
        <v>41533.99861</v>
      </c>
      <c r="E2366" s="3">
        <f>IFERROR(__xludf.DUMMYFUNCTION("""COMPUTED_VALUE"""),4.4559)</f>
        <v>4.4559</v>
      </c>
    </row>
    <row r="2367">
      <c r="D2367" s="6">
        <f>IFERROR(__xludf.DUMMYFUNCTION("""COMPUTED_VALUE"""),41534.99861111111)</f>
        <v>41534.99861</v>
      </c>
      <c r="E2367" s="3">
        <f>IFERROR(__xludf.DUMMYFUNCTION("""COMPUTED_VALUE"""),4.4769)</f>
        <v>4.4769</v>
      </c>
    </row>
    <row r="2368">
      <c r="D2368" s="6">
        <f>IFERROR(__xludf.DUMMYFUNCTION("""COMPUTED_VALUE"""),41535.99861111111)</f>
        <v>41535.99861</v>
      </c>
      <c r="E2368" s="3">
        <f>IFERROR(__xludf.DUMMYFUNCTION("""COMPUTED_VALUE"""),4.473)</f>
        <v>4.473</v>
      </c>
    </row>
    <row r="2369">
      <c r="D2369" s="6">
        <f>IFERROR(__xludf.DUMMYFUNCTION("""COMPUTED_VALUE"""),41536.99861111111)</f>
        <v>41536.99861</v>
      </c>
      <c r="E2369" s="3">
        <f>IFERROR(__xludf.DUMMYFUNCTION("""COMPUTED_VALUE"""),4.4561)</f>
        <v>4.4561</v>
      </c>
    </row>
    <row r="2370">
      <c r="D2370" s="6">
        <f>IFERROR(__xludf.DUMMYFUNCTION("""COMPUTED_VALUE"""),41537.99861111111)</f>
        <v>41537.99861</v>
      </c>
      <c r="E2370" s="3">
        <f>IFERROR(__xludf.DUMMYFUNCTION("""COMPUTED_VALUE"""),4.4619)</f>
        <v>4.4619</v>
      </c>
    </row>
    <row r="2371">
      <c r="D2371" s="6">
        <f>IFERROR(__xludf.DUMMYFUNCTION("""COMPUTED_VALUE"""),41539.99861111111)</f>
        <v>41539.99861</v>
      </c>
      <c r="E2371" s="3">
        <f>IFERROR(__xludf.DUMMYFUNCTION("""COMPUTED_VALUE"""),4.4619)</f>
        <v>4.4619</v>
      </c>
    </row>
    <row r="2372">
      <c r="D2372" s="6">
        <f>IFERROR(__xludf.DUMMYFUNCTION("""COMPUTED_VALUE"""),41540.99861111111)</f>
        <v>41540.99861</v>
      </c>
      <c r="E2372" s="3">
        <f>IFERROR(__xludf.DUMMYFUNCTION("""COMPUTED_VALUE"""),4.4637)</f>
        <v>4.4637</v>
      </c>
    </row>
    <row r="2373">
      <c r="D2373" s="6">
        <f>IFERROR(__xludf.DUMMYFUNCTION("""COMPUTED_VALUE"""),41541.99861111111)</f>
        <v>41541.99861</v>
      </c>
      <c r="E2373" s="3">
        <f>IFERROR(__xludf.DUMMYFUNCTION("""COMPUTED_VALUE"""),4.473)</f>
        <v>4.473</v>
      </c>
    </row>
    <row r="2374">
      <c r="D2374" s="6">
        <f>IFERROR(__xludf.DUMMYFUNCTION("""COMPUTED_VALUE"""),41542.99861111111)</f>
        <v>41542.99861</v>
      </c>
      <c r="E2374" s="3">
        <f>IFERROR(__xludf.DUMMYFUNCTION("""COMPUTED_VALUE"""),4.4563)</f>
        <v>4.4563</v>
      </c>
    </row>
    <row r="2375">
      <c r="D2375" s="6">
        <f>IFERROR(__xludf.DUMMYFUNCTION("""COMPUTED_VALUE"""),41543.99861111111)</f>
        <v>41543.99861</v>
      </c>
      <c r="E2375" s="3">
        <f>IFERROR(__xludf.DUMMYFUNCTION("""COMPUTED_VALUE"""),4.4615)</f>
        <v>4.4615</v>
      </c>
    </row>
    <row r="2376">
      <c r="D2376" s="6">
        <f>IFERROR(__xludf.DUMMYFUNCTION("""COMPUTED_VALUE"""),41544.99861111111)</f>
        <v>41544.99861</v>
      </c>
      <c r="E2376" s="3">
        <f>IFERROR(__xludf.DUMMYFUNCTION("""COMPUTED_VALUE"""),4.4577)</f>
        <v>4.4577</v>
      </c>
    </row>
    <row r="2377">
      <c r="D2377" s="6">
        <f>IFERROR(__xludf.DUMMYFUNCTION("""COMPUTED_VALUE"""),41546.99861111111)</f>
        <v>41546.99861</v>
      </c>
      <c r="E2377" s="3">
        <f>IFERROR(__xludf.DUMMYFUNCTION("""COMPUTED_VALUE"""),4.4573)</f>
        <v>4.4573</v>
      </c>
    </row>
    <row r="2378">
      <c r="D2378" s="6">
        <f>IFERROR(__xludf.DUMMYFUNCTION("""COMPUTED_VALUE"""),41547.99861111111)</f>
        <v>41547.99861</v>
      </c>
      <c r="E2378" s="3">
        <f>IFERROR(__xludf.DUMMYFUNCTION("""COMPUTED_VALUE"""),4.4573)</f>
        <v>4.4573</v>
      </c>
    </row>
    <row r="2379">
      <c r="D2379" s="6">
        <f>IFERROR(__xludf.DUMMYFUNCTION("""COMPUTED_VALUE"""),41548.99861111111)</f>
        <v>41548.99861</v>
      </c>
      <c r="E2379" s="3">
        <f>IFERROR(__xludf.DUMMYFUNCTION("""COMPUTED_VALUE"""),4.4453)</f>
        <v>4.4453</v>
      </c>
    </row>
    <row r="2380">
      <c r="D2380" s="6">
        <f>IFERROR(__xludf.DUMMYFUNCTION("""COMPUTED_VALUE"""),41549.99861111111)</f>
        <v>41549.99861</v>
      </c>
      <c r="E2380" s="3">
        <f>IFERROR(__xludf.DUMMYFUNCTION("""COMPUTED_VALUE"""),4.44)</f>
        <v>4.44</v>
      </c>
    </row>
    <row r="2381">
      <c r="D2381" s="6">
        <f>IFERROR(__xludf.DUMMYFUNCTION("""COMPUTED_VALUE"""),41550.99861111111)</f>
        <v>41550.99861</v>
      </c>
      <c r="E2381" s="3">
        <f>IFERROR(__xludf.DUMMYFUNCTION("""COMPUTED_VALUE"""),4.4291)</f>
        <v>4.4291</v>
      </c>
    </row>
    <row r="2382">
      <c r="D2382" s="6">
        <f>IFERROR(__xludf.DUMMYFUNCTION("""COMPUTED_VALUE"""),41551.99861111111)</f>
        <v>41551.99861</v>
      </c>
      <c r="E2382" s="3">
        <f>IFERROR(__xludf.DUMMYFUNCTION("""COMPUTED_VALUE"""),4.4247)</f>
        <v>4.4247</v>
      </c>
    </row>
    <row r="2383">
      <c r="D2383" s="6">
        <f>IFERROR(__xludf.DUMMYFUNCTION("""COMPUTED_VALUE"""),41553.99861111111)</f>
        <v>41553.99861</v>
      </c>
      <c r="E2383" s="3">
        <f>IFERROR(__xludf.DUMMYFUNCTION("""COMPUTED_VALUE"""),4.4247)</f>
        <v>4.4247</v>
      </c>
    </row>
    <row r="2384">
      <c r="D2384" s="6">
        <f>IFERROR(__xludf.DUMMYFUNCTION("""COMPUTED_VALUE"""),41554.99861111111)</f>
        <v>41554.99861</v>
      </c>
      <c r="E2384" s="3">
        <f>IFERROR(__xludf.DUMMYFUNCTION("""COMPUTED_VALUE"""),4.419)</f>
        <v>4.419</v>
      </c>
    </row>
    <row r="2385">
      <c r="D2385" s="6">
        <f>IFERROR(__xludf.DUMMYFUNCTION("""COMPUTED_VALUE"""),41555.99861111111)</f>
        <v>41555.99861</v>
      </c>
      <c r="E2385" s="3">
        <f>IFERROR(__xludf.DUMMYFUNCTION("""COMPUTED_VALUE"""),4.439)</f>
        <v>4.439</v>
      </c>
    </row>
    <row r="2386">
      <c r="D2386" s="6">
        <f>IFERROR(__xludf.DUMMYFUNCTION("""COMPUTED_VALUE"""),41556.99861111111)</f>
        <v>41556.99861</v>
      </c>
      <c r="E2386" s="3">
        <f>IFERROR(__xludf.DUMMYFUNCTION("""COMPUTED_VALUE"""),4.462)</f>
        <v>4.462</v>
      </c>
    </row>
    <row r="2387">
      <c r="D2387" s="6">
        <f>IFERROR(__xludf.DUMMYFUNCTION("""COMPUTED_VALUE"""),41557.99861111111)</f>
        <v>41557.99861</v>
      </c>
      <c r="E2387" s="3">
        <f>IFERROR(__xludf.DUMMYFUNCTION("""COMPUTED_VALUE"""),4.4509)</f>
        <v>4.4509</v>
      </c>
    </row>
    <row r="2388">
      <c r="D2388" s="6">
        <f>IFERROR(__xludf.DUMMYFUNCTION("""COMPUTED_VALUE"""),41558.99861111111)</f>
        <v>41558.99861</v>
      </c>
      <c r="E2388" s="3">
        <f>IFERROR(__xludf.DUMMYFUNCTION("""COMPUTED_VALUE"""),4.45)</f>
        <v>4.45</v>
      </c>
    </row>
    <row r="2389">
      <c r="D2389" s="6">
        <f>IFERROR(__xludf.DUMMYFUNCTION("""COMPUTED_VALUE"""),41561.99861111111)</f>
        <v>41561.99861</v>
      </c>
      <c r="E2389" s="3">
        <f>IFERROR(__xludf.DUMMYFUNCTION("""COMPUTED_VALUE"""),4.4583)</f>
        <v>4.4583</v>
      </c>
    </row>
    <row r="2390">
      <c r="D2390" s="6">
        <f>IFERROR(__xludf.DUMMYFUNCTION("""COMPUTED_VALUE"""),41562.99861111111)</f>
        <v>41562.99861</v>
      </c>
      <c r="E2390" s="3">
        <f>IFERROR(__xludf.DUMMYFUNCTION("""COMPUTED_VALUE"""),4.4655)</f>
        <v>4.4655</v>
      </c>
    </row>
    <row r="2391">
      <c r="D2391" s="6">
        <f>IFERROR(__xludf.DUMMYFUNCTION("""COMPUTED_VALUE"""),41563.99861111111)</f>
        <v>41563.99861</v>
      </c>
      <c r="E2391" s="3">
        <f>IFERROR(__xludf.DUMMYFUNCTION("""COMPUTED_VALUE"""),4.445)</f>
        <v>4.445</v>
      </c>
    </row>
    <row r="2392">
      <c r="D2392" s="6">
        <f>IFERROR(__xludf.DUMMYFUNCTION("""COMPUTED_VALUE"""),41564.99861111111)</f>
        <v>41564.99861</v>
      </c>
      <c r="E2392" s="3">
        <f>IFERROR(__xludf.DUMMYFUNCTION("""COMPUTED_VALUE"""),4.446)</f>
        <v>4.446</v>
      </c>
    </row>
    <row r="2393">
      <c r="D2393" s="6">
        <f>IFERROR(__xludf.DUMMYFUNCTION("""COMPUTED_VALUE"""),41565.99861111111)</f>
        <v>41565.99861</v>
      </c>
      <c r="E2393" s="3">
        <f>IFERROR(__xludf.DUMMYFUNCTION("""COMPUTED_VALUE"""),4.4455)</f>
        <v>4.4455</v>
      </c>
    </row>
    <row r="2394">
      <c r="D2394" s="6">
        <f>IFERROR(__xludf.DUMMYFUNCTION("""COMPUTED_VALUE"""),41567.99861111111)</f>
        <v>41567.99861</v>
      </c>
      <c r="E2394" s="3">
        <f>IFERROR(__xludf.DUMMYFUNCTION("""COMPUTED_VALUE"""),4.4311)</f>
        <v>4.4311</v>
      </c>
    </row>
    <row r="2395">
      <c r="D2395" s="6">
        <f>IFERROR(__xludf.DUMMYFUNCTION("""COMPUTED_VALUE"""),41568.99861111111)</f>
        <v>41568.99861</v>
      </c>
      <c r="E2395" s="3">
        <f>IFERROR(__xludf.DUMMYFUNCTION("""COMPUTED_VALUE"""),4.4311)</f>
        <v>4.4311</v>
      </c>
    </row>
    <row r="2396">
      <c r="D2396" s="6">
        <f>IFERROR(__xludf.DUMMYFUNCTION("""COMPUTED_VALUE"""),41569.99861111111)</f>
        <v>41569.99861</v>
      </c>
      <c r="E2396" s="3">
        <f>IFERROR(__xludf.DUMMYFUNCTION("""COMPUTED_VALUE"""),4.4245)</f>
        <v>4.4245</v>
      </c>
    </row>
    <row r="2397">
      <c r="D2397" s="6">
        <f>IFERROR(__xludf.DUMMYFUNCTION("""COMPUTED_VALUE"""),41570.99861111111)</f>
        <v>41570.99861</v>
      </c>
      <c r="E2397" s="3">
        <f>IFERROR(__xludf.DUMMYFUNCTION("""COMPUTED_VALUE"""),4.4373)</f>
        <v>4.4373</v>
      </c>
    </row>
    <row r="2398">
      <c r="D2398" s="6">
        <f>IFERROR(__xludf.DUMMYFUNCTION("""COMPUTED_VALUE"""),41571.99861111111)</f>
        <v>41571.99861</v>
      </c>
      <c r="E2398" s="3">
        <f>IFERROR(__xludf.DUMMYFUNCTION("""COMPUTED_VALUE"""),4.4491)</f>
        <v>4.4491</v>
      </c>
    </row>
    <row r="2399">
      <c r="D2399" s="6">
        <f>IFERROR(__xludf.DUMMYFUNCTION("""COMPUTED_VALUE"""),41572.99861111111)</f>
        <v>41572.99861</v>
      </c>
      <c r="E2399" s="3">
        <f>IFERROR(__xludf.DUMMYFUNCTION("""COMPUTED_VALUE"""),4.4435)</f>
        <v>4.4435</v>
      </c>
    </row>
    <row r="2400">
      <c r="D2400" s="6">
        <f>IFERROR(__xludf.DUMMYFUNCTION("""COMPUTED_VALUE"""),41574.99861111111)</f>
        <v>41574.99861</v>
      </c>
      <c r="E2400" s="3">
        <f>IFERROR(__xludf.DUMMYFUNCTION("""COMPUTED_VALUE"""),4.4435)</f>
        <v>4.4435</v>
      </c>
    </row>
    <row r="2401">
      <c r="D2401" s="6">
        <f>IFERROR(__xludf.DUMMYFUNCTION("""COMPUTED_VALUE"""),41575.99861111111)</f>
        <v>41575.99861</v>
      </c>
      <c r="E2401" s="3">
        <f>IFERROR(__xludf.DUMMYFUNCTION("""COMPUTED_VALUE"""),4.4383)</f>
        <v>4.4383</v>
      </c>
    </row>
    <row r="2402">
      <c r="D2402" s="6">
        <f>IFERROR(__xludf.DUMMYFUNCTION("""COMPUTED_VALUE"""),41576.99861111111)</f>
        <v>41576.99861</v>
      </c>
      <c r="E2402" s="3">
        <f>IFERROR(__xludf.DUMMYFUNCTION("""COMPUTED_VALUE"""),4.4358)</f>
        <v>4.4358</v>
      </c>
    </row>
    <row r="2403">
      <c r="D2403" s="6">
        <f>IFERROR(__xludf.DUMMYFUNCTION("""COMPUTED_VALUE"""),41577.99861111111)</f>
        <v>41577.99861</v>
      </c>
      <c r="E2403" s="3">
        <f>IFERROR(__xludf.DUMMYFUNCTION("""COMPUTED_VALUE"""),4.4258)</f>
        <v>4.4258</v>
      </c>
    </row>
    <row r="2404">
      <c r="D2404" s="6">
        <f>IFERROR(__xludf.DUMMYFUNCTION("""COMPUTED_VALUE"""),41578.99861111111)</f>
        <v>41578.99861</v>
      </c>
      <c r="E2404" s="3">
        <f>IFERROR(__xludf.DUMMYFUNCTION("""COMPUTED_VALUE"""),4.434)</f>
        <v>4.434</v>
      </c>
    </row>
    <row r="2405">
      <c r="D2405" s="6">
        <f>IFERROR(__xludf.DUMMYFUNCTION("""COMPUTED_VALUE"""),41579.99861111111)</f>
        <v>41579.99861</v>
      </c>
      <c r="E2405" s="3">
        <f>IFERROR(__xludf.DUMMYFUNCTION("""COMPUTED_VALUE"""),4.4389)</f>
        <v>4.4389</v>
      </c>
    </row>
    <row r="2406">
      <c r="D2406" s="6">
        <f>IFERROR(__xludf.DUMMYFUNCTION("""COMPUTED_VALUE"""),41582.99861111111)</f>
        <v>41582.99861</v>
      </c>
      <c r="E2406" s="3">
        <f>IFERROR(__xludf.DUMMYFUNCTION("""COMPUTED_VALUE"""),4.4368)</f>
        <v>4.4368</v>
      </c>
    </row>
    <row r="2407">
      <c r="D2407" s="6">
        <f>IFERROR(__xludf.DUMMYFUNCTION("""COMPUTED_VALUE"""),41583.99861111111)</f>
        <v>41583.99861</v>
      </c>
      <c r="E2407" s="3">
        <f>IFERROR(__xludf.DUMMYFUNCTION("""COMPUTED_VALUE"""),4.44)</f>
        <v>4.44</v>
      </c>
    </row>
    <row r="2408">
      <c r="D2408" s="6">
        <f>IFERROR(__xludf.DUMMYFUNCTION("""COMPUTED_VALUE"""),41584.99861111111)</f>
        <v>41584.99861</v>
      </c>
      <c r="E2408" s="3">
        <f>IFERROR(__xludf.DUMMYFUNCTION("""COMPUTED_VALUE"""),4.4288)</f>
        <v>4.4288</v>
      </c>
    </row>
    <row r="2409">
      <c r="D2409" s="6">
        <f>IFERROR(__xludf.DUMMYFUNCTION("""COMPUTED_VALUE"""),41585.99861111111)</f>
        <v>41585.99861</v>
      </c>
      <c r="E2409" s="3">
        <f>IFERROR(__xludf.DUMMYFUNCTION("""COMPUTED_VALUE"""),4.4433)</f>
        <v>4.4433</v>
      </c>
    </row>
    <row r="2410">
      <c r="D2410" s="6">
        <f>IFERROR(__xludf.DUMMYFUNCTION("""COMPUTED_VALUE"""),41586.99861111111)</f>
        <v>41586.99861</v>
      </c>
      <c r="E2410" s="3">
        <f>IFERROR(__xludf.DUMMYFUNCTION("""COMPUTED_VALUE"""),4.4443)</f>
        <v>4.4443</v>
      </c>
    </row>
    <row r="2411">
      <c r="D2411" s="6">
        <f>IFERROR(__xludf.DUMMYFUNCTION("""COMPUTED_VALUE"""),41588.99861111111)</f>
        <v>41588.99861</v>
      </c>
      <c r="E2411" s="3">
        <f>IFERROR(__xludf.DUMMYFUNCTION("""COMPUTED_VALUE"""),4.4443)</f>
        <v>4.4443</v>
      </c>
    </row>
    <row r="2412">
      <c r="D2412" s="6">
        <f>IFERROR(__xludf.DUMMYFUNCTION("""COMPUTED_VALUE"""),41589.99861111111)</f>
        <v>41589.99861</v>
      </c>
      <c r="E2412" s="3">
        <f>IFERROR(__xludf.DUMMYFUNCTION("""COMPUTED_VALUE"""),4.4525)</f>
        <v>4.4525</v>
      </c>
    </row>
    <row r="2413">
      <c r="D2413" s="6">
        <f>IFERROR(__xludf.DUMMYFUNCTION("""COMPUTED_VALUE"""),41590.99861111111)</f>
        <v>41590.99861</v>
      </c>
      <c r="E2413" s="3">
        <f>IFERROR(__xludf.DUMMYFUNCTION("""COMPUTED_VALUE"""),4.452)</f>
        <v>4.452</v>
      </c>
    </row>
    <row r="2414">
      <c r="D2414" s="6">
        <f>IFERROR(__xludf.DUMMYFUNCTION("""COMPUTED_VALUE"""),41591.99861111111)</f>
        <v>41591.99861</v>
      </c>
      <c r="E2414" s="3">
        <f>IFERROR(__xludf.DUMMYFUNCTION("""COMPUTED_VALUE"""),4.461)</f>
        <v>4.461</v>
      </c>
    </row>
    <row r="2415">
      <c r="D2415" s="6">
        <f>IFERROR(__xludf.DUMMYFUNCTION("""COMPUTED_VALUE"""),41592.99861111111)</f>
        <v>41592.99861</v>
      </c>
      <c r="E2415" s="3">
        <f>IFERROR(__xludf.DUMMYFUNCTION("""COMPUTED_VALUE"""),4.451)</f>
        <v>4.451</v>
      </c>
    </row>
    <row r="2416">
      <c r="D2416" s="6">
        <f>IFERROR(__xludf.DUMMYFUNCTION("""COMPUTED_VALUE"""),41593.99861111111)</f>
        <v>41593.99861</v>
      </c>
      <c r="E2416" s="3">
        <f>IFERROR(__xludf.DUMMYFUNCTION("""COMPUTED_VALUE"""),4.4505)</f>
        <v>4.4505</v>
      </c>
    </row>
    <row r="2417">
      <c r="D2417" s="6">
        <f>IFERROR(__xludf.DUMMYFUNCTION("""COMPUTED_VALUE"""),41595.99861111111)</f>
        <v>41595.99861</v>
      </c>
      <c r="E2417" s="3">
        <f>IFERROR(__xludf.DUMMYFUNCTION("""COMPUTED_VALUE"""),4.443)</f>
        <v>4.443</v>
      </c>
    </row>
    <row r="2418">
      <c r="D2418" s="6">
        <f>IFERROR(__xludf.DUMMYFUNCTION("""COMPUTED_VALUE"""),41596.99861111111)</f>
        <v>41596.99861</v>
      </c>
      <c r="E2418" s="3">
        <f>IFERROR(__xludf.DUMMYFUNCTION("""COMPUTED_VALUE"""),4.443)</f>
        <v>4.443</v>
      </c>
    </row>
    <row r="2419">
      <c r="D2419" s="6">
        <f>IFERROR(__xludf.DUMMYFUNCTION("""COMPUTED_VALUE"""),41597.99861111111)</f>
        <v>41597.99861</v>
      </c>
      <c r="E2419" s="3">
        <f>IFERROR(__xludf.DUMMYFUNCTION("""COMPUTED_VALUE"""),4.444)</f>
        <v>4.444</v>
      </c>
    </row>
    <row r="2420">
      <c r="D2420" s="6">
        <f>IFERROR(__xludf.DUMMYFUNCTION("""COMPUTED_VALUE"""),41598.99861111111)</f>
        <v>41598.99861</v>
      </c>
      <c r="E2420" s="3">
        <f>IFERROR(__xludf.DUMMYFUNCTION("""COMPUTED_VALUE"""),4.444)</f>
        <v>4.444</v>
      </c>
    </row>
    <row r="2421">
      <c r="D2421" s="6">
        <f>IFERROR(__xludf.DUMMYFUNCTION("""COMPUTED_VALUE"""),41599.99861111111)</f>
        <v>41599.99861</v>
      </c>
      <c r="E2421" s="3">
        <f>IFERROR(__xludf.DUMMYFUNCTION("""COMPUTED_VALUE"""),4.4498)</f>
        <v>4.4498</v>
      </c>
    </row>
    <row r="2422">
      <c r="D2422" s="6">
        <f>IFERROR(__xludf.DUMMYFUNCTION("""COMPUTED_VALUE"""),41600.99861111111)</f>
        <v>41600.99861</v>
      </c>
      <c r="E2422" s="3">
        <f>IFERROR(__xludf.DUMMYFUNCTION("""COMPUTED_VALUE"""),4.4481)</f>
        <v>4.4481</v>
      </c>
    </row>
    <row r="2423">
      <c r="D2423" s="6">
        <f>IFERROR(__xludf.DUMMYFUNCTION("""COMPUTED_VALUE"""),41603.99861111111)</f>
        <v>41603.99861</v>
      </c>
      <c r="E2423" s="3">
        <f>IFERROR(__xludf.DUMMYFUNCTION("""COMPUTED_VALUE"""),4.4427)</f>
        <v>4.4427</v>
      </c>
    </row>
    <row r="2424">
      <c r="D2424" s="6">
        <f>IFERROR(__xludf.DUMMYFUNCTION("""COMPUTED_VALUE"""),41604.99861111111)</f>
        <v>41604.99861</v>
      </c>
      <c r="E2424" s="3">
        <f>IFERROR(__xludf.DUMMYFUNCTION("""COMPUTED_VALUE"""),4.4398)</f>
        <v>4.4398</v>
      </c>
    </row>
    <row r="2425">
      <c r="D2425" s="6">
        <f>IFERROR(__xludf.DUMMYFUNCTION("""COMPUTED_VALUE"""),41605.99861111111)</f>
        <v>41605.99861</v>
      </c>
      <c r="E2425" s="3">
        <f>IFERROR(__xludf.DUMMYFUNCTION("""COMPUTED_VALUE"""),4.4372)</f>
        <v>4.4372</v>
      </c>
    </row>
    <row r="2426">
      <c r="D2426" s="6">
        <f>IFERROR(__xludf.DUMMYFUNCTION("""COMPUTED_VALUE"""),41606.99861111111)</f>
        <v>41606.99861</v>
      </c>
      <c r="E2426" s="3">
        <f>IFERROR(__xludf.DUMMYFUNCTION("""COMPUTED_VALUE"""),4.4346)</f>
        <v>4.4346</v>
      </c>
    </row>
    <row r="2427">
      <c r="D2427" s="6">
        <f>IFERROR(__xludf.DUMMYFUNCTION("""COMPUTED_VALUE"""),41607.99861111111)</f>
        <v>41607.99861</v>
      </c>
      <c r="E2427" s="3">
        <f>IFERROR(__xludf.DUMMYFUNCTION("""COMPUTED_VALUE"""),4.4309)</f>
        <v>4.4309</v>
      </c>
    </row>
    <row r="2428">
      <c r="D2428" s="6">
        <f>IFERROR(__xludf.DUMMYFUNCTION("""COMPUTED_VALUE"""),41609.99861111111)</f>
        <v>41609.99861</v>
      </c>
      <c r="E2428" s="3">
        <f>IFERROR(__xludf.DUMMYFUNCTION("""COMPUTED_VALUE"""),4.4309)</f>
        <v>4.4309</v>
      </c>
    </row>
    <row r="2429">
      <c r="D2429" s="6">
        <f>IFERROR(__xludf.DUMMYFUNCTION("""COMPUTED_VALUE"""),41610.99861111111)</f>
        <v>41610.99861</v>
      </c>
      <c r="E2429" s="3">
        <f>IFERROR(__xludf.DUMMYFUNCTION("""COMPUTED_VALUE"""),4.44)</f>
        <v>4.44</v>
      </c>
    </row>
    <row r="2430">
      <c r="D2430" s="6">
        <f>IFERROR(__xludf.DUMMYFUNCTION("""COMPUTED_VALUE"""),41611.99861111111)</f>
        <v>41611.99861</v>
      </c>
      <c r="E2430" s="3">
        <f>IFERROR(__xludf.DUMMYFUNCTION("""COMPUTED_VALUE"""),4.4536)</f>
        <v>4.4536</v>
      </c>
    </row>
    <row r="2431">
      <c r="D2431" s="6">
        <f>IFERROR(__xludf.DUMMYFUNCTION("""COMPUTED_VALUE"""),41612.99861111111)</f>
        <v>41612.99861</v>
      </c>
      <c r="E2431" s="3">
        <f>IFERROR(__xludf.DUMMYFUNCTION("""COMPUTED_VALUE"""),4.468)</f>
        <v>4.468</v>
      </c>
    </row>
    <row r="2432">
      <c r="D2432" s="6">
        <f>IFERROR(__xludf.DUMMYFUNCTION("""COMPUTED_VALUE"""),41613.99861111111)</f>
        <v>41613.99861</v>
      </c>
      <c r="E2432" s="3">
        <f>IFERROR(__xludf.DUMMYFUNCTION("""COMPUTED_VALUE"""),4.466)</f>
        <v>4.466</v>
      </c>
    </row>
    <row r="2433">
      <c r="D2433" s="6">
        <f>IFERROR(__xludf.DUMMYFUNCTION("""COMPUTED_VALUE"""),41614.99861111111)</f>
        <v>41614.99861</v>
      </c>
      <c r="E2433" s="3">
        <f>IFERROR(__xludf.DUMMYFUNCTION("""COMPUTED_VALUE"""),4.4515)</f>
        <v>4.4515</v>
      </c>
    </row>
    <row r="2434">
      <c r="D2434" s="6">
        <f>IFERROR(__xludf.DUMMYFUNCTION("""COMPUTED_VALUE"""),41616.99861111111)</f>
        <v>41616.99861</v>
      </c>
      <c r="E2434" s="3">
        <f>IFERROR(__xludf.DUMMYFUNCTION("""COMPUTED_VALUE"""),4.4462)</f>
        <v>4.4462</v>
      </c>
    </row>
    <row r="2435">
      <c r="D2435" s="6">
        <f>IFERROR(__xludf.DUMMYFUNCTION("""COMPUTED_VALUE"""),41617.99861111111)</f>
        <v>41617.99861</v>
      </c>
      <c r="E2435" s="3">
        <f>IFERROR(__xludf.DUMMYFUNCTION("""COMPUTED_VALUE"""),4.4462)</f>
        <v>4.4462</v>
      </c>
    </row>
    <row r="2436">
      <c r="D2436" s="6">
        <f>IFERROR(__xludf.DUMMYFUNCTION("""COMPUTED_VALUE"""),41618.99861111111)</f>
        <v>41618.99861</v>
      </c>
      <c r="E2436" s="3">
        <f>IFERROR(__xludf.DUMMYFUNCTION("""COMPUTED_VALUE"""),4.4494)</f>
        <v>4.4494</v>
      </c>
    </row>
    <row r="2437">
      <c r="D2437" s="6">
        <f>IFERROR(__xludf.DUMMYFUNCTION("""COMPUTED_VALUE"""),41619.99861111111)</f>
        <v>41619.99861</v>
      </c>
      <c r="E2437" s="3">
        <f>IFERROR(__xludf.DUMMYFUNCTION("""COMPUTED_VALUE"""),4.4464)</f>
        <v>4.4464</v>
      </c>
    </row>
    <row r="2438">
      <c r="D2438" s="6">
        <f>IFERROR(__xludf.DUMMYFUNCTION("""COMPUTED_VALUE"""),41620.99861111111)</f>
        <v>41620.99861</v>
      </c>
      <c r="E2438" s="3">
        <f>IFERROR(__xludf.DUMMYFUNCTION("""COMPUTED_VALUE"""),4.4513)</f>
        <v>4.4513</v>
      </c>
    </row>
    <row r="2439">
      <c r="D2439" s="6">
        <f>IFERROR(__xludf.DUMMYFUNCTION("""COMPUTED_VALUE"""),41621.99861111111)</f>
        <v>41621.99861</v>
      </c>
      <c r="E2439" s="3">
        <f>IFERROR(__xludf.DUMMYFUNCTION("""COMPUTED_VALUE"""),4.4517)</f>
        <v>4.4517</v>
      </c>
    </row>
    <row r="2440">
      <c r="D2440" s="6">
        <f>IFERROR(__xludf.DUMMYFUNCTION("""COMPUTED_VALUE"""),41623.99861111111)</f>
        <v>41623.99861</v>
      </c>
      <c r="E2440" s="3">
        <f>IFERROR(__xludf.DUMMYFUNCTION("""COMPUTED_VALUE"""),4.4517)</f>
        <v>4.4517</v>
      </c>
    </row>
    <row r="2441">
      <c r="D2441" s="6">
        <f>IFERROR(__xludf.DUMMYFUNCTION("""COMPUTED_VALUE"""),41624.99861111111)</f>
        <v>41624.99861</v>
      </c>
      <c r="E2441" s="3">
        <f>IFERROR(__xludf.DUMMYFUNCTION("""COMPUTED_VALUE"""),4.453)</f>
        <v>4.453</v>
      </c>
    </row>
    <row r="2442">
      <c r="D2442" s="6">
        <f>IFERROR(__xludf.DUMMYFUNCTION("""COMPUTED_VALUE"""),41625.99861111111)</f>
        <v>41625.99861</v>
      </c>
      <c r="E2442" s="3">
        <f>IFERROR(__xludf.DUMMYFUNCTION("""COMPUTED_VALUE"""),4.468)</f>
        <v>4.468</v>
      </c>
    </row>
    <row r="2443">
      <c r="D2443" s="6">
        <f>IFERROR(__xludf.DUMMYFUNCTION("""COMPUTED_VALUE"""),41626.99861111111)</f>
        <v>41626.99861</v>
      </c>
      <c r="E2443" s="3">
        <f>IFERROR(__xludf.DUMMYFUNCTION("""COMPUTED_VALUE"""),4.472)</f>
        <v>4.472</v>
      </c>
    </row>
    <row r="2444">
      <c r="D2444" s="6">
        <f>IFERROR(__xludf.DUMMYFUNCTION("""COMPUTED_VALUE"""),41627.99861111111)</f>
        <v>41627.99861</v>
      </c>
      <c r="E2444" s="3">
        <f>IFERROR(__xludf.DUMMYFUNCTION("""COMPUTED_VALUE"""),4.4832)</f>
        <v>4.4832</v>
      </c>
    </row>
    <row r="2445">
      <c r="D2445" s="6">
        <f>IFERROR(__xludf.DUMMYFUNCTION("""COMPUTED_VALUE"""),41628.99861111111)</f>
        <v>41628.99861</v>
      </c>
      <c r="E2445" s="3">
        <f>IFERROR(__xludf.DUMMYFUNCTION("""COMPUTED_VALUE"""),4.4802)</f>
        <v>4.4802</v>
      </c>
    </row>
    <row r="2446">
      <c r="D2446" s="6">
        <f>IFERROR(__xludf.DUMMYFUNCTION("""COMPUTED_VALUE"""),41630.99861111111)</f>
        <v>41630.99861</v>
      </c>
      <c r="E2446" s="3">
        <f>IFERROR(__xludf.DUMMYFUNCTION("""COMPUTED_VALUE"""),4.4802)</f>
        <v>4.4802</v>
      </c>
    </row>
    <row r="2447">
      <c r="D2447" s="6">
        <f>IFERROR(__xludf.DUMMYFUNCTION("""COMPUTED_VALUE"""),41631.99861111111)</f>
        <v>41631.99861</v>
      </c>
      <c r="E2447" s="3">
        <f>IFERROR(__xludf.DUMMYFUNCTION("""COMPUTED_VALUE"""),4.4747)</f>
        <v>4.4747</v>
      </c>
    </row>
    <row r="2448">
      <c r="D2448" s="6">
        <f>IFERROR(__xludf.DUMMYFUNCTION("""COMPUTED_VALUE"""),41632.99861111111)</f>
        <v>41632.99861</v>
      </c>
      <c r="E2448" s="3">
        <f>IFERROR(__xludf.DUMMYFUNCTION("""COMPUTED_VALUE"""),4.4628)</f>
        <v>4.4628</v>
      </c>
    </row>
    <row r="2449">
      <c r="D2449" s="6">
        <f>IFERROR(__xludf.DUMMYFUNCTION("""COMPUTED_VALUE"""),41633.99861111111)</f>
        <v>41633.99861</v>
      </c>
      <c r="E2449" s="3">
        <f>IFERROR(__xludf.DUMMYFUNCTION("""COMPUTED_VALUE"""),4.4628)</f>
        <v>4.4628</v>
      </c>
    </row>
    <row r="2450">
      <c r="D2450" s="6">
        <f>IFERROR(__xludf.DUMMYFUNCTION("""COMPUTED_VALUE"""),41634.99861111111)</f>
        <v>41634.99861</v>
      </c>
      <c r="E2450" s="3">
        <f>IFERROR(__xludf.DUMMYFUNCTION("""COMPUTED_VALUE"""),4.4628)</f>
        <v>4.4628</v>
      </c>
    </row>
    <row r="2451">
      <c r="D2451" s="6">
        <f>IFERROR(__xludf.DUMMYFUNCTION("""COMPUTED_VALUE"""),41635.99861111111)</f>
        <v>41635.99861</v>
      </c>
      <c r="E2451" s="3">
        <f>IFERROR(__xludf.DUMMYFUNCTION("""COMPUTED_VALUE"""),4.4597)</f>
        <v>4.4597</v>
      </c>
    </row>
    <row r="2452">
      <c r="D2452" s="6">
        <f>IFERROR(__xludf.DUMMYFUNCTION("""COMPUTED_VALUE"""),41637.99861111111)</f>
        <v>41637.99861</v>
      </c>
      <c r="E2452" s="3">
        <f>IFERROR(__xludf.DUMMYFUNCTION("""COMPUTED_VALUE"""),4.4597)</f>
        <v>4.4597</v>
      </c>
    </row>
    <row r="2453">
      <c r="D2453" s="6">
        <f>IFERROR(__xludf.DUMMYFUNCTION("""COMPUTED_VALUE"""),41638.99861111111)</f>
        <v>41638.99861</v>
      </c>
      <c r="E2453" s="3">
        <f>IFERROR(__xludf.DUMMYFUNCTION("""COMPUTED_VALUE"""),4.4716)</f>
        <v>4.4716</v>
      </c>
    </row>
    <row r="2454">
      <c r="D2454" s="6">
        <f>IFERROR(__xludf.DUMMYFUNCTION("""COMPUTED_VALUE"""),41639.99861111111)</f>
        <v>41639.99861</v>
      </c>
      <c r="E2454" s="3">
        <f>IFERROR(__xludf.DUMMYFUNCTION("""COMPUTED_VALUE"""),4.46)</f>
        <v>4.46</v>
      </c>
    </row>
    <row r="2455">
      <c r="D2455" s="6">
        <f>IFERROR(__xludf.DUMMYFUNCTION("""COMPUTED_VALUE"""),41640.99861111111)</f>
        <v>41640.99861</v>
      </c>
      <c r="E2455" s="3">
        <f>IFERROR(__xludf.DUMMYFUNCTION("""COMPUTED_VALUE"""),4.46)</f>
        <v>4.46</v>
      </c>
    </row>
    <row r="2456">
      <c r="D2456" s="6">
        <f>IFERROR(__xludf.DUMMYFUNCTION("""COMPUTED_VALUE"""),41641.99861111111)</f>
        <v>41641.99861</v>
      </c>
      <c r="E2456" s="3">
        <f>IFERROR(__xludf.DUMMYFUNCTION("""COMPUTED_VALUE"""),4.4733)</f>
        <v>4.4733</v>
      </c>
    </row>
    <row r="2457">
      <c r="D2457" s="6">
        <f>IFERROR(__xludf.DUMMYFUNCTION("""COMPUTED_VALUE"""),41642.99861111111)</f>
        <v>41642.99861</v>
      </c>
      <c r="E2457" s="3">
        <f>IFERROR(__xludf.DUMMYFUNCTION("""COMPUTED_VALUE"""),4.4925)</f>
        <v>4.4925</v>
      </c>
    </row>
    <row r="2458">
      <c r="D2458" s="6">
        <f>IFERROR(__xludf.DUMMYFUNCTION("""COMPUTED_VALUE"""),41644.99861111111)</f>
        <v>41644.99861</v>
      </c>
      <c r="E2458" s="3">
        <f>IFERROR(__xludf.DUMMYFUNCTION("""COMPUTED_VALUE"""),4.4925)</f>
        <v>4.4925</v>
      </c>
    </row>
    <row r="2459">
      <c r="D2459" s="6">
        <f>IFERROR(__xludf.DUMMYFUNCTION("""COMPUTED_VALUE"""),41645.99861111111)</f>
        <v>41645.99861</v>
      </c>
      <c r="E2459" s="3">
        <f>IFERROR(__xludf.DUMMYFUNCTION("""COMPUTED_VALUE"""),4.4954)</f>
        <v>4.4954</v>
      </c>
    </row>
    <row r="2460">
      <c r="D2460" s="6">
        <f>IFERROR(__xludf.DUMMYFUNCTION("""COMPUTED_VALUE"""),41646.99861111111)</f>
        <v>41646.99861</v>
      </c>
      <c r="E2460" s="3">
        <f>IFERROR(__xludf.DUMMYFUNCTION("""COMPUTED_VALUE"""),4.5)</f>
        <v>4.5</v>
      </c>
    </row>
    <row r="2461">
      <c r="D2461" s="6">
        <f>IFERROR(__xludf.DUMMYFUNCTION("""COMPUTED_VALUE"""),41647.99861111111)</f>
        <v>41647.99861</v>
      </c>
      <c r="E2461" s="3">
        <f>IFERROR(__xludf.DUMMYFUNCTION("""COMPUTED_VALUE"""),4.4996)</f>
        <v>4.4996</v>
      </c>
    </row>
    <row r="2462">
      <c r="D2462" s="6">
        <f>IFERROR(__xludf.DUMMYFUNCTION("""COMPUTED_VALUE"""),41648.99861111111)</f>
        <v>41648.99861</v>
      </c>
      <c r="E2462" s="3">
        <f>IFERROR(__xludf.DUMMYFUNCTION("""COMPUTED_VALUE"""),4.5378)</f>
        <v>4.5378</v>
      </c>
    </row>
    <row r="2463">
      <c r="D2463" s="6">
        <f>IFERROR(__xludf.DUMMYFUNCTION("""COMPUTED_VALUE"""),41649.99861111111)</f>
        <v>41649.99861</v>
      </c>
      <c r="E2463" s="3">
        <f>IFERROR(__xludf.DUMMYFUNCTION("""COMPUTED_VALUE"""),4.5395)</f>
        <v>4.5395</v>
      </c>
    </row>
    <row r="2464">
      <c r="D2464" s="6">
        <f>IFERROR(__xludf.DUMMYFUNCTION("""COMPUTED_VALUE"""),41651.99861111111)</f>
        <v>41651.99861</v>
      </c>
      <c r="E2464" s="3">
        <f>IFERROR(__xludf.DUMMYFUNCTION("""COMPUTED_VALUE"""),4.5395)</f>
        <v>4.5395</v>
      </c>
    </row>
    <row r="2465">
      <c r="D2465" s="6">
        <f>IFERROR(__xludf.DUMMYFUNCTION("""COMPUTED_VALUE"""),41652.99861111111)</f>
        <v>41652.99861</v>
      </c>
      <c r="E2465" s="3">
        <f>IFERROR(__xludf.DUMMYFUNCTION("""COMPUTED_VALUE"""),4.5218)</f>
        <v>4.5218</v>
      </c>
    </row>
    <row r="2466">
      <c r="D2466" s="6">
        <f>IFERROR(__xludf.DUMMYFUNCTION("""COMPUTED_VALUE"""),41653.99861111111)</f>
        <v>41653.99861</v>
      </c>
      <c r="E2466" s="3">
        <f>IFERROR(__xludf.DUMMYFUNCTION("""COMPUTED_VALUE"""),4.5273)</f>
        <v>4.5273</v>
      </c>
    </row>
    <row r="2467">
      <c r="D2467" s="6">
        <f>IFERROR(__xludf.DUMMYFUNCTION("""COMPUTED_VALUE"""),41654.99861111111)</f>
        <v>41654.99861</v>
      </c>
      <c r="E2467" s="3">
        <f>IFERROR(__xludf.DUMMYFUNCTION("""COMPUTED_VALUE"""),4.5321)</f>
        <v>4.5321</v>
      </c>
    </row>
    <row r="2468">
      <c r="D2468" s="6">
        <f>IFERROR(__xludf.DUMMYFUNCTION("""COMPUTED_VALUE"""),41655.99861111111)</f>
        <v>41655.99861</v>
      </c>
      <c r="E2468" s="3">
        <f>IFERROR(__xludf.DUMMYFUNCTION("""COMPUTED_VALUE"""),4.5348)</f>
        <v>4.5348</v>
      </c>
    </row>
    <row r="2469">
      <c r="D2469" s="6">
        <f>IFERROR(__xludf.DUMMYFUNCTION("""COMPUTED_VALUE"""),41656.99861111111)</f>
        <v>41656.99861</v>
      </c>
      <c r="E2469" s="3">
        <f>IFERROR(__xludf.DUMMYFUNCTION("""COMPUTED_VALUE"""),4.5332)</f>
        <v>4.5332</v>
      </c>
    </row>
    <row r="2470">
      <c r="D2470" s="6">
        <f>IFERROR(__xludf.DUMMYFUNCTION("""COMPUTED_VALUE"""),41658.99861111111)</f>
        <v>41658.99861</v>
      </c>
      <c r="E2470" s="3">
        <f>IFERROR(__xludf.DUMMYFUNCTION("""COMPUTED_VALUE"""),4.5332)</f>
        <v>4.5332</v>
      </c>
    </row>
    <row r="2471">
      <c r="D2471" s="6">
        <f>IFERROR(__xludf.DUMMYFUNCTION("""COMPUTED_VALUE"""),41659.99861111111)</f>
        <v>41659.99861</v>
      </c>
      <c r="E2471" s="3">
        <f>IFERROR(__xludf.DUMMYFUNCTION("""COMPUTED_VALUE"""),4.5329)</f>
        <v>4.5329</v>
      </c>
    </row>
    <row r="2472">
      <c r="D2472" s="6">
        <f>IFERROR(__xludf.DUMMYFUNCTION("""COMPUTED_VALUE"""),41660.99861111111)</f>
        <v>41660.99861</v>
      </c>
      <c r="E2472" s="3">
        <f>IFERROR(__xludf.DUMMYFUNCTION("""COMPUTED_VALUE"""),4.5298)</f>
        <v>4.5298</v>
      </c>
    </row>
    <row r="2473">
      <c r="D2473" s="6">
        <f>IFERROR(__xludf.DUMMYFUNCTION("""COMPUTED_VALUE"""),41661.99861111111)</f>
        <v>41661.99861</v>
      </c>
      <c r="E2473" s="3">
        <f>IFERROR(__xludf.DUMMYFUNCTION("""COMPUTED_VALUE"""),4.5272)</f>
        <v>4.5272</v>
      </c>
    </row>
    <row r="2474">
      <c r="D2474" s="6">
        <f>IFERROR(__xludf.DUMMYFUNCTION("""COMPUTED_VALUE"""),41662.99861111111)</f>
        <v>41662.99861</v>
      </c>
      <c r="E2474" s="3">
        <f>IFERROR(__xludf.DUMMYFUNCTION("""COMPUTED_VALUE"""),4.5271)</f>
        <v>4.5271</v>
      </c>
    </row>
    <row r="2475">
      <c r="D2475" s="6">
        <f>IFERROR(__xludf.DUMMYFUNCTION("""COMPUTED_VALUE"""),41663.99861111111)</f>
        <v>41663.99861</v>
      </c>
      <c r="E2475" s="3">
        <f>IFERROR(__xludf.DUMMYFUNCTION("""COMPUTED_VALUE"""),4.5343)</f>
        <v>4.5343</v>
      </c>
    </row>
    <row r="2476">
      <c r="D2476" s="6">
        <f>IFERROR(__xludf.DUMMYFUNCTION("""COMPUTED_VALUE"""),41665.99861111111)</f>
        <v>41665.99861</v>
      </c>
      <c r="E2476" s="3">
        <f>IFERROR(__xludf.DUMMYFUNCTION("""COMPUTED_VALUE"""),4.5343)</f>
        <v>4.5343</v>
      </c>
    </row>
    <row r="2477">
      <c r="D2477" s="6">
        <f>IFERROR(__xludf.DUMMYFUNCTION("""COMPUTED_VALUE"""),41666.99861111111)</f>
        <v>41666.99861</v>
      </c>
      <c r="E2477" s="3">
        <f>IFERROR(__xludf.DUMMYFUNCTION("""COMPUTED_VALUE"""),4.5373)</f>
        <v>4.5373</v>
      </c>
    </row>
    <row r="2478">
      <c r="D2478" s="6">
        <f>IFERROR(__xludf.DUMMYFUNCTION("""COMPUTED_VALUE"""),41667.99861111111)</f>
        <v>41667.99861</v>
      </c>
      <c r="E2478" s="3">
        <f>IFERROR(__xludf.DUMMYFUNCTION("""COMPUTED_VALUE"""),4.53)</f>
        <v>4.53</v>
      </c>
    </row>
    <row r="2479">
      <c r="D2479" s="6">
        <f>IFERROR(__xludf.DUMMYFUNCTION("""COMPUTED_VALUE"""),41668.99861111111)</f>
        <v>41668.99861</v>
      </c>
      <c r="E2479" s="3">
        <f>IFERROR(__xludf.DUMMYFUNCTION("""COMPUTED_VALUE"""),4.5223)</f>
        <v>4.5223</v>
      </c>
    </row>
    <row r="2480">
      <c r="D2480" s="6">
        <f>IFERROR(__xludf.DUMMYFUNCTION("""COMPUTED_VALUE"""),41669.99861111111)</f>
        <v>41669.99861</v>
      </c>
      <c r="E2480" s="3">
        <f>IFERROR(__xludf.DUMMYFUNCTION("""COMPUTED_VALUE"""),4.5123)</f>
        <v>4.5123</v>
      </c>
    </row>
    <row r="2481">
      <c r="D2481" s="6">
        <f>IFERROR(__xludf.DUMMYFUNCTION("""COMPUTED_VALUE"""),41670.99861111111)</f>
        <v>41670.99861</v>
      </c>
      <c r="E2481" s="3">
        <f>IFERROR(__xludf.DUMMYFUNCTION("""COMPUTED_VALUE"""),4.4962)</f>
        <v>4.4962</v>
      </c>
    </row>
    <row r="2482">
      <c r="D2482" s="6">
        <f>IFERROR(__xludf.DUMMYFUNCTION("""COMPUTED_VALUE"""),41672.99861111111)</f>
        <v>41672.99861</v>
      </c>
      <c r="E2482" s="3">
        <f>IFERROR(__xludf.DUMMYFUNCTION("""COMPUTED_VALUE"""),4.4962)</f>
        <v>4.4962</v>
      </c>
    </row>
    <row r="2483">
      <c r="D2483" s="6">
        <f>IFERROR(__xludf.DUMMYFUNCTION("""COMPUTED_VALUE"""),41673.99861111111)</f>
        <v>41673.99861</v>
      </c>
      <c r="E2483" s="3">
        <f>IFERROR(__xludf.DUMMYFUNCTION("""COMPUTED_VALUE"""),4.4843)</f>
        <v>4.4843</v>
      </c>
    </row>
    <row r="2484">
      <c r="D2484" s="6">
        <f>IFERROR(__xludf.DUMMYFUNCTION("""COMPUTED_VALUE"""),41674.99861111111)</f>
        <v>41674.99861</v>
      </c>
      <c r="E2484" s="3">
        <f>IFERROR(__xludf.DUMMYFUNCTION("""COMPUTED_VALUE"""),4.4653)</f>
        <v>4.4653</v>
      </c>
    </row>
    <row r="2485">
      <c r="D2485" s="6">
        <f>IFERROR(__xludf.DUMMYFUNCTION("""COMPUTED_VALUE"""),41675.99861111111)</f>
        <v>41675.99861</v>
      </c>
      <c r="E2485" s="3">
        <f>IFERROR(__xludf.DUMMYFUNCTION("""COMPUTED_VALUE"""),4.46)</f>
        <v>4.46</v>
      </c>
    </row>
    <row r="2486">
      <c r="D2486" s="6">
        <f>IFERROR(__xludf.DUMMYFUNCTION("""COMPUTED_VALUE"""),41676.99861111111)</f>
        <v>41676.99861</v>
      </c>
      <c r="E2486" s="3">
        <f>IFERROR(__xludf.DUMMYFUNCTION("""COMPUTED_VALUE"""),4.4615)</f>
        <v>4.4615</v>
      </c>
    </row>
    <row r="2487">
      <c r="D2487" s="6">
        <f>IFERROR(__xludf.DUMMYFUNCTION("""COMPUTED_VALUE"""),41677.99861111111)</f>
        <v>41677.99861</v>
      </c>
      <c r="E2487" s="3">
        <f>IFERROR(__xludf.DUMMYFUNCTION("""COMPUTED_VALUE"""),4.476)</f>
        <v>4.476</v>
      </c>
    </row>
    <row r="2488">
      <c r="D2488" s="6">
        <f>IFERROR(__xludf.DUMMYFUNCTION("""COMPUTED_VALUE"""),41679.99861111111)</f>
        <v>41679.99861</v>
      </c>
      <c r="E2488" s="3">
        <f>IFERROR(__xludf.DUMMYFUNCTION("""COMPUTED_VALUE"""),4.476)</f>
        <v>4.476</v>
      </c>
    </row>
    <row r="2489">
      <c r="D2489" s="6">
        <f>IFERROR(__xludf.DUMMYFUNCTION("""COMPUTED_VALUE"""),41680.99861111111)</f>
        <v>41680.99861</v>
      </c>
      <c r="E2489" s="3">
        <f>IFERROR(__xludf.DUMMYFUNCTION("""COMPUTED_VALUE"""),4.4648)</f>
        <v>4.4648</v>
      </c>
    </row>
    <row r="2490">
      <c r="D2490" s="6">
        <f>IFERROR(__xludf.DUMMYFUNCTION("""COMPUTED_VALUE"""),41681.99861111111)</f>
        <v>41681.99861</v>
      </c>
      <c r="E2490" s="3">
        <f>IFERROR(__xludf.DUMMYFUNCTION("""COMPUTED_VALUE"""),4.471)</f>
        <v>4.471</v>
      </c>
    </row>
    <row r="2491">
      <c r="D2491" s="6">
        <f>IFERROR(__xludf.DUMMYFUNCTION("""COMPUTED_VALUE"""),41682.99861111111)</f>
        <v>41682.99861</v>
      </c>
      <c r="E2491" s="3">
        <f>IFERROR(__xludf.DUMMYFUNCTION("""COMPUTED_VALUE"""),4.4843)</f>
        <v>4.4843</v>
      </c>
    </row>
    <row r="2492">
      <c r="D2492" s="6">
        <f>IFERROR(__xludf.DUMMYFUNCTION("""COMPUTED_VALUE"""),41683.99861111111)</f>
        <v>41683.99861</v>
      </c>
      <c r="E2492" s="3">
        <f>IFERROR(__xludf.DUMMYFUNCTION("""COMPUTED_VALUE"""),4.4938)</f>
        <v>4.4938</v>
      </c>
    </row>
    <row r="2493">
      <c r="D2493" s="6">
        <f>IFERROR(__xludf.DUMMYFUNCTION("""COMPUTED_VALUE"""),41684.99861111111)</f>
        <v>41684.99861</v>
      </c>
      <c r="E2493" s="3">
        <f>IFERROR(__xludf.DUMMYFUNCTION("""COMPUTED_VALUE"""),4.4873)</f>
        <v>4.4873</v>
      </c>
    </row>
    <row r="2494">
      <c r="D2494" s="6">
        <f>IFERROR(__xludf.DUMMYFUNCTION("""COMPUTED_VALUE"""),41686.99861111111)</f>
        <v>41686.99861</v>
      </c>
      <c r="E2494" s="3">
        <f>IFERROR(__xludf.DUMMYFUNCTION("""COMPUTED_VALUE"""),4.4873)</f>
        <v>4.4873</v>
      </c>
    </row>
    <row r="2495">
      <c r="D2495" s="6">
        <f>IFERROR(__xludf.DUMMYFUNCTION("""COMPUTED_VALUE"""),41687.99861111111)</f>
        <v>41687.99861</v>
      </c>
      <c r="E2495" s="3">
        <f>IFERROR(__xludf.DUMMYFUNCTION("""COMPUTED_VALUE"""),4.4854)</f>
        <v>4.4854</v>
      </c>
    </row>
    <row r="2496">
      <c r="D2496" s="6">
        <f>IFERROR(__xludf.DUMMYFUNCTION("""COMPUTED_VALUE"""),41688.99861111111)</f>
        <v>41688.99861</v>
      </c>
      <c r="E2496" s="3">
        <f>IFERROR(__xludf.DUMMYFUNCTION("""COMPUTED_VALUE"""),4.478)</f>
        <v>4.478</v>
      </c>
    </row>
    <row r="2497">
      <c r="D2497" s="6">
        <f>IFERROR(__xludf.DUMMYFUNCTION("""COMPUTED_VALUE"""),41689.99861111111)</f>
        <v>41689.99861</v>
      </c>
      <c r="E2497" s="3">
        <f>IFERROR(__xludf.DUMMYFUNCTION("""COMPUTED_VALUE"""),4.5083)</f>
        <v>4.5083</v>
      </c>
    </row>
    <row r="2498">
      <c r="D2498" s="6">
        <f>IFERROR(__xludf.DUMMYFUNCTION("""COMPUTED_VALUE"""),41690.99861111111)</f>
        <v>41690.99861</v>
      </c>
      <c r="E2498" s="3">
        <f>IFERROR(__xludf.DUMMYFUNCTION("""COMPUTED_VALUE"""),4.5118)</f>
        <v>4.5118</v>
      </c>
    </row>
    <row r="2499">
      <c r="D2499" s="6">
        <f>IFERROR(__xludf.DUMMYFUNCTION("""COMPUTED_VALUE"""),41691.99861111111)</f>
        <v>41691.99861</v>
      </c>
      <c r="E2499" s="3">
        <f>IFERROR(__xludf.DUMMYFUNCTION("""COMPUTED_VALUE"""),4.5073)</f>
        <v>4.5073</v>
      </c>
    </row>
    <row r="2500">
      <c r="D2500" s="6">
        <f>IFERROR(__xludf.DUMMYFUNCTION("""COMPUTED_VALUE"""),41693.99861111111)</f>
        <v>41693.99861</v>
      </c>
      <c r="E2500" s="3">
        <f>IFERROR(__xludf.DUMMYFUNCTION("""COMPUTED_VALUE"""),4.5109)</f>
        <v>4.5109</v>
      </c>
    </row>
    <row r="2501">
      <c r="D2501" s="6">
        <f>IFERROR(__xludf.DUMMYFUNCTION("""COMPUTED_VALUE"""),41694.99861111111)</f>
        <v>41694.99861</v>
      </c>
      <c r="E2501" s="3">
        <f>IFERROR(__xludf.DUMMYFUNCTION("""COMPUTED_VALUE"""),4.5109)</f>
        <v>4.5109</v>
      </c>
    </row>
    <row r="2502">
      <c r="D2502" s="6">
        <f>IFERROR(__xludf.DUMMYFUNCTION("""COMPUTED_VALUE"""),41695.99861111111)</f>
        <v>41695.99861</v>
      </c>
      <c r="E2502" s="3">
        <f>IFERROR(__xludf.DUMMYFUNCTION("""COMPUTED_VALUE"""),4.5123)</f>
        <v>4.5123</v>
      </c>
    </row>
    <row r="2503">
      <c r="D2503" s="6">
        <f>IFERROR(__xludf.DUMMYFUNCTION("""COMPUTED_VALUE"""),41696.99861111111)</f>
        <v>41696.99861</v>
      </c>
      <c r="E2503" s="3">
        <f>IFERROR(__xludf.DUMMYFUNCTION("""COMPUTED_VALUE"""),4.515)</f>
        <v>4.515</v>
      </c>
    </row>
    <row r="2504">
      <c r="D2504" s="6">
        <f>IFERROR(__xludf.DUMMYFUNCTION("""COMPUTED_VALUE"""),41697.99861111111)</f>
        <v>41697.99861</v>
      </c>
      <c r="E2504" s="3">
        <f>IFERROR(__xludf.DUMMYFUNCTION("""COMPUTED_VALUE"""),4.485)</f>
        <v>4.485</v>
      </c>
    </row>
    <row r="2505">
      <c r="D2505" s="6">
        <f>IFERROR(__xludf.DUMMYFUNCTION("""COMPUTED_VALUE"""),41698.99861111111)</f>
        <v>41698.99861</v>
      </c>
      <c r="E2505" s="3">
        <f>IFERROR(__xludf.DUMMYFUNCTION("""COMPUTED_VALUE"""),4.5013)</f>
        <v>4.5013</v>
      </c>
    </row>
    <row r="2506">
      <c r="D2506" s="6">
        <f>IFERROR(__xludf.DUMMYFUNCTION("""COMPUTED_VALUE"""),41700.99861111111)</f>
        <v>41700.99861</v>
      </c>
      <c r="E2506" s="3">
        <f>IFERROR(__xludf.DUMMYFUNCTION("""COMPUTED_VALUE"""),4.5013)</f>
        <v>4.5013</v>
      </c>
    </row>
    <row r="2507">
      <c r="D2507" s="6">
        <f>IFERROR(__xludf.DUMMYFUNCTION("""COMPUTED_VALUE"""),41701.99861111111)</f>
        <v>41701.99861</v>
      </c>
      <c r="E2507" s="3">
        <f>IFERROR(__xludf.DUMMYFUNCTION("""COMPUTED_VALUE"""),4.535)</f>
        <v>4.535</v>
      </c>
    </row>
    <row r="2508">
      <c r="D2508" s="6">
        <f>IFERROR(__xludf.DUMMYFUNCTION("""COMPUTED_VALUE"""),41702.99861111111)</f>
        <v>41702.99861</v>
      </c>
      <c r="E2508" s="3">
        <f>IFERROR(__xludf.DUMMYFUNCTION("""COMPUTED_VALUE"""),4.505)</f>
        <v>4.505</v>
      </c>
    </row>
    <row r="2509">
      <c r="D2509" s="6">
        <f>IFERROR(__xludf.DUMMYFUNCTION("""COMPUTED_VALUE"""),41703.99861111111)</f>
        <v>41703.99861</v>
      </c>
      <c r="E2509" s="3">
        <f>IFERROR(__xludf.DUMMYFUNCTION("""COMPUTED_VALUE"""),4.492)</f>
        <v>4.492</v>
      </c>
    </row>
    <row r="2510">
      <c r="D2510" s="6">
        <f>IFERROR(__xludf.DUMMYFUNCTION("""COMPUTED_VALUE"""),41704.99861111111)</f>
        <v>41704.99861</v>
      </c>
      <c r="E2510" s="3">
        <f>IFERROR(__xludf.DUMMYFUNCTION("""COMPUTED_VALUE"""),4.494)</f>
        <v>4.494</v>
      </c>
    </row>
    <row r="2511">
      <c r="D2511" s="6">
        <f>IFERROR(__xludf.DUMMYFUNCTION("""COMPUTED_VALUE"""),41705.99861111111)</f>
        <v>41705.99861</v>
      </c>
      <c r="E2511" s="3">
        <f>IFERROR(__xludf.DUMMYFUNCTION("""COMPUTED_VALUE"""),4.4993)</f>
        <v>4.4993</v>
      </c>
    </row>
    <row r="2512">
      <c r="D2512" s="6">
        <f>IFERROR(__xludf.DUMMYFUNCTION("""COMPUTED_VALUE"""),41707.99861111111)</f>
        <v>41707.99861</v>
      </c>
      <c r="E2512" s="3">
        <f>IFERROR(__xludf.DUMMYFUNCTION("""COMPUTED_VALUE"""),4.4993)</f>
        <v>4.4993</v>
      </c>
    </row>
    <row r="2513">
      <c r="D2513" s="6">
        <f>IFERROR(__xludf.DUMMYFUNCTION("""COMPUTED_VALUE"""),41708.99861111111)</f>
        <v>41708.99861</v>
      </c>
      <c r="E2513" s="3">
        <f>IFERROR(__xludf.DUMMYFUNCTION("""COMPUTED_VALUE"""),4.4926)</f>
        <v>4.4926</v>
      </c>
    </row>
    <row r="2514">
      <c r="D2514" s="6">
        <f>IFERROR(__xludf.DUMMYFUNCTION("""COMPUTED_VALUE"""),41709.99861111111)</f>
        <v>41709.99861</v>
      </c>
      <c r="E2514" s="3">
        <f>IFERROR(__xludf.DUMMYFUNCTION("""COMPUTED_VALUE"""),4.497)</f>
        <v>4.497</v>
      </c>
    </row>
    <row r="2515">
      <c r="D2515" s="6">
        <f>IFERROR(__xludf.DUMMYFUNCTION("""COMPUTED_VALUE"""),41710.99861111111)</f>
        <v>41710.99861</v>
      </c>
      <c r="E2515" s="3">
        <f>IFERROR(__xludf.DUMMYFUNCTION("""COMPUTED_VALUE"""),4.5087)</f>
        <v>4.5087</v>
      </c>
    </row>
    <row r="2516">
      <c r="D2516" s="6">
        <f>IFERROR(__xludf.DUMMYFUNCTION("""COMPUTED_VALUE"""),41711.99861111111)</f>
        <v>41711.99861</v>
      </c>
      <c r="E2516" s="3">
        <f>IFERROR(__xludf.DUMMYFUNCTION("""COMPUTED_VALUE"""),4.502)</f>
        <v>4.502</v>
      </c>
    </row>
    <row r="2517">
      <c r="D2517" s="6">
        <f>IFERROR(__xludf.DUMMYFUNCTION("""COMPUTED_VALUE"""),41712.99861111111)</f>
        <v>41712.99861</v>
      </c>
      <c r="E2517" s="3">
        <f>IFERROR(__xludf.DUMMYFUNCTION("""COMPUTED_VALUE"""),4.505)</f>
        <v>4.505</v>
      </c>
    </row>
    <row r="2518">
      <c r="D2518" s="6">
        <f>IFERROR(__xludf.DUMMYFUNCTION("""COMPUTED_VALUE"""),41714.99861111111)</f>
        <v>41714.99861</v>
      </c>
      <c r="E2518" s="3">
        <f>IFERROR(__xludf.DUMMYFUNCTION("""COMPUTED_VALUE"""),4.507)</f>
        <v>4.507</v>
      </c>
    </row>
    <row r="2519">
      <c r="D2519" s="6">
        <f>IFERROR(__xludf.DUMMYFUNCTION("""COMPUTED_VALUE"""),41715.99861111111)</f>
        <v>41715.99861</v>
      </c>
      <c r="E2519" s="3">
        <f>IFERROR(__xludf.DUMMYFUNCTION("""COMPUTED_VALUE"""),4.507)</f>
        <v>4.507</v>
      </c>
    </row>
    <row r="2520">
      <c r="D2520" s="6">
        <f>IFERROR(__xludf.DUMMYFUNCTION("""COMPUTED_VALUE"""),41716.99861111111)</f>
        <v>41716.99861</v>
      </c>
      <c r="E2520" s="3">
        <f>IFERROR(__xludf.DUMMYFUNCTION("""COMPUTED_VALUE"""),4.499)</f>
        <v>4.499</v>
      </c>
    </row>
    <row r="2521">
      <c r="D2521" s="6">
        <f>IFERROR(__xludf.DUMMYFUNCTION("""COMPUTED_VALUE"""),41717.99861111111)</f>
        <v>41717.99861</v>
      </c>
      <c r="E2521" s="3">
        <f>IFERROR(__xludf.DUMMYFUNCTION("""COMPUTED_VALUE"""),4.4879)</f>
        <v>4.4879</v>
      </c>
    </row>
    <row r="2522">
      <c r="D2522" s="6">
        <f>IFERROR(__xludf.DUMMYFUNCTION("""COMPUTED_VALUE"""),41718.99861111111)</f>
        <v>41718.99861</v>
      </c>
      <c r="E2522" s="3">
        <f>IFERROR(__xludf.DUMMYFUNCTION("""COMPUTED_VALUE"""),4.5015)</f>
        <v>4.5015</v>
      </c>
    </row>
    <row r="2523">
      <c r="D2523" s="6">
        <f>IFERROR(__xludf.DUMMYFUNCTION("""COMPUTED_VALUE"""),41719.99861111111)</f>
        <v>41719.99861</v>
      </c>
      <c r="E2523" s="3">
        <f>IFERROR(__xludf.DUMMYFUNCTION("""COMPUTED_VALUE"""),4.4808)</f>
        <v>4.4808</v>
      </c>
    </row>
    <row r="2524">
      <c r="D2524" s="6">
        <f>IFERROR(__xludf.DUMMYFUNCTION("""COMPUTED_VALUE"""),41721.99861111111)</f>
        <v>41721.99861</v>
      </c>
      <c r="E2524" s="3">
        <f>IFERROR(__xludf.DUMMYFUNCTION("""COMPUTED_VALUE"""),4.4808)</f>
        <v>4.4808</v>
      </c>
    </row>
    <row r="2525">
      <c r="D2525" s="6">
        <f>IFERROR(__xludf.DUMMYFUNCTION("""COMPUTED_VALUE"""),41722.99861111111)</f>
        <v>41722.99861</v>
      </c>
      <c r="E2525" s="3">
        <f>IFERROR(__xludf.DUMMYFUNCTION("""COMPUTED_VALUE"""),4.4753)</f>
        <v>4.4753</v>
      </c>
    </row>
    <row r="2526">
      <c r="D2526" s="6">
        <f>IFERROR(__xludf.DUMMYFUNCTION("""COMPUTED_VALUE"""),41723.99861111111)</f>
        <v>41723.99861</v>
      </c>
      <c r="E2526" s="3">
        <f>IFERROR(__xludf.DUMMYFUNCTION("""COMPUTED_VALUE"""),4.4651)</f>
        <v>4.4651</v>
      </c>
    </row>
    <row r="2527">
      <c r="D2527" s="6">
        <f>IFERROR(__xludf.DUMMYFUNCTION("""COMPUTED_VALUE"""),41724.99861111111)</f>
        <v>41724.99861</v>
      </c>
      <c r="E2527" s="3">
        <f>IFERROR(__xludf.DUMMYFUNCTION("""COMPUTED_VALUE"""),4.473)</f>
        <v>4.473</v>
      </c>
    </row>
    <row r="2528">
      <c r="D2528" s="6">
        <f>IFERROR(__xludf.DUMMYFUNCTION("""COMPUTED_VALUE"""),41725.99861111111)</f>
        <v>41725.99861</v>
      </c>
      <c r="E2528" s="3">
        <f>IFERROR(__xludf.DUMMYFUNCTION("""COMPUTED_VALUE"""),4.473)</f>
        <v>4.473</v>
      </c>
    </row>
    <row r="2529">
      <c r="D2529" s="6">
        <f>IFERROR(__xludf.DUMMYFUNCTION("""COMPUTED_VALUE"""),41726.99861111111)</f>
        <v>41726.99861</v>
      </c>
      <c r="E2529" s="3">
        <f>IFERROR(__xludf.DUMMYFUNCTION("""COMPUTED_VALUE"""),4.459)</f>
        <v>4.459</v>
      </c>
    </row>
    <row r="2530">
      <c r="D2530" s="6">
        <f>IFERROR(__xludf.DUMMYFUNCTION("""COMPUTED_VALUE"""),41729.99861111111)</f>
        <v>41729.99861</v>
      </c>
      <c r="E2530" s="3">
        <f>IFERROR(__xludf.DUMMYFUNCTION("""COMPUTED_VALUE"""),4.4581)</f>
        <v>4.4581</v>
      </c>
    </row>
    <row r="2531">
      <c r="D2531" s="6">
        <f>IFERROR(__xludf.DUMMYFUNCTION("""COMPUTED_VALUE"""),41730.99861111111)</f>
        <v>41730.99861</v>
      </c>
      <c r="E2531" s="3">
        <f>IFERROR(__xludf.DUMMYFUNCTION("""COMPUTED_VALUE"""),4.4606)</f>
        <v>4.4606</v>
      </c>
    </row>
    <row r="2532">
      <c r="D2532" s="6">
        <f>IFERROR(__xludf.DUMMYFUNCTION("""COMPUTED_VALUE"""),41731.99861111111)</f>
        <v>41731.99861</v>
      </c>
      <c r="E2532" s="3">
        <f>IFERROR(__xludf.DUMMYFUNCTION("""COMPUTED_VALUE"""),4.4642)</f>
        <v>4.4642</v>
      </c>
    </row>
    <row r="2533">
      <c r="D2533" s="6">
        <f>IFERROR(__xludf.DUMMYFUNCTION("""COMPUTED_VALUE"""),41732.99861111111)</f>
        <v>41732.99861</v>
      </c>
      <c r="E2533" s="3">
        <f>IFERROR(__xludf.DUMMYFUNCTION("""COMPUTED_VALUE"""),4.4659)</f>
        <v>4.4659</v>
      </c>
    </row>
    <row r="2534">
      <c r="D2534" s="6">
        <f>IFERROR(__xludf.DUMMYFUNCTION("""COMPUTED_VALUE"""),41733.99861111111)</f>
        <v>41733.99861</v>
      </c>
      <c r="E2534" s="3">
        <f>IFERROR(__xludf.DUMMYFUNCTION("""COMPUTED_VALUE"""),4.4576)</f>
        <v>4.4576</v>
      </c>
    </row>
    <row r="2535">
      <c r="D2535" s="6">
        <f>IFERROR(__xludf.DUMMYFUNCTION("""COMPUTED_VALUE"""),41735.99861111111)</f>
        <v>41735.99861</v>
      </c>
      <c r="E2535" s="3">
        <f>IFERROR(__xludf.DUMMYFUNCTION("""COMPUTED_VALUE"""),4.4637)</f>
        <v>4.4637</v>
      </c>
    </row>
    <row r="2536">
      <c r="D2536" s="6">
        <f>IFERROR(__xludf.DUMMYFUNCTION("""COMPUTED_VALUE"""),41736.99861111111)</f>
        <v>41736.99861</v>
      </c>
      <c r="E2536" s="3">
        <f>IFERROR(__xludf.DUMMYFUNCTION("""COMPUTED_VALUE"""),4.4637)</f>
        <v>4.4637</v>
      </c>
    </row>
    <row r="2537">
      <c r="D2537" s="6">
        <f>IFERROR(__xludf.DUMMYFUNCTION("""COMPUTED_VALUE"""),41737.99861111111)</f>
        <v>41737.99861</v>
      </c>
      <c r="E2537" s="3">
        <f>IFERROR(__xludf.DUMMYFUNCTION("""COMPUTED_VALUE"""),4.4571)</f>
        <v>4.4571</v>
      </c>
    </row>
    <row r="2538">
      <c r="D2538" s="6">
        <f>IFERROR(__xludf.DUMMYFUNCTION("""COMPUTED_VALUE"""),41738.99861111111)</f>
        <v>41738.99861</v>
      </c>
      <c r="E2538" s="3">
        <f>IFERROR(__xludf.DUMMYFUNCTION("""COMPUTED_VALUE"""),4.4555)</f>
        <v>4.4555</v>
      </c>
    </row>
    <row r="2539">
      <c r="D2539" s="6">
        <f>IFERROR(__xludf.DUMMYFUNCTION("""COMPUTED_VALUE"""),41739.99861111111)</f>
        <v>41739.99861</v>
      </c>
      <c r="E2539" s="3">
        <f>IFERROR(__xludf.DUMMYFUNCTION("""COMPUTED_VALUE"""),4.4578)</f>
        <v>4.4578</v>
      </c>
    </row>
    <row r="2540">
      <c r="D2540" s="6">
        <f>IFERROR(__xludf.DUMMYFUNCTION("""COMPUTED_VALUE"""),41740.99861111111)</f>
        <v>41740.99861</v>
      </c>
      <c r="E2540" s="3">
        <f>IFERROR(__xludf.DUMMYFUNCTION("""COMPUTED_VALUE"""),4.463)</f>
        <v>4.463</v>
      </c>
    </row>
    <row r="2541">
      <c r="D2541" s="6">
        <f>IFERROR(__xludf.DUMMYFUNCTION("""COMPUTED_VALUE"""),41742.99861111111)</f>
        <v>41742.99861</v>
      </c>
      <c r="E2541" s="3">
        <f>IFERROR(__xludf.DUMMYFUNCTION("""COMPUTED_VALUE"""),4.463)</f>
        <v>4.463</v>
      </c>
    </row>
    <row r="2542">
      <c r="D2542" s="6">
        <f>IFERROR(__xludf.DUMMYFUNCTION("""COMPUTED_VALUE"""),41743.99861111111)</f>
        <v>41743.99861</v>
      </c>
      <c r="E2542" s="3">
        <f>IFERROR(__xludf.DUMMYFUNCTION("""COMPUTED_VALUE"""),4.4635)</f>
        <v>4.4635</v>
      </c>
    </row>
    <row r="2543">
      <c r="D2543" s="6">
        <f>IFERROR(__xludf.DUMMYFUNCTION("""COMPUTED_VALUE"""),41744.99861111111)</f>
        <v>41744.99861</v>
      </c>
      <c r="E2543" s="3">
        <f>IFERROR(__xludf.DUMMYFUNCTION("""COMPUTED_VALUE"""),4.4674)</f>
        <v>4.4674</v>
      </c>
    </row>
    <row r="2544">
      <c r="D2544" s="6">
        <f>IFERROR(__xludf.DUMMYFUNCTION("""COMPUTED_VALUE"""),41745.99861111111)</f>
        <v>41745.99861</v>
      </c>
      <c r="E2544" s="3">
        <f>IFERROR(__xludf.DUMMYFUNCTION("""COMPUTED_VALUE"""),4.4645)</f>
        <v>4.4645</v>
      </c>
    </row>
    <row r="2545">
      <c r="D2545" s="6">
        <f>IFERROR(__xludf.DUMMYFUNCTION("""COMPUTED_VALUE"""),41746.99861111111)</f>
        <v>41746.99861</v>
      </c>
      <c r="E2545" s="3">
        <f>IFERROR(__xludf.DUMMYFUNCTION("""COMPUTED_VALUE"""),4.461)</f>
        <v>4.461</v>
      </c>
    </row>
    <row r="2546">
      <c r="D2546" s="6">
        <f>IFERROR(__xludf.DUMMYFUNCTION("""COMPUTED_VALUE"""),41747.99861111111)</f>
        <v>41747.99861</v>
      </c>
      <c r="E2546" s="3">
        <f>IFERROR(__xludf.DUMMYFUNCTION("""COMPUTED_VALUE"""),4.461)</f>
        <v>4.461</v>
      </c>
    </row>
    <row r="2547">
      <c r="D2547" s="6">
        <f>IFERROR(__xludf.DUMMYFUNCTION("""COMPUTED_VALUE"""),41749.99861111111)</f>
        <v>41749.99861</v>
      </c>
      <c r="E2547" s="3">
        <f>IFERROR(__xludf.DUMMYFUNCTION("""COMPUTED_VALUE"""),4.461)</f>
        <v>4.461</v>
      </c>
    </row>
    <row r="2548">
      <c r="D2548" s="6">
        <f>IFERROR(__xludf.DUMMYFUNCTION("""COMPUTED_VALUE"""),41750.99861111111)</f>
        <v>41750.99861</v>
      </c>
      <c r="E2548" s="3">
        <f>IFERROR(__xludf.DUMMYFUNCTION("""COMPUTED_VALUE"""),4.461)</f>
        <v>4.461</v>
      </c>
    </row>
    <row r="2549">
      <c r="D2549" s="6">
        <f>IFERROR(__xludf.DUMMYFUNCTION("""COMPUTED_VALUE"""),41751.99861111111)</f>
        <v>41751.99861</v>
      </c>
      <c r="E2549" s="3">
        <f>IFERROR(__xludf.DUMMYFUNCTION("""COMPUTED_VALUE"""),4.462)</f>
        <v>4.462</v>
      </c>
    </row>
    <row r="2550">
      <c r="D2550" s="6">
        <f>IFERROR(__xludf.DUMMYFUNCTION("""COMPUTED_VALUE"""),41752.99861111111)</f>
        <v>41752.99861</v>
      </c>
      <c r="E2550" s="3">
        <f>IFERROR(__xludf.DUMMYFUNCTION("""COMPUTED_VALUE"""),4.47)</f>
        <v>4.47</v>
      </c>
    </row>
    <row r="2551">
      <c r="D2551" s="6">
        <f>IFERROR(__xludf.DUMMYFUNCTION("""COMPUTED_VALUE"""),41753.99861111111)</f>
        <v>41753.99861</v>
      </c>
      <c r="E2551" s="3">
        <f>IFERROR(__xludf.DUMMYFUNCTION("""COMPUTED_VALUE"""),4.45)</f>
        <v>4.45</v>
      </c>
    </row>
    <row r="2552">
      <c r="D2552" s="6">
        <f>IFERROR(__xludf.DUMMYFUNCTION("""COMPUTED_VALUE"""),41754.99861111111)</f>
        <v>41754.99861</v>
      </c>
      <c r="E2552" s="3">
        <f>IFERROR(__xludf.DUMMYFUNCTION("""COMPUTED_VALUE"""),4.4496)</f>
        <v>4.4496</v>
      </c>
    </row>
    <row r="2553">
      <c r="D2553" s="6">
        <f>IFERROR(__xludf.DUMMYFUNCTION("""COMPUTED_VALUE"""),41756.99861111111)</f>
        <v>41756.99861</v>
      </c>
      <c r="E2553" s="3">
        <f>IFERROR(__xludf.DUMMYFUNCTION("""COMPUTED_VALUE"""),4.4496)</f>
        <v>4.4496</v>
      </c>
    </row>
    <row r="2554">
      <c r="D2554" s="6">
        <f>IFERROR(__xludf.DUMMYFUNCTION("""COMPUTED_VALUE"""),41757.99861111111)</f>
        <v>41757.99861</v>
      </c>
      <c r="E2554" s="3">
        <f>IFERROR(__xludf.DUMMYFUNCTION("""COMPUTED_VALUE"""),4.4501)</f>
        <v>4.4501</v>
      </c>
    </row>
    <row r="2555">
      <c r="D2555" s="6">
        <f>IFERROR(__xludf.DUMMYFUNCTION("""COMPUTED_VALUE"""),41758.99861111111)</f>
        <v>41758.99861</v>
      </c>
      <c r="E2555" s="3">
        <f>IFERROR(__xludf.DUMMYFUNCTION("""COMPUTED_VALUE"""),4.4462)</f>
        <v>4.4462</v>
      </c>
    </row>
    <row r="2556">
      <c r="D2556" s="6">
        <f>IFERROR(__xludf.DUMMYFUNCTION("""COMPUTED_VALUE"""),41759.99861111111)</f>
        <v>41759.99861</v>
      </c>
      <c r="E2556" s="3">
        <f>IFERROR(__xludf.DUMMYFUNCTION("""COMPUTED_VALUE"""),4.4398)</f>
        <v>4.4398</v>
      </c>
    </row>
    <row r="2557">
      <c r="D2557" s="6">
        <f>IFERROR(__xludf.DUMMYFUNCTION("""COMPUTED_VALUE"""),41760.99861111111)</f>
        <v>41760.99861</v>
      </c>
      <c r="E2557" s="3">
        <f>IFERROR(__xludf.DUMMYFUNCTION("""COMPUTED_VALUE"""),4.4387)</f>
        <v>4.4387</v>
      </c>
    </row>
    <row r="2558">
      <c r="D2558" s="6">
        <f>IFERROR(__xludf.DUMMYFUNCTION("""COMPUTED_VALUE"""),41761.99861111111)</f>
        <v>41761.99861</v>
      </c>
      <c r="E2558" s="3">
        <f>IFERROR(__xludf.DUMMYFUNCTION("""COMPUTED_VALUE"""),4.4298)</f>
        <v>4.4298</v>
      </c>
    </row>
    <row r="2559">
      <c r="D2559" s="6">
        <f>IFERROR(__xludf.DUMMYFUNCTION("""COMPUTED_VALUE"""),41763.99861111111)</f>
        <v>41763.99861</v>
      </c>
      <c r="E2559" s="3">
        <f>IFERROR(__xludf.DUMMYFUNCTION("""COMPUTED_VALUE"""),4.4298)</f>
        <v>4.4298</v>
      </c>
    </row>
    <row r="2560">
      <c r="D2560" s="6">
        <f>IFERROR(__xludf.DUMMYFUNCTION("""COMPUTED_VALUE"""),41764.99861111111)</f>
        <v>41764.99861</v>
      </c>
      <c r="E2560" s="3">
        <f>IFERROR(__xludf.DUMMYFUNCTION("""COMPUTED_VALUE"""),4.437)</f>
        <v>4.437</v>
      </c>
    </row>
    <row r="2561">
      <c r="D2561" s="6">
        <f>IFERROR(__xludf.DUMMYFUNCTION("""COMPUTED_VALUE"""),41765.99861111111)</f>
        <v>41765.99861</v>
      </c>
      <c r="E2561" s="3">
        <f>IFERROR(__xludf.DUMMYFUNCTION("""COMPUTED_VALUE"""),4.4362)</f>
        <v>4.4362</v>
      </c>
    </row>
    <row r="2562">
      <c r="D2562" s="6">
        <f>IFERROR(__xludf.DUMMYFUNCTION("""COMPUTED_VALUE"""),41766.99861111111)</f>
        <v>41766.99861</v>
      </c>
      <c r="E2562" s="3">
        <f>IFERROR(__xludf.DUMMYFUNCTION("""COMPUTED_VALUE"""),4.4248)</f>
        <v>4.4248</v>
      </c>
    </row>
    <row r="2563">
      <c r="D2563" s="6">
        <f>IFERROR(__xludf.DUMMYFUNCTION("""COMPUTED_VALUE"""),41767.99861111111)</f>
        <v>41767.99861</v>
      </c>
      <c r="E2563" s="3">
        <f>IFERROR(__xludf.DUMMYFUNCTION("""COMPUTED_VALUE"""),4.432)</f>
        <v>4.432</v>
      </c>
    </row>
    <row r="2564">
      <c r="D2564" s="6">
        <f>IFERROR(__xludf.DUMMYFUNCTION("""COMPUTED_VALUE"""),41768.99861111111)</f>
        <v>41768.99861</v>
      </c>
      <c r="E2564" s="3">
        <f>IFERROR(__xludf.DUMMYFUNCTION("""COMPUTED_VALUE"""),4.4316)</f>
        <v>4.4316</v>
      </c>
    </row>
    <row r="2565">
      <c r="D2565" s="6">
        <f>IFERROR(__xludf.DUMMYFUNCTION("""COMPUTED_VALUE"""),41770.99861111111)</f>
        <v>41770.99861</v>
      </c>
      <c r="E2565" s="3">
        <f>IFERROR(__xludf.DUMMYFUNCTION("""COMPUTED_VALUE"""),4.4316)</f>
        <v>4.4316</v>
      </c>
    </row>
    <row r="2566">
      <c r="D2566" s="6">
        <f>IFERROR(__xludf.DUMMYFUNCTION("""COMPUTED_VALUE"""),41771.99861111111)</f>
        <v>41771.99861</v>
      </c>
      <c r="E2566" s="3">
        <f>IFERROR(__xludf.DUMMYFUNCTION("""COMPUTED_VALUE"""),4.4318)</f>
        <v>4.4318</v>
      </c>
    </row>
    <row r="2567">
      <c r="D2567" s="6">
        <f>IFERROR(__xludf.DUMMYFUNCTION("""COMPUTED_VALUE"""),41772.99861111111)</f>
        <v>41772.99861</v>
      </c>
      <c r="E2567" s="3">
        <f>IFERROR(__xludf.DUMMYFUNCTION("""COMPUTED_VALUE"""),4.4288)</f>
        <v>4.4288</v>
      </c>
    </row>
    <row r="2568">
      <c r="D2568" s="6">
        <f>IFERROR(__xludf.DUMMYFUNCTION("""COMPUTED_VALUE"""),41773.99861111111)</f>
        <v>41773.99861</v>
      </c>
      <c r="E2568" s="3">
        <f>IFERROR(__xludf.DUMMYFUNCTION("""COMPUTED_VALUE"""),4.436)</f>
        <v>4.436</v>
      </c>
    </row>
    <row r="2569">
      <c r="D2569" s="6">
        <f>IFERROR(__xludf.DUMMYFUNCTION("""COMPUTED_VALUE"""),41774.99861111111)</f>
        <v>41774.99861</v>
      </c>
      <c r="E2569" s="3">
        <f>IFERROR(__xludf.DUMMYFUNCTION("""COMPUTED_VALUE"""),4.4336)</f>
        <v>4.4336</v>
      </c>
    </row>
    <row r="2570">
      <c r="D2570" s="6">
        <f>IFERROR(__xludf.DUMMYFUNCTION("""COMPUTED_VALUE"""),41775.99861111111)</f>
        <v>41775.99861</v>
      </c>
      <c r="E2570" s="3">
        <f>IFERROR(__xludf.DUMMYFUNCTION("""COMPUTED_VALUE"""),4.4292)</f>
        <v>4.4292</v>
      </c>
    </row>
    <row r="2571">
      <c r="D2571" s="6">
        <f>IFERROR(__xludf.DUMMYFUNCTION("""COMPUTED_VALUE"""),41778.99861111111)</f>
        <v>41778.99861</v>
      </c>
      <c r="E2571" s="3">
        <f>IFERROR(__xludf.DUMMYFUNCTION("""COMPUTED_VALUE"""),4.43)</f>
        <v>4.43</v>
      </c>
    </row>
    <row r="2572">
      <c r="D2572" s="6">
        <f>IFERROR(__xludf.DUMMYFUNCTION("""COMPUTED_VALUE"""),41779.99861111111)</f>
        <v>41779.99861</v>
      </c>
      <c r="E2572" s="3">
        <f>IFERROR(__xludf.DUMMYFUNCTION("""COMPUTED_VALUE"""),4.434)</f>
        <v>4.434</v>
      </c>
    </row>
    <row r="2573">
      <c r="D2573" s="6">
        <f>IFERROR(__xludf.DUMMYFUNCTION("""COMPUTED_VALUE"""),41780.99861111111)</f>
        <v>41780.99861</v>
      </c>
      <c r="E2573" s="3">
        <f>IFERROR(__xludf.DUMMYFUNCTION("""COMPUTED_VALUE"""),4.425)</f>
        <v>4.425</v>
      </c>
    </row>
    <row r="2574">
      <c r="D2574" s="6">
        <f>IFERROR(__xludf.DUMMYFUNCTION("""COMPUTED_VALUE"""),41781.99861111111)</f>
        <v>41781.99861</v>
      </c>
      <c r="E2574" s="3">
        <f>IFERROR(__xludf.DUMMYFUNCTION("""COMPUTED_VALUE"""),4.41)</f>
        <v>4.41</v>
      </c>
    </row>
    <row r="2575">
      <c r="D2575" s="6">
        <f>IFERROR(__xludf.DUMMYFUNCTION("""COMPUTED_VALUE"""),41782.99861111111)</f>
        <v>41782.99861</v>
      </c>
      <c r="E2575" s="3">
        <f>IFERROR(__xludf.DUMMYFUNCTION("""COMPUTED_VALUE"""),4.406)</f>
        <v>4.406</v>
      </c>
    </row>
    <row r="2576">
      <c r="D2576" s="6">
        <f>IFERROR(__xludf.DUMMYFUNCTION("""COMPUTED_VALUE"""),41784.99861111111)</f>
        <v>41784.99861</v>
      </c>
      <c r="E2576" s="3">
        <f>IFERROR(__xludf.DUMMYFUNCTION("""COMPUTED_VALUE"""),4.406)</f>
        <v>4.406</v>
      </c>
    </row>
    <row r="2577">
      <c r="D2577" s="6">
        <f>IFERROR(__xludf.DUMMYFUNCTION("""COMPUTED_VALUE"""),41785.99861111111)</f>
        <v>41785.99861</v>
      </c>
      <c r="E2577" s="3">
        <f>IFERROR(__xludf.DUMMYFUNCTION("""COMPUTED_VALUE"""),4.4013)</f>
        <v>4.4013</v>
      </c>
    </row>
    <row r="2578">
      <c r="D2578" s="6">
        <f>IFERROR(__xludf.DUMMYFUNCTION("""COMPUTED_VALUE"""),41786.99861111111)</f>
        <v>41786.99861</v>
      </c>
      <c r="E2578" s="3">
        <f>IFERROR(__xludf.DUMMYFUNCTION("""COMPUTED_VALUE"""),4.3935)</f>
        <v>4.3935</v>
      </c>
    </row>
    <row r="2579">
      <c r="D2579" s="6">
        <f>IFERROR(__xludf.DUMMYFUNCTION("""COMPUTED_VALUE"""),41787.99861111111)</f>
        <v>41787.99861</v>
      </c>
      <c r="E2579" s="3">
        <f>IFERROR(__xludf.DUMMYFUNCTION("""COMPUTED_VALUE"""),4.3945)</f>
        <v>4.3945</v>
      </c>
    </row>
    <row r="2580">
      <c r="D2580" s="6">
        <f>IFERROR(__xludf.DUMMYFUNCTION("""COMPUTED_VALUE"""),41788.99861111111)</f>
        <v>41788.99861</v>
      </c>
      <c r="E2580" s="3">
        <f>IFERROR(__xludf.DUMMYFUNCTION("""COMPUTED_VALUE"""),4.3937)</f>
        <v>4.3937</v>
      </c>
    </row>
    <row r="2581">
      <c r="D2581" s="6">
        <f>IFERROR(__xludf.DUMMYFUNCTION("""COMPUTED_VALUE"""),41789.99861111111)</f>
        <v>41789.99861</v>
      </c>
      <c r="E2581" s="3">
        <f>IFERROR(__xludf.DUMMYFUNCTION("""COMPUTED_VALUE"""),4.3872)</f>
        <v>4.3872</v>
      </c>
    </row>
    <row r="2582">
      <c r="D2582" s="6">
        <f>IFERROR(__xludf.DUMMYFUNCTION("""COMPUTED_VALUE"""),41792.99861111111)</f>
        <v>41792.99861</v>
      </c>
      <c r="E2582" s="3">
        <f>IFERROR(__xludf.DUMMYFUNCTION("""COMPUTED_VALUE"""),4.394)</f>
        <v>4.394</v>
      </c>
    </row>
    <row r="2583">
      <c r="D2583" s="6">
        <f>IFERROR(__xludf.DUMMYFUNCTION("""COMPUTED_VALUE"""),41793.99861111111)</f>
        <v>41793.99861</v>
      </c>
      <c r="E2583" s="3">
        <f>IFERROR(__xludf.DUMMYFUNCTION("""COMPUTED_VALUE"""),4.396)</f>
        <v>4.396</v>
      </c>
    </row>
    <row r="2584">
      <c r="D2584" s="6">
        <f>IFERROR(__xludf.DUMMYFUNCTION("""COMPUTED_VALUE"""),41794.99861111111)</f>
        <v>41794.99861</v>
      </c>
      <c r="E2584" s="3">
        <f>IFERROR(__xludf.DUMMYFUNCTION("""COMPUTED_VALUE"""),4.3977)</f>
        <v>4.3977</v>
      </c>
    </row>
    <row r="2585">
      <c r="D2585" s="6">
        <f>IFERROR(__xludf.DUMMYFUNCTION("""COMPUTED_VALUE"""),41795.99861111111)</f>
        <v>41795.99861</v>
      </c>
      <c r="E2585" s="3">
        <f>IFERROR(__xludf.DUMMYFUNCTION("""COMPUTED_VALUE"""),4.39)</f>
        <v>4.39</v>
      </c>
    </row>
    <row r="2586">
      <c r="D2586" s="6">
        <f>IFERROR(__xludf.DUMMYFUNCTION("""COMPUTED_VALUE"""),41796.99861111111)</f>
        <v>41796.99861</v>
      </c>
      <c r="E2586" s="3">
        <f>IFERROR(__xludf.DUMMYFUNCTION("""COMPUTED_VALUE"""),4.39)</f>
        <v>4.39</v>
      </c>
    </row>
    <row r="2587">
      <c r="D2587" s="6">
        <f>IFERROR(__xludf.DUMMYFUNCTION("""COMPUTED_VALUE"""),41798.99861111111)</f>
        <v>41798.99861</v>
      </c>
      <c r="E2587" s="3">
        <f>IFERROR(__xludf.DUMMYFUNCTION("""COMPUTED_VALUE"""),4.39)</f>
        <v>4.39</v>
      </c>
    </row>
    <row r="2588">
      <c r="D2588" s="6">
        <f>IFERROR(__xludf.DUMMYFUNCTION("""COMPUTED_VALUE"""),41799.99861111111)</f>
        <v>41799.99861</v>
      </c>
      <c r="E2588" s="3">
        <f>IFERROR(__xludf.DUMMYFUNCTION("""COMPUTED_VALUE"""),4.3702)</f>
        <v>4.3702</v>
      </c>
    </row>
    <row r="2589">
      <c r="D2589" s="6">
        <f>IFERROR(__xludf.DUMMYFUNCTION("""COMPUTED_VALUE"""),41800.99861111111)</f>
        <v>41800.99861</v>
      </c>
      <c r="E2589" s="3">
        <f>IFERROR(__xludf.DUMMYFUNCTION("""COMPUTED_VALUE"""),4.3849)</f>
        <v>4.3849</v>
      </c>
    </row>
    <row r="2590">
      <c r="D2590" s="6">
        <f>IFERROR(__xludf.DUMMYFUNCTION("""COMPUTED_VALUE"""),41801.99861111111)</f>
        <v>41801.99861</v>
      </c>
      <c r="E2590" s="3">
        <f>IFERROR(__xludf.DUMMYFUNCTION("""COMPUTED_VALUE"""),4.3883)</f>
        <v>4.3883</v>
      </c>
    </row>
    <row r="2591">
      <c r="D2591" s="6">
        <f>IFERROR(__xludf.DUMMYFUNCTION("""COMPUTED_VALUE"""),41802.99861111111)</f>
        <v>41802.99861</v>
      </c>
      <c r="E2591" s="3">
        <f>IFERROR(__xludf.DUMMYFUNCTION("""COMPUTED_VALUE"""),4.3888)</f>
        <v>4.3888</v>
      </c>
    </row>
    <row r="2592">
      <c r="D2592" s="6">
        <f>IFERROR(__xludf.DUMMYFUNCTION("""COMPUTED_VALUE"""),41803.99861111111)</f>
        <v>41803.99861</v>
      </c>
      <c r="E2592" s="3">
        <f>IFERROR(__xludf.DUMMYFUNCTION("""COMPUTED_VALUE"""),4.3913)</f>
        <v>4.3913</v>
      </c>
    </row>
    <row r="2593">
      <c r="D2593" s="6">
        <f>IFERROR(__xludf.DUMMYFUNCTION("""COMPUTED_VALUE"""),41805.99861111111)</f>
        <v>41805.99861</v>
      </c>
      <c r="E2593" s="3">
        <f>IFERROR(__xludf.DUMMYFUNCTION("""COMPUTED_VALUE"""),4.3913)</f>
        <v>4.3913</v>
      </c>
    </row>
    <row r="2594">
      <c r="D2594" s="6">
        <f>IFERROR(__xludf.DUMMYFUNCTION("""COMPUTED_VALUE"""),41806.99861111111)</f>
        <v>41806.99861</v>
      </c>
      <c r="E2594" s="3">
        <f>IFERROR(__xludf.DUMMYFUNCTION("""COMPUTED_VALUE"""),4.4015)</f>
        <v>4.4015</v>
      </c>
    </row>
    <row r="2595">
      <c r="D2595" s="6">
        <f>IFERROR(__xludf.DUMMYFUNCTION("""COMPUTED_VALUE"""),41807.99861111111)</f>
        <v>41807.99861</v>
      </c>
      <c r="E2595" s="3">
        <f>IFERROR(__xludf.DUMMYFUNCTION("""COMPUTED_VALUE"""),4.403)</f>
        <v>4.403</v>
      </c>
    </row>
    <row r="2596">
      <c r="D2596" s="6">
        <f>IFERROR(__xludf.DUMMYFUNCTION("""COMPUTED_VALUE"""),41808.99861111111)</f>
        <v>41808.99861</v>
      </c>
      <c r="E2596" s="3">
        <f>IFERROR(__xludf.DUMMYFUNCTION("""COMPUTED_VALUE"""),4.3976)</f>
        <v>4.3976</v>
      </c>
    </row>
    <row r="2597">
      <c r="D2597" s="6">
        <f>IFERROR(__xludf.DUMMYFUNCTION("""COMPUTED_VALUE"""),41809.99861111111)</f>
        <v>41809.99861</v>
      </c>
      <c r="E2597" s="3">
        <f>IFERROR(__xludf.DUMMYFUNCTION("""COMPUTED_VALUE"""),4.3905)</f>
        <v>4.3905</v>
      </c>
    </row>
    <row r="2598">
      <c r="D2598" s="6">
        <f>IFERROR(__xludf.DUMMYFUNCTION("""COMPUTED_VALUE"""),41810.99861111111)</f>
        <v>41810.99861</v>
      </c>
      <c r="E2598" s="3">
        <f>IFERROR(__xludf.DUMMYFUNCTION("""COMPUTED_VALUE"""),4.3952)</f>
        <v>4.3952</v>
      </c>
    </row>
    <row r="2599">
      <c r="D2599" s="6">
        <f>IFERROR(__xludf.DUMMYFUNCTION("""COMPUTED_VALUE"""),41813.99861111111)</f>
        <v>41813.99861</v>
      </c>
      <c r="E2599" s="3">
        <f>IFERROR(__xludf.DUMMYFUNCTION("""COMPUTED_VALUE"""),4.3903)</f>
        <v>4.3903</v>
      </c>
    </row>
    <row r="2600">
      <c r="D2600" s="6">
        <f>IFERROR(__xludf.DUMMYFUNCTION("""COMPUTED_VALUE"""),41814.99861111111)</f>
        <v>41814.99861</v>
      </c>
      <c r="E2600" s="3">
        <f>IFERROR(__xludf.DUMMYFUNCTION("""COMPUTED_VALUE"""),4.3978)</f>
        <v>4.3978</v>
      </c>
    </row>
    <row r="2601">
      <c r="D2601" s="6">
        <f>IFERROR(__xludf.DUMMYFUNCTION("""COMPUTED_VALUE"""),41815.99861111111)</f>
        <v>41815.99861</v>
      </c>
      <c r="E2601" s="3">
        <f>IFERROR(__xludf.DUMMYFUNCTION("""COMPUTED_VALUE"""),4.394)</f>
        <v>4.394</v>
      </c>
    </row>
    <row r="2602">
      <c r="D2602" s="6">
        <f>IFERROR(__xludf.DUMMYFUNCTION("""COMPUTED_VALUE"""),41816.99861111111)</f>
        <v>41816.99861</v>
      </c>
      <c r="E2602" s="3">
        <f>IFERROR(__xludf.DUMMYFUNCTION("""COMPUTED_VALUE"""),4.3916)</f>
        <v>4.3916</v>
      </c>
    </row>
    <row r="2603">
      <c r="D2603" s="6">
        <f>IFERROR(__xludf.DUMMYFUNCTION("""COMPUTED_VALUE"""),41817.99861111111)</f>
        <v>41817.99861</v>
      </c>
      <c r="E2603" s="3">
        <f>IFERROR(__xludf.DUMMYFUNCTION("""COMPUTED_VALUE"""),4.3897)</f>
        <v>4.3897</v>
      </c>
    </row>
    <row r="2604">
      <c r="D2604" s="6">
        <f>IFERROR(__xludf.DUMMYFUNCTION("""COMPUTED_VALUE"""),41820.99861111111)</f>
        <v>41820.99861</v>
      </c>
      <c r="E2604" s="3">
        <f>IFERROR(__xludf.DUMMYFUNCTION("""COMPUTED_VALUE"""),4.3799)</f>
        <v>4.3799</v>
      </c>
    </row>
    <row r="2605">
      <c r="D2605" s="6">
        <f>IFERROR(__xludf.DUMMYFUNCTION("""COMPUTED_VALUE"""),41821.99861111111)</f>
        <v>41821.99861</v>
      </c>
      <c r="E2605" s="3">
        <f>IFERROR(__xludf.DUMMYFUNCTION("""COMPUTED_VALUE"""),4.3879)</f>
        <v>4.3879</v>
      </c>
    </row>
    <row r="2606">
      <c r="D2606" s="6">
        <f>IFERROR(__xludf.DUMMYFUNCTION("""COMPUTED_VALUE"""),41822.99861111111)</f>
        <v>41822.99861</v>
      </c>
      <c r="E2606" s="3">
        <f>IFERROR(__xludf.DUMMYFUNCTION("""COMPUTED_VALUE"""),4.3886)</f>
        <v>4.3886</v>
      </c>
    </row>
    <row r="2607">
      <c r="D2607" s="6">
        <f>IFERROR(__xludf.DUMMYFUNCTION("""COMPUTED_VALUE"""),41823.99861111111)</f>
        <v>41823.99861</v>
      </c>
      <c r="E2607" s="3">
        <f>IFERROR(__xludf.DUMMYFUNCTION("""COMPUTED_VALUE"""),4.3907)</f>
        <v>4.3907</v>
      </c>
    </row>
    <row r="2608">
      <c r="D2608" s="6">
        <f>IFERROR(__xludf.DUMMYFUNCTION("""COMPUTED_VALUE"""),41824.99861111111)</f>
        <v>41824.99861</v>
      </c>
      <c r="E2608" s="3">
        <f>IFERROR(__xludf.DUMMYFUNCTION("""COMPUTED_VALUE"""),4.3887)</f>
        <v>4.3887</v>
      </c>
    </row>
    <row r="2609">
      <c r="D2609" s="6">
        <f>IFERROR(__xludf.DUMMYFUNCTION("""COMPUTED_VALUE"""),41827.99861111111)</f>
        <v>41827.99861</v>
      </c>
      <c r="E2609" s="3">
        <f>IFERROR(__xludf.DUMMYFUNCTION("""COMPUTED_VALUE"""),4.3838)</f>
        <v>4.3838</v>
      </c>
    </row>
    <row r="2610">
      <c r="D2610" s="6">
        <f>IFERROR(__xludf.DUMMYFUNCTION("""COMPUTED_VALUE"""),41828.99861111111)</f>
        <v>41828.99861</v>
      </c>
      <c r="E2610" s="3">
        <f>IFERROR(__xludf.DUMMYFUNCTION("""COMPUTED_VALUE"""),4.3896)</f>
        <v>4.3896</v>
      </c>
    </row>
    <row r="2611">
      <c r="D2611" s="6">
        <f>IFERROR(__xludf.DUMMYFUNCTION("""COMPUTED_VALUE"""),41829.99861111111)</f>
        <v>41829.99861</v>
      </c>
      <c r="E2611" s="3">
        <f>IFERROR(__xludf.DUMMYFUNCTION("""COMPUTED_VALUE"""),4.3922)</f>
        <v>4.3922</v>
      </c>
    </row>
    <row r="2612">
      <c r="D2612" s="6">
        <f>IFERROR(__xludf.DUMMYFUNCTION("""COMPUTED_VALUE"""),41830.99861111111)</f>
        <v>41830.99861</v>
      </c>
      <c r="E2612" s="3">
        <f>IFERROR(__xludf.DUMMYFUNCTION("""COMPUTED_VALUE"""),4.4058)</f>
        <v>4.4058</v>
      </c>
    </row>
    <row r="2613">
      <c r="D2613" s="6">
        <f>IFERROR(__xludf.DUMMYFUNCTION("""COMPUTED_VALUE"""),41831.99861111111)</f>
        <v>41831.99861</v>
      </c>
      <c r="E2613" s="3">
        <f>IFERROR(__xludf.DUMMYFUNCTION("""COMPUTED_VALUE"""),4.4191)</f>
        <v>4.4191</v>
      </c>
    </row>
    <row r="2614">
      <c r="D2614" s="6">
        <f>IFERROR(__xludf.DUMMYFUNCTION("""COMPUTED_VALUE"""),41833.99861111111)</f>
        <v>41833.99861</v>
      </c>
      <c r="E2614" s="3">
        <f>IFERROR(__xludf.DUMMYFUNCTION("""COMPUTED_VALUE"""),4.4164)</f>
        <v>4.4164</v>
      </c>
    </row>
    <row r="2615">
      <c r="D2615" s="6">
        <f>IFERROR(__xludf.DUMMYFUNCTION("""COMPUTED_VALUE"""),41834.99861111111)</f>
        <v>41834.99861</v>
      </c>
      <c r="E2615" s="3">
        <f>IFERROR(__xludf.DUMMYFUNCTION("""COMPUTED_VALUE"""),4.4206)</f>
        <v>4.4206</v>
      </c>
    </row>
    <row r="2616">
      <c r="D2616" s="6">
        <f>IFERROR(__xludf.DUMMYFUNCTION("""COMPUTED_VALUE"""),41835.99861111111)</f>
        <v>41835.99861</v>
      </c>
      <c r="E2616" s="3">
        <f>IFERROR(__xludf.DUMMYFUNCTION("""COMPUTED_VALUE"""),4.422)</f>
        <v>4.422</v>
      </c>
    </row>
    <row r="2617">
      <c r="D2617" s="6">
        <f>IFERROR(__xludf.DUMMYFUNCTION("""COMPUTED_VALUE"""),41836.99861111111)</f>
        <v>41836.99861</v>
      </c>
      <c r="E2617" s="3">
        <f>IFERROR(__xludf.DUMMYFUNCTION("""COMPUTED_VALUE"""),4.4443)</f>
        <v>4.4443</v>
      </c>
    </row>
    <row r="2618">
      <c r="D2618" s="6">
        <f>IFERROR(__xludf.DUMMYFUNCTION("""COMPUTED_VALUE"""),41837.99861111111)</f>
        <v>41837.99861</v>
      </c>
      <c r="E2618" s="3">
        <f>IFERROR(__xludf.DUMMYFUNCTION("""COMPUTED_VALUE"""),4.4439)</f>
        <v>4.4439</v>
      </c>
    </row>
    <row r="2619">
      <c r="D2619" s="6">
        <f>IFERROR(__xludf.DUMMYFUNCTION("""COMPUTED_VALUE"""),41838.99861111111)</f>
        <v>41838.99861</v>
      </c>
      <c r="E2619" s="3">
        <f>IFERROR(__xludf.DUMMYFUNCTION("""COMPUTED_VALUE"""),4.4583)</f>
        <v>4.4583</v>
      </c>
    </row>
    <row r="2620">
      <c r="D2620" s="6">
        <f>IFERROR(__xludf.DUMMYFUNCTION("""COMPUTED_VALUE"""),41840.99861111111)</f>
        <v>41840.99861</v>
      </c>
      <c r="E2620" s="3">
        <f>IFERROR(__xludf.DUMMYFUNCTION("""COMPUTED_VALUE"""),4.4545)</f>
        <v>4.4545</v>
      </c>
    </row>
    <row r="2621">
      <c r="D2621" s="6">
        <f>IFERROR(__xludf.DUMMYFUNCTION("""COMPUTED_VALUE"""),41841.99861111111)</f>
        <v>41841.99861</v>
      </c>
      <c r="E2621" s="3">
        <f>IFERROR(__xludf.DUMMYFUNCTION("""COMPUTED_VALUE"""),4.4445)</f>
        <v>4.4445</v>
      </c>
    </row>
    <row r="2622">
      <c r="D2622" s="6">
        <f>IFERROR(__xludf.DUMMYFUNCTION("""COMPUTED_VALUE"""),41842.99861111111)</f>
        <v>41842.99861</v>
      </c>
      <c r="E2622" s="3">
        <f>IFERROR(__xludf.DUMMYFUNCTION("""COMPUTED_VALUE"""),4.4477)</f>
        <v>4.4477</v>
      </c>
    </row>
    <row r="2623">
      <c r="D2623" s="6">
        <f>IFERROR(__xludf.DUMMYFUNCTION("""COMPUTED_VALUE"""),41843.99861111111)</f>
        <v>41843.99861</v>
      </c>
      <c r="E2623" s="3">
        <f>IFERROR(__xludf.DUMMYFUNCTION("""COMPUTED_VALUE"""),4.4416)</f>
        <v>4.4416</v>
      </c>
    </row>
    <row r="2624">
      <c r="D2624" s="6">
        <f>IFERROR(__xludf.DUMMYFUNCTION("""COMPUTED_VALUE"""),41844.99861111111)</f>
        <v>41844.99861</v>
      </c>
      <c r="E2624" s="3">
        <f>IFERROR(__xludf.DUMMYFUNCTION("""COMPUTED_VALUE"""),4.4181)</f>
        <v>4.4181</v>
      </c>
    </row>
    <row r="2625">
      <c r="D2625" s="6">
        <f>IFERROR(__xludf.DUMMYFUNCTION("""COMPUTED_VALUE"""),41845.99861111111)</f>
        <v>41845.99861</v>
      </c>
      <c r="E2625" s="3">
        <f>IFERROR(__xludf.DUMMYFUNCTION("""COMPUTED_VALUE"""),4.4058)</f>
        <v>4.4058</v>
      </c>
    </row>
    <row r="2626">
      <c r="D2626" s="6">
        <f>IFERROR(__xludf.DUMMYFUNCTION("""COMPUTED_VALUE"""),41847.99861111111)</f>
        <v>41847.99861</v>
      </c>
      <c r="E2626" s="3">
        <f>IFERROR(__xludf.DUMMYFUNCTION("""COMPUTED_VALUE"""),4.392)</f>
        <v>4.392</v>
      </c>
    </row>
    <row r="2627">
      <c r="D2627" s="6">
        <f>IFERROR(__xludf.DUMMYFUNCTION("""COMPUTED_VALUE"""),41848.99861111111)</f>
        <v>41848.99861</v>
      </c>
      <c r="E2627" s="3">
        <f>IFERROR(__xludf.DUMMYFUNCTION("""COMPUTED_VALUE"""),4.392)</f>
        <v>4.392</v>
      </c>
    </row>
    <row r="2628">
      <c r="D2628" s="6">
        <f>IFERROR(__xludf.DUMMYFUNCTION("""COMPUTED_VALUE"""),41849.99861111111)</f>
        <v>41849.99861</v>
      </c>
      <c r="E2628" s="3">
        <f>IFERROR(__xludf.DUMMYFUNCTION("""COMPUTED_VALUE"""),4.4069)</f>
        <v>4.4069</v>
      </c>
    </row>
    <row r="2629">
      <c r="D2629" s="6">
        <f>IFERROR(__xludf.DUMMYFUNCTION("""COMPUTED_VALUE"""),41850.99861111111)</f>
        <v>41850.99861</v>
      </c>
      <c r="E2629" s="3">
        <f>IFERROR(__xludf.DUMMYFUNCTION("""COMPUTED_VALUE"""),4.4057)</f>
        <v>4.4057</v>
      </c>
    </row>
    <row r="2630">
      <c r="D2630" s="6">
        <f>IFERROR(__xludf.DUMMYFUNCTION("""COMPUTED_VALUE"""),41851.99861111111)</f>
        <v>41851.99861</v>
      </c>
      <c r="E2630" s="3">
        <f>IFERROR(__xludf.DUMMYFUNCTION("""COMPUTED_VALUE"""),4.4278)</f>
        <v>4.4278</v>
      </c>
    </row>
    <row r="2631">
      <c r="D2631" s="6">
        <f>IFERROR(__xludf.DUMMYFUNCTION("""COMPUTED_VALUE"""),41852.99861111111)</f>
        <v>41852.99861</v>
      </c>
      <c r="E2631" s="3">
        <f>IFERROR(__xludf.DUMMYFUNCTION("""COMPUTED_VALUE"""),4.443)</f>
        <v>4.443</v>
      </c>
    </row>
    <row r="2632">
      <c r="D2632" s="6">
        <f>IFERROR(__xludf.DUMMYFUNCTION("""COMPUTED_VALUE"""),41854.99861111111)</f>
        <v>41854.99861</v>
      </c>
      <c r="E2632" s="3">
        <f>IFERROR(__xludf.DUMMYFUNCTION("""COMPUTED_VALUE"""),4.4297)</f>
        <v>4.4297</v>
      </c>
    </row>
    <row r="2633">
      <c r="D2633" s="6">
        <f>IFERROR(__xludf.DUMMYFUNCTION("""COMPUTED_VALUE"""),41855.99861111111)</f>
        <v>41855.99861</v>
      </c>
      <c r="E2633" s="3">
        <f>IFERROR(__xludf.DUMMYFUNCTION("""COMPUTED_VALUE"""),4.435)</f>
        <v>4.435</v>
      </c>
    </row>
    <row r="2634">
      <c r="D2634" s="6">
        <f>IFERROR(__xludf.DUMMYFUNCTION("""COMPUTED_VALUE"""),41856.99861111111)</f>
        <v>41856.99861</v>
      </c>
      <c r="E2634" s="3">
        <f>IFERROR(__xludf.DUMMYFUNCTION("""COMPUTED_VALUE"""),4.4337)</f>
        <v>4.4337</v>
      </c>
    </row>
    <row r="2635">
      <c r="D2635" s="6">
        <f>IFERROR(__xludf.DUMMYFUNCTION("""COMPUTED_VALUE"""),41857.99861111111)</f>
        <v>41857.99861</v>
      </c>
      <c r="E2635" s="3">
        <f>IFERROR(__xludf.DUMMYFUNCTION("""COMPUTED_VALUE"""),4.4483)</f>
        <v>4.4483</v>
      </c>
    </row>
    <row r="2636">
      <c r="D2636" s="6">
        <f>IFERROR(__xludf.DUMMYFUNCTION("""COMPUTED_VALUE"""),41858.99861111111)</f>
        <v>41858.99861</v>
      </c>
      <c r="E2636" s="3">
        <f>IFERROR(__xludf.DUMMYFUNCTION("""COMPUTED_VALUE"""),4.4451)</f>
        <v>4.4451</v>
      </c>
    </row>
    <row r="2637">
      <c r="D2637" s="6">
        <f>IFERROR(__xludf.DUMMYFUNCTION("""COMPUTED_VALUE"""),41859.99861111111)</f>
        <v>41859.99861</v>
      </c>
      <c r="E2637" s="3">
        <f>IFERROR(__xludf.DUMMYFUNCTION("""COMPUTED_VALUE"""),4.4478)</f>
        <v>4.4478</v>
      </c>
    </row>
    <row r="2638">
      <c r="D2638" s="6">
        <f>IFERROR(__xludf.DUMMYFUNCTION("""COMPUTED_VALUE"""),41861.99861111111)</f>
        <v>41861.99861</v>
      </c>
      <c r="E2638" s="3">
        <f>IFERROR(__xludf.DUMMYFUNCTION("""COMPUTED_VALUE"""),4.4426)</f>
        <v>4.4426</v>
      </c>
    </row>
    <row r="2639">
      <c r="D2639" s="6">
        <f>IFERROR(__xludf.DUMMYFUNCTION("""COMPUTED_VALUE"""),41862.99861111111)</f>
        <v>41862.99861</v>
      </c>
      <c r="E2639" s="3">
        <f>IFERROR(__xludf.DUMMYFUNCTION("""COMPUTED_VALUE"""),4.4427)</f>
        <v>4.4427</v>
      </c>
    </row>
    <row r="2640">
      <c r="D2640" s="6">
        <f>IFERROR(__xludf.DUMMYFUNCTION("""COMPUTED_VALUE"""),41863.99861111111)</f>
        <v>41863.99861</v>
      </c>
      <c r="E2640" s="3">
        <f>IFERROR(__xludf.DUMMYFUNCTION("""COMPUTED_VALUE"""),4.4427)</f>
        <v>4.4427</v>
      </c>
    </row>
    <row r="2641">
      <c r="D2641" s="6">
        <f>IFERROR(__xludf.DUMMYFUNCTION("""COMPUTED_VALUE"""),41864.99861111111)</f>
        <v>41864.99861</v>
      </c>
      <c r="E2641" s="3">
        <f>IFERROR(__xludf.DUMMYFUNCTION("""COMPUTED_VALUE"""),4.4417)</f>
        <v>4.4417</v>
      </c>
    </row>
    <row r="2642">
      <c r="D2642" s="6">
        <f>IFERROR(__xludf.DUMMYFUNCTION("""COMPUTED_VALUE"""),41865.99861111111)</f>
        <v>41865.99861</v>
      </c>
      <c r="E2642" s="3">
        <f>IFERROR(__xludf.DUMMYFUNCTION("""COMPUTED_VALUE"""),4.4403)</f>
        <v>4.4403</v>
      </c>
    </row>
    <row r="2643">
      <c r="D2643" s="6">
        <f>IFERROR(__xludf.DUMMYFUNCTION("""COMPUTED_VALUE"""),41866.99861111111)</f>
        <v>41866.99861</v>
      </c>
      <c r="E2643" s="3">
        <f>IFERROR(__xludf.DUMMYFUNCTION("""COMPUTED_VALUE"""),4.4409)</f>
        <v>4.4409</v>
      </c>
    </row>
    <row r="2644">
      <c r="D2644" s="6">
        <f>IFERROR(__xludf.DUMMYFUNCTION("""COMPUTED_VALUE"""),41868.99861111111)</f>
        <v>41868.99861</v>
      </c>
      <c r="E2644" s="3">
        <f>IFERROR(__xludf.DUMMYFUNCTION("""COMPUTED_VALUE"""),4.4308)</f>
        <v>4.4308</v>
      </c>
    </row>
    <row r="2645">
      <c r="D2645" s="6">
        <f>IFERROR(__xludf.DUMMYFUNCTION("""COMPUTED_VALUE"""),41869.99861111111)</f>
        <v>41869.99861</v>
      </c>
      <c r="E2645" s="3">
        <f>IFERROR(__xludf.DUMMYFUNCTION("""COMPUTED_VALUE"""),4.431)</f>
        <v>4.431</v>
      </c>
    </row>
    <row r="2646">
      <c r="D2646" s="6">
        <f>IFERROR(__xludf.DUMMYFUNCTION("""COMPUTED_VALUE"""),41870.99861111111)</f>
        <v>41870.99861</v>
      </c>
      <c r="E2646" s="3">
        <f>IFERROR(__xludf.DUMMYFUNCTION("""COMPUTED_VALUE"""),4.4358)</f>
        <v>4.4358</v>
      </c>
    </row>
    <row r="2647">
      <c r="D2647" s="6">
        <f>IFERROR(__xludf.DUMMYFUNCTION("""COMPUTED_VALUE"""),41871.99861111111)</f>
        <v>41871.99861</v>
      </c>
      <c r="E2647" s="3">
        <f>IFERROR(__xludf.DUMMYFUNCTION("""COMPUTED_VALUE"""),4.4334)</f>
        <v>4.4334</v>
      </c>
    </row>
    <row r="2648">
      <c r="D2648" s="6">
        <f>IFERROR(__xludf.DUMMYFUNCTION("""COMPUTED_VALUE"""),41872.99861111111)</f>
        <v>41872.99861</v>
      </c>
      <c r="E2648" s="3">
        <f>IFERROR(__xludf.DUMMYFUNCTION("""COMPUTED_VALUE"""),4.4237)</f>
        <v>4.4237</v>
      </c>
    </row>
    <row r="2649">
      <c r="D2649" s="6">
        <f>IFERROR(__xludf.DUMMYFUNCTION("""COMPUTED_VALUE"""),41873.99861111111)</f>
        <v>41873.99861</v>
      </c>
      <c r="E2649" s="3">
        <f>IFERROR(__xludf.DUMMYFUNCTION("""COMPUTED_VALUE"""),4.4115)</f>
        <v>4.4115</v>
      </c>
    </row>
    <row r="2650">
      <c r="D2650" s="6">
        <f>IFERROR(__xludf.DUMMYFUNCTION("""COMPUTED_VALUE"""),41875.99861111111)</f>
        <v>41875.99861</v>
      </c>
      <c r="E2650" s="3">
        <f>IFERROR(__xludf.DUMMYFUNCTION("""COMPUTED_VALUE"""),4.4075)</f>
        <v>4.4075</v>
      </c>
    </row>
    <row r="2651">
      <c r="D2651" s="6">
        <f>IFERROR(__xludf.DUMMYFUNCTION("""COMPUTED_VALUE"""),41876.99861111111)</f>
        <v>41876.99861</v>
      </c>
      <c r="E2651" s="3">
        <f>IFERROR(__xludf.DUMMYFUNCTION("""COMPUTED_VALUE"""),4.4075)</f>
        <v>4.4075</v>
      </c>
    </row>
    <row r="2652">
      <c r="D2652" s="6">
        <f>IFERROR(__xludf.DUMMYFUNCTION("""COMPUTED_VALUE"""),41877.99861111111)</f>
        <v>41877.99861</v>
      </c>
      <c r="E2652" s="3">
        <f>IFERROR(__xludf.DUMMYFUNCTION("""COMPUTED_VALUE"""),4.4015)</f>
        <v>4.4015</v>
      </c>
    </row>
    <row r="2653">
      <c r="D2653" s="6">
        <f>IFERROR(__xludf.DUMMYFUNCTION("""COMPUTED_VALUE"""),41878.99861111111)</f>
        <v>41878.99861</v>
      </c>
      <c r="E2653" s="3">
        <f>IFERROR(__xludf.DUMMYFUNCTION("""COMPUTED_VALUE"""),4.4017)</f>
        <v>4.4017</v>
      </c>
    </row>
    <row r="2654">
      <c r="D2654" s="6">
        <f>IFERROR(__xludf.DUMMYFUNCTION("""COMPUTED_VALUE"""),41879.99861111111)</f>
        <v>41879.99861</v>
      </c>
      <c r="E2654" s="3">
        <f>IFERROR(__xludf.DUMMYFUNCTION("""COMPUTED_VALUE"""),4.4061)</f>
        <v>4.4061</v>
      </c>
    </row>
    <row r="2655">
      <c r="D2655" s="6">
        <f>IFERROR(__xludf.DUMMYFUNCTION("""COMPUTED_VALUE"""),41880.99861111111)</f>
        <v>41880.99861</v>
      </c>
      <c r="E2655" s="3">
        <f>IFERROR(__xludf.DUMMYFUNCTION("""COMPUTED_VALUE"""),4.4142)</f>
        <v>4.4142</v>
      </c>
    </row>
    <row r="2656">
      <c r="D2656" s="6">
        <f>IFERROR(__xludf.DUMMYFUNCTION("""COMPUTED_VALUE"""),41882.99861111111)</f>
        <v>41882.99861</v>
      </c>
      <c r="E2656" s="3">
        <f>IFERROR(__xludf.DUMMYFUNCTION("""COMPUTED_VALUE"""),4.3971)</f>
        <v>4.3971</v>
      </c>
    </row>
    <row r="2657">
      <c r="D2657" s="6">
        <f>IFERROR(__xludf.DUMMYFUNCTION("""COMPUTED_VALUE"""),41883.99861111111)</f>
        <v>41883.99861</v>
      </c>
      <c r="E2657" s="3">
        <f>IFERROR(__xludf.DUMMYFUNCTION("""COMPUTED_VALUE"""),4.3929)</f>
        <v>4.3929</v>
      </c>
    </row>
    <row r="2658">
      <c r="D2658" s="6">
        <f>IFERROR(__xludf.DUMMYFUNCTION("""COMPUTED_VALUE"""),41884.99861111111)</f>
        <v>41884.99861</v>
      </c>
      <c r="E2658" s="3">
        <f>IFERROR(__xludf.DUMMYFUNCTION("""COMPUTED_VALUE"""),4.4128)</f>
        <v>4.4128</v>
      </c>
    </row>
    <row r="2659">
      <c r="D2659" s="6">
        <f>IFERROR(__xludf.DUMMYFUNCTION("""COMPUTED_VALUE"""),41885.99861111111)</f>
        <v>41885.99861</v>
      </c>
      <c r="E2659" s="3">
        <f>IFERROR(__xludf.DUMMYFUNCTION("""COMPUTED_VALUE"""),4.4121)</f>
        <v>4.4121</v>
      </c>
    </row>
    <row r="2660">
      <c r="D2660" s="6">
        <f>IFERROR(__xludf.DUMMYFUNCTION("""COMPUTED_VALUE"""),41886.99861111111)</f>
        <v>41886.99861</v>
      </c>
      <c r="E2660" s="3">
        <f>IFERROR(__xludf.DUMMYFUNCTION("""COMPUTED_VALUE"""),4.4049)</f>
        <v>4.4049</v>
      </c>
    </row>
    <row r="2661">
      <c r="D2661" s="6">
        <f>IFERROR(__xludf.DUMMYFUNCTION("""COMPUTED_VALUE"""),41887.99861111111)</f>
        <v>41887.99861</v>
      </c>
      <c r="E2661" s="3">
        <f>IFERROR(__xludf.DUMMYFUNCTION("""COMPUTED_VALUE"""),4.404)</f>
        <v>4.404</v>
      </c>
    </row>
    <row r="2662">
      <c r="D2662" s="6">
        <f>IFERROR(__xludf.DUMMYFUNCTION("""COMPUTED_VALUE"""),41890.99861111111)</f>
        <v>41890.99861</v>
      </c>
      <c r="E2662" s="3">
        <f>IFERROR(__xludf.DUMMYFUNCTION("""COMPUTED_VALUE"""),4.4126)</f>
        <v>4.4126</v>
      </c>
    </row>
    <row r="2663">
      <c r="D2663" s="6">
        <f>IFERROR(__xludf.DUMMYFUNCTION("""COMPUTED_VALUE"""),41891.99861111111)</f>
        <v>41891.99861</v>
      </c>
      <c r="E2663" s="3">
        <f>IFERROR(__xludf.DUMMYFUNCTION("""COMPUTED_VALUE"""),4.4229)</f>
        <v>4.4229</v>
      </c>
    </row>
    <row r="2664">
      <c r="D2664" s="6">
        <f>IFERROR(__xludf.DUMMYFUNCTION("""COMPUTED_VALUE"""),41892.99861111111)</f>
        <v>41892.99861</v>
      </c>
      <c r="E2664" s="3">
        <f>IFERROR(__xludf.DUMMYFUNCTION("""COMPUTED_VALUE"""),4.4324)</f>
        <v>4.4324</v>
      </c>
    </row>
    <row r="2665">
      <c r="D2665" s="6">
        <f>IFERROR(__xludf.DUMMYFUNCTION("""COMPUTED_VALUE"""),41893.99861111111)</f>
        <v>41893.99861</v>
      </c>
      <c r="E2665" s="3">
        <f>IFERROR(__xludf.DUMMYFUNCTION("""COMPUTED_VALUE"""),4.4245)</f>
        <v>4.4245</v>
      </c>
    </row>
    <row r="2666">
      <c r="D2666" s="6">
        <f>IFERROR(__xludf.DUMMYFUNCTION("""COMPUTED_VALUE"""),41894.99861111111)</f>
        <v>41894.99861</v>
      </c>
      <c r="E2666" s="3">
        <f>IFERROR(__xludf.DUMMYFUNCTION("""COMPUTED_VALUE"""),4.4249)</f>
        <v>4.4249</v>
      </c>
    </row>
    <row r="2667">
      <c r="D2667" s="6">
        <f>IFERROR(__xludf.DUMMYFUNCTION("""COMPUTED_VALUE"""),41897.99861111111)</f>
        <v>41897.99861</v>
      </c>
      <c r="E2667" s="3">
        <f>IFERROR(__xludf.DUMMYFUNCTION("""COMPUTED_VALUE"""),4.4132)</f>
        <v>4.4132</v>
      </c>
    </row>
    <row r="2668">
      <c r="D2668" s="6">
        <f>IFERROR(__xludf.DUMMYFUNCTION("""COMPUTED_VALUE"""),41898.99861111111)</f>
        <v>41898.99861</v>
      </c>
      <c r="E2668" s="3">
        <f>IFERROR(__xludf.DUMMYFUNCTION("""COMPUTED_VALUE"""),4.4179)</f>
        <v>4.4179</v>
      </c>
    </row>
    <row r="2669">
      <c r="D2669" s="6">
        <f>IFERROR(__xludf.DUMMYFUNCTION("""COMPUTED_VALUE"""),41899.99861111111)</f>
        <v>41899.99861</v>
      </c>
      <c r="E2669" s="3">
        <f>IFERROR(__xludf.DUMMYFUNCTION("""COMPUTED_VALUE"""),4.4244)</f>
        <v>4.4244</v>
      </c>
    </row>
    <row r="2670">
      <c r="D2670" s="6">
        <f>IFERROR(__xludf.DUMMYFUNCTION("""COMPUTED_VALUE"""),41900.99861111111)</f>
        <v>41900.99861</v>
      </c>
      <c r="E2670" s="3">
        <f>IFERROR(__xludf.DUMMYFUNCTION("""COMPUTED_VALUE"""),4.4214)</f>
        <v>4.4214</v>
      </c>
    </row>
    <row r="2671">
      <c r="D2671" s="6">
        <f>IFERROR(__xludf.DUMMYFUNCTION("""COMPUTED_VALUE"""),41901.99861111111)</f>
        <v>41901.99861</v>
      </c>
      <c r="E2671" s="3">
        <f>IFERROR(__xludf.DUMMYFUNCTION("""COMPUTED_VALUE"""),4.4127)</f>
        <v>4.4127</v>
      </c>
    </row>
    <row r="2672">
      <c r="D2672" s="6">
        <f>IFERROR(__xludf.DUMMYFUNCTION("""COMPUTED_VALUE"""),41904.99861111111)</f>
        <v>41904.99861</v>
      </c>
      <c r="E2672" s="3">
        <f>IFERROR(__xludf.DUMMYFUNCTION("""COMPUTED_VALUE"""),4.4032)</f>
        <v>4.4032</v>
      </c>
    </row>
    <row r="2673">
      <c r="D2673" s="6">
        <f>IFERROR(__xludf.DUMMYFUNCTION("""COMPUTED_VALUE"""),41905.99861111111)</f>
        <v>41905.99861</v>
      </c>
      <c r="E2673" s="3">
        <f>IFERROR(__xludf.DUMMYFUNCTION("""COMPUTED_VALUE"""),4.4062)</f>
        <v>4.4062</v>
      </c>
    </row>
    <row r="2674">
      <c r="D2674" s="6">
        <f>IFERROR(__xludf.DUMMYFUNCTION("""COMPUTED_VALUE"""),41906.99861111111)</f>
        <v>41906.99861</v>
      </c>
      <c r="E2674" s="3">
        <f>IFERROR(__xludf.DUMMYFUNCTION("""COMPUTED_VALUE"""),4.4058)</f>
        <v>4.4058</v>
      </c>
    </row>
    <row r="2675">
      <c r="D2675" s="6">
        <f>IFERROR(__xludf.DUMMYFUNCTION("""COMPUTED_VALUE"""),41907.99861111111)</f>
        <v>41907.99861</v>
      </c>
      <c r="E2675" s="3">
        <f>IFERROR(__xludf.DUMMYFUNCTION("""COMPUTED_VALUE"""),4.4078)</f>
        <v>4.4078</v>
      </c>
    </row>
    <row r="2676">
      <c r="D2676" s="6">
        <f>IFERROR(__xludf.DUMMYFUNCTION("""COMPUTED_VALUE"""),41908.99861111111)</f>
        <v>41908.99861</v>
      </c>
      <c r="E2676" s="3">
        <f>IFERROR(__xludf.DUMMYFUNCTION("""COMPUTED_VALUE"""),4.4185)</f>
        <v>4.4185</v>
      </c>
    </row>
    <row r="2677">
      <c r="D2677" s="6">
        <f>IFERROR(__xludf.DUMMYFUNCTION("""COMPUTED_VALUE"""),41910.99861111111)</f>
        <v>41910.99861</v>
      </c>
      <c r="E2677" s="3">
        <f>IFERROR(__xludf.DUMMYFUNCTION("""COMPUTED_VALUE"""),4.4034)</f>
        <v>4.4034</v>
      </c>
    </row>
    <row r="2678">
      <c r="D2678" s="6">
        <f>IFERROR(__xludf.DUMMYFUNCTION("""COMPUTED_VALUE"""),41911.99861111111)</f>
        <v>41911.99861</v>
      </c>
      <c r="E2678" s="3">
        <f>IFERROR(__xludf.DUMMYFUNCTION("""COMPUTED_VALUE"""),4.4105)</f>
        <v>4.4105</v>
      </c>
    </row>
    <row r="2679">
      <c r="D2679" s="6">
        <f>IFERROR(__xludf.DUMMYFUNCTION("""COMPUTED_VALUE"""),41912.99861111111)</f>
        <v>41912.99861</v>
      </c>
      <c r="E2679" s="3">
        <f>IFERROR(__xludf.DUMMYFUNCTION("""COMPUTED_VALUE"""),4.4117)</f>
        <v>4.4117</v>
      </c>
    </row>
    <row r="2680">
      <c r="D2680" s="6">
        <f>IFERROR(__xludf.DUMMYFUNCTION("""COMPUTED_VALUE"""),41913.99861111111)</f>
        <v>41913.99861</v>
      </c>
      <c r="E2680" s="3">
        <f>IFERROR(__xludf.DUMMYFUNCTION("""COMPUTED_VALUE"""),4.4172)</f>
        <v>4.4172</v>
      </c>
    </row>
    <row r="2681">
      <c r="D2681" s="6">
        <f>IFERROR(__xludf.DUMMYFUNCTION("""COMPUTED_VALUE"""),41914.99861111111)</f>
        <v>41914.99861</v>
      </c>
      <c r="E2681" s="3">
        <f>IFERROR(__xludf.DUMMYFUNCTION("""COMPUTED_VALUE"""),4.4161)</f>
        <v>4.4161</v>
      </c>
    </row>
    <row r="2682">
      <c r="D2682" s="6">
        <f>IFERROR(__xludf.DUMMYFUNCTION("""COMPUTED_VALUE"""),41915.99861111111)</f>
        <v>41915.99861</v>
      </c>
      <c r="E2682" s="3">
        <f>IFERROR(__xludf.DUMMYFUNCTION("""COMPUTED_VALUE"""),4.4144)</f>
        <v>4.4144</v>
      </c>
    </row>
    <row r="2683">
      <c r="D2683" s="6">
        <f>IFERROR(__xludf.DUMMYFUNCTION("""COMPUTED_VALUE"""),41918.99861111111)</f>
        <v>41918.99861</v>
      </c>
      <c r="E2683" s="3">
        <f>IFERROR(__xludf.DUMMYFUNCTION("""COMPUTED_VALUE"""),4.4061)</f>
        <v>4.4061</v>
      </c>
    </row>
    <row r="2684">
      <c r="D2684" s="6">
        <f>IFERROR(__xludf.DUMMYFUNCTION("""COMPUTED_VALUE"""),41919.99861111111)</f>
        <v>41919.99861</v>
      </c>
      <c r="E2684" s="3">
        <f>IFERROR(__xludf.DUMMYFUNCTION("""COMPUTED_VALUE"""),4.4098)</f>
        <v>4.4098</v>
      </c>
    </row>
    <row r="2685">
      <c r="D2685" s="6">
        <f>IFERROR(__xludf.DUMMYFUNCTION("""COMPUTED_VALUE"""),41920.99861111111)</f>
        <v>41920.99861</v>
      </c>
      <c r="E2685" s="3">
        <f>IFERROR(__xludf.DUMMYFUNCTION("""COMPUTED_VALUE"""),4.4131)</f>
        <v>4.4131</v>
      </c>
    </row>
    <row r="2686">
      <c r="D2686" s="6">
        <f>IFERROR(__xludf.DUMMYFUNCTION("""COMPUTED_VALUE"""),41921.99861111111)</f>
        <v>41921.99861</v>
      </c>
      <c r="E2686" s="3">
        <f>IFERROR(__xludf.DUMMYFUNCTION("""COMPUTED_VALUE"""),4.4091)</f>
        <v>4.4091</v>
      </c>
    </row>
    <row r="2687">
      <c r="D2687" s="6">
        <f>IFERROR(__xludf.DUMMYFUNCTION("""COMPUTED_VALUE"""),41922.99861111111)</f>
        <v>41922.99861</v>
      </c>
      <c r="E2687" s="3">
        <f>IFERROR(__xludf.DUMMYFUNCTION("""COMPUTED_VALUE"""),4.406)</f>
        <v>4.406</v>
      </c>
    </row>
    <row r="2688">
      <c r="D2688" s="6">
        <f>IFERROR(__xludf.DUMMYFUNCTION("""COMPUTED_VALUE"""),41924.99861111111)</f>
        <v>41924.99861</v>
      </c>
      <c r="E2688" s="3">
        <f>IFERROR(__xludf.DUMMYFUNCTION("""COMPUTED_VALUE"""),4.402)</f>
        <v>4.402</v>
      </c>
    </row>
    <row r="2689">
      <c r="D2689" s="6">
        <f>IFERROR(__xludf.DUMMYFUNCTION("""COMPUTED_VALUE"""),41925.99861111111)</f>
        <v>41925.99861</v>
      </c>
      <c r="E2689" s="3">
        <f>IFERROR(__xludf.DUMMYFUNCTION("""COMPUTED_VALUE"""),4.3996)</f>
        <v>4.3996</v>
      </c>
    </row>
    <row r="2690">
      <c r="D2690" s="6">
        <f>IFERROR(__xludf.DUMMYFUNCTION("""COMPUTED_VALUE"""),41926.99861111111)</f>
        <v>41926.99861</v>
      </c>
      <c r="E2690" s="3">
        <f>IFERROR(__xludf.DUMMYFUNCTION("""COMPUTED_VALUE"""),4.412)</f>
        <v>4.412</v>
      </c>
    </row>
    <row r="2691">
      <c r="D2691" s="6">
        <f>IFERROR(__xludf.DUMMYFUNCTION("""COMPUTED_VALUE"""),41927.99861111111)</f>
        <v>41927.99861</v>
      </c>
      <c r="E2691" s="3">
        <f>IFERROR(__xludf.DUMMYFUNCTION("""COMPUTED_VALUE"""),4.4329)</f>
        <v>4.4329</v>
      </c>
    </row>
    <row r="2692">
      <c r="D2692" s="6">
        <f>IFERROR(__xludf.DUMMYFUNCTION("""COMPUTED_VALUE"""),41928.99861111111)</f>
        <v>41928.99861</v>
      </c>
      <c r="E2692" s="3">
        <f>IFERROR(__xludf.DUMMYFUNCTION("""COMPUTED_VALUE"""),4.4302)</f>
        <v>4.4302</v>
      </c>
    </row>
    <row r="2693">
      <c r="D2693" s="6">
        <f>IFERROR(__xludf.DUMMYFUNCTION("""COMPUTED_VALUE"""),41929.99861111111)</f>
        <v>41929.99861</v>
      </c>
      <c r="E2693" s="3">
        <f>IFERROR(__xludf.DUMMYFUNCTION("""COMPUTED_VALUE"""),4.4277)</f>
        <v>4.4277</v>
      </c>
    </row>
    <row r="2694">
      <c r="D2694" s="6">
        <f>IFERROR(__xludf.DUMMYFUNCTION("""COMPUTED_VALUE"""),41931.99861111111)</f>
        <v>41931.99861</v>
      </c>
      <c r="E2694" s="3">
        <f>IFERROR(__xludf.DUMMYFUNCTION("""COMPUTED_VALUE"""),4.413)</f>
        <v>4.413</v>
      </c>
    </row>
    <row r="2695">
      <c r="D2695" s="6">
        <f>IFERROR(__xludf.DUMMYFUNCTION("""COMPUTED_VALUE"""),41932.99861111111)</f>
        <v>41932.99861</v>
      </c>
      <c r="E2695" s="3">
        <f>IFERROR(__xludf.DUMMYFUNCTION("""COMPUTED_VALUE"""),4.4125)</f>
        <v>4.4125</v>
      </c>
    </row>
    <row r="2696">
      <c r="D2696" s="6">
        <f>IFERROR(__xludf.DUMMYFUNCTION("""COMPUTED_VALUE"""),41933.99861111111)</f>
        <v>41933.99861</v>
      </c>
      <c r="E2696" s="3">
        <f>IFERROR(__xludf.DUMMYFUNCTION("""COMPUTED_VALUE"""),4.4175)</f>
        <v>4.4175</v>
      </c>
    </row>
    <row r="2697">
      <c r="D2697" s="6">
        <f>IFERROR(__xludf.DUMMYFUNCTION("""COMPUTED_VALUE"""),41934.99861111111)</f>
        <v>41934.99861</v>
      </c>
      <c r="E2697" s="3">
        <f>IFERROR(__xludf.DUMMYFUNCTION("""COMPUTED_VALUE"""),4.4267)</f>
        <v>4.4267</v>
      </c>
    </row>
    <row r="2698">
      <c r="D2698" s="6">
        <f>IFERROR(__xludf.DUMMYFUNCTION("""COMPUTED_VALUE"""),41935.99861111111)</f>
        <v>41935.99861</v>
      </c>
      <c r="E2698" s="3">
        <f>IFERROR(__xludf.DUMMYFUNCTION("""COMPUTED_VALUE"""),4.4266)</f>
        <v>4.4266</v>
      </c>
    </row>
    <row r="2699">
      <c r="D2699" s="6">
        <f>IFERROR(__xludf.DUMMYFUNCTION("""COMPUTED_VALUE"""),41936.99861111111)</f>
        <v>41936.99861</v>
      </c>
      <c r="E2699" s="3">
        <f>IFERROR(__xludf.DUMMYFUNCTION("""COMPUTED_VALUE"""),4.4239)</f>
        <v>4.4239</v>
      </c>
    </row>
    <row r="2700">
      <c r="D2700" s="6">
        <f>IFERROR(__xludf.DUMMYFUNCTION("""COMPUTED_VALUE"""),41939.99861111111)</f>
        <v>41939.99861</v>
      </c>
      <c r="E2700" s="3">
        <f>IFERROR(__xludf.DUMMYFUNCTION("""COMPUTED_VALUE"""),4.4227)</f>
        <v>4.4227</v>
      </c>
    </row>
    <row r="2701">
      <c r="D2701" s="6">
        <f>IFERROR(__xludf.DUMMYFUNCTION("""COMPUTED_VALUE"""),41940.99861111111)</f>
        <v>41940.99861</v>
      </c>
      <c r="E2701" s="3">
        <f>IFERROR(__xludf.DUMMYFUNCTION("""COMPUTED_VALUE"""),4.427)</f>
        <v>4.427</v>
      </c>
    </row>
    <row r="2702">
      <c r="D2702" s="6">
        <f>IFERROR(__xludf.DUMMYFUNCTION("""COMPUTED_VALUE"""),41941.99861111111)</f>
        <v>41941.99861</v>
      </c>
      <c r="E2702" s="3">
        <f>IFERROR(__xludf.DUMMYFUNCTION("""COMPUTED_VALUE"""),4.4245)</f>
        <v>4.4245</v>
      </c>
    </row>
    <row r="2703">
      <c r="D2703" s="6">
        <f>IFERROR(__xludf.DUMMYFUNCTION("""COMPUTED_VALUE"""),41942.99861111111)</f>
        <v>41942.99861</v>
      </c>
      <c r="E2703" s="3">
        <f>IFERROR(__xludf.DUMMYFUNCTION("""COMPUTED_VALUE"""),4.4219)</f>
        <v>4.4219</v>
      </c>
    </row>
    <row r="2704">
      <c r="D2704" s="6">
        <f>IFERROR(__xludf.DUMMYFUNCTION("""COMPUTED_VALUE"""),41943.99861111111)</f>
        <v>41943.99861</v>
      </c>
      <c r="E2704" s="3">
        <f>IFERROR(__xludf.DUMMYFUNCTION("""COMPUTED_VALUE"""),4.4197)</f>
        <v>4.4197</v>
      </c>
    </row>
    <row r="2705">
      <c r="D2705" s="6">
        <f>IFERROR(__xludf.DUMMYFUNCTION("""COMPUTED_VALUE"""),41945.99861111111)</f>
        <v>41945.99861</v>
      </c>
      <c r="E2705" s="3">
        <f>IFERROR(__xludf.DUMMYFUNCTION("""COMPUTED_VALUE"""),4.4138)</f>
        <v>4.4138</v>
      </c>
    </row>
    <row r="2706">
      <c r="D2706" s="6">
        <f>IFERROR(__xludf.DUMMYFUNCTION("""COMPUTED_VALUE"""),41946.99861111111)</f>
        <v>41946.99861</v>
      </c>
      <c r="E2706" s="3">
        <f>IFERROR(__xludf.DUMMYFUNCTION("""COMPUTED_VALUE"""),4.4138)</f>
        <v>4.4138</v>
      </c>
    </row>
    <row r="2707">
      <c r="D2707" s="6">
        <f>IFERROR(__xludf.DUMMYFUNCTION("""COMPUTED_VALUE"""),41947.99861111111)</f>
        <v>41947.99861</v>
      </c>
      <c r="E2707" s="3">
        <f>IFERROR(__xludf.DUMMYFUNCTION("""COMPUTED_VALUE"""),4.4207)</f>
        <v>4.4207</v>
      </c>
    </row>
    <row r="2708">
      <c r="D2708" s="6">
        <f>IFERROR(__xludf.DUMMYFUNCTION("""COMPUTED_VALUE"""),41948.99861111111)</f>
        <v>41948.99861</v>
      </c>
      <c r="E2708" s="3">
        <f>IFERROR(__xludf.DUMMYFUNCTION("""COMPUTED_VALUE"""),4.4201)</f>
        <v>4.4201</v>
      </c>
    </row>
    <row r="2709">
      <c r="D2709" s="6">
        <f>IFERROR(__xludf.DUMMYFUNCTION("""COMPUTED_VALUE"""),41949.99861111111)</f>
        <v>41949.99861</v>
      </c>
      <c r="E2709" s="3">
        <f>IFERROR(__xludf.DUMMYFUNCTION("""COMPUTED_VALUE"""),4.4289)</f>
        <v>4.4289</v>
      </c>
    </row>
    <row r="2710">
      <c r="D2710" s="6">
        <f>IFERROR(__xludf.DUMMYFUNCTION("""COMPUTED_VALUE"""),41950.99861111111)</f>
        <v>41950.99861</v>
      </c>
      <c r="E2710" s="3">
        <f>IFERROR(__xludf.DUMMYFUNCTION("""COMPUTED_VALUE"""),4.4439)</f>
        <v>4.4439</v>
      </c>
    </row>
    <row r="2711">
      <c r="D2711" s="6">
        <f>IFERROR(__xludf.DUMMYFUNCTION("""COMPUTED_VALUE"""),41953.99861111111)</f>
        <v>41953.99861</v>
      </c>
      <c r="E2711" s="3">
        <f>IFERROR(__xludf.DUMMYFUNCTION("""COMPUTED_VALUE"""),4.4229)</f>
        <v>4.4229</v>
      </c>
    </row>
    <row r="2712">
      <c r="D2712" s="6">
        <f>IFERROR(__xludf.DUMMYFUNCTION("""COMPUTED_VALUE"""),41954.99861111111)</f>
        <v>41954.99861</v>
      </c>
      <c r="E2712" s="3">
        <f>IFERROR(__xludf.DUMMYFUNCTION("""COMPUTED_VALUE"""),4.4272)</f>
        <v>4.4272</v>
      </c>
    </row>
    <row r="2713">
      <c r="D2713" s="6">
        <f>IFERROR(__xludf.DUMMYFUNCTION("""COMPUTED_VALUE"""),41955.99861111111)</f>
        <v>41955.99861</v>
      </c>
      <c r="E2713" s="3">
        <f>IFERROR(__xludf.DUMMYFUNCTION("""COMPUTED_VALUE"""),4.4315)</f>
        <v>4.4315</v>
      </c>
    </row>
    <row r="2714">
      <c r="D2714" s="6">
        <f>IFERROR(__xludf.DUMMYFUNCTION("""COMPUTED_VALUE"""),41956.99861111111)</f>
        <v>41956.99861</v>
      </c>
      <c r="E2714" s="3">
        <f>IFERROR(__xludf.DUMMYFUNCTION("""COMPUTED_VALUE"""),4.4318)</f>
        <v>4.4318</v>
      </c>
    </row>
    <row r="2715">
      <c r="D2715" s="6">
        <f>IFERROR(__xludf.DUMMYFUNCTION("""COMPUTED_VALUE"""),41957.99861111111)</f>
        <v>41957.99861</v>
      </c>
      <c r="E2715" s="3">
        <f>IFERROR(__xludf.DUMMYFUNCTION("""COMPUTED_VALUE"""),4.4311)</f>
        <v>4.4311</v>
      </c>
    </row>
    <row r="2716">
      <c r="D2716" s="6">
        <f>IFERROR(__xludf.DUMMYFUNCTION("""COMPUTED_VALUE"""),41959.99861111111)</f>
        <v>41959.99861</v>
      </c>
      <c r="E2716" s="3">
        <f>IFERROR(__xludf.DUMMYFUNCTION("""COMPUTED_VALUE"""),4.4223)</f>
        <v>4.4223</v>
      </c>
    </row>
    <row r="2717">
      <c r="D2717" s="6">
        <f>IFERROR(__xludf.DUMMYFUNCTION("""COMPUTED_VALUE"""),41960.99861111111)</f>
        <v>41960.99861</v>
      </c>
      <c r="E2717" s="3">
        <f>IFERROR(__xludf.DUMMYFUNCTION("""COMPUTED_VALUE"""),4.4255)</f>
        <v>4.4255</v>
      </c>
    </row>
    <row r="2718">
      <c r="D2718" s="6">
        <f>IFERROR(__xludf.DUMMYFUNCTION("""COMPUTED_VALUE"""),41961.99861111111)</f>
        <v>41961.99861</v>
      </c>
      <c r="E2718" s="3">
        <f>IFERROR(__xludf.DUMMYFUNCTION("""COMPUTED_VALUE"""),4.4372)</f>
        <v>4.4372</v>
      </c>
    </row>
    <row r="2719">
      <c r="D2719" s="6">
        <f>IFERROR(__xludf.DUMMYFUNCTION("""COMPUTED_VALUE"""),41962.99861111111)</f>
        <v>41962.99861</v>
      </c>
      <c r="E2719" s="3">
        <f>IFERROR(__xludf.DUMMYFUNCTION("""COMPUTED_VALUE"""),4.4458)</f>
        <v>4.4458</v>
      </c>
    </row>
    <row r="2720">
      <c r="D2720" s="6">
        <f>IFERROR(__xludf.DUMMYFUNCTION("""COMPUTED_VALUE"""),41963.99861111111)</f>
        <v>41963.99861</v>
      </c>
      <c r="E2720" s="3">
        <f>IFERROR(__xludf.DUMMYFUNCTION("""COMPUTED_VALUE"""),4.4452)</f>
        <v>4.4452</v>
      </c>
    </row>
    <row r="2721">
      <c r="D2721" s="6">
        <f>IFERROR(__xludf.DUMMYFUNCTION("""COMPUTED_VALUE"""),41964.99861111111)</f>
        <v>41964.99861</v>
      </c>
      <c r="E2721" s="3">
        <f>IFERROR(__xludf.DUMMYFUNCTION("""COMPUTED_VALUE"""),4.4426)</f>
        <v>4.4426</v>
      </c>
    </row>
    <row r="2722">
      <c r="D2722" s="6">
        <f>IFERROR(__xludf.DUMMYFUNCTION("""COMPUTED_VALUE"""),41967.99861111111)</f>
        <v>41967.99861</v>
      </c>
      <c r="E2722" s="3">
        <f>IFERROR(__xludf.DUMMYFUNCTION("""COMPUTED_VALUE"""),4.4311)</f>
        <v>4.4311</v>
      </c>
    </row>
    <row r="2723">
      <c r="D2723" s="6">
        <f>IFERROR(__xludf.DUMMYFUNCTION("""COMPUTED_VALUE"""),41968.99861111111)</f>
        <v>41968.99861</v>
      </c>
      <c r="E2723" s="3">
        <f>IFERROR(__xludf.DUMMYFUNCTION("""COMPUTED_VALUE"""),4.4353)</f>
        <v>4.4353</v>
      </c>
    </row>
    <row r="2724">
      <c r="D2724" s="6">
        <f>IFERROR(__xludf.DUMMYFUNCTION("""COMPUTED_VALUE"""),41969.99861111111)</f>
        <v>41969.99861</v>
      </c>
      <c r="E2724" s="3">
        <f>IFERROR(__xludf.DUMMYFUNCTION("""COMPUTED_VALUE"""),4.4329)</f>
        <v>4.4329</v>
      </c>
    </row>
    <row r="2725">
      <c r="D2725" s="6">
        <f>IFERROR(__xludf.DUMMYFUNCTION("""COMPUTED_VALUE"""),41970.99861111111)</f>
        <v>41970.99861</v>
      </c>
      <c r="E2725" s="3">
        <f>IFERROR(__xludf.DUMMYFUNCTION("""COMPUTED_VALUE"""),4.4211)</f>
        <v>4.4211</v>
      </c>
    </row>
    <row r="2726">
      <c r="D2726" s="6">
        <f>IFERROR(__xludf.DUMMYFUNCTION("""COMPUTED_VALUE"""),41971.99861111111)</f>
        <v>41971.99861</v>
      </c>
      <c r="E2726" s="3">
        <f>IFERROR(__xludf.DUMMYFUNCTION("""COMPUTED_VALUE"""),4.4326)</f>
        <v>4.4326</v>
      </c>
    </row>
    <row r="2727">
      <c r="D2727" s="6">
        <f>IFERROR(__xludf.DUMMYFUNCTION("""COMPUTED_VALUE"""),41974.99861111111)</f>
        <v>41974.99861</v>
      </c>
      <c r="E2727" s="3">
        <f>IFERROR(__xludf.DUMMYFUNCTION("""COMPUTED_VALUE"""),4.4328)</f>
        <v>4.4328</v>
      </c>
    </row>
    <row r="2728">
      <c r="D2728" s="6">
        <f>IFERROR(__xludf.DUMMYFUNCTION("""COMPUTED_VALUE"""),41975.99861111111)</f>
        <v>41975.99861</v>
      </c>
      <c r="E2728" s="3">
        <f>IFERROR(__xludf.DUMMYFUNCTION("""COMPUTED_VALUE"""),4.4348)</f>
        <v>4.4348</v>
      </c>
    </row>
    <row r="2729">
      <c r="D2729" s="6">
        <f>IFERROR(__xludf.DUMMYFUNCTION("""COMPUTED_VALUE"""),41976.99861111111)</f>
        <v>41976.99861</v>
      </c>
      <c r="E2729" s="3">
        <f>IFERROR(__xludf.DUMMYFUNCTION("""COMPUTED_VALUE"""),4.429)</f>
        <v>4.429</v>
      </c>
    </row>
    <row r="2730">
      <c r="D2730" s="6">
        <f>IFERROR(__xludf.DUMMYFUNCTION("""COMPUTED_VALUE"""),41977.99861111111)</f>
        <v>41977.99861</v>
      </c>
      <c r="E2730" s="3">
        <f>IFERROR(__xludf.DUMMYFUNCTION("""COMPUTED_VALUE"""),4.4366)</f>
        <v>4.4366</v>
      </c>
    </row>
    <row r="2731">
      <c r="D2731" s="6">
        <f>IFERROR(__xludf.DUMMYFUNCTION("""COMPUTED_VALUE"""),41978.99861111111)</f>
        <v>41978.99861</v>
      </c>
      <c r="E2731" s="3">
        <f>IFERROR(__xludf.DUMMYFUNCTION("""COMPUTED_VALUE"""),4.4369)</f>
        <v>4.4369</v>
      </c>
    </row>
    <row r="2732">
      <c r="D2732" s="6">
        <f>IFERROR(__xludf.DUMMYFUNCTION("""COMPUTED_VALUE"""),41981.99861111111)</f>
        <v>41981.99861</v>
      </c>
      <c r="E2732" s="3">
        <f>IFERROR(__xludf.DUMMYFUNCTION("""COMPUTED_VALUE"""),4.439)</f>
        <v>4.439</v>
      </c>
    </row>
    <row r="2733">
      <c r="D2733" s="6">
        <f>IFERROR(__xludf.DUMMYFUNCTION("""COMPUTED_VALUE"""),41982.99861111111)</f>
        <v>41982.99861</v>
      </c>
      <c r="E2733" s="3">
        <f>IFERROR(__xludf.DUMMYFUNCTION("""COMPUTED_VALUE"""),4.4436)</f>
        <v>4.4436</v>
      </c>
    </row>
    <row r="2734">
      <c r="D2734" s="6">
        <f>IFERROR(__xludf.DUMMYFUNCTION("""COMPUTED_VALUE"""),41983.99861111111)</f>
        <v>41983.99861</v>
      </c>
      <c r="E2734" s="3">
        <f>IFERROR(__xludf.DUMMYFUNCTION("""COMPUTED_VALUE"""),4.4469)</f>
        <v>4.4469</v>
      </c>
    </row>
    <row r="2735">
      <c r="D2735" s="6">
        <f>IFERROR(__xludf.DUMMYFUNCTION("""COMPUTED_VALUE"""),41984.99861111111)</f>
        <v>41984.99861</v>
      </c>
      <c r="E2735" s="3">
        <f>IFERROR(__xludf.DUMMYFUNCTION("""COMPUTED_VALUE"""),4.4562)</f>
        <v>4.4562</v>
      </c>
    </row>
    <row r="2736">
      <c r="D2736" s="6">
        <f>IFERROR(__xludf.DUMMYFUNCTION("""COMPUTED_VALUE"""),41985.99861111111)</f>
        <v>41985.99861</v>
      </c>
      <c r="E2736" s="3">
        <f>IFERROR(__xludf.DUMMYFUNCTION("""COMPUTED_VALUE"""),4.4913)</f>
        <v>4.4913</v>
      </c>
    </row>
    <row r="2737">
      <c r="D2737" s="6">
        <f>IFERROR(__xludf.DUMMYFUNCTION("""COMPUTED_VALUE"""),41987.99861111111)</f>
        <v>41987.99861</v>
      </c>
      <c r="E2737" s="3">
        <f>IFERROR(__xludf.DUMMYFUNCTION("""COMPUTED_VALUE"""),4.4887)</f>
        <v>4.4887</v>
      </c>
    </row>
    <row r="2738">
      <c r="D2738" s="6">
        <f>IFERROR(__xludf.DUMMYFUNCTION("""COMPUTED_VALUE"""),41988.99861111111)</f>
        <v>41988.99861</v>
      </c>
      <c r="E2738" s="3">
        <f>IFERROR(__xludf.DUMMYFUNCTION("""COMPUTED_VALUE"""),4.4795)</f>
        <v>4.4795</v>
      </c>
    </row>
    <row r="2739">
      <c r="D2739" s="6">
        <f>IFERROR(__xludf.DUMMYFUNCTION("""COMPUTED_VALUE"""),41989.99861111111)</f>
        <v>41989.99861</v>
      </c>
      <c r="E2739" s="3">
        <f>IFERROR(__xludf.DUMMYFUNCTION("""COMPUTED_VALUE"""),4.4846)</f>
        <v>4.4846</v>
      </c>
    </row>
    <row r="2740">
      <c r="D2740" s="6">
        <f>IFERROR(__xludf.DUMMYFUNCTION("""COMPUTED_VALUE"""),41990.99861111111)</f>
        <v>41990.99861</v>
      </c>
      <c r="E2740" s="3">
        <f>IFERROR(__xludf.DUMMYFUNCTION("""COMPUTED_VALUE"""),4.4902)</f>
        <v>4.4902</v>
      </c>
    </row>
    <row r="2741">
      <c r="D2741" s="6">
        <f>IFERROR(__xludf.DUMMYFUNCTION("""COMPUTED_VALUE"""),41991.99861111111)</f>
        <v>41991.99861</v>
      </c>
      <c r="E2741" s="3">
        <f>IFERROR(__xludf.DUMMYFUNCTION("""COMPUTED_VALUE"""),4.4758)</f>
        <v>4.4758</v>
      </c>
    </row>
    <row r="2742">
      <c r="D2742" s="6">
        <f>IFERROR(__xludf.DUMMYFUNCTION("""COMPUTED_VALUE"""),41992.99861111111)</f>
        <v>41992.99861</v>
      </c>
      <c r="E2742" s="3">
        <f>IFERROR(__xludf.DUMMYFUNCTION("""COMPUTED_VALUE"""),4.4754)</f>
        <v>4.4754</v>
      </c>
    </row>
    <row r="2743">
      <c r="D2743" s="6">
        <f>IFERROR(__xludf.DUMMYFUNCTION("""COMPUTED_VALUE"""),41995.99861111111)</f>
        <v>41995.99861</v>
      </c>
      <c r="E2743" s="3">
        <f>IFERROR(__xludf.DUMMYFUNCTION("""COMPUTED_VALUE"""),4.468)</f>
        <v>4.468</v>
      </c>
    </row>
    <row r="2744">
      <c r="D2744" s="6">
        <f>IFERROR(__xludf.DUMMYFUNCTION("""COMPUTED_VALUE"""),41996.99861111111)</f>
        <v>41996.99861</v>
      </c>
      <c r="E2744" s="3">
        <f>IFERROR(__xludf.DUMMYFUNCTION("""COMPUTED_VALUE"""),4.4863)</f>
        <v>4.4863</v>
      </c>
    </row>
    <row r="2745">
      <c r="D2745" s="6">
        <f>IFERROR(__xludf.DUMMYFUNCTION("""COMPUTED_VALUE"""),41997.99861111111)</f>
        <v>41997.99861</v>
      </c>
      <c r="E2745" s="3">
        <f>IFERROR(__xludf.DUMMYFUNCTION("""COMPUTED_VALUE"""),4.4848)</f>
        <v>4.4848</v>
      </c>
    </row>
    <row r="2746">
      <c r="D2746" s="6">
        <f>IFERROR(__xludf.DUMMYFUNCTION("""COMPUTED_VALUE"""),41998.99861111111)</f>
        <v>41998.99861</v>
      </c>
      <c r="E2746" s="3">
        <f>IFERROR(__xludf.DUMMYFUNCTION("""COMPUTED_VALUE"""),4.4617)</f>
        <v>4.4617</v>
      </c>
    </row>
    <row r="2747">
      <c r="D2747" s="6">
        <f>IFERROR(__xludf.DUMMYFUNCTION("""COMPUTED_VALUE"""),41999.99861111111)</f>
        <v>41999.99861</v>
      </c>
      <c r="E2747" s="3">
        <f>IFERROR(__xludf.DUMMYFUNCTION("""COMPUTED_VALUE"""),4.4617)</f>
        <v>4.4617</v>
      </c>
    </row>
    <row r="2748">
      <c r="D2748" s="6">
        <f>IFERROR(__xludf.DUMMYFUNCTION("""COMPUTED_VALUE"""),42002.99861111111)</f>
        <v>42002.99861</v>
      </c>
      <c r="E2748" s="3">
        <f>IFERROR(__xludf.DUMMYFUNCTION("""COMPUTED_VALUE"""),4.4724)</f>
        <v>4.4724</v>
      </c>
    </row>
    <row r="2749">
      <c r="D2749" s="6">
        <f>IFERROR(__xludf.DUMMYFUNCTION("""COMPUTED_VALUE"""),42003.99861111111)</f>
        <v>42003.99861</v>
      </c>
      <c r="E2749" s="3">
        <f>IFERROR(__xludf.DUMMYFUNCTION("""COMPUTED_VALUE"""),4.4935)</f>
        <v>4.4935</v>
      </c>
    </row>
    <row r="2750">
      <c r="D2750" s="6">
        <f>IFERROR(__xludf.DUMMYFUNCTION("""COMPUTED_VALUE"""),42004.99861111111)</f>
        <v>42004.99861</v>
      </c>
      <c r="E2750" s="3">
        <f>IFERROR(__xludf.DUMMYFUNCTION("""COMPUTED_VALUE"""),4.4863)</f>
        <v>4.4863</v>
      </c>
    </row>
    <row r="2751">
      <c r="D2751" s="6">
        <f>IFERROR(__xludf.DUMMYFUNCTION("""COMPUTED_VALUE"""),42005.99861111111)</f>
        <v>42005.99861</v>
      </c>
      <c r="E2751" s="3">
        <f>IFERROR(__xludf.DUMMYFUNCTION("""COMPUTED_VALUE"""),4.482)</f>
        <v>4.482</v>
      </c>
    </row>
    <row r="2752">
      <c r="D2752" s="6">
        <f>IFERROR(__xludf.DUMMYFUNCTION("""COMPUTED_VALUE"""),42006.99861111111)</f>
        <v>42006.99861</v>
      </c>
      <c r="E2752" s="3">
        <f>IFERROR(__xludf.DUMMYFUNCTION("""COMPUTED_VALUE"""),4.481)</f>
        <v>4.481</v>
      </c>
    </row>
    <row r="2753">
      <c r="D2753" s="6">
        <f>IFERROR(__xludf.DUMMYFUNCTION("""COMPUTED_VALUE"""),42009.99861111111)</f>
        <v>42009.99861</v>
      </c>
      <c r="E2753" s="3">
        <f>IFERROR(__xludf.DUMMYFUNCTION("""COMPUTED_VALUE"""),4.4918)</f>
        <v>4.4918</v>
      </c>
    </row>
    <row r="2754">
      <c r="D2754" s="6">
        <f>IFERROR(__xludf.DUMMYFUNCTION("""COMPUTED_VALUE"""),42010.99861111111)</f>
        <v>42010.99861</v>
      </c>
      <c r="E2754" s="3">
        <f>IFERROR(__xludf.DUMMYFUNCTION("""COMPUTED_VALUE"""),4.4992)</f>
        <v>4.4992</v>
      </c>
    </row>
    <row r="2755">
      <c r="D2755" s="6">
        <f>IFERROR(__xludf.DUMMYFUNCTION("""COMPUTED_VALUE"""),42011.99861111111)</f>
        <v>42011.99861</v>
      </c>
      <c r="E2755" s="3">
        <f>IFERROR(__xludf.DUMMYFUNCTION("""COMPUTED_VALUE"""),4.495)</f>
        <v>4.495</v>
      </c>
    </row>
    <row r="2756">
      <c r="D2756" s="6">
        <f>IFERROR(__xludf.DUMMYFUNCTION("""COMPUTED_VALUE"""),42012.99861111111)</f>
        <v>42012.99861</v>
      </c>
      <c r="E2756" s="3">
        <f>IFERROR(__xludf.DUMMYFUNCTION("""COMPUTED_VALUE"""),4.4847)</f>
        <v>4.4847</v>
      </c>
    </row>
    <row r="2757">
      <c r="D2757" s="6">
        <f>IFERROR(__xludf.DUMMYFUNCTION("""COMPUTED_VALUE"""),42013.99861111111)</f>
        <v>42013.99861</v>
      </c>
      <c r="E2757" s="3">
        <f>IFERROR(__xludf.DUMMYFUNCTION("""COMPUTED_VALUE"""),4.4916)</f>
        <v>4.4916</v>
      </c>
    </row>
    <row r="2758">
      <c r="D2758" s="6">
        <f>IFERROR(__xludf.DUMMYFUNCTION("""COMPUTED_VALUE"""),42016.99861111111)</f>
        <v>42016.99861</v>
      </c>
      <c r="E2758" s="3">
        <f>IFERROR(__xludf.DUMMYFUNCTION("""COMPUTED_VALUE"""),4.4829)</f>
        <v>4.4829</v>
      </c>
    </row>
    <row r="2759">
      <c r="D2759" s="6">
        <f>IFERROR(__xludf.DUMMYFUNCTION("""COMPUTED_VALUE"""),42017.99861111111)</f>
        <v>42017.99861</v>
      </c>
      <c r="E2759" s="3">
        <f>IFERROR(__xludf.DUMMYFUNCTION("""COMPUTED_VALUE"""),4.4935)</f>
        <v>4.4935</v>
      </c>
    </row>
    <row r="2760">
      <c r="D2760" s="6">
        <f>IFERROR(__xludf.DUMMYFUNCTION("""COMPUTED_VALUE"""),42018.99861111111)</f>
        <v>42018.99861</v>
      </c>
      <c r="E2760" s="3">
        <f>IFERROR(__xludf.DUMMYFUNCTION("""COMPUTED_VALUE"""),4.4971)</f>
        <v>4.4971</v>
      </c>
    </row>
    <row r="2761">
      <c r="D2761" s="6">
        <f>IFERROR(__xludf.DUMMYFUNCTION("""COMPUTED_VALUE"""),42019.99861111111)</f>
        <v>42019.99861</v>
      </c>
      <c r="E2761" s="3">
        <f>IFERROR(__xludf.DUMMYFUNCTION("""COMPUTED_VALUE"""),4.5255)</f>
        <v>4.5255</v>
      </c>
    </row>
    <row r="2762">
      <c r="D2762" s="6">
        <f>IFERROR(__xludf.DUMMYFUNCTION("""COMPUTED_VALUE"""),42020.99861111111)</f>
        <v>42020.99861</v>
      </c>
      <c r="E2762" s="3">
        <f>IFERROR(__xludf.DUMMYFUNCTION("""COMPUTED_VALUE"""),4.5121)</f>
        <v>4.5121</v>
      </c>
    </row>
    <row r="2763">
      <c r="D2763" s="6">
        <f>IFERROR(__xludf.DUMMYFUNCTION("""COMPUTED_VALUE"""),42023.99861111111)</f>
        <v>42023.99861</v>
      </c>
      <c r="E2763" s="3">
        <f>IFERROR(__xludf.DUMMYFUNCTION("""COMPUTED_VALUE"""),4.502)</f>
        <v>4.502</v>
      </c>
    </row>
    <row r="2764">
      <c r="D2764" s="6">
        <f>IFERROR(__xludf.DUMMYFUNCTION("""COMPUTED_VALUE"""),42024.99861111111)</f>
        <v>42024.99861</v>
      </c>
      <c r="E2764" s="3">
        <f>IFERROR(__xludf.DUMMYFUNCTION("""COMPUTED_VALUE"""),4.512)</f>
        <v>4.512</v>
      </c>
    </row>
    <row r="2765">
      <c r="D2765" s="6">
        <f>IFERROR(__xludf.DUMMYFUNCTION("""COMPUTED_VALUE"""),42025.99861111111)</f>
        <v>42025.99861</v>
      </c>
      <c r="E2765" s="3">
        <f>IFERROR(__xludf.DUMMYFUNCTION("""COMPUTED_VALUE"""),4.5117)</f>
        <v>4.5117</v>
      </c>
    </row>
    <row r="2766">
      <c r="D2766" s="6">
        <f>IFERROR(__xludf.DUMMYFUNCTION("""COMPUTED_VALUE"""),42026.99861111111)</f>
        <v>42026.99861</v>
      </c>
      <c r="E2766" s="3">
        <f>IFERROR(__xludf.DUMMYFUNCTION("""COMPUTED_VALUE"""),4.5104)</f>
        <v>4.5104</v>
      </c>
    </row>
    <row r="2767">
      <c r="D2767" s="6">
        <f>IFERROR(__xludf.DUMMYFUNCTION("""COMPUTED_VALUE"""),42027.99861111111)</f>
        <v>42027.99861</v>
      </c>
      <c r="E2767" s="3">
        <f>IFERROR(__xludf.DUMMYFUNCTION("""COMPUTED_VALUE"""),4.4986)</f>
        <v>4.4986</v>
      </c>
    </row>
    <row r="2768">
      <c r="D2768" s="6">
        <f>IFERROR(__xludf.DUMMYFUNCTION("""COMPUTED_VALUE"""),42030.99861111111)</f>
        <v>42030.99861</v>
      </c>
      <c r="E2768" s="3">
        <f>IFERROR(__xludf.DUMMYFUNCTION("""COMPUTED_VALUE"""),4.4728)</f>
        <v>4.4728</v>
      </c>
    </row>
    <row r="2769">
      <c r="D2769" s="6">
        <f>IFERROR(__xludf.DUMMYFUNCTION("""COMPUTED_VALUE"""),42031.99861111111)</f>
        <v>42031.99861</v>
      </c>
      <c r="E2769" s="3">
        <f>IFERROR(__xludf.DUMMYFUNCTION("""COMPUTED_VALUE"""),4.4609)</f>
        <v>4.4609</v>
      </c>
    </row>
    <row r="2770">
      <c r="D2770" s="6">
        <f>IFERROR(__xludf.DUMMYFUNCTION("""COMPUTED_VALUE"""),42032.99861111111)</f>
        <v>42032.99861</v>
      </c>
      <c r="E2770" s="3">
        <f>IFERROR(__xludf.DUMMYFUNCTION("""COMPUTED_VALUE"""),4.4686)</f>
        <v>4.4686</v>
      </c>
    </row>
    <row r="2771">
      <c r="D2771" s="6">
        <f>IFERROR(__xludf.DUMMYFUNCTION("""COMPUTED_VALUE"""),42033.99861111111)</f>
        <v>42033.99861</v>
      </c>
      <c r="E2771" s="3">
        <f>IFERROR(__xludf.DUMMYFUNCTION("""COMPUTED_VALUE"""),4.4562)</f>
        <v>4.4562</v>
      </c>
    </row>
    <row r="2772">
      <c r="D2772" s="6">
        <f>IFERROR(__xludf.DUMMYFUNCTION("""COMPUTED_VALUE"""),42034.99861111111)</f>
        <v>42034.99861</v>
      </c>
      <c r="E2772" s="3">
        <f>IFERROR(__xludf.DUMMYFUNCTION("""COMPUTED_VALUE"""),4.4426)</f>
        <v>4.4426</v>
      </c>
    </row>
    <row r="2773">
      <c r="D2773" s="6">
        <f>IFERROR(__xludf.DUMMYFUNCTION("""COMPUTED_VALUE"""),42037.99861111111)</f>
        <v>42037.99861</v>
      </c>
      <c r="E2773" s="3">
        <f>IFERROR(__xludf.DUMMYFUNCTION("""COMPUTED_VALUE"""),4.3917)</f>
        <v>4.3917</v>
      </c>
    </row>
    <row r="2774">
      <c r="D2774" s="6">
        <f>IFERROR(__xludf.DUMMYFUNCTION("""COMPUTED_VALUE"""),42038.99861111111)</f>
        <v>42038.99861</v>
      </c>
      <c r="E2774" s="3">
        <f>IFERROR(__xludf.DUMMYFUNCTION("""COMPUTED_VALUE"""),4.4098)</f>
        <v>4.4098</v>
      </c>
    </row>
    <row r="2775">
      <c r="D2775" s="6">
        <f>IFERROR(__xludf.DUMMYFUNCTION("""COMPUTED_VALUE"""),42039.99861111111)</f>
        <v>42039.99861</v>
      </c>
      <c r="E2775" s="3">
        <f>IFERROR(__xludf.DUMMYFUNCTION("""COMPUTED_VALUE"""),4.4126)</f>
        <v>4.4126</v>
      </c>
    </row>
    <row r="2776">
      <c r="D2776" s="6">
        <f>IFERROR(__xludf.DUMMYFUNCTION("""COMPUTED_VALUE"""),42040.99861111111)</f>
        <v>42040.99861</v>
      </c>
      <c r="E2776" s="3">
        <f>IFERROR(__xludf.DUMMYFUNCTION("""COMPUTED_VALUE"""),4.4165)</f>
        <v>4.4165</v>
      </c>
    </row>
    <row r="2777">
      <c r="D2777" s="6">
        <f>IFERROR(__xludf.DUMMYFUNCTION("""COMPUTED_VALUE"""),42041.99861111111)</f>
        <v>42041.99861</v>
      </c>
      <c r="E2777" s="3">
        <f>IFERROR(__xludf.DUMMYFUNCTION("""COMPUTED_VALUE"""),4.4179)</f>
        <v>4.4179</v>
      </c>
    </row>
    <row r="2778">
      <c r="D2778" s="6">
        <f>IFERROR(__xludf.DUMMYFUNCTION("""COMPUTED_VALUE"""),42044.99861111111)</f>
        <v>42044.99861</v>
      </c>
      <c r="E2778" s="3">
        <f>IFERROR(__xludf.DUMMYFUNCTION("""COMPUTED_VALUE"""),4.426)</f>
        <v>4.426</v>
      </c>
    </row>
    <row r="2779">
      <c r="D2779" s="6">
        <f>IFERROR(__xludf.DUMMYFUNCTION("""COMPUTED_VALUE"""),42045.99861111111)</f>
        <v>42045.99861</v>
      </c>
      <c r="E2779" s="3">
        <f>IFERROR(__xludf.DUMMYFUNCTION("""COMPUTED_VALUE"""),4.4391)</f>
        <v>4.4391</v>
      </c>
    </row>
    <row r="2780">
      <c r="D2780" s="6">
        <f>IFERROR(__xludf.DUMMYFUNCTION("""COMPUTED_VALUE"""),42046.99861111111)</f>
        <v>42046.99861</v>
      </c>
      <c r="E2780" s="3">
        <f>IFERROR(__xludf.DUMMYFUNCTION("""COMPUTED_VALUE"""),4.452)</f>
        <v>4.452</v>
      </c>
    </row>
    <row r="2781">
      <c r="D2781" s="6">
        <f>IFERROR(__xludf.DUMMYFUNCTION("""COMPUTED_VALUE"""),42047.99861111111)</f>
        <v>42047.99861</v>
      </c>
      <c r="E2781" s="3">
        <f>IFERROR(__xludf.DUMMYFUNCTION("""COMPUTED_VALUE"""),4.4512)</f>
        <v>4.4512</v>
      </c>
    </row>
    <row r="2782">
      <c r="D2782" s="6">
        <f>IFERROR(__xludf.DUMMYFUNCTION("""COMPUTED_VALUE"""),42048.99861111111)</f>
        <v>42048.99861</v>
      </c>
      <c r="E2782" s="3">
        <f>IFERROR(__xludf.DUMMYFUNCTION("""COMPUTED_VALUE"""),4.4447)</f>
        <v>4.4447</v>
      </c>
    </row>
    <row r="2783">
      <c r="D2783" s="6">
        <f>IFERROR(__xludf.DUMMYFUNCTION("""COMPUTED_VALUE"""),42050.99861111111)</f>
        <v>42050.99861</v>
      </c>
      <c r="E2783" s="3">
        <f>IFERROR(__xludf.DUMMYFUNCTION("""COMPUTED_VALUE"""),4.4369)</f>
        <v>4.4369</v>
      </c>
    </row>
    <row r="2784">
      <c r="D2784" s="6">
        <f>IFERROR(__xludf.DUMMYFUNCTION("""COMPUTED_VALUE"""),42051.99861111111)</f>
        <v>42051.99861</v>
      </c>
      <c r="E2784" s="3">
        <f>IFERROR(__xludf.DUMMYFUNCTION("""COMPUTED_VALUE"""),4.4406)</f>
        <v>4.4406</v>
      </c>
    </row>
    <row r="2785">
      <c r="D2785" s="6">
        <f>IFERROR(__xludf.DUMMYFUNCTION("""COMPUTED_VALUE"""),42052.99861111111)</f>
        <v>42052.99861</v>
      </c>
      <c r="E2785" s="3">
        <f>IFERROR(__xludf.DUMMYFUNCTION("""COMPUTED_VALUE"""),4.4521)</f>
        <v>4.4521</v>
      </c>
    </row>
    <row r="2786">
      <c r="D2786" s="6">
        <f>IFERROR(__xludf.DUMMYFUNCTION("""COMPUTED_VALUE"""),42053.99861111111)</f>
        <v>42053.99861</v>
      </c>
      <c r="E2786" s="3">
        <f>IFERROR(__xludf.DUMMYFUNCTION("""COMPUTED_VALUE"""),4.472)</f>
        <v>4.472</v>
      </c>
    </row>
    <row r="2787">
      <c r="D2787" s="6">
        <f>IFERROR(__xludf.DUMMYFUNCTION("""COMPUTED_VALUE"""),42054.99861111111)</f>
        <v>42054.99861</v>
      </c>
      <c r="E2787" s="3">
        <f>IFERROR(__xludf.DUMMYFUNCTION("""COMPUTED_VALUE"""),4.4515)</f>
        <v>4.4515</v>
      </c>
    </row>
    <row r="2788">
      <c r="D2788" s="6">
        <f>IFERROR(__xludf.DUMMYFUNCTION("""COMPUTED_VALUE"""),42055.99861111111)</f>
        <v>42055.99861</v>
      </c>
      <c r="E2788" s="3">
        <f>IFERROR(__xludf.DUMMYFUNCTION("""COMPUTED_VALUE"""),4.4772)</f>
        <v>4.4772</v>
      </c>
    </row>
    <row r="2789">
      <c r="D2789" s="6">
        <f>IFERROR(__xludf.DUMMYFUNCTION("""COMPUTED_VALUE"""),42058.99861111111)</f>
        <v>42058.99861</v>
      </c>
      <c r="E2789" s="3">
        <f>IFERROR(__xludf.DUMMYFUNCTION("""COMPUTED_VALUE"""),4.4468)</f>
        <v>4.4468</v>
      </c>
    </row>
    <row r="2790">
      <c r="D2790" s="6">
        <f>IFERROR(__xludf.DUMMYFUNCTION("""COMPUTED_VALUE"""),42059.99861111111)</f>
        <v>42059.99861</v>
      </c>
      <c r="E2790" s="3">
        <f>IFERROR(__xludf.DUMMYFUNCTION("""COMPUTED_VALUE"""),4.4507)</f>
        <v>4.4507</v>
      </c>
    </row>
    <row r="2791">
      <c r="D2791" s="6">
        <f>IFERROR(__xludf.DUMMYFUNCTION("""COMPUTED_VALUE"""),42060.99861111111)</f>
        <v>42060.99861</v>
      </c>
      <c r="E2791" s="3">
        <f>IFERROR(__xludf.DUMMYFUNCTION("""COMPUTED_VALUE"""),4.4238)</f>
        <v>4.4238</v>
      </c>
    </row>
    <row r="2792">
      <c r="D2792" s="6">
        <f>IFERROR(__xludf.DUMMYFUNCTION("""COMPUTED_VALUE"""),42061.99861111111)</f>
        <v>42061.99861</v>
      </c>
      <c r="E2792" s="3">
        <f>IFERROR(__xludf.DUMMYFUNCTION("""COMPUTED_VALUE"""),4.4361)</f>
        <v>4.4361</v>
      </c>
    </row>
    <row r="2793">
      <c r="D2793" s="6">
        <f>IFERROR(__xludf.DUMMYFUNCTION("""COMPUTED_VALUE"""),42062.99861111111)</f>
        <v>42062.99861</v>
      </c>
      <c r="E2793" s="3">
        <f>IFERROR(__xludf.DUMMYFUNCTION("""COMPUTED_VALUE"""),4.4439)</f>
        <v>4.4439</v>
      </c>
    </row>
    <row r="2794">
      <c r="D2794" s="6">
        <f>IFERROR(__xludf.DUMMYFUNCTION("""COMPUTED_VALUE"""),42065.99861111111)</f>
        <v>42065.99861</v>
      </c>
      <c r="E2794" s="3">
        <f>IFERROR(__xludf.DUMMYFUNCTION("""COMPUTED_VALUE"""),4.4432)</f>
        <v>4.4432</v>
      </c>
    </row>
    <row r="2795">
      <c r="D2795" s="6">
        <f>IFERROR(__xludf.DUMMYFUNCTION("""COMPUTED_VALUE"""),42066.99861111111)</f>
        <v>42066.99861</v>
      </c>
      <c r="E2795" s="3">
        <f>IFERROR(__xludf.DUMMYFUNCTION("""COMPUTED_VALUE"""),4.4592)</f>
        <v>4.4592</v>
      </c>
    </row>
    <row r="2796">
      <c r="D2796" s="6">
        <f>IFERROR(__xludf.DUMMYFUNCTION("""COMPUTED_VALUE"""),42067.99861111111)</f>
        <v>42067.99861</v>
      </c>
      <c r="E2796" s="3">
        <f>IFERROR(__xludf.DUMMYFUNCTION("""COMPUTED_VALUE"""),4.4582)</f>
        <v>4.4582</v>
      </c>
    </row>
    <row r="2797">
      <c r="D2797" s="6">
        <f>IFERROR(__xludf.DUMMYFUNCTION("""COMPUTED_VALUE"""),42068.99861111111)</f>
        <v>42068.99861</v>
      </c>
      <c r="E2797" s="3">
        <f>IFERROR(__xludf.DUMMYFUNCTION("""COMPUTED_VALUE"""),4.4539)</f>
        <v>4.4539</v>
      </c>
    </row>
    <row r="2798">
      <c r="D2798" s="6">
        <f>IFERROR(__xludf.DUMMYFUNCTION("""COMPUTED_VALUE"""),42069.99861111111)</f>
        <v>42069.99861</v>
      </c>
      <c r="E2798" s="3">
        <f>IFERROR(__xludf.DUMMYFUNCTION("""COMPUTED_VALUE"""),4.4481)</f>
        <v>4.4481</v>
      </c>
    </row>
    <row r="2799">
      <c r="D2799" s="6">
        <f>IFERROR(__xludf.DUMMYFUNCTION("""COMPUTED_VALUE"""),42072.99861111111)</f>
        <v>42072.99861</v>
      </c>
      <c r="E2799" s="3">
        <f>IFERROR(__xludf.DUMMYFUNCTION("""COMPUTED_VALUE"""),4.4375)</f>
        <v>4.4375</v>
      </c>
    </row>
    <row r="2800">
      <c r="D2800" s="6">
        <f>IFERROR(__xludf.DUMMYFUNCTION("""COMPUTED_VALUE"""),42073.99861111111)</f>
        <v>42073.99861</v>
      </c>
      <c r="E2800" s="3">
        <f>IFERROR(__xludf.DUMMYFUNCTION("""COMPUTED_VALUE"""),4.4482)</f>
        <v>4.4482</v>
      </c>
    </row>
    <row r="2801">
      <c r="D2801" s="6">
        <f>IFERROR(__xludf.DUMMYFUNCTION("""COMPUTED_VALUE"""),42074.99861111111)</f>
        <v>42074.99861</v>
      </c>
      <c r="E2801" s="3">
        <f>IFERROR(__xludf.DUMMYFUNCTION("""COMPUTED_VALUE"""),4.4471)</f>
        <v>4.4471</v>
      </c>
    </row>
    <row r="2802">
      <c r="D2802" s="6">
        <f>IFERROR(__xludf.DUMMYFUNCTION("""COMPUTED_VALUE"""),42075.99861111111)</f>
        <v>42075.99861</v>
      </c>
      <c r="E2802" s="3">
        <f>IFERROR(__xludf.DUMMYFUNCTION("""COMPUTED_VALUE"""),4.4537)</f>
        <v>4.4537</v>
      </c>
    </row>
    <row r="2803">
      <c r="D2803" s="6">
        <f>IFERROR(__xludf.DUMMYFUNCTION("""COMPUTED_VALUE"""),42076.99861111111)</f>
        <v>42076.99861</v>
      </c>
      <c r="E2803" s="3">
        <f>IFERROR(__xludf.DUMMYFUNCTION("""COMPUTED_VALUE"""),4.4479)</f>
        <v>4.4479</v>
      </c>
    </row>
    <row r="2804">
      <c r="D2804" s="6">
        <f>IFERROR(__xludf.DUMMYFUNCTION("""COMPUTED_VALUE"""),42079.99861111111)</f>
        <v>42079.99861</v>
      </c>
      <c r="E2804" s="3">
        <f>IFERROR(__xludf.DUMMYFUNCTION("""COMPUTED_VALUE"""),4.436)</f>
        <v>4.436</v>
      </c>
    </row>
    <row r="2805">
      <c r="D2805" s="6">
        <f>IFERROR(__xludf.DUMMYFUNCTION("""COMPUTED_VALUE"""),42080.99861111111)</f>
        <v>42080.99861</v>
      </c>
      <c r="E2805" s="3">
        <f>IFERROR(__xludf.DUMMYFUNCTION("""COMPUTED_VALUE"""),4.4418)</f>
        <v>4.4418</v>
      </c>
    </row>
    <row r="2806">
      <c r="D2806" s="6">
        <f>IFERROR(__xludf.DUMMYFUNCTION("""COMPUTED_VALUE"""),42081.99861111111)</f>
        <v>42081.99861</v>
      </c>
      <c r="E2806" s="3">
        <f>IFERROR(__xludf.DUMMYFUNCTION("""COMPUTED_VALUE"""),4.4748)</f>
        <v>4.4748</v>
      </c>
    </row>
    <row r="2807">
      <c r="D2807" s="6">
        <f>IFERROR(__xludf.DUMMYFUNCTION("""COMPUTED_VALUE"""),42082.99861111111)</f>
        <v>42082.99861</v>
      </c>
      <c r="E2807" s="3">
        <f>IFERROR(__xludf.DUMMYFUNCTION("""COMPUTED_VALUE"""),4.4529)</f>
        <v>4.4529</v>
      </c>
    </row>
    <row r="2808">
      <c r="D2808" s="6">
        <f>IFERROR(__xludf.DUMMYFUNCTION("""COMPUTED_VALUE"""),42083.99861111111)</f>
        <v>42083.99861</v>
      </c>
      <c r="E2808" s="3">
        <f>IFERROR(__xludf.DUMMYFUNCTION("""COMPUTED_VALUE"""),4.4403)</f>
        <v>4.4403</v>
      </c>
    </row>
    <row r="2809">
      <c r="D2809" s="6">
        <f>IFERROR(__xludf.DUMMYFUNCTION("""COMPUTED_VALUE"""),42086.99861111111)</f>
        <v>42086.99861</v>
      </c>
      <c r="E2809" s="3">
        <f>IFERROR(__xludf.DUMMYFUNCTION("""COMPUTED_VALUE"""),4.4019)</f>
        <v>4.4019</v>
      </c>
    </row>
    <row r="2810">
      <c r="D2810" s="6">
        <f>IFERROR(__xludf.DUMMYFUNCTION("""COMPUTED_VALUE"""),42087.99861111111)</f>
        <v>42087.99861</v>
      </c>
      <c r="E2810" s="3">
        <f>IFERROR(__xludf.DUMMYFUNCTION("""COMPUTED_VALUE"""),4.4215)</f>
        <v>4.4215</v>
      </c>
    </row>
    <row r="2811">
      <c r="D2811" s="6">
        <f>IFERROR(__xludf.DUMMYFUNCTION("""COMPUTED_VALUE"""),42088.99861111111)</f>
        <v>42088.99861</v>
      </c>
      <c r="E2811" s="3">
        <f>IFERROR(__xludf.DUMMYFUNCTION("""COMPUTED_VALUE"""),4.4149)</f>
        <v>4.4149</v>
      </c>
    </row>
    <row r="2812">
      <c r="D2812" s="6">
        <f>IFERROR(__xludf.DUMMYFUNCTION("""COMPUTED_VALUE"""),42089.99861111111)</f>
        <v>42089.99861</v>
      </c>
      <c r="E2812" s="3">
        <f>IFERROR(__xludf.DUMMYFUNCTION("""COMPUTED_VALUE"""),4.4322)</f>
        <v>4.4322</v>
      </c>
    </row>
    <row r="2813">
      <c r="D2813" s="6">
        <f>IFERROR(__xludf.DUMMYFUNCTION("""COMPUTED_VALUE"""),42090.99861111111)</f>
        <v>42090.99861</v>
      </c>
      <c r="E2813" s="3">
        <f>IFERROR(__xludf.DUMMYFUNCTION("""COMPUTED_VALUE"""),4.4314)</f>
        <v>4.4314</v>
      </c>
    </row>
    <row r="2814">
      <c r="D2814" s="6">
        <f>IFERROR(__xludf.DUMMYFUNCTION("""COMPUTED_VALUE"""),42093.99861111111)</f>
        <v>42093.99861</v>
      </c>
      <c r="E2814" s="3">
        <f>IFERROR(__xludf.DUMMYFUNCTION("""COMPUTED_VALUE"""),4.4005)</f>
        <v>4.4005</v>
      </c>
    </row>
    <row r="2815">
      <c r="D2815" s="6">
        <f>IFERROR(__xludf.DUMMYFUNCTION("""COMPUTED_VALUE"""),42094.99861111111)</f>
        <v>42094.99861</v>
      </c>
      <c r="E2815" s="3">
        <f>IFERROR(__xludf.DUMMYFUNCTION("""COMPUTED_VALUE"""),4.4149)</f>
        <v>4.4149</v>
      </c>
    </row>
    <row r="2816">
      <c r="D2816" s="6">
        <f>IFERROR(__xludf.DUMMYFUNCTION("""COMPUTED_VALUE"""),42095.99861111111)</f>
        <v>42095.99861</v>
      </c>
      <c r="E2816" s="3">
        <f>IFERROR(__xludf.DUMMYFUNCTION("""COMPUTED_VALUE"""),4.4233)</f>
        <v>4.4233</v>
      </c>
    </row>
    <row r="2817">
      <c r="D2817" s="6">
        <f>IFERROR(__xludf.DUMMYFUNCTION("""COMPUTED_VALUE"""),42096.99861111111)</f>
        <v>42096.99861</v>
      </c>
      <c r="E2817" s="3">
        <f>IFERROR(__xludf.DUMMYFUNCTION("""COMPUTED_VALUE"""),4.4187)</f>
        <v>4.4187</v>
      </c>
    </row>
    <row r="2818">
      <c r="D2818" s="6">
        <f>IFERROR(__xludf.DUMMYFUNCTION("""COMPUTED_VALUE"""),42097.99861111111)</f>
        <v>42097.99861</v>
      </c>
      <c r="E2818" s="3">
        <f>IFERROR(__xludf.DUMMYFUNCTION("""COMPUTED_VALUE"""),4.4157)</f>
        <v>4.4157</v>
      </c>
    </row>
    <row r="2819">
      <c r="D2819" s="6">
        <f>IFERROR(__xludf.DUMMYFUNCTION("""COMPUTED_VALUE"""),42100.99861111111)</f>
        <v>42100.99861</v>
      </c>
      <c r="E2819" s="3">
        <f>IFERROR(__xludf.DUMMYFUNCTION("""COMPUTED_VALUE"""),4.4157)</f>
        <v>4.4157</v>
      </c>
    </row>
    <row r="2820">
      <c r="D2820" s="6">
        <f>IFERROR(__xludf.DUMMYFUNCTION("""COMPUTED_VALUE"""),42101.99861111111)</f>
        <v>42101.99861</v>
      </c>
      <c r="E2820" s="3">
        <f>IFERROR(__xludf.DUMMYFUNCTION("""COMPUTED_VALUE"""),4.41)</f>
        <v>4.41</v>
      </c>
    </row>
    <row r="2821">
      <c r="D2821" s="6">
        <f>IFERROR(__xludf.DUMMYFUNCTION("""COMPUTED_VALUE"""),42102.99861111111)</f>
        <v>42102.99861</v>
      </c>
      <c r="E2821" s="3">
        <f>IFERROR(__xludf.DUMMYFUNCTION("""COMPUTED_VALUE"""),4.4176)</f>
        <v>4.4176</v>
      </c>
    </row>
    <row r="2822">
      <c r="D2822" s="6">
        <f>IFERROR(__xludf.DUMMYFUNCTION("""COMPUTED_VALUE"""),42103.99861111111)</f>
        <v>42103.99861</v>
      </c>
      <c r="E2822" s="3">
        <f>IFERROR(__xludf.DUMMYFUNCTION("""COMPUTED_VALUE"""),4.4031)</f>
        <v>4.4031</v>
      </c>
    </row>
    <row r="2823">
      <c r="D2823" s="6">
        <f>IFERROR(__xludf.DUMMYFUNCTION("""COMPUTED_VALUE"""),42104.99861111111)</f>
        <v>42104.99861</v>
      </c>
      <c r="E2823" s="3">
        <f>IFERROR(__xludf.DUMMYFUNCTION("""COMPUTED_VALUE"""),4.4101)</f>
        <v>4.4101</v>
      </c>
    </row>
    <row r="2824">
      <c r="D2824" s="6">
        <f>IFERROR(__xludf.DUMMYFUNCTION("""COMPUTED_VALUE"""),42107.99861111111)</f>
        <v>42107.99861</v>
      </c>
      <c r="E2824" s="3">
        <f>IFERROR(__xludf.DUMMYFUNCTION("""COMPUTED_VALUE"""),4.3968)</f>
        <v>4.3968</v>
      </c>
    </row>
    <row r="2825">
      <c r="D2825" s="6">
        <f>IFERROR(__xludf.DUMMYFUNCTION("""COMPUTED_VALUE"""),42108.99861111111)</f>
        <v>42108.99861</v>
      </c>
      <c r="E2825" s="3">
        <f>IFERROR(__xludf.DUMMYFUNCTION("""COMPUTED_VALUE"""),4.4191)</f>
        <v>4.4191</v>
      </c>
    </row>
    <row r="2826">
      <c r="D2826" s="6">
        <f>IFERROR(__xludf.DUMMYFUNCTION("""COMPUTED_VALUE"""),42109.99861111111)</f>
        <v>42109.99861</v>
      </c>
      <c r="E2826" s="3">
        <f>IFERROR(__xludf.DUMMYFUNCTION("""COMPUTED_VALUE"""),4.428)</f>
        <v>4.428</v>
      </c>
    </row>
    <row r="2827">
      <c r="D2827" s="6">
        <f>IFERROR(__xludf.DUMMYFUNCTION("""COMPUTED_VALUE"""),42110.99861111111)</f>
        <v>42110.99861</v>
      </c>
      <c r="E2827" s="3">
        <f>IFERROR(__xludf.DUMMYFUNCTION("""COMPUTED_VALUE"""),4.426)</f>
        <v>4.426</v>
      </c>
    </row>
    <row r="2828">
      <c r="D2828" s="6">
        <f>IFERROR(__xludf.DUMMYFUNCTION("""COMPUTED_VALUE"""),42111.99861111111)</f>
        <v>42111.99861</v>
      </c>
      <c r="E2828" s="3">
        <f>IFERROR(__xludf.DUMMYFUNCTION("""COMPUTED_VALUE"""),4.4285)</f>
        <v>4.4285</v>
      </c>
    </row>
    <row r="2829">
      <c r="D2829" s="6">
        <f>IFERROR(__xludf.DUMMYFUNCTION("""COMPUTED_VALUE"""),42114.99861111111)</f>
        <v>42114.99861</v>
      </c>
      <c r="E2829" s="3">
        <f>IFERROR(__xludf.DUMMYFUNCTION("""COMPUTED_VALUE"""),4.4309)</f>
        <v>4.4309</v>
      </c>
    </row>
    <row r="2830">
      <c r="D2830" s="6">
        <f>IFERROR(__xludf.DUMMYFUNCTION("""COMPUTED_VALUE"""),42115.99861111111)</f>
        <v>42115.99861</v>
      </c>
      <c r="E2830" s="3">
        <f>IFERROR(__xludf.DUMMYFUNCTION("""COMPUTED_VALUE"""),4.4503)</f>
        <v>4.4503</v>
      </c>
    </row>
    <row r="2831">
      <c r="D2831" s="6">
        <f>IFERROR(__xludf.DUMMYFUNCTION("""COMPUTED_VALUE"""),42116.99861111111)</f>
        <v>42116.99861</v>
      </c>
      <c r="E2831" s="3">
        <f>IFERROR(__xludf.DUMMYFUNCTION("""COMPUTED_VALUE"""),4.4397)</f>
        <v>4.4397</v>
      </c>
    </row>
    <row r="2832">
      <c r="D2832" s="6">
        <f>IFERROR(__xludf.DUMMYFUNCTION("""COMPUTED_VALUE"""),42117.99861111111)</f>
        <v>42117.99861</v>
      </c>
      <c r="E2832" s="3">
        <f>IFERROR(__xludf.DUMMYFUNCTION("""COMPUTED_VALUE"""),4.4246)</f>
        <v>4.4246</v>
      </c>
    </row>
    <row r="2833">
      <c r="D2833" s="6">
        <f>IFERROR(__xludf.DUMMYFUNCTION("""COMPUTED_VALUE"""),42118.99861111111)</f>
        <v>42118.99861</v>
      </c>
      <c r="E2833" s="3">
        <f>IFERROR(__xludf.DUMMYFUNCTION("""COMPUTED_VALUE"""),4.4237)</f>
        <v>4.4237</v>
      </c>
    </row>
    <row r="2834">
      <c r="D2834" s="6">
        <f>IFERROR(__xludf.DUMMYFUNCTION("""COMPUTED_VALUE"""),42121.99861111111)</f>
        <v>42121.99861</v>
      </c>
      <c r="E2834" s="3">
        <f>IFERROR(__xludf.DUMMYFUNCTION("""COMPUTED_VALUE"""),4.4102)</f>
        <v>4.4102</v>
      </c>
    </row>
    <row r="2835">
      <c r="D2835" s="6">
        <f>IFERROR(__xludf.DUMMYFUNCTION("""COMPUTED_VALUE"""),42122.99861111111)</f>
        <v>42122.99861</v>
      </c>
      <c r="E2835" s="3">
        <f>IFERROR(__xludf.DUMMYFUNCTION("""COMPUTED_VALUE"""),4.4155)</f>
        <v>4.4155</v>
      </c>
    </row>
    <row r="2836">
      <c r="D2836" s="6">
        <f>IFERROR(__xludf.DUMMYFUNCTION("""COMPUTED_VALUE"""),42123.99861111111)</f>
        <v>42123.99861</v>
      </c>
      <c r="E2836" s="3">
        <f>IFERROR(__xludf.DUMMYFUNCTION("""COMPUTED_VALUE"""),4.4165)</f>
        <v>4.4165</v>
      </c>
    </row>
    <row r="2837">
      <c r="D2837" s="6">
        <f>IFERROR(__xludf.DUMMYFUNCTION("""COMPUTED_VALUE"""),42124.99861111111)</f>
        <v>42124.99861</v>
      </c>
      <c r="E2837" s="3">
        <f>IFERROR(__xludf.DUMMYFUNCTION("""COMPUTED_VALUE"""),4.4259)</f>
        <v>4.4259</v>
      </c>
    </row>
    <row r="2838">
      <c r="D2838" s="6">
        <f>IFERROR(__xludf.DUMMYFUNCTION("""COMPUTED_VALUE"""),42125.99861111111)</f>
        <v>42125.99861</v>
      </c>
      <c r="E2838" s="3">
        <f>IFERROR(__xludf.DUMMYFUNCTION("""COMPUTED_VALUE"""),4.415)</f>
        <v>4.415</v>
      </c>
    </row>
    <row r="2839">
      <c r="D2839" s="6">
        <f>IFERROR(__xludf.DUMMYFUNCTION("""COMPUTED_VALUE"""),42128.99861111111)</f>
        <v>42128.99861</v>
      </c>
      <c r="E2839" s="3">
        <f>IFERROR(__xludf.DUMMYFUNCTION("""COMPUTED_VALUE"""),4.4305)</f>
        <v>4.4305</v>
      </c>
    </row>
    <row r="2840">
      <c r="D2840" s="6">
        <f>IFERROR(__xludf.DUMMYFUNCTION("""COMPUTED_VALUE"""),42129.99861111111)</f>
        <v>42129.99861</v>
      </c>
      <c r="E2840" s="3">
        <f>IFERROR(__xludf.DUMMYFUNCTION("""COMPUTED_VALUE"""),4.4317)</f>
        <v>4.4317</v>
      </c>
    </row>
    <row r="2841">
      <c r="D2841" s="6">
        <f>IFERROR(__xludf.DUMMYFUNCTION("""COMPUTED_VALUE"""),42130.99861111111)</f>
        <v>42130.99861</v>
      </c>
      <c r="E2841" s="3">
        <f>IFERROR(__xludf.DUMMYFUNCTION("""COMPUTED_VALUE"""),4.4485)</f>
        <v>4.4485</v>
      </c>
    </row>
    <row r="2842">
      <c r="D2842" s="6">
        <f>IFERROR(__xludf.DUMMYFUNCTION("""COMPUTED_VALUE"""),42131.99861111111)</f>
        <v>42131.99861</v>
      </c>
      <c r="E2842" s="3">
        <f>IFERROR(__xludf.DUMMYFUNCTION("""COMPUTED_VALUE"""),4.4496)</f>
        <v>4.4496</v>
      </c>
    </row>
    <row r="2843">
      <c r="D2843" s="6">
        <f>IFERROR(__xludf.DUMMYFUNCTION("""COMPUTED_VALUE"""),42132.99861111111)</f>
        <v>42132.99861</v>
      </c>
      <c r="E2843" s="3">
        <f>IFERROR(__xludf.DUMMYFUNCTION("""COMPUTED_VALUE"""),4.4642)</f>
        <v>4.4642</v>
      </c>
    </row>
    <row r="2844">
      <c r="D2844" s="6">
        <f>IFERROR(__xludf.DUMMYFUNCTION("""COMPUTED_VALUE"""),42135.99861111111)</f>
        <v>42135.99861</v>
      </c>
      <c r="E2844" s="3">
        <f>IFERROR(__xludf.DUMMYFUNCTION("""COMPUTED_VALUE"""),4.448)</f>
        <v>4.448</v>
      </c>
    </row>
    <row r="2845">
      <c r="D2845" s="6">
        <f>IFERROR(__xludf.DUMMYFUNCTION("""COMPUTED_VALUE"""),42136.99861111111)</f>
        <v>42136.99861</v>
      </c>
      <c r="E2845" s="3">
        <f>IFERROR(__xludf.DUMMYFUNCTION("""COMPUTED_VALUE"""),4.4662)</f>
        <v>4.4662</v>
      </c>
    </row>
    <row r="2846">
      <c r="D2846" s="6">
        <f>IFERROR(__xludf.DUMMYFUNCTION("""COMPUTED_VALUE"""),42137.99861111111)</f>
        <v>42137.99861</v>
      </c>
      <c r="E2846" s="3">
        <f>IFERROR(__xludf.DUMMYFUNCTION("""COMPUTED_VALUE"""),4.4715)</f>
        <v>4.4715</v>
      </c>
    </row>
    <row r="2847">
      <c r="D2847" s="6">
        <f>IFERROR(__xludf.DUMMYFUNCTION("""COMPUTED_VALUE"""),42138.99861111111)</f>
        <v>42138.99861</v>
      </c>
      <c r="E2847" s="3">
        <f>IFERROR(__xludf.DUMMYFUNCTION("""COMPUTED_VALUE"""),4.467)</f>
        <v>4.467</v>
      </c>
    </row>
    <row r="2848">
      <c r="D2848" s="6">
        <f>IFERROR(__xludf.DUMMYFUNCTION("""COMPUTED_VALUE"""),42139.99861111111)</f>
        <v>42139.99861</v>
      </c>
      <c r="E2848" s="3">
        <f>IFERROR(__xludf.DUMMYFUNCTION("""COMPUTED_VALUE"""),4.458)</f>
        <v>4.458</v>
      </c>
    </row>
    <row r="2849">
      <c r="D2849" s="6">
        <f>IFERROR(__xludf.DUMMYFUNCTION("""COMPUTED_VALUE"""),42142.99861111111)</f>
        <v>42142.99861</v>
      </c>
      <c r="E2849" s="3">
        <f>IFERROR(__xludf.DUMMYFUNCTION("""COMPUTED_VALUE"""),4.4487)</f>
        <v>4.4487</v>
      </c>
    </row>
    <row r="2850">
      <c r="D2850" s="6">
        <f>IFERROR(__xludf.DUMMYFUNCTION("""COMPUTED_VALUE"""),42143.99861111111)</f>
        <v>42143.99861</v>
      </c>
      <c r="E2850" s="3">
        <f>IFERROR(__xludf.DUMMYFUNCTION("""COMPUTED_VALUE"""),4.4556)</f>
        <v>4.4556</v>
      </c>
    </row>
    <row r="2851">
      <c r="D2851" s="6">
        <f>IFERROR(__xludf.DUMMYFUNCTION("""COMPUTED_VALUE"""),42144.99861111111)</f>
        <v>42144.99861</v>
      </c>
      <c r="E2851" s="3">
        <f>IFERROR(__xludf.DUMMYFUNCTION("""COMPUTED_VALUE"""),4.4582)</f>
        <v>4.4582</v>
      </c>
    </row>
    <row r="2852">
      <c r="D2852" s="6">
        <f>IFERROR(__xludf.DUMMYFUNCTION("""COMPUTED_VALUE"""),42145.99861111111)</f>
        <v>42145.99861</v>
      </c>
      <c r="E2852" s="3">
        <f>IFERROR(__xludf.DUMMYFUNCTION("""COMPUTED_VALUE"""),4.45)</f>
        <v>4.45</v>
      </c>
    </row>
    <row r="2853">
      <c r="D2853" s="6">
        <f>IFERROR(__xludf.DUMMYFUNCTION("""COMPUTED_VALUE"""),42146.99861111111)</f>
        <v>42146.99861</v>
      </c>
      <c r="E2853" s="3">
        <f>IFERROR(__xludf.DUMMYFUNCTION("""COMPUTED_VALUE"""),4.4583)</f>
        <v>4.4583</v>
      </c>
    </row>
    <row r="2854">
      <c r="D2854" s="6">
        <f>IFERROR(__xludf.DUMMYFUNCTION("""COMPUTED_VALUE"""),42149.99861111111)</f>
        <v>42149.99861</v>
      </c>
      <c r="E2854" s="3">
        <f>IFERROR(__xludf.DUMMYFUNCTION("""COMPUTED_VALUE"""),4.4496)</f>
        <v>4.4496</v>
      </c>
    </row>
    <row r="2855">
      <c r="D2855" s="6">
        <f>IFERROR(__xludf.DUMMYFUNCTION("""COMPUTED_VALUE"""),42150.99861111111)</f>
        <v>42150.99861</v>
      </c>
      <c r="E2855" s="3">
        <f>IFERROR(__xludf.DUMMYFUNCTION("""COMPUTED_VALUE"""),4.4647)</f>
        <v>4.4647</v>
      </c>
    </row>
    <row r="2856">
      <c r="D2856" s="6">
        <f>IFERROR(__xludf.DUMMYFUNCTION("""COMPUTED_VALUE"""),42151.99861111111)</f>
        <v>42151.99861</v>
      </c>
      <c r="E2856" s="3">
        <f>IFERROR(__xludf.DUMMYFUNCTION("""COMPUTED_VALUE"""),4.4608)</f>
        <v>4.4608</v>
      </c>
    </row>
    <row r="2857">
      <c r="D2857" s="6">
        <f>IFERROR(__xludf.DUMMYFUNCTION("""COMPUTED_VALUE"""),42152.99861111111)</f>
        <v>42152.99861</v>
      </c>
      <c r="E2857" s="3">
        <f>IFERROR(__xludf.DUMMYFUNCTION("""COMPUTED_VALUE"""),4.4524)</f>
        <v>4.4524</v>
      </c>
    </row>
    <row r="2858">
      <c r="D2858" s="6">
        <f>IFERROR(__xludf.DUMMYFUNCTION("""COMPUTED_VALUE"""),42153.99861111111)</f>
        <v>42153.99861</v>
      </c>
      <c r="E2858" s="3">
        <f>IFERROR(__xludf.DUMMYFUNCTION("""COMPUTED_VALUE"""),4.447)</f>
        <v>4.447</v>
      </c>
    </row>
    <row r="2859">
      <c r="D2859" s="6">
        <f>IFERROR(__xludf.DUMMYFUNCTION("""COMPUTED_VALUE"""),42155.99861111111)</f>
        <v>42155.99861</v>
      </c>
      <c r="E2859" s="3">
        <f>IFERROR(__xludf.DUMMYFUNCTION("""COMPUTED_VALUE"""),4.438)</f>
        <v>4.438</v>
      </c>
    </row>
    <row r="2860">
      <c r="D2860" s="6">
        <f>IFERROR(__xludf.DUMMYFUNCTION("""COMPUTED_VALUE"""),42156.99861111111)</f>
        <v>42156.99861</v>
      </c>
      <c r="E2860" s="3">
        <f>IFERROR(__xludf.DUMMYFUNCTION("""COMPUTED_VALUE"""),4.4387)</f>
        <v>4.4387</v>
      </c>
    </row>
    <row r="2861">
      <c r="D2861" s="6">
        <f>IFERROR(__xludf.DUMMYFUNCTION("""COMPUTED_VALUE"""),42157.99861111111)</f>
        <v>42157.99861</v>
      </c>
      <c r="E2861" s="3">
        <f>IFERROR(__xludf.DUMMYFUNCTION("""COMPUTED_VALUE"""),4.4465)</f>
        <v>4.4465</v>
      </c>
    </row>
    <row r="2862">
      <c r="D2862" s="6">
        <f>IFERROR(__xludf.DUMMYFUNCTION("""COMPUTED_VALUE"""),42158.99861111111)</f>
        <v>42158.99861</v>
      </c>
      <c r="E2862" s="3">
        <f>IFERROR(__xludf.DUMMYFUNCTION("""COMPUTED_VALUE"""),4.4414)</f>
        <v>4.4414</v>
      </c>
    </row>
    <row r="2863">
      <c r="D2863" s="6">
        <f>IFERROR(__xludf.DUMMYFUNCTION("""COMPUTED_VALUE"""),42159.99861111111)</f>
        <v>42159.99861</v>
      </c>
      <c r="E2863" s="3">
        <f>IFERROR(__xludf.DUMMYFUNCTION("""COMPUTED_VALUE"""),4.4393)</f>
        <v>4.4393</v>
      </c>
    </row>
    <row r="2864">
      <c r="D2864" s="6">
        <f>IFERROR(__xludf.DUMMYFUNCTION("""COMPUTED_VALUE"""),42160.99861111111)</f>
        <v>42160.99861</v>
      </c>
      <c r="E2864" s="3">
        <f>IFERROR(__xludf.DUMMYFUNCTION("""COMPUTED_VALUE"""),4.4642)</f>
        <v>4.4642</v>
      </c>
    </row>
    <row r="2865">
      <c r="D2865" s="6">
        <f>IFERROR(__xludf.DUMMYFUNCTION("""COMPUTED_VALUE"""),42163.99861111111)</f>
        <v>42163.99861</v>
      </c>
      <c r="E2865" s="3">
        <f>IFERROR(__xludf.DUMMYFUNCTION("""COMPUTED_VALUE"""),4.4691)</f>
        <v>4.4691</v>
      </c>
    </row>
    <row r="2866">
      <c r="D2866" s="6">
        <f>IFERROR(__xludf.DUMMYFUNCTION("""COMPUTED_VALUE"""),42164.99861111111)</f>
        <v>42164.99861</v>
      </c>
      <c r="E2866" s="3">
        <f>IFERROR(__xludf.DUMMYFUNCTION("""COMPUTED_VALUE"""),4.4806)</f>
        <v>4.4806</v>
      </c>
    </row>
    <row r="2867">
      <c r="D2867" s="6">
        <f>IFERROR(__xludf.DUMMYFUNCTION("""COMPUTED_VALUE"""),42165.99861111111)</f>
        <v>42165.99861</v>
      </c>
      <c r="E2867" s="3">
        <f>IFERROR(__xludf.DUMMYFUNCTION("""COMPUTED_VALUE"""),4.4807)</f>
        <v>4.4807</v>
      </c>
    </row>
    <row r="2868">
      <c r="D2868" s="6">
        <f>IFERROR(__xludf.DUMMYFUNCTION("""COMPUTED_VALUE"""),42166.99861111111)</f>
        <v>42166.99861</v>
      </c>
      <c r="E2868" s="3">
        <f>IFERROR(__xludf.DUMMYFUNCTION("""COMPUTED_VALUE"""),4.4709)</f>
        <v>4.4709</v>
      </c>
    </row>
    <row r="2869">
      <c r="D2869" s="6">
        <f>IFERROR(__xludf.DUMMYFUNCTION("""COMPUTED_VALUE"""),42167.99861111111)</f>
        <v>42167.99861</v>
      </c>
      <c r="E2869" s="3">
        <f>IFERROR(__xludf.DUMMYFUNCTION("""COMPUTED_VALUE"""),4.4778)</f>
        <v>4.4778</v>
      </c>
    </row>
    <row r="2870">
      <c r="D2870" s="6">
        <f>IFERROR(__xludf.DUMMYFUNCTION("""COMPUTED_VALUE"""),42170.99861111111)</f>
        <v>42170.99861</v>
      </c>
      <c r="E2870" s="3">
        <f>IFERROR(__xludf.DUMMYFUNCTION("""COMPUTED_VALUE"""),4.4865)</f>
        <v>4.4865</v>
      </c>
    </row>
    <row r="2871">
      <c r="D2871" s="6">
        <f>IFERROR(__xludf.DUMMYFUNCTION("""COMPUTED_VALUE"""),42171.99861111111)</f>
        <v>42171.99861</v>
      </c>
      <c r="E2871" s="3">
        <f>IFERROR(__xludf.DUMMYFUNCTION("""COMPUTED_VALUE"""),4.4924)</f>
        <v>4.4924</v>
      </c>
    </row>
    <row r="2872">
      <c r="D2872" s="6">
        <f>IFERROR(__xludf.DUMMYFUNCTION("""COMPUTED_VALUE"""),42172.99861111111)</f>
        <v>42172.99861</v>
      </c>
      <c r="E2872" s="3">
        <f>IFERROR(__xludf.DUMMYFUNCTION("""COMPUTED_VALUE"""),4.5103)</f>
        <v>4.5103</v>
      </c>
    </row>
    <row r="2873">
      <c r="D2873" s="6">
        <f>IFERROR(__xludf.DUMMYFUNCTION("""COMPUTED_VALUE"""),42173.99861111111)</f>
        <v>42173.99861</v>
      </c>
      <c r="E2873" s="3">
        <f>IFERROR(__xludf.DUMMYFUNCTION("""COMPUTED_VALUE"""),4.4937)</f>
        <v>4.4937</v>
      </c>
    </row>
    <row r="2874">
      <c r="D2874" s="6">
        <f>IFERROR(__xludf.DUMMYFUNCTION("""COMPUTED_VALUE"""),42174.99861111111)</f>
        <v>42174.99861</v>
      </c>
      <c r="E2874" s="3">
        <f>IFERROR(__xludf.DUMMYFUNCTION("""COMPUTED_VALUE"""),4.4953)</f>
        <v>4.4953</v>
      </c>
    </row>
    <row r="2875">
      <c r="D2875" s="6">
        <f>IFERROR(__xludf.DUMMYFUNCTION("""COMPUTED_VALUE"""),42177.99861111111)</f>
        <v>42177.99861</v>
      </c>
      <c r="E2875" s="3">
        <f>IFERROR(__xludf.DUMMYFUNCTION("""COMPUTED_VALUE"""),4.4827)</f>
        <v>4.4827</v>
      </c>
    </row>
    <row r="2876">
      <c r="D2876" s="6">
        <f>IFERROR(__xludf.DUMMYFUNCTION("""COMPUTED_VALUE"""),42178.99861111111)</f>
        <v>42178.99861</v>
      </c>
      <c r="E2876" s="3">
        <f>IFERROR(__xludf.DUMMYFUNCTION("""COMPUTED_VALUE"""),4.4878)</f>
        <v>4.4878</v>
      </c>
    </row>
    <row r="2877">
      <c r="D2877" s="6">
        <f>IFERROR(__xludf.DUMMYFUNCTION("""COMPUTED_VALUE"""),42179.99861111111)</f>
        <v>42179.99861</v>
      </c>
      <c r="E2877" s="3">
        <f>IFERROR(__xludf.DUMMYFUNCTION("""COMPUTED_VALUE"""),4.4811)</f>
        <v>4.4811</v>
      </c>
    </row>
    <row r="2878">
      <c r="D2878" s="6">
        <f>IFERROR(__xludf.DUMMYFUNCTION("""COMPUTED_VALUE"""),42180.99861111111)</f>
        <v>42180.99861</v>
      </c>
      <c r="E2878" s="3">
        <f>IFERROR(__xludf.DUMMYFUNCTION("""COMPUTED_VALUE"""),4.4742)</f>
        <v>4.4742</v>
      </c>
    </row>
    <row r="2879">
      <c r="D2879" s="6">
        <f>IFERROR(__xludf.DUMMYFUNCTION("""COMPUTED_VALUE"""),42181.99861111111)</f>
        <v>42181.99861</v>
      </c>
      <c r="E2879" s="3">
        <f>IFERROR(__xludf.DUMMYFUNCTION("""COMPUTED_VALUE"""),4.4565)</f>
        <v>4.4565</v>
      </c>
    </row>
    <row r="2880">
      <c r="D2880" s="6">
        <f>IFERROR(__xludf.DUMMYFUNCTION("""COMPUTED_VALUE"""),42183.99861111111)</f>
        <v>42183.99861</v>
      </c>
      <c r="E2880" s="3">
        <f>IFERROR(__xludf.DUMMYFUNCTION("""COMPUTED_VALUE"""),4.4565)</f>
        <v>4.4565</v>
      </c>
    </row>
    <row r="2881">
      <c r="D2881" s="6">
        <f>IFERROR(__xludf.DUMMYFUNCTION("""COMPUTED_VALUE"""),42184.99861111111)</f>
        <v>42184.99861</v>
      </c>
      <c r="E2881" s="3">
        <f>IFERROR(__xludf.DUMMYFUNCTION("""COMPUTED_VALUE"""),4.4958)</f>
        <v>4.4958</v>
      </c>
    </row>
    <row r="2882">
      <c r="D2882" s="6">
        <f>IFERROR(__xludf.DUMMYFUNCTION("""COMPUTED_VALUE"""),42185.99861111111)</f>
        <v>42185.99861</v>
      </c>
      <c r="E2882" s="3">
        <f>IFERROR(__xludf.DUMMYFUNCTION("""COMPUTED_VALUE"""),4.498)</f>
        <v>4.498</v>
      </c>
    </row>
    <row r="2883">
      <c r="D2883" s="6">
        <f>IFERROR(__xludf.DUMMYFUNCTION("""COMPUTED_VALUE"""),42186.99861111111)</f>
        <v>42186.99861</v>
      </c>
      <c r="E2883" s="3">
        <f>IFERROR(__xludf.DUMMYFUNCTION("""COMPUTED_VALUE"""),4.471)</f>
        <v>4.471</v>
      </c>
    </row>
    <row r="2884">
      <c r="D2884" s="6">
        <f>IFERROR(__xludf.DUMMYFUNCTION("""COMPUTED_VALUE"""),42187.99861111111)</f>
        <v>42187.99861</v>
      </c>
      <c r="E2884" s="3">
        <f>IFERROR(__xludf.DUMMYFUNCTION("""COMPUTED_VALUE"""),4.4961)</f>
        <v>4.4961</v>
      </c>
    </row>
    <row r="2885">
      <c r="D2885" s="6">
        <f>IFERROR(__xludf.DUMMYFUNCTION("""COMPUTED_VALUE"""),42188.99861111111)</f>
        <v>42188.99861</v>
      </c>
      <c r="E2885" s="3">
        <f>IFERROR(__xludf.DUMMYFUNCTION("""COMPUTED_VALUE"""),4.4919)</f>
        <v>4.4919</v>
      </c>
    </row>
    <row r="2886">
      <c r="D2886" s="6">
        <f>IFERROR(__xludf.DUMMYFUNCTION("""COMPUTED_VALUE"""),42191.99861111111)</f>
        <v>42191.99861</v>
      </c>
      <c r="E2886" s="3">
        <f>IFERROR(__xludf.DUMMYFUNCTION("""COMPUTED_VALUE"""),4.4837)</f>
        <v>4.4837</v>
      </c>
    </row>
    <row r="2887">
      <c r="D2887" s="6">
        <f>IFERROR(__xludf.DUMMYFUNCTION("""COMPUTED_VALUE"""),42192.99861111111)</f>
        <v>42192.99861</v>
      </c>
      <c r="E2887" s="3">
        <f>IFERROR(__xludf.DUMMYFUNCTION("""COMPUTED_VALUE"""),4.4908)</f>
        <v>4.4908</v>
      </c>
    </row>
    <row r="2888">
      <c r="D2888" s="6">
        <f>IFERROR(__xludf.DUMMYFUNCTION("""COMPUTED_VALUE"""),42193.99861111111)</f>
        <v>42193.99861</v>
      </c>
      <c r="E2888" s="3">
        <f>IFERROR(__xludf.DUMMYFUNCTION("""COMPUTED_VALUE"""),4.4899)</f>
        <v>4.4899</v>
      </c>
    </row>
    <row r="2889">
      <c r="D2889" s="6">
        <f>IFERROR(__xludf.DUMMYFUNCTION("""COMPUTED_VALUE"""),42194.99861111111)</f>
        <v>42194.99861</v>
      </c>
      <c r="E2889" s="3">
        <f>IFERROR(__xludf.DUMMYFUNCTION("""COMPUTED_VALUE"""),4.4874)</f>
        <v>4.4874</v>
      </c>
    </row>
    <row r="2890">
      <c r="D2890" s="6">
        <f>IFERROR(__xludf.DUMMYFUNCTION("""COMPUTED_VALUE"""),42195.99861111111)</f>
        <v>42195.99861</v>
      </c>
      <c r="E2890" s="3">
        <f>IFERROR(__xludf.DUMMYFUNCTION("""COMPUTED_VALUE"""),4.4758)</f>
        <v>4.4758</v>
      </c>
    </row>
    <row r="2891">
      <c r="D2891" s="6">
        <f>IFERROR(__xludf.DUMMYFUNCTION("""COMPUTED_VALUE"""),42198.99861111111)</f>
        <v>42198.99861</v>
      </c>
      <c r="E2891" s="3">
        <f>IFERROR(__xludf.DUMMYFUNCTION("""COMPUTED_VALUE"""),4.4173)</f>
        <v>4.4173</v>
      </c>
    </row>
    <row r="2892">
      <c r="D2892" s="6">
        <f>IFERROR(__xludf.DUMMYFUNCTION("""COMPUTED_VALUE"""),42199.99861111111)</f>
        <v>42199.99861</v>
      </c>
      <c r="E2892" s="3">
        <f>IFERROR(__xludf.DUMMYFUNCTION("""COMPUTED_VALUE"""),4.4359)</f>
        <v>4.4359</v>
      </c>
    </row>
    <row r="2893">
      <c r="D2893" s="6">
        <f>IFERROR(__xludf.DUMMYFUNCTION("""COMPUTED_VALUE"""),42200.99861111111)</f>
        <v>42200.99861</v>
      </c>
      <c r="E2893" s="3">
        <f>IFERROR(__xludf.DUMMYFUNCTION("""COMPUTED_VALUE"""),4.4344)</f>
        <v>4.4344</v>
      </c>
    </row>
    <row r="2894">
      <c r="D2894" s="6">
        <f>IFERROR(__xludf.DUMMYFUNCTION("""COMPUTED_VALUE"""),42201.99861111111)</f>
        <v>42201.99861</v>
      </c>
      <c r="E2894" s="3">
        <f>IFERROR(__xludf.DUMMYFUNCTION("""COMPUTED_VALUE"""),4.4321)</f>
        <v>4.4321</v>
      </c>
    </row>
    <row r="2895">
      <c r="D2895" s="6">
        <f>IFERROR(__xludf.DUMMYFUNCTION("""COMPUTED_VALUE"""),42202.99861111111)</f>
        <v>42202.99861</v>
      </c>
      <c r="E2895" s="3">
        <f>IFERROR(__xludf.DUMMYFUNCTION("""COMPUTED_VALUE"""),4.4233)</f>
        <v>4.4233</v>
      </c>
    </row>
    <row r="2896">
      <c r="D2896" s="6">
        <f>IFERROR(__xludf.DUMMYFUNCTION("""COMPUTED_VALUE"""),42205.99861111111)</f>
        <v>42205.99861</v>
      </c>
      <c r="E2896" s="3">
        <f>IFERROR(__xludf.DUMMYFUNCTION("""COMPUTED_VALUE"""),4.4087)</f>
        <v>4.4087</v>
      </c>
    </row>
    <row r="2897">
      <c r="D2897" s="6">
        <f>IFERROR(__xludf.DUMMYFUNCTION("""COMPUTED_VALUE"""),42206.99861111111)</f>
        <v>42206.99861</v>
      </c>
      <c r="E2897" s="3">
        <f>IFERROR(__xludf.DUMMYFUNCTION("""COMPUTED_VALUE"""),4.4206)</f>
        <v>4.4206</v>
      </c>
    </row>
    <row r="2898">
      <c r="D2898" s="6">
        <f>IFERROR(__xludf.DUMMYFUNCTION("""COMPUTED_VALUE"""),42207.99861111111)</f>
        <v>42207.99861</v>
      </c>
      <c r="E2898" s="3">
        <f>IFERROR(__xludf.DUMMYFUNCTION("""COMPUTED_VALUE"""),4.4225)</f>
        <v>4.4225</v>
      </c>
    </row>
    <row r="2899">
      <c r="D2899" s="6">
        <f>IFERROR(__xludf.DUMMYFUNCTION("""COMPUTED_VALUE"""),42208.99861111111)</f>
        <v>42208.99861</v>
      </c>
      <c r="E2899" s="3">
        <f>IFERROR(__xludf.DUMMYFUNCTION("""COMPUTED_VALUE"""),4.4254)</f>
        <v>4.4254</v>
      </c>
    </row>
    <row r="2900">
      <c r="D2900" s="6">
        <f>IFERROR(__xludf.DUMMYFUNCTION("""COMPUTED_VALUE"""),42209.99861111111)</f>
        <v>42209.99861</v>
      </c>
      <c r="E2900" s="3">
        <f>IFERROR(__xludf.DUMMYFUNCTION("""COMPUTED_VALUE"""),4.4243)</f>
        <v>4.4243</v>
      </c>
    </row>
    <row r="2901">
      <c r="D2901" s="6">
        <f>IFERROR(__xludf.DUMMYFUNCTION("""COMPUTED_VALUE"""),42212.99861111111)</f>
        <v>42212.99861</v>
      </c>
      <c r="E2901" s="3">
        <f>IFERROR(__xludf.DUMMYFUNCTION("""COMPUTED_VALUE"""),4.4133)</f>
        <v>4.4133</v>
      </c>
    </row>
    <row r="2902">
      <c r="D2902" s="6">
        <f>IFERROR(__xludf.DUMMYFUNCTION("""COMPUTED_VALUE"""),42213.99861111111)</f>
        <v>42213.99861</v>
      </c>
      <c r="E2902" s="3">
        <f>IFERROR(__xludf.DUMMYFUNCTION("""COMPUTED_VALUE"""),4.4184)</f>
        <v>4.4184</v>
      </c>
    </row>
    <row r="2903">
      <c r="D2903" s="6">
        <f>IFERROR(__xludf.DUMMYFUNCTION("""COMPUTED_VALUE"""),42214.99861111111)</f>
        <v>42214.99861</v>
      </c>
      <c r="E2903" s="3">
        <f>IFERROR(__xludf.DUMMYFUNCTION("""COMPUTED_VALUE"""),4.4239)</f>
        <v>4.4239</v>
      </c>
    </row>
    <row r="2904">
      <c r="D2904" s="6">
        <f>IFERROR(__xludf.DUMMYFUNCTION("""COMPUTED_VALUE"""),42215.99861111111)</f>
        <v>42215.99861</v>
      </c>
      <c r="E2904" s="3">
        <f>IFERROR(__xludf.DUMMYFUNCTION("""COMPUTED_VALUE"""),4.4186)</f>
        <v>4.4186</v>
      </c>
    </row>
    <row r="2905">
      <c r="D2905" s="6">
        <f>IFERROR(__xludf.DUMMYFUNCTION("""COMPUTED_VALUE"""),42216.99861111111)</f>
        <v>42216.99861</v>
      </c>
      <c r="E2905" s="3">
        <f>IFERROR(__xludf.DUMMYFUNCTION("""COMPUTED_VALUE"""),4.4215)</f>
        <v>4.4215</v>
      </c>
    </row>
    <row r="2906">
      <c r="D2906" s="6">
        <f>IFERROR(__xludf.DUMMYFUNCTION("""COMPUTED_VALUE"""),42219.99861111111)</f>
        <v>42219.99861</v>
      </c>
      <c r="E2906" s="3">
        <f>IFERROR(__xludf.DUMMYFUNCTION("""COMPUTED_VALUE"""),4.406)</f>
        <v>4.406</v>
      </c>
    </row>
    <row r="2907">
      <c r="D2907" s="6">
        <f>IFERROR(__xludf.DUMMYFUNCTION("""COMPUTED_VALUE"""),42220.99861111111)</f>
        <v>42220.99861</v>
      </c>
      <c r="E2907" s="3">
        <f>IFERROR(__xludf.DUMMYFUNCTION("""COMPUTED_VALUE"""),4.4124)</f>
        <v>4.4124</v>
      </c>
    </row>
    <row r="2908">
      <c r="D2908" s="6">
        <f>IFERROR(__xludf.DUMMYFUNCTION("""COMPUTED_VALUE"""),42221.99861111111)</f>
        <v>42221.99861</v>
      </c>
      <c r="E2908" s="3">
        <f>IFERROR(__xludf.DUMMYFUNCTION("""COMPUTED_VALUE"""),4.4274)</f>
        <v>4.4274</v>
      </c>
    </row>
    <row r="2909">
      <c r="D2909" s="6">
        <f>IFERROR(__xludf.DUMMYFUNCTION("""COMPUTED_VALUE"""),42222.99861111111)</f>
        <v>42222.99861</v>
      </c>
      <c r="E2909" s="3">
        <f>IFERROR(__xludf.DUMMYFUNCTION("""COMPUTED_VALUE"""),4.4159)</f>
        <v>4.4159</v>
      </c>
    </row>
    <row r="2910">
      <c r="D2910" s="6">
        <f>IFERROR(__xludf.DUMMYFUNCTION("""COMPUTED_VALUE"""),42223.99861111111)</f>
        <v>42223.99861</v>
      </c>
      <c r="E2910" s="3">
        <f>IFERROR(__xludf.DUMMYFUNCTION("""COMPUTED_VALUE"""),4.4171)</f>
        <v>4.4171</v>
      </c>
    </row>
    <row r="2911">
      <c r="D2911" s="6">
        <f>IFERROR(__xludf.DUMMYFUNCTION("""COMPUTED_VALUE"""),42226.99861111111)</f>
        <v>42226.99861</v>
      </c>
      <c r="E2911" s="3">
        <f>IFERROR(__xludf.DUMMYFUNCTION("""COMPUTED_VALUE"""),4.4088)</f>
        <v>4.4088</v>
      </c>
    </row>
    <row r="2912">
      <c r="D2912" s="6">
        <f>IFERROR(__xludf.DUMMYFUNCTION("""COMPUTED_VALUE"""),42227.99861111111)</f>
        <v>42227.99861</v>
      </c>
      <c r="E2912" s="3">
        <f>IFERROR(__xludf.DUMMYFUNCTION("""COMPUTED_VALUE"""),4.4173)</f>
        <v>4.4173</v>
      </c>
    </row>
    <row r="2913">
      <c r="D2913" s="6">
        <f>IFERROR(__xludf.DUMMYFUNCTION("""COMPUTED_VALUE"""),42228.99861111111)</f>
        <v>42228.99861</v>
      </c>
      <c r="E2913" s="3">
        <f>IFERROR(__xludf.DUMMYFUNCTION("""COMPUTED_VALUE"""),4.4164)</f>
        <v>4.4164</v>
      </c>
    </row>
    <row r="2914">
      <c r="D2914" s="6">
        <f>IFERROR(__xludf.DUMMYFUNCTION("""COMPUTED_VALUE"""),42229.99861111111)</f>
        <v>42229.99861</v>
      </c>
      <c r="E2914" s="3">
        <f>IFERROR(__xludf.DUMMYFUNCTION("""COMPUTED_VALUE"""),4.4142)</f>
        <v>4.4142</v>
      </c>
    </row>
    <row r="2915">
      <c r="D2915" s="6">
        <f>IFERROR(__xludf.DUMMYFUNCTION("""COMPUTED_VALUE"""),42230.99861111111)</f>
        <v>42230.99861</v>
      </c>
      <c r="E2915" s="3">
        <f>IFERROR(__xludf.DUMMYFUNCTION("""COMPUTED_VALUE"""),4.4288)</f>
        <v>4.4288</v>
      </c>
    </row>
    <row r="2916">
      <c r="D2916" s="6">
        <f>IFERROR(__xludf.DUMMYFUNCTION("""COMPUTED_VALUE"""),42233.99861111111)</f>
        <v>42233.99861</v>
      </c>
      <c r="E2916" s="3">
        <f>IFERROR(__xludf.DUMMYFUNCTION("""COMPUTED_VALUE"""),4.4279)</f>
        <v>4.4279</v>
      </c>
    </row>
    <row r="2917">
      <c r="D2917" s="6">
        <f>IFERROR(__xludf.DUMMYFUNCTION("""COMPUTED_VALUE"""),42234.99861111111)</f>
        <v>42234.99861</v>
      </c>
      <c r="E2917" s="3">
        <f>IFERROR(__xludf.DUMMYFUNCTION("""COMPUTED_VALUE"""),4.4317)</f>
        <v>4.4317</v>
      </c>
    </row>
    <row r="2918">
      <c r="D2918" s="6">
        <f>IFERROR(__xludf.DUMMYFUNCTION("""COMPUTED_VALUE"""),42235.99861111111)</f>
        <v>42235.99861</v>
      </c>
      <c r="E2918" s="3">
        <f>IFERROR(__xludf.DUMMYFUNCTION("""COMPUTED_VALUE"""),4.4394)</f>
        <v>4.4394</v>
      </c>
    </row>
    <row r="2919">
      <c r="D2919" s="6">
        <f>IFERROR(__xludf.DUMMYFUNCTION("""COMPUTED_VALUE"""),42236.99861111111)</f>
        <v>42236.99861</v>
      </c>
      <c r="E2919" s="3">
        <f>IFERROR(__xludf.DUMMYFUNCTION("""COMPUTED_VALUE"""),4.436)</f>
        <v>4.436</v>
      </c>
    </row>
    <row r="2920">
      <c r="D2920" s="6">
        <f>IFERROR(__xludf.DUMMYFUNCTION("""COMPUTED_VALUE"""),42237.99861111111)</f>
        <v>42237.99861</v>
      </c>
      <c r="E2920" s="3">
        <f>IFERROR(__xludf.DUMMYFUNCTION("""COMPUTED_VALUE"""),4.4457)</f>
        <v>4.4457</v>
      </c>
    </row>
    <row r="2921">
      <c r="D2921" s="6">
        <f>IFERROR(__xludf.DUMMYFUNCTION("""COMPUTED_VALUE"""),42240.99861111111)</f>
        <v>42240.99861</v>
      </c>
      <c r="E2921" s="3">
        <f>IFERROR(__xludf.DUMMYFUNCTION("""COMPUTED_VALUE"""),4.4448)</f>
        <v>4.4448</v>
      </c>
    </row>
    <row r="2922">
      <c r="D2922" s="6">
        <f>IFERROR(__xludf.DUMMYFUNCTION("""COMPUTED_VALUE"""),42241.99861111111)</f>
        <v>42241.99861</v>
      </c>
      <c r="E2922" s="3">
        <f>IFERROR(__xludf.DUMMYFUNCTION("""COMPUTED_VALUE"""),4.4527)</f>
        <v>4.4527</v>
      </c>
    </row>
    <row r="2923">
      <c r="D2923" s="6">
        <f>IFERROR(__xludf.DUMMYFUNCTION("""COMPUTED_VALUE"""),42242.99861111111)</f>
        <v>42242.99861</v>
      </c>
      <c r="E2923" s="3">
        <f>IFERROR(__xludf.DUMMYFUNCTION("""COMPUTED_VALUE"""),4.4437)</f>
        <v>4.4437</v>
      </c>
    </row>
    <row r="2924">
      <c r="D2924" s="6">
        <f>IFERROR(__xludf.DUMMYFUNCTION("""COMPUTED_VALUE"""),42243.99861111111)</f>
        <v>42243.99861</v>
      </c>
      <c r="E2924" s="3">
        <f>IFERROR(__xludf.DUMMYFUNCTION("""COMPUTED_VALUE"""),4.4436)</f>
        <v>4.4436</v>
      </c>
    </row>
    <row r="2925">
      <c r="D2925" s="6">
        <f>IFERROR(__xludf.DUMMYFUNCTION("""COMPUTED_VALUE"""),42244.99861111111)</f>
        <v>42244.99861</v>
      </c>
      <c r="E2925" s="3">
        <f>IFERROR(__xludf.DUMMYFUNCTION("""COMPUTED_VALUE"""),4.4412)</f>
        <v>4.4412</v>
      </c>
    </row>
    <row r="2926">
      <c r="D2926" s="6">
        <f>IFERROR(__xludf.DUMMYFUNCTION("""COMPUTED_VALUE"""),42247.99861111111)</f>
        <v>42247.99861</v>
      </c>
      <c r="E2926" s="3">
        <f>IFERROR(__xludf.DUMMYFUNCTION("""COMPUTED_VALUE"""),4.428)</f>
        <v>4.428</v>
      </c>
    </row>
    <row r="2927">
      <c r="D2927" s="6">
        <f>IFERROR(__xludf.DUMMYFUNCTION("""COMPUTED_VALUE"""),42248.99861111111)</f>
        <v>42248.99861</v>
      </c>
      <c r="E2927" s="3">
        <f>IFERROR(__xludf.DUMMYFUNCTION("""COMPUTED_VALUE"""),4.4435)</f>
        <v>4.4435</v>
      </c>
    </row>
    <row r="2928">
      <c r="D2928" s="6">
        <f>IFERROR(__xludf.DUMMYFUNCTION("""COMPUTED_VALUE"""),42249.99861111111)</f>
        <v>42249.99861</v>
      </c>
      <c r="E2928" s="3">
        <f>IFERROR(__xludf.DUMMYFUNCTION("""COMPUTED_VALUE"""),4.4422)</f>
        <v>4.4422</v>
      </c>
    </row>
    <row r="2929">
      <c r="D2929" s="6">
        <f>IFERROR(__xludf.DUMMYFUNCTION("""COMPUTED_VALUE"""),42250.99861111111)</f>
        <v>42250.99861</v>
      </c>
      <c r="E2929" s="3">
        <f>IFERROR(__xludf.DUMMYFUNCTION("""COMPUTED_VALUE"""),4.4411)</f>
        <v>4.4411</v>
      </c>
    </row>
    <row r="2930">
      <c r="D2930" s="6">
        <f>IFERROR(__xludf.DUMMYFUNCTION("""COMPUTED_VALUE"""),42251.99861111111)</f>
        <v>42251.99861</v>
      </c>
      <c r="E2930" s="3">
        <f>IFERROR(__xludf.DUMMYFUNCTION("""COMPUTED_VALUE"""),4.4332)</f>
        <v>4.4332</v>
      </c>
    </row>
    <row r="2931">
      <c r="D2931" s="6">
        <f>IFERROR(__xludf.DUMMYFUNCTION("""COMPUTED_VALUE"""),42254.99861111111)</f>
        <v>42254.99861</v>
      </c>
      <c r="E2931" s="3">
        <f>IFERROR(__xludf.DUMMYFUNCTION("""COMPUTED_VALUE"""),4.426)</f>
        <v>4.426</v>
      </c>
    </row>
    <row r="2932">
      <c r="D2932" s="6">
        <f>IFERROR(__xludf.DUMMYFUNCTION("""COMPUTED_VALUE"""),42255.99861111111)</f>
        <v>42255.99861</v>
      </c>
      <c r="E2932" s="3">
        <f>IFERROR(__xludf.DUMMYFUNCTION("""COMPUTED_VALUE"""),4.4304)</f>
        <v>4.4304</v>
      </c>
    </row>
    <row r="2933">
      <c r="D2933" s="6">
        <f>IFERROR(__xludf.DUMMYFUNCTION("""COMPUTED_VALUE"""),42256.99861111111)</f>
        <v>42256.99861</v>
      </c>
      <c r="E2933" s="3">
        <f>IFERROR(__xludf.DUMMYFUNCTION("""COMPUTED_VALUE"""),4.4275)</f>
        <v>4.4275</v>
      </c>
    </row>
    <row r="2934">
      <c r="D2934" s="6">
        <f>IFERROR(__xludf.DUMMYFUNCTION("""COMPUTED_VALUE"""),42257.99861111111)</f>
        <v>42257.99861</v>
      </c>
      <c r="E2934" s="3">
        <f>IFERROR(__xludf.DUMMYFUNCTION("""COMPUTED_VALUE"""),4.4223)</f>
        <v>4.4223</v>
      </c>
    </row>
    <row r="2935">
      <c r="D2935" s="6">
        <f>IFERROR(__xludf.DUMMYFUNCTION("""COMPUTED_VALUE"""),42258.99861111111)</f>
        <v>42258.99861</v>
      </c>
      <c r="E2935" s="3">
        <f>IFERROR(__xludf.DUMMYFUNCTION("""COMPUTED_VALUE"""),4.4202)</f>
        <v>4.4202</v>
      </c>
    </row>
    <row r="2936">
      <c r="D2936" s="6">
        <f>IFERROR(__xludf.DUMMYFUNCTION("""COMPUTED_VALUE"""),42261.99861111111)</f>
        <v>42261.99861</v>
      </c>
      <c r="E2936" s="3">
        <f>IFERROR(__xludf.DUMMYFUNCTION("""COMPUTED_VALUE"""),4.413)</f>
        <v>4.413</v>
      </c>
    </row>
    <row r="2937">
      <c r="D2937" s="6">
        <f>IFERROR(__xludf.DUMMYFUNCTION("""COMPUTED_VALUE"""),42262.99861111111)</f>
        <v>42262.99861</v>
      </c>
      <c r="E2937" s="3">
        <f>IFERROR(__xludf.DUMMYFUNCTION("""COMPUTED_VALUE"""),4.4223)</f>
        <v>4.4223</v>
      </c>
    </row>
    <row r="2938">
      <c r="D2938" s="6">
        <f>IFERROR(__xludf.DUMMYFUNCTION("""COMPUTED_VALUE"""),42263.99861111111)</f>
        <v>42263.99861</v>
      </c>
      <c r="E2938" s="3">
        <f>IFERROR(__xludf.DUMMYFUNCTION("""COMPUTED_VALUE"""),4.4267)</f>
        <v>4.4267</v>
      </c>
    </row>
    <row r="2939">
      <c r="D2939" s="6">
        <f>IFERROR(__xludf.DUMMYFUNCTION("""COMPUTED_VALUE"""),42264.99861111111)</f>
        <v>42264.99861</v>
      </c>
      <c r="E2939" s="3">
        <f>IFERROR(__xludf.DUMMYFUNCTION("""COMPUTED_VALUE"""),4.4302)</f>
        <v>4.4302</v>
      </c>
    </row>
    <row r="2940">
      <c r="D2940" s="6">
        <f>IFERROR(__xludf.DUMMYFUNCTION("""COMPUTED_VALUE"""),42265.99861111111)</f>
        <v>42265.99861</v>
      </c>
      <c r="E2940" s="3">
        <f>IFERROR(__xludf.DUMMYFUNCTION("""COMPUTED_VALUE"""),4.424)</f>
        <v>4.424</v>
      </c>
    </row>
    <row r="2941">
      <c r="D2941" s="6">
        <f>IFERROR(__xludf.DUMMYFUNCTION("""COMPUTED_VALUE"""),42267.99861111111)</f>
        <v>42267.99861</v>
      </c>
      <c r="E2941" s="3">
        <f>IFERROR(__xludf.DUMMYFUNCTION("""COMPUTED_VALUE"""),4.4201)</f>
        <v>4.4201</v>
      </c>
    </row>
    <row r="2942">
      <c r="D2942" s="6">
        <f>IFERROR(__xludf.DUMMYFUNCTION("""COMPUTED_VALUE"""),42268.99861111111)</f>
        <v>42268.99861</v>
      </c>
      <c r="E2942" s="3">
        <f>IFERROR(__xludf.DUMMYFUNCTION("""COMPUTED_VALUE"""),4.42)</f>
        <v>4.42</v>
      </c>
    </row>
    <row r="2943">
      <c r="D2943" s="6">
        <f>IFERROR(__xludf.DUMMYFUNCTION("""COMPUTED_VALUE"""),42269.99861111111)</f>
        <v>42269.99861</v>
      </c>
      <c r="E2943" s="3">
        <f>IFERROR(__xludf.DUMMYFUNCTION("""COMPUTED_VALUE"""),4.4245)</f>
        <v>4.4245</v>
      </c>
    </row>
    <row r="2944">
      <c r="D2944" s="6">
        <f>IFERROR(__xludf.DUMMYFUNCTION("""COMPUTED_VALUE"""),42270.99861111111)</f>
        <v>42270.99861</v>
      </c>
      <c r="E2944" s="3">
        <f>IFERROR(__xludf.DUMMYFUNCTION("""COMPUTED_VALUE"""),4.419)</f>
        <v>4.419</v>
      </c>
    </row>
    <row r="2945">
      <c r="D2945" s="6">
        <f>IFERROR(__xludf.DUMMYFUNCTION("""COMPUTED_VALUE"""),42271.99861111111)</f>
        <v>42271.99861</v>
      </c>
      <c r="E2945" s="3">
        <f>IFERROR(__xludf.DUMMYFUNCTION("""COMPUTED_VALUE"""),4.4211)</f>
        <v>4.4211</v>
      </c>
    </row>
    <row r="2946">
      <c r="D2946" s="6">
        <f>IFERROR(__xludf.DUMMYFUNCTION("""COMPUTED_VALUE"""),42272.99861111111)</f>
        <v>42272.99861</v>
      </c>
      <c r="E2946" s="3">
        <f>IFERROR(__xludf.DUMMYFUNCTION("""COMPUTED_VALUE"""),4.4186)</f>
        <v>4.4186</v>
      </c>
    </row>
    <row r="2947">
      <c r="D2947" s="6">
        <f>IFERROR(__xludf.DUMMYFUNCTION("""COMPUTED_VALUE"""),42275.99861111111)</f>
        <v>42275.99861</v>
      </c>
      <c r="E2947" s="3">
        <f>IFERROR(__xludf.DUMMYFUNCTION("""COMPUTED_VALUE"""),4.4113)</f>
        <v>4.4113</v>
      </c>
    </row>
    <row r="2948">
      <c r="D2948" s="6">
        <f>IFERROR(__xludf.DUMMYFUNCTION("""COMPUTED_VALUE"""),42276.99861111111)</f>
        <v>42276.99861</v>
      </c>
      <c r="E2948" s="3">
        <f>IFERROR(__xludf.DUMMYFUNCTION("""COMPUTED_VALUE"""),4.4264)</f>
        <v>4.4264</v>
      </c>
    </row>
    <row r="2949">
      <c r="D2949" s="6">
        <f>IFERROR(__xludf.DUMMYFUNCTION("""COMPUTED_VALUE"""),42277.99861111111)</f>
        <v>42277.99861</v>
      </c>
      <c r="E2949" s="3">
        <f>IFERROR(__xludf.DUMMYFUNCTION("""COMPUTED_VALUE"""),4.4208)</f>
        <v>4.4208</v>
      </c>
    </row>
    <row r="2950">
      <c r="D2950" s="6">
        <f>IFERROR(__xludf.DUMMYFUNCTION("""COMPUTED_VALUE"""),42278.99861111111)</f>
        <v>42278.99861</v>
      </c>
      <c r="E2950" s="3">
        <f>IFERROR(__xludf.DUMMYFUNCTION("""COMPUTED_VALUE"""),4.4177)</f>
        <v>4.4177</v>
      </c>
    </row>
    <row r="2951">
      <c r="D2951" s="6">
        <f>IFERROR(__xludf.DUMMYFUNCTION("""COMPUTED_VALUE"""),42279.99861111111)</f>
        <v>42279.99861</v>
      </c>
      <c r="E2951" s="3">
        <f>IFERROR(__xludf.DUMMYFUNCTION("""COMPUTED_VALUE"""),4.4454)</f>
        <v>4.4454</v>
      </c>
    </row>
    <row r="2952">
      <c r="D2952" s="6">
        <f>IFERROR(__xludf.DUMMYFUNCTION("""COMPUTED_VALUE"""),42282.99861111111)</f>
        <v>42282.99861</v>
      </c>
      <c r="E2952" s="3">
        <f>IFERROR(__xludf.DUMMYFUNCTION("""COMPUTED_VALUE"""),4.4105)</f>
        <v>4.4105</v>
      </c>
    </row>
    <row r="2953">
      <c r="D2953" s="6">
        <f>IFERROR(__xludf.DUMMYFUNCTION("""COMPUTED_VALUE"""),42283.99861111111)</f>
        <v>42283.99861</v>
      </c>
      <c r="E2953" s="3">
        <f>IFERROR(__xludf.DUMMYFUNCTION("""COMPUTED_VALUE"""),4.42)</f>
        <v>4.42</v>
      </c>
    </row>
    <row r="2954">
      <c r="D2954" s="6">
        <f>IFERROR(__xludf.DUMMYFUNCTION("""COMPUTED_VALUE"""),42284.99861111111)</f>
        <v>42284.99861</v>
      </c>
      <c r="E2954" s="3">
        <f>IFERROR(__xludf.DUMMYFUNCTION("""COMPUTED_VALUE"""),4.4196)</f>
        <v>4.4196</v>
      </c>
    </row>
    <row r="2955">
      <c r="D2955" s="6">
        <f>IFERROR(__xludf.DUMMYFUNCTION("""COMPUTED_VALUE"""),42285.99861111111)</f>
        <v>42285.99861</v>
      </c>
      <c r="E2955" s="3">
        <f>IFERROR(__xludf.DUMMYFUNCTION("""COMPUTED_VALUE"""),4.4177)</f>
        <v>4.4177</v>
      </c>
    </row>
    <row r="2956">
      <c r="D2956" s="6">
        <f>IFERROR(__xludf.DUMMYFUNCTION("""COMPUTED_VALUE"""),42286.99861111111)</f>
        <v>42286.99861</v>
      </c>
      <c r="E2956" s="3">
        <f>IFERROR(__xludf.DUMMYFUNCTION("""COMPUTED_VALUE"""),4.4161)</f>
        <v>4.4161</v>
      </c>
    </row>
    <row r="2957">
      <c r="D2957" s="6">
        <f>IFERROR(__xludf.DUMMYFUNCTION("""COMPUTED_VALUE"""),42289.99861111111)</f>
        <v>42289.99861</v>
      </c>
      <c r="E2957" s="3">
        <f>IFERROR(__xludf.DUMMYFUNCTION("""COMPUTED_VALUE"""),4.4095)</f>
        <v>4.4095</v>
      </c>
    </row>
    <row r="2958">
      <c r="D2958" s="6">
        <f>IFERROR(__xludf.DUMMYFUNCTION("""COMPUTED_VALUE"""),42290.99861111111)</f>
        <v>42290.99861</v>
      </c>
      <c r="E2958" s="3">
        <f>IFERROR(__xludf.DUMMYFUNCTION("""COMPUTED_VALUE"""),4.4176)</f>
        <v>4.4176</v>
      </c>
    </row>
    <row r="2959">
      <c r="D2959" s="6">
        <f>IFERROR(__xludf.DUMMYFUNCTION("""COMPUTED_VALUE"""),42291.99861111111)</f>
        <v>42291.99861</v>
      </c>
      <c r="E2959" s="3">
        <f>IFERROR(__xludf.DUMMYFUNCTION("""COMPUTED_VALUE"""),4.4221)</f>
        <v>4.4221</v>
      </c>
    </row>
    <row r="2960">
      <c r="D2960" s="6">
        <f>IFERROR(__xludf.DUMMYFUNCTION("""COMPUTED_VALUE"""),42292.99861111111)</f>
        <v>42292.99861</v>
      </c>
      <c r="E2960" s="3">
        <f>IFERROR(__xludf.DUMMYFUNCTION("""COMPUTED_VALUE"""),4.4197)</f>
        <v>4.4197</v>
      </c>
    </row>
    <row r="2961">
      <c r="D2961" s="6">
        <f>IFERROR(__xludf.DUMMYFUNCTION("""COMPUTED_VALUE"""),42293.99861111111)</f>
        <v>42293.99861</v>
      </c>
      <c r="E2961" s="3">
        <f>IFERROR(__xludf.DUMMYFUNCTION("""COMPUTED_VALUE"""),4.4202)</f>
        <v>4.4202</v>
      </c>
    </row>
    <row r="2962">
      <c r="D2962" s="6">
        <f>IFERROR(__xludf.DUMMYFUNCTION("""COMPUTED_VALUE"""),42296.99861111111)</f>
        <v>42296.99861</v>
      </c>
      <c r="E2962" s="3">
        <f>IFERROR(__xludf.DUMMYFUNCTION("""COMPUTED_VALUE"""),4.4198)</f>
        <v>4.4198</v>
      </c>
    </row>
    <row r="2963">
      <c r="D2963" s="6">
        <f>IFERROR(__xludf.DUMMYFUNCTION("""COMPUTED_VALUE"""),42297.99861111111)</f>
        <v>42297.99861</v>
      </c>
      <c r="E2963" s="3">
        <f>IFERROR(__xludf.DUMMYFUNCTION("""COMPUTED_VALUE"""),4.4279)</f>
        <v>4.4279</v>
      </c>
    </row>
    <row r="2964">
      <c r="D2964" s="6">
        <f>IFERROR(__xludf.DUMMYFUNCTION("""COMPUTED_VALUE"""),42298.99861111111)</f>
        <v>42298.99861</v>
      </c>
      <c r="E2964" s="3">
        <f>IFERROR(__xludf.DUMMYFUNCTION("""COMPUTED_VALUE"""),4.4306)</f>
        <v>4.4306</v>
      </c>
    </row>
    <row r="2965">
      <c r="D2965" s="6">
        <f>IFERROR(__xludf.DUMMYFUNCTION("""COMPUTED_VALUE"""),42299.99861111111)</f>
        <v>42299.99861</v>
      </c>
      <c r="E2965" s="3">
        <f>IFERROR(__xludf.DUMMYFUNCTION("""COMPUTED_VALUE"""),4.4305)</f>
        <v>4.4305</v>
      </c>
    </row>
    <row r="2966">
      <c r="D2966" s="6">
        <f>IFERROR(__xludf.DUMMYFUNCTION("""COMPUTED_VALUE"""),42300.99861111111)</f>
        <v>42300.99861</v>
      </c>
      <c r="E2966" s="3">
        <f>IFERROR(__xludf.DUMMYFUNCTION("""COMPUTED_VALUE"""),4.4395)</f>
        <v>4.4395</v>
      </c>
    </row>
    <row r="2967">
      <c r="D2967" s="6">
        <f>IFERROR(__xludf.DUMMYFUNCTION("""COMPUTED_VALUE"""),42303.99861111111)</f>
        <v>42303.99861</v>
      </c>
      <c r="E2967" s="3">
        <f>IFERROR(__xludf.DUMMYFUNCTION("""COMPUTED_VALUE"""),4.4332)</f>
        <v>4.4332</v>
      </c>
    </row>
    <row r="2968">
      <c r="D2968" s="6">
        <f>IFERROR(__xludf.DUMMYFUNCTION("""COMPUTED_VALUE"""),42304.99861111111)</f>
        <v>42304.99861</v>
      </c>
      <c r="E2968" s="3">
        <f>IFERROR(__xludf.DUMMYFUNCTION("""COMPUTED_VALUE"""),4.4421)</f>
        <v>4.4421</v>
      </c>
    </row>
    <row r="2969">
      <c r="D2969" s="6">
        <f>IFERROR(__xludf.DUMMYFUNCTION("""COMPUTED_VALUE"""),42305.99861111111)</f>
        <v>42305.99861</v>
      </c>
      <c r="E2969" s="3">
        <f>IFERROR(__xludf.DUMMYFUNCTION("""COMPUTED_VALUE"""),4.44)</f>
        <v>4.44</v>
      </c>
    </row>
    <row r="2970">
      <c r="D2970" s="6">
        <f>IFERROR(__xludf.DUMMYFUNCTION("""COMPUTED_VALUE"""),42306.99861111111)</f>
        <v>42306.99861</v>
      </c>
      <c r="E2970" s="3">
        <f>IFERROR(__xludf.DUMMYFUNCTION("""COMPUTED_VALUE"""),4.4395)</f>
        <v>4.4395</v>
      </c>
    </row>
    <row r="2971">
      <c r="D2971" s="6">
        <f>IFERROR(__xludf.DUMMYFUNCTION("""COMPUTED_VALUE"""),42307.99861111111)</f>
        <v>42307.99861</v>
      </c>
      <c r="E2971" s="3">
        <f>IFERROR(__xludf.DUMMYFUNCTION("""COMPUTED_VALUE"""),4.4435)</f>
        <v>4.4435</v>
      </c>
    </row>
    <row r="2972">
      <c r="D2972" s="6">
        <f>IFERROR(__xludf.DUMMYFUNCTION("""COMPUTED_VALUE"""),42310.99861111111)</f>
        <v>42310.99861</v>
      </c>
      <c r="E2972" s="3">
        <f>IFERROR(__xludf.DUMMYFUNCTION("""COMPUTED_VALUE"""),4.4285)</f>
        <v>4.4285</v>
      </c>
    </row>
    <row r="2973">
      <c r="D2973" s="6">
        <f>IFERROR(__xludf.DUMMYFUNCTION("""COMPUTED_VALUE"""),42311.99861111111)</f>
        <v>42311.99861</v>
      </c>
      <c r="E2973" s="3">
        <f>IFERROR(__xludf.DUMMYFUNCTION("""COMPUTED_VALUE"""),4.4365)</f>
        <v>4.4365</v>
      </c>
    </row>
    <row r="2974">
      <c r="D2974" s="6">
        <f>IFERROR(__xludf.DUMMYFUNCTION("""COMPUTED_VALUE"""),42312.99861111111)</f>
        <v>42312.99861</v>
      </c>
      <c r="E2974" s="3">
        <f>IFERROR(__xludf.DUMMYFUNCTION("""COMPUTED_VALUE"""),4.4476)</f>
        <v>4.4476</v>
      </c>
    </row>
    <row r="2975">
      <c r="D2975" s="6">
        <f>IFERROR(__xludf.DUMMYFUNCTION("""COMPUTED_VALUE"""),42313.99861111111)</f>
        <v>42313.99861</v>
      </c>
      <c r="E2975" s="3">
        <f>IFERROR(__xludf.DUMMYFUNCTION("""COMPUTED_VALUE"""),4.4578)</f>
        <v>4.4578</v>
      </c>
    </row>
    <row r="2976">
      <c r="D2976" s="6">
        <f>IFERROR(__xludf.DUMMYFUNCTION("""COMPUTED_VALUE"""),42314.99861111111)</f>
        <v>42314.99861</v>
      </c>
      <c r="E2976" s="3">
        <f>IFERROR(__xludf.DUMMYFUNCTION("""COMPUTED_VALUE"""),4.4595)</f>
        <v>4.4595</v>
      </c>
    </row>
    <row r="2977">
      <c r="D2977" s="6">
        <f>IFERROR(__xludf.DUMMYFUNCTION("""COMPUTED_VALUE"""),42317.99861111111)</f>
        <v>42317.99861</v>
      </c>
      <c r="E2977" s="3">
        <f>IFERROR(__xludf.DUMMYFUNCTION("""COMPUTED_VALUE"""),4.4579)</f>
        <v>4.4579</v>
      </c>
    </row>
    <row r="2978">
      <c r="D2978" s="6">
        <f>IFERROR(__xludf.DUMMYFUNCTION("""COMPUTED_VALUE"""),42318.99861111111)</f>
        <v>42318.99861</v>
      </c>
      <c r="E2978" s="3">
        <f>IFERROR(__xludf.DUMMYFUNCTION("""COMPUTED_VALUE"""),4.4613)</f>
        <v>4.4613</v>
      </c>
    </row>
    <row r="2979">
      <c r="D2979" s="6">
        <f>IFERROR(__xludf.DUMMYFUNCTION("""COMPUTED_VALUE"""),42319.99861111111)</f>
        <v>42319.99861</v>
      </c>
      <c r="E2979" s="3">
        <f>IFERROR(__xludf.DUMMYFUNCTION("""COMPUTED_VALUE"""),4.4512)</f>
        <v>4.4512</v>
      </c>
    </row>
    <row r="2980">
      <c r="D2980" s="6">
        <f>IFERROR(__xludf.DUMMYFUNCTION("""COMPUTED_VALUE"""),42320.99861111111)</f>
        <v>42320.99861</v>
      </c>
      <c r="E2980" s="3">
        <f>IFERROR(__xludf.DUMMYFUNCTION("""COMPUTED_VALUE"""),4.4485)</f>
        <v>4.4485</v>
      </c>
    </row>
    <row r="2981">
      <c r="D2981" s="6">
        <f>IFERROR(__xludf.DUMMYFUNCTION("""COMPUTED_VALUE"""),42321.99861111111)</f>
        <v>42321.99861</v>
      </c>
      <c r="E2981" s="3">
        <f>IFERROR(__xludf.DUMMYFUNCTION("""COMPUTED_VALUE"""),4.4514)</f>
        <v>4.4514</v>
      </c>
    </row>
    <row r="2982">
      <c r="D2982" s="6">
        <f>IFERROR(__xludf.DUMMYFUNCTION("""COMPUTED_VALUE"""),42324.99861111111)</f>
        <v>42324.99861</v>
      </c>
      <c r="E2982" s="3">
        <f>IFERROR(__xludf.DUMMYFUNCTION("""COMPUTED_VALUE"""),4.436)</f>
        <v>4.436</v>
      </c>
    </row>
    <row r="2983">
      <c r="D2983" s="6">
        <f>IFERROR(__xludf.DUMMYFUNCTION("""COMPUTED_VALUE"""),42325.99861111111)</f>
        <v>42325.99861</v>
      </c>
      <c r="E2983" s="3">
        <f>IFERROR(__xludf.DUMMYFUNCTION("""COMPUTED_VALUE"""),4.4376)</f>
        <v>4.4376</v>
      </c>
    </row>
    <row r="2984">
      <c r="D2984" s="6">
        <f>IFERROR(__xludf.DUMMYFUNCTION("""COMPUTED_VALUE"""),42326.99861111111)</f>
        <v>42326.99861</v>
      </c>
      <c r="E2984" s="3">
        <f>IFERROR(__xludf.DUMMYFUNCTION("""COMPUTED_VALUE"""),4.4488)</f>
        <v>4.4488</v>
      </c>
    </row>
    <row r="2985">
      <c r="D2985" s="6">
        <f>IFERROR(__xludf.DUMMYFUNCTION("""COMPUTED_VALUE"""),42327.99861111111)</f>
        <v>42327.99861</v>
      </c>
      <c r="E2985" s="3">
        <f>IFERROR(__xludf.DUMMYFUNCTION("""COMPUTED_VALUE"""),4.4454)</f>
        <v>4.4454</v>
      </c>
    </row>
    <row r="2986">
      <c r="D2986" s="6">
        <f>IFERROR(__xludf.DUMMYFUNCTION("""COMPUTED_VALUE"""),42328.99861111111)</f>
        <v>42328.99861</v>
      </c>
      <c r="E2986" s="3">
        <f>IFERROR(__xludf.DUMMYFUNCTION("""COMPUTED_VALUE"""),4.4498)</f>
        <v>4.4498</v>
      </c>
    </row>
    <row r="2987">
      <c r="D2987" s="6">
        <f>IFERROR(__xludf.DUMMYFUNCTION("""COMPUTED_VALUE"""),42331.99861111111)</f>
        <v>42331.99861</v>
      </c>
      <c r="E2987" s="3">
        <f>IFERROR(__xludf.DUMMYFUNCTION("""COMPUTED_VALUE"""),4.448)</f>
        <v>4.448</v>
      </c>
    </row>
    <row r="2988">
      <c r="D2988" s="6">
        <f>IFERROR(__xludf.DUMMYFUNCTION("""COMPUTED_VALUE"""),42332.99861111111)</f>
        <v>42332.99861</v>
      </c>
      <c r="E2988" s="3">
        <f>IFERROR(__xludf.DUMMYFUNCTION("""COMPUTED_VALUE"""),4.4507)</f>
        <v>4.4507</v>
      </c>
    </row>
    <row r="2989">
      <c r="D2989" s="6">
        <f>IFERROR(__xludf.DUMMYFUNCTION("""COMPUTED_VALUE"""),42333.99861111111)</f>
        <v>42333.99861</v>
      </c>
      <c r="E2989" s="3">
        <f>IFERROR(__xludf.DUMMYFUNCTION("""COMPUTED_VALUE"""),4.45)</f>
        <v>4.45</v>
      </c>
    </row>
    <row r="2990">
      <c r="D2990" s="6">
        <f>IFERROR(__xludf.DUMMYFUNCTION("""COMPUTED_VALUE"""),42334.99861111111)</f>
        <v>42334.99861</v>
      </c>
      <c r="E2990" s="3">
        <f>IFERROR(__xludf.DUMMYFUNCTION("""COMPUTED_VALUE"""),4.4442)</f>
        <v>4.4442</v>
      </c>
    </row>
    <row r="2991">
      <c r="D2991" s="6">
        <f>IFERROR(__xludf.DUMMYFUNCTION("""COMPUTED_VALUE"""),42335.99861111111)</f>
        <v>42335.99861</v>
      </c>
      <c r="E2991" s="3">
        <f>IFERROR(__xludf.DUMMYFUNCTION("""COMPUTED_VALUE"""),4.4513)</f>
        <v>4.4513</v>
      </c>
    </row>
    <row r="2992">
      <c r="D2992" s="6">
        <f>IFERROR(__xludf.DUMMYFUNCTION("""COMPUTED_VALUE"""),42338.99861111111)</f>
        <v>42338.99861</v>
      </c>
      <c r="E2992" s="3">
        <f>IFERROR(__xludf.DUMMYFUNCTION("""COMPUTED_VALUE"""),4.4557)</f>
        <v>4.4557</v>
      </c>
    </row>
    <row r="2993">
      <c r="D2993" s="6">
        <f>IFERROR(__xludf.DUMMYFUNCTION("""COMPUTED_VALUE"""),42339.99861111111)</f>
        <v>42339.99861</v>
      </c>
      <c r="E2993" s="3">
        <f>IFERROR(__xludf.DUMMYFUNCTION("""COMPUTED_VALUE"""),4.4667)</f>
        <v>4.4667</v>
      </c>
    </row>
    <row r="2994">
      <c r="D2994" s="6">
        <f>IFERROR(__xludf.DUMMYFUNCTION("""COMPUTED_VALUE"""),42340.99861111111)</f>
        <v>42340.99861</v>
      </c>
      <c r="E2994" s="3">
        <f>IFERROR(__xludf.DUMMYFUNCTION("""COMPUTED_VALUE"""),4.4644)</f>
        <v>4.4644</v>
      </c>
    </row>
    <row r="2995">
      <c r="D2995" s="6">
        <f>IFERROR(__xludf.DUMMYFUNCTION("""COMPUTED_VALUE"""),42341.99861111111)</f>
        <v>42341.99861</v>
      </c>
      <c r="E2995" s="3">
        <f>IFERROR(__xludf.DUMMYFUNCTION("""COMPUTED_VALUE"""),4.4906)</f>
        <v>4.4906</v>
      </c>
    </row>
    <row r="2996">
      <c r="D2996" s="6">
        <f>IFERROR(__xludf.DUMMYFUNCTION("""COMPUTED_VALUE"""),42342.99861111111)</f>
        <v>42342.99861</v>
      </c>
      <c r="E2996" s="3">
        <f>IFERROR(__xludf.DUMMYFUNCTION("""COMPUTED_VALUE"""),4.4832)</f>
        <v>4.4832</v>
      </c>
    </row>
    <row r="2997">
      <c r="D2997" s="6">
        <f>IFERROR(__xludf.DUMMYFUNCTION("""COMPUTED_VALUE"""),42345.99861111111)</f>
        <v>42345.99861</v>
      </c>
      <c r="E2997" s="3">
        <f>IFERROR(__xludf.DUMMYFUNCTION("""COMPUTED_VALUE"""),4.479)</f>
        <v>4.479</v>
      </c>
    </row>
    <row r="2998">
      <c r="D2998" s="6">
        <f>IFERROR(__xludf.DUMMYFUNCTION("""COMPUTED_VALUE"""),42346.99861111111)</f>
        <v>42346.99861</v>
      </c>
      <c r="E2998" s="3">
        <f>IFERROR(__xludf.DUMMYFUNCTION("""COMPUTED_VALUE"""),4.4867)</f>
        <v>4.4867</v>
      </c>
    </row>
    <row r="2999">
      <c r="D2999" s="6">
        <f>IFERROR(__xludf.DUMMYFUNCTION("""COMPUTED_VALUE"""),42347.99861111111)</f>
        <v>42347.99861</v>
      </c>
      <c r="E2999" s="3">
        <f>IFERROR(__xludf.DUMMYFUNCTION("""COMPUTED_VALUE"""),4.4979)</f>
        <v>4.4979</v>
      </c>
    </row>
    <row r="3000">
      <c r="D3000" s="6">
        <f>IFERROR(__xludf.DUMMYFUNCTION("""COMPUTED_VALUE"""),42348.99861111111)</f>
        <v>42348.99861</v>
      </c>
      <c r="E3000" s="3">
        <f>IFERROR(__xludf.DUMMYFUNCTION("""COMPUTED_VALUE"""),4.5185)</f>
        <v>4.5185</v>
      </c>
    </row>
    <row r="3001">
      <c r="D3001" s="6">
        <f>IFERROR(__xludf.DUMMYFUNCTION("""COMPUTED_VALUE"""),42349.99861111111)</f>
        <v>42349.99861</v>
      </c>
      <c r="E3001" s="3">
        <f>IFERROR(__xludf.DUMMYFUNCTION("""COMPUTED_VALUE"""),4.5297)</f>
        <v>4.5297</v>
      </c>
    </row>
    <row r="3002">
      <c r="D3002" s="6">
        <f>IFERROR(__xludf.DUMMYFUNCTION("""COMPUTED_VALUE"""),42352.99861111111)</f>
        <v>42352.99861</v>
      </c>
      <c r="E3002" s="3">
        <f>IFERROR(__xludf.DUMMYFUNCTION("""COMPUTED_VALUE"""),4.5029)</f>
        <v>4.5029</v>
      </c>
    </row>
    <row r="3003">
      <c r="D3003" s="6">
        <f>IFERROR(__xludf.DUMMYFUNCTION("""COMPUTED_VALUE"""),42353.99861111111)</f>
        <v>42353.99861</v>
      </c>
      <c r="E3003" s="3">
        <f>IFERROR(__xludf.DUMMYFUNCTION("""COMPUTED_VALUE"""),4.5176)</f>
        <v>4.5176</v>
      </c>
    </row>
    <row r="3004">
      <c r="D3004" s="6">
        <f>IFERROR(__xludf.DUMMYFUNCTION("""COMPUTED_VALUE"""),42354.99861111111)</f>
        <v>42354.99861</v>
      </c>
      <c r="E3004" s="3">
        <f>IFERROR(__xludf.DUMMYFUNCTION("""COMPUTED_VALUE"""),4.5173)</f>
        <v>4.5173</v>
      </c>
    </row>
    <row r="3005">
      <c r="D3005" s="6">
        <f>IFERROR(__xludf.DUMMYFUNCTION("""COMPUTED_VALUE"""),42355.99861111111)</f>
        <v>42355.99861</v>
      </c>
      <c r="E3005" s="3">
        <f>IFERROR(__xludf.DUMMYFUNCTION("""COMPUTED_VALUE"""),4.5143)</f>
        <v>4.5143</v>
      </c>
    </row>
    <row r="3006">
      <c r="D3006" s="6">
        <f>IFERROR(__xludf.DUMMYFUNCTION("""COMPUTED_VALUE"""),42356.99861111111)</f>
        <v>42356.99861</v>
      </c>
      <c r="E3006" s="3">
        <f>IFERROR(__xludf.DUMMYFUNCTION("""COMPUTED_VALUE"""),4.5165)</f>
        <v>4.5165</v>
      </c>
    </row>
    <row r="3007">
      <c r="D3007" s="6">
        <f>IFERROR(__xludf.DUMMYFUNCTION("""COMPUTED_VALUE"""),42359.99861111111)</f>
        <v>42359.99861</v>
      </c>
      <c r="E3007" s="3">
        <f>IFERROR(__xludf.DUMMYFUNCTION("""COMPUTED_VALUE"""),4.509)</f>
        <v>4.509</v>
      </c>
    </row>
    <row r="3008">
      <c r="D3008" s="6">
        <f>IFERROR(__xludf.DUMMYFUNCTION("""COMPUTED_VALUE"""),42360.99861111111)</f>
        <v>42360.99861</v>
      </c>
      <c r="E3008" s="3">
        <f>IFERROR(__xludf.DUMMYFUNCTION("""COMPUTED_VALUE"""),4.5209)</f>
        <v>4.5209</v>
      </c>
    </row>
    <row r="3009">
      <c r="D3009" s="6">
        <f>IFERROR(__xludf.DUMMYFUNCTION("""COMPUTED_VALUE"""),42361.99861111111)</f>
        <v>42361.99861</v>
      </c>
      <c r="E3009" s="3">
        <f>IFERROR(__xludf.DUMMYFUNCTION("""COMPUTED_VALUE"""),4.5263)</f>
        <v>4.5263</v>
      </c>
    </row>
    <row r="3010">
      <c r="D3010" s="6">
        <f>IFERROR(__xludf.DUMMYFUNCTION("""COMPUTED_VALUE"""),42362.99861111111)</f>
        <v>42362.99861</v>
      </c>
      <c r="E3010" s="3">
        <f>IFERROR(__xludf.DUMMYFUNCTION("""COMPUTED_VALUE"""),4.5312)</f>
        <v>4.5312</v>
      </c>
    </row>
    <row r="3011">
      <c r="D3011" s="6">
        <f>IFERROR(__xludf.DUMMYFUNCTION("""COMPUTED_VALUE"""),42363.99861111111)</f>
        <v>42363.99861</v>
      </c>
      <c r="E3011" s="3">
        <f>IFERROR(__xludf.DUMMYFUNCTION("""COMPUTED_VALUE"""),4.5253)</f>
        <v>4.5253</v>
      </c>
    </row>
    <row r="3012">
      <c r="D3012" s="6">
        <f>IFERROR(__xludf.DUMMYFUNCTION("""COMPUTED_VALUE"""),42366.99861111111)</f>
        <v>42366.99861</v>
      </c>
      <c r="E3012" s="3">
        <f>IFERROR(__xludf.DUMMYFUNCTION("""COMPUTED_VALUE"""),4.5245)</f>
        <v>4.5245</v>
      </c>
    </row>
    <row r="3013">
      <c r="D3013" s="6">
        <f>IFERROR(__xludf.DUMMYFUNCTION("""COMPUTED_VALUE"""),42367.99861111111)</f>
        <v>42367.99861</v>
      </c>
      <c r="E3013" s="3">
        <f>IFERROR(__xludf.DUMMYFUNCTION("""COMPUTED_VALUE"""),4.5424)</f>
        <v>4.5424</v>
      </c>
    </row>
    <row r="3014">
      <c r="D3014" s="6">
        <f>IFERROR(__xludf.DUMMYFUNCTION("""COMPUTED_VALUE"""),42368.99861111111)</f>
        <v>42368.99861</v>
      </c>
      <c r="E3014" s="3">
        <f>IFERROR(__xludf.DUMMYFUNCTION("""COMPUTED_VALUE"""),4.5412)</f>
        <v>4.5412</v>
      </c>
    </row>
    <row r="3015">
      <c r="D3015" s="6">
        <f>IFERROR(__xludf.DUMMYFUNCTION("""COMPUTED_VALUE"""),42369.99861111111)</f>
        <v>42369.99861</v>
      </c>
      <c r="E3015" s="3">
        <f>IFERROR(__xludf.DUMMYFUNCTION("""COMPUTED_VALUE"""),4.5302)</f>
        <v>4.5302</v>
      </c>
    </row>
    <row r="3016">
      <c r="D3016" s="6">
        <f>IFERROR(__xludf.DUMMYFUNCTION("""COMPUTED_VALUE"""),42370.99861111111)</f>
        <v>42370.99861</v>
      </c>
      <c r="E3016" s="3">
        <f>IFERROR(__xludf.DUMMYFUNCTION("""COMPUTED_VALUE"""),4.5229)</f>
        <v>4.5229</v>
      </c>
    </row>
    <row r="3017">
      <c r="D3017" s="6">
        <f>IFERROR(__xludf.DUMMYFUNCTION("""COMPUTED_VALUE"""),42373.99861111111)</f>
        <v>42373.99861</v>
      </c>
      <c r="E3017" s="3">
        <f>IFERROR(__xludf.DUMMYFUNCTION("""COMPUTED_VALUE"""),4.5223)</f>
        <v>4.5223</v>
      </c>
    </row>
    <row r="3018">
      <c r="D3018" s="6">
        <f>IFERROR(__xludf.DUMMYFUNCTION("""COMPUTED_VALUE"""),42374.99861111111)</f>
        <v>42374.99861</v>
      </c>
      <c r="E3018" s="3">
        <f>IFERROR(__xludf.DUMMYFUNCTION("""COMPUTED_VALUE"""),4.529)</f>
        <v>4.529</v>
      </c>
    </row>
    <row r="3019">
      <c r="D3019" s="6">
        <f>IFERROR(__xludf.DUMMYFUNCTION("""COMPUTED_VALUE"""),42375.99861111111)</f>
        <v>42375.99861</v>
      </c>
      <c r="E3019" s="3">
        <f>IFERROR(__xludf.DUMMYFUNCTION("""COMPUTED_VALUE"""),4.5258)</f>
        <v>4.5258</v>
      </c>
    </row>
    <row r="3020">
      <c r="D3020" s="6">
        <f>IFERROR(__xludf.DUMMYFUNCTION("""COMPUTED_VALUE"""),42376.99861111111)</f>
        <v>42376.99861</v>
      </c>
      <c r="E3020" s="3">
        <f>IFERROR(__xludf.DUMMYFUNCTION("""COMPUTED_VALUE"""),4.5319)</f>
        <v>4.5319</v>
      </c>
    </row>
    <row r="3021">
      <c r="D3021" s="6">
        <f>IFERROR(__xludf.DUMMYFUNCTION("""COMPUTED_VALUE"""),42377.99861111111)</f>
        <v>42377.99861</v>
      </c>
      <c r="E3021" s="3">
        <f>IFERROR(__xludf.DUMMYFUNCTION("""COMPUTED_VALUE"""),4.5311)</f>
        <v>4.5311</v>
      </c>
    </row>
    <row r="3022">
      <c r="D3022" s="6">
        <f>IFERROR(__xludf.DUMMYFUNCTION("""COMPUTED_VALUE"""),42380.99861111111)</f>
        <v>42380.99861</v>
      </c>
      <c r="E3022" s="3">
        <f>IFERROR(__xludf.DUMMYFUNCTION("""COMPUTED_VALUE"""),4.531)</f>
        <v>4.531</v>
      </c>
    </row>
    <row r="3023">
      <c r="D3023" s="6">
        <f>IFERROR(__xludf.DUMMYFUNCTION("""COMPUTED_VALUE"""),42381.99861111111)</f>
        <v>42381.99861</v>
      </c>
      <c r="E3023" s="3">
        <f>IFERROR(__xludf.DUMMYFUNCTION("""COMPUTED_VALUE"""),4.5343)</f>
        <v>4.5343</v>
      </c>
    </row>
    <row r="3024">
      <c r="D3024" s="6">
        <f>IFERROR(__xludf.DUMMYFUNCTION("""COMPUTED_VALUE"""),42382.99861111111)</f>
        <v>42382.99861</v>
      </c>
      <c r="E3024" s="3">
        <f>IFERROR(__xludf.DUMMYFUNCTION("""COMPUTED_VALUE"""),4.5344)</f>
        <v>4.5344</v>
      </c>
    </row>
    <row r="3025">
      <c r="D3025" s="6">
        <f>IFERROR(__xludf.DUMMYFUNCTION("""COMPUTED_VALUE"""),42383.99861111111)</f>
        <v>42383.99861</v>
      </c>
      <c r="E3025" s="3">
        <f>IFERROR(__xludf.DUMMYFUNCTION("""COMPUTED_VALUE"""),4.5404)</f>
        <v>4.5404</v>
      </c>
    </row>
    <row r="3026">
      <c r="D3026" s="6">
        <f>IFERROR(__xludf.DUMMYFUNCTION("""COMPUTED_VALUE"""),42384.99861111111)</f>
        <v>42384.99861</v>
      </c>
      <c r="E3026" s="3">
        <f>IFERROR(__xludf.DUMMYFUNCTION("""COMPUTED_VALUE"""),4.5413)</f>
        <v>4.5413</v>
      </c>
    </row>
    <row r="3027">
      <c r="D3027" s="6">
        <f>IFERROR(__xludf.DUMMYFUNCTION("""COMPUTED_VALUE"""),42387.99861111111)</f>
        <v>42387.99861</v>
      </c>
      <c r="E3027" s="3">
        <f>IFERROR(__xludf.DUMMYFUNCTION("""COMPUTED_VALUE"""),4.5323)</f>
        <v>4.5323</v>
      </c>
    </row>
    <row r="3028">
      <c r="D3028" s="6">
        <f>IFERROR(__xludf.DUMMYFUNCTION("""COMPUTED_VALUE"""),42388.99861111111)</f>
        <v>42388.99861</v>
      </c>
      <c r="E3028" s="3">
        <f>IFERROR(__xludf.DUMMYFUNCTION("""COMPUTED_VALUE"""),4.5355)</f>
        <v>4.5355</v>
      </c>
    </row>
    <row r="3029">
      <c r="D3029" s="6">
        <f>IFERROR(__xludf.DUMMYFUNCTION("""COMPUTED_VALUE"""),42389.99861111111)</f>
        <v>42389.99861</v>
      </c>
      <c r="E3029" s="3">
        <f>IFERROR(__xludf.DUMMYFUNCTION("""COMPUTED_VALUE"""),4.5366)</f>
        <v>4.5366</v>
      </c>
    </row>
    <row r="3030">
      <c r="D3030" s="6">
        <f>IFERROR(__xludf.DUMMYFUNCTION("""COMPUTED_VALUE"""),42390.99861111111)</f>
        <v>42390.99861</v>
      </c>
      <c r="E3030" s="3">
        <f>IFERROR(__xludf.DUMMYFUNCTION("""COMPUTED_VALUE"""),4.5377)</f>
        <v>4.5377</v>
      </c>
    </row>
    <row r="3031">
      <c r="D3031" s="6">
        <f>IFERROR(__xludf.DUMMYFUNCTION("""COMPUTED_VALUE"""),42391.99861111111)</f>
        <v>42391.99861</v>
      </c>
      <c r="E3031" s="3">
        <f>IFERROR(__xludf.DUMMYFUNCTION("""COMPUTED_VALUE"""),4.5327)</f>
        <v>4.5327</v>
      </c>
    </row>
    <row r="3032">
      <c r="D3032" s="6">
        <f>IFERROR(__xludf.DUMMYFUNCTION("""COMPUTED_VALUE"""),42394.99861111111)</f>
        <v>42394.99861</v>
      </c>
      <c r="E3032" s="3">
        <f>IFERROR(__xludf.DUMMYFUNCTION("""COMPUTED_VALUE"""),4.5279)</f>
        <v>4.5279</v>
      </c>
    </row>
    <row r="3033">
      <c r="D3033" s="6">
        <f>IFERROR(__xludf.DUMMYFUNCTION("""COMPUTED_VALUE"""),42395.99861111111)</f>
        <v>42395.99861</v>
      </c>
      <c r="E3033" s="3">
        <f>IFERROR(__xludf.DUMMYFUNCTION("""COMPUTED_VALUE"""),4.5343)</f>
        <v>4.5343</v>
      </c>
    </row>
    <row r="3034">
      <c r="D3034" s="6">
        <f>IFERROR(__xludf.DUMMYFUNCTION("""COMPUTED_VALUE"""),42396.99861111111)</f>
        <v>42396.99861</v>
      </c>
      <c r="E3034" s="3">
        <f>IFERROR(__xludf.DUMMYFUNCTION("""COMPUTED_VALUE"""),4.5421)</f>
        <v>4.5421</v>
      </c>
    </row>
    <row r="3035">
      <c r="D3035" s="6">
        <f>IFERROR(__xludf.DUMMYFUNCTION("""COMPUTED_VALUE"""),42397.99861111111)</f>
        <v>42397.99861</v>
      </c>
      <c r="E3035" s="3">
        <f>IFERROR(__xludf.DUMMYFUNCTION("""COMPUTED_VALUE"""),4.5432)</f>
        <v>4.5432</v>
      </c>
    </row>
    <row r="3036">
      <c r="D3036" s="6">
        <f>IFERROR(__xludf.DUMMYFUNCTION("""COMPUTED_VALUE"""),42398.99861111111)</f>
        <v>42398.99861</v>
      </c>
      <c r="E3036" s="3">
        <f>IFERROR(__xludf.DUMMYFUNCTION("""COMPUTED_VALUE"""),4.5457)</f>
        <v>4.5457</v>
      </c>
    </row>
    <row r="3037">
      <c r="D3037" s="6">
        <f>IFERROR(__xludf.DUMMYFUNCTION("""COMPUTED_VALUE"""),42696.99861111111)</f>
        <v>42696.99861</v>
      </c>
      <c r="E3037" s="3">
        <f>IFERROR(__xludf.DUMMYFUNCTION("""COMPUTED_VALUE"""),4.5084)</f>
        <v>4.5084</v>
      </c>
    </row>
    <row r="3038">
      <c r="D3038" s="6">
        <f>IFERROR(__xludf.DUMMYFUNCTION("""COMPUTED_VALUE"""),42699.99861111111)</f>
        <v>42699.99861</v>
      </c>
      <c r="E3038" s="3">
        <f>IFERROR(__xludf.DUMMYFUNCTION("""COMPUTED_VALUE"""),4.5184)</f>
        <v>4.5184</v>
      </c>
    </row>
    <row r="3039">
      <c r="D3039" s="6">
        <f>IFERROR(__xludf.DUMMYFUNCTION("""COMPUTED_VALUE"""),42702.99861111111)</f>
        <v>42702.99861</v>
      </c>
      <c r="E3039" s="3">
        <f>IFERROR(__xludf.DUMMYFUNCTION("""COMPUTED_VALUE"""),4.5123)</f>
        <v>4.5123</v>
      </c>
    </row>
    <row r="3040">
      <c r="D3040" s="6">
        <f>IFERROR(__xludf.DUMMYFUNCTION("""COMPUTED_VALUE"""),42703.99861111111)</f>
        <v>42703.99861</v>
      </c>
      <c r="E3040" s="3">
        <f>IFERROR(__xludf.DUMMYFUNCTION("""COMPUTED_VALUE"""),4.5212)</f>
        <v>4.5212</v>
      </c>
    </row>
    <row r="3041">
      <c r="D3041" s="6">
        <f>IFERROR(__xludf.DUMMYFUNCTION("""COMPUTED_VALUE"""),42704.99861111111)</f>
        <v>42704.99861</v>
      </c>
      <c r="E3041" s="3">
        <f>IFERROR(__xludf.DUMMYFUNCTION("""COMPUTED_VALUE"""),4.5211)</f>
        <v>4.5211</v>
      </c>
    </row>
    <row r="3042">
      <c r="D3042" s="6">
        <f>IFERROR(__xludf.DUMMYFUNCTION("""COMPUTED_VALUE"""),42706.99861111111)</f>
        <v>42706.99861</v>
      </c>
      <c r="E3042" s="3">
        <f>IFERROR(__xludf.DUMMYFUNCTION("""COMPUTED_VALUE"""),4.5208)</f>
        <v>4.5208</v>
      </c>
    </row>
    <row r="3043">
      <c r="D3043" s="6">
        <f>IFERROR(__xludf.DUMMYFUNCTION("""COMPUTED_VALUE"""),42709.99861111111)</f>
        <v>42709.99861</v>
      </c>
      <c r="E3043" s="3">
        <f>IFERROR(__xludf.DUMMYFUNCTION("""COMPUTED_VALUE"""),4.5)</f>
        <v>4.5</v>
      </c>
    </row>
    <row r="3044">
      <c r="D3044" s="6">
        <f>IFERROR(__xludf.DUMMYFUNCTION("""COMPUTED_VALUE"""),42710.99861111111)</f>
        <v>42710.99861</v>
      </c>
      <c r="E3044" s="3">
        <f>IFERROR(__xludf.DUMMYFUNCTION("""COMPUTED_VALUE"""),4.5028)</f>
        <v>4.5028</v>
      </c>
    </row>
    <row r="3045">
      <c r="D3045" s="6">
        <f>IFERROR(__xludf.DUMMYFUNCTION("""COMPUTED_VALUE"""),42712.99861111111)</f>
        <v>42712.99861</v>
      </c>
      <c r="E3045" s="3">
        <f>IFERROR(__xludf.DUMMYFUNCTION("""COMPUTED_VALUE"""),4.5137)</f>
        <v>4.5137</v>
      </c>
    </row>
    <row r="3046">
      <c r="D3046" s="6">
        <f>IFERROR(__xludf.DUMMYFUNCTION("""COMPUTED_VALUE"""),42713.99861111111)</f>
        <v>42713.99861</v>
      </c>
      <c r="E3046" s="3">
        <f>IFERROR(__xludf.DUMMYFUNCTION("""COMPUTED_VALUE"""),4.5022)</f>
        <v>4.5022</v>
      </c>
    </row>
    <row r="3047">
      <c r="D3047" s="6">
        <f>IFERROR(__xludf.DUMMYFUNCTION("""COMPUTED_VALUE"""),42715.99861111111)</f>
        <v>42715.99861</v>
      </c>
      <c r="E3047" s="3">
        <f>IFERROR(__xludf.DUMMYFUNCTION("""COMPUTED_VALUE"""),4.5022)</f>
        <v>4.5022</v>
      </c>
    </row>
    <row r="3048">
      <c r="D3048" s="6">
        <f>IFERROR(__xludf.DUMMYFUNCTION("""COMPUTED_VALUE"""),42716.99861111111)</f>
        <v>42716.99861</v>
      </c>
      <c r="E3048" s="3">
        <f>IFERROR(__xludf.DUMMYFUNCTION("""COMPUTED_VALUE"""),4.502)</f>
        <v>4.502</v>
      </c>
    </row>
    <row r="3049">
      <c r="D3049" s="6">
        <f>IFERROR(__xludf.DUMMYFUNCTION("""COMPUTED_VALUE"""),42717.99861111111)</f>
        <v>42717.99861</v>
      </c>
      <c r="E3049" s="3">
        <f>IFERROR(__xludf.DUMMYFUNCTION("""COMPUTED_VALUE"""),4.51)</f>
        <v>4.51</v>
      </c>
    </row>
    <row r="3050">
      <c r="D3050" s="6">
        <f>IFERROR(__xludf.DUMMYFUNCTION("""COMPUTED_VALUE"""),42719.99861111111)</f>
        <v>42719.99861</v>
      </c>
      <c r="E3050" s="3">
        <f>IFERROR(__xludf.DUMMYFUNCTION("""COMPUTED_VALUE"""),4.5247)</f>
        <v>4.5247</v>
      </c>
    </row>
    <row r="3051">
      <c r="D3051" s="6">
        <f>IFERROR(__xludf.DUMMYFUNCTION("""COMPUTED_VALUE"""),42720.99861111111)</f>
        <v>42720.99861</v>
      </c>
      <c r="E3051" s="3">
        <f>IFERROR(__xludf.DUMMYFUNCTION("""COMPUTED_VALUE"""),4.5219)</f>
        <v>4.5219</v>
      </c>
    </row>
    <row r="3052">
      <c r="D3052" s="6">
        <f>IFERROR(__xludf.DUMMYFUNCTION("""COMPUTED_VALUE"""),42723.99861111111)</f>
        <v>42723.99861</v>
      </c>
      <c r="E3052" s="3">
        <f>IFERROR(__xludf.DUMMYFUNCTION("""COMPUTED_VALUE"""),4.5137)</f>
        <v>4.5137</v>
      </c>
    </row>
    <row r="3053">
      <c r="D3053" s="6">
        <f>IFERROR(__xludf.DUMMYFUNCTION("""COMPUTED_VALUE"""),42724.99861111111)</f>
        <v>42724.99861</v>
      </c>
      <c r="E3053" s="3">
        <f>IFERROR(__xludf.DUMMYFUNCTION("""COMPUTED_VALUE"""),4.5234)</f>
        <v>4.5234</v>
      </c>
    </row>
    <row r="3054">
      <c r="D3054" s="6">
        <f>IFERROR(__xludf.DUMMYFUNCTION("""COMPUTED_VALUE"""),42725.99861111111)</f>
        <v>42725.99861</v>
      </c>
      <c r="E3054" s="3">
        <f>IFERROR(__xludf.DUMMYFUNCTION("""COMPUTED_VALUE"""),4.5211)</f>
        <v>4.5211</v>
      </c>
    </row>
    <row r="3055">
      <c r="D3055" s="6">
        <f>IFERROR(__xludf.DUMMYFUNCTION("""COMPUTED_VALUE"""),42726.99861111111)</f>
        <v>42726.99861</v>
      </c>
      <c r="E3055" s="3">
        <f>IFERROR(__xludf.DUMMYFUNCTION("""COMPUTED_VALUE"""),4.5302)</f>
        <v>4.5302</v>
      </c>
    </row>
    <row r="3056">
      <c r="D3056" s="6">
        <f>IFERROR(__xludf.DUMMYFUNCTION("""COMPUTED_VALUE"""),42727.99861111111)</f>
        <v>42727.99861</v>
      </c>
      <c r="E3056" s="3">
        <f>IFERROR(__xludf.DUMMYFUNCTION("""COMPUTED_VALUE"""),4.5392)</f>
        <v>4.5392</v>
      </c>
    </row>
    <row r="3057">
      <c r="D3057" s="6">
        <f>IFERROR(__xludf.DUMMYFUNCTION("""COMPUTED_VALUE"""),42730.99861111111)</f>
        <v>42730.99861</v>
      </c>
      <c r="E3057" s="3">
        <f>IFERROR(__xludf.DUMMYFUNCTION("""COMPUTED_VALUE"""),4.5371)</f>
        <v>4.5371</v>
      </c>
    </row>
    <row r="3058">
      <c r="D3058" s="6">
        <f>IFERROR(__xludf.DUMMYFUNCTION("""COMPUTED_VALUE"""),42731.99861111111)</f>
        <v>42731.99861</v>
      </c>
      <c r="E3058" s="3">
        <f>IFERROR(__xludf.DUMMYFUNCTION("""COMPUTED_VALUE"""),4.5325)</f>
        <v>4.5325</v>
      </c>
    </row>
    <row r="3059">
      <c r="D3059" s="6">
        <f>IFERROR(__xludf.DUMMYFUNCTION("""COMPUTED_VALUE"""),42732.99861111111)</f>
        <v>42732.99861</v>
      </c>
      <c r="E3059" s="3">
        <f>IFERROR(__xludf.DUMMYFUNCTION("""COMPUTED_VALUE"""),4.5415)</f>
        <v>4.5415</v>
      </c>
    </row>
    <row r="3060">
      <c r="D3060" s="6">
        <f>IFERROR(__xludf.DUMMYFUNCTION("""COMPUTED_VALUE"""),42733.99861111111)</f>
        <v>42733.99861</v>
      </c>
      <c r="E3060" s="3">
        <f>IFERROR(__xludf.DUMMYFUNCTION("""COMPUTED_VALUE"""),4.5602)</f>
        <v>4.5602</v>
      </c>
    </row>
    <row r="3061">
      <c r="D3061" s="6">
        <f>IFERROR(__xludf.DUMMYFUNCTION("""COMPUTED_VALUE"""),42734.99861111111)</f>
        <v>42734.99861</v>
      </c>
      <c r="E3061" s="3">
        <f>IFERROR(__xludf.DUMMYFUNCTION("""COMPUTED_VALUE"""),4.5418)</f>
        <v>4.5418</v>
      </c>
    </row>
    <row r="3062">
      <c r="D3062" s="6">
        <f>IFERROR(__xludf.DUMMYFUNCTION("""COMPUTED_VALUE"""),42737.99861111111)</f>
        <v>42737.99861</v>
      </c>
      <c r="E3062" s="3">
        <f>IFERROR(__xludf.DUMMYFUNCTION("""COMPUTED_VALUE"""),4.5316)</f>
        <v>4.5316</v>
      </c>
    </row>
    <row r="3063">
      <c r="D3063" s="6">
        <f>IFERROR(__xludf.DUMMYFUNCTION("""COMPUTED_VALUE"""),42738.99861111111)</f>
        <v>42738.99861</v>
      </c>
      <c r="E3063" s="3">
        <f>IFERROR(__xludf.DUMMYFUNCTION("""COMPUTED_VALUE"""),4.5373)</f>
        <v>4.5373</v>
      </c>
    </row>
    <row r="3064">
      <c r="D3064" s="6">
        <f>IFERROR(__xludf.DUMMYFUNCTION("""COMPUTED_VALUE"""),42739.99861111111)</f>
        <v>42739.99861</v>
      </c>
      <c r="E3064" s="3">
        <f>IFERROR(__xludf.DUMMYFUNCTION("""COMPUTED_VALUE"""),4.509)</f>
        <v>4.509</v>
      </c>
    </row>
    <row r="3065">
      <c r="D3065" s="6">
        <f>IFERROR(__xludf.DUMMYFUNCTION("""COMPUTED_VALUE"""),42740.99861111111)</f>
        <v>42740.99861</v>
      </c>
      <c r="E3065" s="3">
        <f>IFERROR(__xludf.DUMMYFUNCTION("""COMPUTED_VALUE"""),4.5192)</f>
        <v>4.5192</v>
      </c>
    </row>
    <row r="3066">
      <c r="D3066" s="6">
        <f>IFERROR(__xludf.DUMMYFUNCTION("""COMPUTED_VALUE"""),42741.99861111111)</f>
        <v>42741.99861</v>
      </c>
      <c r="E3066" s="3">
        <f>IFERROR(__xludf.DUMMYFUNCTION("""COMPUTED_VALUE"""),4.512)</f>
        <v>4.512</v>
      </c>
    </row>
    <row r="3067">
      <c r="D3067" s="6">
        <f>IFERROR(__xludf.DUMMYFUNCTION("""COMPUTED_VALUE"""),42745.99861111111)</f>
        <v>42745.99861</v>
      </c>
      <c r="E3067" s="3">
        <f>IFERROR(__xludf.DUMMYFUNCTION("""COMPUTED_VALUE"""),4.4933)</f>
        <v>4.4933</v>
      </c>
    </row>
    <row r="3068">
      <c r="D3068" s="6">
        <f>IFERROR(__xludf.DUMMYFUNCTION("""COMPUTED_VALUE"""),42746.99861111111)</f>
        <v>42746.99861</v>
      </c>
      <c r="E3068" s="3">
        <f>IFERROR(__xludf.DUMMYFUNCTION("""COMPUTED_VALUE"""),4.5)</f>
        <v>4.5</v>
      </c>
    </row>
    <row r="3069">
      <c r="D3069" s="6">
        <f>IFERROR(__xludf.DUMMYFUNCTION("""COMPUTED_VALUE"""),42747.99861111111)</f>
        <v>42747.99861</v>
      </c>
      <c r="E3069" s="3">
        <f>IFERROR(__xludf.DUMMYFUNCTION("""COMPUTED_VALUE"""),4.4962)</f>
        <v>4.4962</v>
      </c>
    </row>
    <row r="3070">
      <c r="D3070" s="6">
        <f>IFERROR(__xludf.DUMMYFUNCTION("""COMPUTED_VALUE"""),42748.99861111111)</f>
        <v>42748.99861</v>
      </c>
      <c r="E3070" s="3">
        <f>IFERROR(__xludf.DUMMYFUNCTION("""COMPUTED_VALUE"""),4.4969)</f>
        <v>4.4969</v>
      </c>
    </row>
    <row r="3071">
      <c r="D3071" s="6">
        <f>IFERROR(__xludf.DUMMYFUNCTION("""COMPUTED_VALUE"""),42751.99861111111)</f>
        <v>42751.99861</v>
      </c>
      <c r="E3071" s="3">
        <f>IFERROR(__xludf.DUMMYFUNCTION("""COMPUTED_VALUE"""),4.4986)</f>
        <v>4.4986</v>
      </c>
    </row>
    <row r="3072">
      <c r="D3072" s="6">
        <f>IFERROR(__xludf.DUMMYFUNCTION("""COMPUTED_VALUE"""),42752.99861111111)</f>
        <v>42752.99861</v>
      </c>
      <c r="E3072" s="3">
        <f>IFERROR(__xludf.DUMMYFUNCTION("""COMPUTED_VALUE"""),4.5052)</f>
        <v>4.5052</v>
      </c>
    </row>
    <row r="3073">
      <c r="D3073" s="6">
        <f>IFERROR(__xludf.DUMMYFUNCTION("""COMPUTED_VALUE"""),42753.99861111111)</f>
        <v>42753.99861</v>
      </c>
      <c r="E3073" s="3">
        <f>IFERROR(__xludf.DUMMYFUNCTION("""COMPUTED_VALUE"""),4.5024)</f>
        <v>4.5024</v>
      </c>
    </row>
    <row r="3074">
      <c r="D3074" s="6">
        <f>IFERROR(__xludf.DUMMYFUNCTION("""COMPUTED_VALUE"""),42754.99861111111)</f>
        <v>42754.99861</v>
      </c>
      <c r="E3074" s="3">
        <f>IFERROR(__xludf.DUMMYFUNCTION("""COMPUTED_VALUE"""),4.4995)</f>
        <v>4.4995</v>
      </c>
    </row>
    <row r="3075">
      <c r="D3075" s="6">
        <f>IFERROR(__xludf.DUMMYFUNCTION("""COMPUTED_VALUE"""),42755.99861111111)</f>
        <v>42755.99861</v>
      </c>
      <c r="E3075" s="3">
        <f>IFERROR(__xludf.DUMMYFUNCTION("""COMPUTED_VALUE"""),4.499)</f>
        <v>4.499</v>
      </c>
    </row>
    <row r="3076">
      <c r="D3076" s="6">
        <f>IFERROR(__xludf.DUMMYFUNCTION("""COMPUTED_VALUE"""),42757.99861111111)</f>
        <v>42757.99861</v>
      </c>
      <c r="E3076" s="3">
        <f>IFERROR(__xludf.DUMMYFUNCTION("""COMPUTED_VALUE"""),4.4961)</f>
        <v>4.4961</v>
      </c>
    </row>
    <row r="3077">
      <c r="D3077" s="6">
        <f>IFERROR(__xludf.DUMMYFUNCTION("""COMPUTED_VALUE"""),42758.99861111111)</f>
        <v>42758.99861</v>
      </c>
      <c r="E3077" s="3">
        <f>IFERROR(__xludf.DUMMYFUNCTION("""COMPUTED_VALUE"""),4.5003)</f>
        <v>4.5003</v>
      </c>
    </row>
    <row r="3078">
      <c r="D3078" s="6">
        <f>IFERROR(__xludf.DUMMYFUNCTION("""COMPUTED_VALUE"""),42759.99861111111)</f>
        <v>42759.99861</v>
      </c>
      <c r="E3078" s="3">
        <f>IFERROR(__xludf.DUMMYFUNCTION("""COMPUTED_VALUE"""),4.5029)</f>
        <v>4.5029</v>
      </c>
    </row>
    <row r="3079">
      <c r="D3079" s="6">
        <f>IFERROR(__xludf.DUMMYFUNCTION("""COMPUTED_VALUE"""),42760.99861111111)</f>
        <v>42760.99861</v>
      </c>
      <c r="E3079" s="3">
        <f>IFERROR(__xludf.DUMMYFUNCTION("""COMPUTED_VALUE"""),4.502)</f>
        <v>4.502</v>
      </c>
    </row>
    <row r="3080">
      <c r="D3080" s="6">
        <f>IFERROR(__xludf.DUMMYFUNCTION("""COMPUTED_VALUE"""),42761.99861111111)</f>
        <v>42761.99861</v>
      </c>
      <c r="E3080" s="3">
        <f>IFERROR(__xludf.DUMMYFUNCTION("""COMPUTED_VALUE"""),4.5009)</f>
        <v>4.5009</v>
      </c>
    </row>
    <row r="3081">
      <c r="D3081" s="6">
        <f>IFERROR(__xludf.DUMMYFUNCTION("""COMPUTED_VALUE"""),42762.99861111111)</f>
        <v>42762.99861</v>
      </c>
      <c r="E3081" s="3">
        <f>IFERROR(__xludf.DUMMYFUNCTION("""COMPUTED_VALUE"""),4.5171)</f>
        <v>4.5171</v>
      </c>
    </row>
    <row r="3082">
      <c r="D3082" s="6">
        <f>IFERROR(__xludf.DUMMYFUNCTION("""COMPUTED_VALUE"""),42764.99861111111)</f>
        <v>42764.99861</v>
      </c>
      <c r="E3082" s="3">
        <f>IFERROR(__xludf.DUMMYFUNCTION("""COMPUTED_VALUE"""),4.4974)</f>
        <v>4.4974</v>
      </c>
    </row>
    <row r="3083">
      <c r="D3083" s="6">
        <f>IFERROR(__xludf.DUMMYFUNCTION("""COMPUTED_VALUE"""),42765.99861111111)</f>
        <v>42765.99861</v>
      </c>
      <c r="E3083" s="3">
        <f>IFERROR(__xludf.DUMMYFUNCTION("""COMPUTED_VALUE"""),4.4974)</f>
        <v>4.4974</v>
      </c>
    </row>
    <row r="3084">
      <c r="D3084" s="6">
        <f>IFERROR(__xludf.DUMMYFUNCTION("""COMPUTED_VALUE"""),42766.99861111111)</f>
        <v>42766.99861</v>
      </c>
      <c r="E3084" s="3">
        <f>IFERROR(__xludf.DUMMYFUNCTION("""COMPUTED_VALUE"""),4.5049)</f>
        <v>4.5049</v>
      </c>
    </row>
    <row r="3085">
      <c r="D3085" s="6">
        <f>IFERROR(__xludf.DUMMYFUNCTION("""COMPUTED_VALUE"""),42767.99861111111)</f>
        <v>42767.99861</v>
      </c>
      <c r="E3085" s="3">
        <f>IFERROR(__xludf.DUMMYFUNCTION("""COMPUTED_VALUE"""),4.5519)</f>
        <v>4.5519</v>
      </c>
    </row>
    <row r="3086">
      <c r="D3086" s="6">
        <f>IFERROR(__xludf.DUMMYFUNCTION("""COMPUTED_VALUE"""),42768.99861111111)</f>
        <v>42768.99861</v>
      </c>
      <c r="E3086" s="3">
        <f>IFERROR(__xludf.DUMMYFUNCTION("""COMPUTED_VALUE"""),4.5511)</f>
        <v>4.5511</v>
      </c>
    </row>
    <row r="3087">
      <c r="D3087" s="6">
        <f>IFERROR(__xludf.DUMMYFUNCTION("""COMPUTED_VALUE"""),42769.99861111111)</f>
        <v>42769.99861</v>
      </c>
      <c r="E3087" s="3">
        <f>IFERROR(__xludf.DUMMYFUNCTION("""COMPUTED_VALUE"""),4.5227)</f>
        <v>4.5227</v>
      </c>
    </row>
    <row r="3088">
      <c r="D3088" s="6">
        <f>IFERROR(__xludf.DUMMYFUNCTION("""COMPUTED_VALUE"""),42773.99861111111)</f>
        <v>42773.99861</v>
      </c>
      <c r="E3088" s="3">
        <f>IFERROR(__xludf.DUMMYFUNCTION("""COMPUTED_VALUE"""),4.4911)</f>
        <v>4.4911</v>
      </c>
    </row>
    <row r="3089">
      <c r="D3089" s="6">
        <f>IFERROR(__xludf.DUMMYFUNCTION("""COMPUTED_VALUE"""),42774.99861111111)</f>
        <v>42774.99861</v>
      </c>
      <c r="E3089" s="3">
        <f>IFERROR(__xludf.DUMMYFUNCTION("""COMPUTED_VALUE"""),4.4872)</f>
        <v>4.4872</v>
      </c>
    </row>
    <row r="3090">
      <c r="D3090" s="6">
        <f>IFERROR(__xludf.DUMMYFUNCTION("""COMPUTED_VALUE"""),42775.99861111111)</f>
        <v>42775.99861</v>
      </c>
      <c r="E3090" s="3">
        <f>IFERROR(__xludf.DUMMYFUNCTION("""COMPUTED_VALUE"""),4.4942)</f>
        <v>4.4942</v>
      </c>
    </row>
    <row r="3091">
      <c r="D3091" s="6">
        <f>IFERROR(__xludf.DUMMYFUNCTION("""COMPUTED_VALUE"""),42776.99861111111)</f>
        <v>42776.99861</v>
      </c>
      <c r="E3091" s="3">
        <f>IFERROR(__xludf.DUMMYFUNCTION("""COMPUTED_VALUE"""),4.4995)</f>
        <v>4.4995</v>
      </c>
    </row>
    <row r="3092">
      <c r="D3092" s="6">
        <f>IFERROR(__xludf.DUMMYFUNCTION("""COMPUTED_VALUE"""),42779.99861111111)</f>
        <v>42779.99861</v>
      </c>
      <c r="E3092" s="3">
        <f>IFERROR(__xludf.DUMMYFUNCTION("""COMPUTED_VALUE"""),4.4974)</f>
        <v>4.4974</v>
      </c>
    </row>
    <row r="3093">
      <c r="D3093" s="6">
        <f>IFERROR(__xludf.DUMMYFUNCTION("""COMPUTED_VALUE"""),42780.99861111111)</f>
        <v>42780.99861</v>
      </c>
      <c r="E3093" s="3">
        <f>IFERROR(__xludf.DUMMYFUNCTION("""COMPUTED_VALUE"""),4.5075)</f>
        <v>4.5075</v>
      </c>
    </row>
    <row r="3094">
      <c r="D3094" s="6">
        <f>IFERROR(__xludf.DUMMYFUNCTION("""COMPUTED_VALUE"""),42781.99861111111)</f>
        <v>42781.99861</v>
      </c>
      <c r="E3094" s="3">
        <f>IFERROR(__xludf.DUMMYFUNCTION("""COMPUTED_VALUE"""),4.5191)</f>
        <v>4.5191</v>
      </c>
    </row>
    <row r="3095">
      <c r="D3095" s="6">
        <f>IFERROR(__xludf.DUMMYFUNCTION("""COMPUTED_VALUE"""),42782.99861111111)</f>
        <v>42782.99861</v>
      </c>
      <c r="E3095" s="3">
        <f>IFERROR(__xludf.DUMMYFUNCTION("""COMPUTED_VALUE"""),4.526)</f>
        <v>4.526</v>
      </c>
    </row>
    <row r="3096">
      <c r="D3096" s="6">
        <f>IFERROR(__xludf.DUMMYFUNCTION("""COMPUTED_VALUE"""),42783.99861111111)</f>
        <v>42783.99861</v>
      </c>
      <c r="E3096" s="3">
        <f>IFERROR(__xludf.DUMMYFUNCTION("""COMPUTED_VALUE"""),4.5263)</f>
        <v>4.5263</v>
      </c>
    </row>
    <row r="3097">
      <c r="D3097" s="6">
        <f>IFERROR(__xludf.DUMMYFUNCTION("""COMPUTED_VALUE"""),42786.99861111111)</f>
        <v>42786.99861</v>
      </c>
      <c r="E3097" s="3">
        <f>IFERROR(__xludf.DUMMYFUNCTION("""COMPUTED_VALUE"""),4.5188)</f>
        <v>4.5188</v>
      </c>
    </row>
    <row r="3098">
      <c r="D3098" s="6">
        <f>IFERROR(__xludf.DUMMYFUNCTION("""COMPUTED_VALUE"""),42787.99861111111)</f>
        <v>42787.99861</v>
      </c>
      <c r="E3098" s="3">
        <f>IFERROR(__xludf.DUMMYFUNCTION("""COMPUTED_VALUE"""),4.521)</f>
        <v>4.521</v>
      </c>
    </row>
    <row r="3099">
      <c r="D3099" s="6">
        <f>IFERROR(__xludf.DUMMYFUNCTION("""COMPUTED_VALUE"""),42788.99861111111)</f>
        <v>42788.99861</v>
      </c>
      <c r="E3099" s="3">
        <f>IFERROR(__xludf.DUMMYFUNCTION("""COMPUTED_VALUE"""),4.5205)</f>
        <v>4.5205</v>
      </c>
    </row>
    <row r="3100">
      <c r="D3100" s="6">
        <f>IFERROR(__xludf.DUMMYFUNCTION("""COMPUTED_VALUE"""),42789.99861111111)</f>
        <v>42789.99861</v>
      </c>
      <c r="E3100" s="3">
        <f>IFERROR(__xludf.DUMMYFUNCTION("""COMPUTED_VALUE"""),4.5201)</f>
        <v>4.5201</v>
      </c>
    </row>
    <row r="3101">
      <c r="D3101" s="6">
        <f>IFERROR(__xludf.DUMMYFUNCTION("""COMPUTED_VALUE"""),42790.99861111111)</f>
        <v>42790.99861</v>
      </c>
      <c r="E3101" s="3">
        <f>IFERROR(__xludf.DUMMYFUNCTION("""COMPUTED_VALUE"""),4.5233)</f>
        <v>4.5233</v>
      </c>
    </row>
    <row r="3102">
      <c r="D3102" s="6">
        <f>IFERROR(__xludf.DUMMYFUNCTION("""COMPUTED_VALUE"""),42793.99861111111)</f>
        <v>42793.99861</v>
      </c>
      <c r="E3102" s="3">
        <f>IFERROR(__xludf.DUMMYFUNCTION("""COMPUTED_VALUE"""),4.51)</f>
        <v>4.51</v>
      </c>
    </row>
    <row r="3103">
      <c r="D3103" s="6">
        <f>IFERROR(__xludf.DUMMYFUNCTION("""COMPUTED_VALUE"""),42794.99861111111)</f>
        <v>42794.99861</v>
      </c>
      <c r="E3103" s="3">
        <f>IFERROR(__xludf.DUMMYFUNCTION("""COMPUTED_VALUE"""),4.5264)</f>
        <v>4.5264</v>
      </c>
    </row>
    <row r="3104">
      <c r="D3104" s="6">
        <f>IFERROR(__xludf.DUMMYFUNCTION("""COMPUTED_VALUE"""),42795.99861111111)</f>
        <v>42795.99861</v>
      </c>
      <c r="E3104" s="3">
        <f>IFERROR(__xludf.DUMMYFUNCTION("""COMPUTED_VALUE"""),4.5245)</f>
        <v>4.5245</v>
      </c>
    </row>
    <row r="3105">
      <c r="D3105" s="6">
        <f>IFERROR(__xludf.DUMMYFUNCTION("""COMPUTED_VALUE"""),42796.99861111111)</f>
        <v>42796.99861</v>
      </c>
      <c r="E3105" s="3">
        <f>IFERROR(__xludf.DUMMYFUNCTION("""COMPUTED_VALUE"""),4.5234)</f>
        <v>4.5234</v>
      </c>
    </row>
    <row r="3106">
      <c r="D3106" s="6">
        <f>IFERROR(__xludf.DUMMYFUNCTION("""COMPUTED_VALUE"""),42797.99861111111)</f>
        <v>42797.99861</v>
      </c>
      <c r="E3106" s="3">
        <f>IFERROR(__xludf.DUMMYFUNCTION("""COMPUTED_VALUE"""),4.5369)</f>
        <v>4.5369</v>
      </c>
    </row>
    <row r="3107">
      <c r="D3107" s="6">
        <f>IFERROR(__xludf.DUMMYFUNCTION("""COMPUTED_VALUE"""),42799.99861111111)</f>
        <v>42799.99861</v>
      </c>
      <c r="E3107" s="3">
        <f>IFERROR(__xludf.DUMMYFUNCTION("""COMPUTED_VALUE"""),4.5369)</f>
        <v>4.5369</v>
      </c>
    </row>
    <row r="3108">
      <c r="D3108" s="6">
        <f>IFERROR(__xludf.DUMMYFUNCTION("""COMPUTED_VALUE"""),42800.99861111111)</f>
        <v>42800.99861</v>
      </c>
      <c r="E3108" s="3">
        <f>IFERROR(__xludf.DUMMYFUNCTION("""COMPUTED_VALUE"""),4.53)</f>
        <v>4.53</v>
      </c>
    </row>
    <row r="3109">
      <c r="D3109" s="6">
        <f>IFERROR(__xludf.DUMMYFUNCTION("""COMPUTED_VALUE"""),42801.99861111111)</f>
        <v>42801.99861</v>
      </c>
      <c r="E3109" s="3">
        <f>IFERROR(__xludf.DUMMYFUNCTION("""COMPUTED_VALUE"""),4.5417)</f>
        <v>4.5417</v>
      </c>
    </row>
    <row r="3110">
      <c r="D3110" s="6">
        <f>IFERROR(__xludf.DUMMYFUNCTION("""COMPUTED_VALUE"""),42802.99861111111)</f>
        <v>42802.99861</v>
      </c>
      <c r="E3110" s="3">
        <f>IFERROR(__xludf.DUMMYFUNCTION("""COMPUTED_VALUE"""),4.5506)</f>
        <v>4.5506</v>
      </c>
    </row>
    <row r="3111">
      <c r="D3111" s="6">
        <f>IFERROR(__xludf.DUMMYFUNCTION("""COMPUTED_VALUE"""),42803.99861111111)</f>
        <v>42803.99861</v>
      </c>
      <c r="E3111" s="3">
        <f>IFERROR(__xludf.DUMMYFUNCTION("""COMPUTED_VALUE"""),4.5538)</f>
        <v>4.5538</v>
      </c>
    </row>
    <row r="3112">
      <c r="D3112" s="6">
        <f>IFERROR(__xludf.DUMMYFUNCTION("""COMPUTED_VALUE"""),42804.99861111111)</f>
        <v>42804.99861</v>
      </c>
      <c r="E3112" s="3">
        <f>IFERROR(__xludf.DUMMYFUNCTION("""COMPUTED_VALUE"""),4.5565)</f>
        <v>4.5565</v>
      </c>
    </row>
    <row r="3113">
      <c r="D3113" s="6">
        <f>IFERROR(__xludf.DUMMYFUNCTION("""COMPUTED_VALUE"""),42807.99861111111)</f>
        <v>42807.99861</v>
      </c>
      <c r="E3113" s="3">
        <f>IFERROR(__xludf.DUMMYFUNCTION("""COMPUTED_VALUE"""),4.5511)</f>
        <v>4.5511</v>
      </c>
    </row>
    <row r="3114">
      <c r="D3114" s="6">
        <f>IFERROR(__xludf.DUMMYFUNCTION("""COMPUTED_VALUE"""),42808.99861111111)</f>
        <v>42808.99861</v>
      </c>
      <c r="E3114" s="3">
        <f>IFERROR(__xludf.DUMMYFUNCTION("""COMPUTED_VALUE"""),4.5534)</f>
        <v>4.5534</v>
      </c>
    </row>
    <row r="3115">
      <c r="D3115" s="6">
        <f>IFERROR(__xludf.DUMMYFUNCTION("""COMPUTED_VALUE"""),42809.99861111111)</f>
        <v>42809.99861</v>
      </c>
      <c r="E3115" s="3">
        <f>IFERROR(__xludf.DUMMYFUNCTION("""COMPUTED_VALUE"""),4.5582)</f>
        <v>4.5582</v>
      </c>
    </row>
    <row r="3116">
      <c r="D3116" s="6">
        <f>IFERROR(__xludf.DUMMYFUNCTION("""COMPUTED_VALUE"""),42810.99861111111)</f>
        <v>42810.99861</v>
      </c>
      <c r="E3116" s="3">
        <f>IFERROR(__xludf.DUMMYFUNCTION("""COMPUTED_VALUE"""),4.5571)</f>
        <v>4.5571</v>
      </c>
    </row>
    <row r="3117">
      <c r="D3117" s="6">
        <f>IFERROR(__xludf.DUMMYFUNCTION("""COMPUTED_VALUE"""),42811.99861111111)</f>
        <v>42811.99861</v>
      </c>
      <c r="E3117" s="3">
        <f>IFERROR(__xludf.DUMMYFUNCTION("""COMPUTED_VALUE"""),4.5641)</f>
        <v>4.5641</v>
      </c>
    </row>
    <row r="3118">
      <c r="D3118" s="6">
        <f>IFERROR(__xludf.DUMMYFUNCTION("""COMPUTED_VALUE"""),42814.99861111111)</f>
        <v>42814.99861</v>
      </c>
      <c r="E3118" s="3">
        <f>IFERROR(__xludf.DUMMYFUNCTION("""COMPUTED_VALUE"""),4.5602)</f>
        <v>4.5602</v>
      </c>
    </row>
    <row r="3119">
      <c r="D3119" s="6">
        <f>IFERROR(__xludf.DUMMYFUNCTION("""COMPUTED_VALUE"""),42815.99861111111)</f>
        <v>42815.99861</v>
      </c>
      <c r="E3119" s="3">
        <f>IFERROR(__xludf.DUMMYFUNCTION("""COMPUTED_VALUE"""),4.5665)</f>
        <v>4.5665</v>
      </c>
    </row>
    <row r="3120">
      <c r="D3120" s="6">
        <f>IFERROR(__xludf.DUMMYFUNCTION("""COMPUTED_VALUE"""),42816.99861111111)</f>
        <v>42816.99861</v>
      </c>
      <c r="E3120" s="3">
        <f>IFERROR(__xludf.DUMMYFUNCTION("""COMPUTED_VALUE"""),4.5632)</f>
        <v>4.5632</v>
      </c>
    </row>
    <row r="3121">
      <c r="D3121" s="6">
        <f>IFERROR(__xludf.DUMMYFUNCTION("""COMPUTED_VALUE"""),42817.99861111111)</f>
        <v>42817.99861</v>
      </c>
      <c r="E3121" s="3">
        <f>IFERROR(__xludf.DUMMYFUNCTION("""COMPUTED_VALUE"""),4.5557)</f>
        <v>4.5557</v>
      </c>
    </row>
    <row r="3122">
      <c r="D3122" s="6">
        <f>IFERROR(__xludf.DUMMYFUNCTION("""COMPUTED_VALUE"""),42818.99861111111)</f>
        <v>42818.99861</v>
      </c>
      <c r="E3122" s="3">
        <f>IFERROR(__xludf.DUMMYFUNCTION("""COMPUTED_VALUE"""),4.5546)</f>
        <v>4.5546</v>
      </c>
    </row>
    <row r="3123">
      <c r="D3123" s="6">
        <f>IFERROR(__xludf.DUMMYFUNCTION("""COMPUTED_VALUE"""),42821.99861111111)</f>
        <v>42821.99861</v>
      </c>
      <c r="E3123" s="3">
        <f>IFERROR(__xludf.DUMMYFUNCTION("""COMPUTED_VALUE"""),4.55)</f>
        <v>4.55</v>
      </c>
    </row>
    <row r="3124">
      <c r="D3124" s="6">
        <f>IFERROR(__xludf.DUMMYFUNCTION("""COMPUTED_VALUE"""),42822.99861111111)</f>
        <v>42822.99861</v>
      </c>
      <c r="E3124" s="3">
        <f>IFERROR(__xludf.DUMMYFUNCTION("""COMPUTED_VALUE"""),4.5492)</f>
        <v>4.5492</v>
      </c>
    </row>
    <row r="3125">
      <c r="D3125" s="6">
        <f>IFERROR(__xludf.DUMMYFUNCTION("""COMPUTED_VALUE"""),42823.99861111111)</f>
        <v>42823.99861</v>
      </c>
      <c r="E3125" s="3">
        <f>IFERROR(__xludf.DUMMYFUNCTION("""COMPUTED_VALUE"""),4.5524)</f>
        <v>4.5524</v>
      </c>
    </row>
    <row r="3126">
      <c r="D3126" s="6">
        <f>IFERROR(__xludf.DUMMYFUNCTION("""COMPUTED_VALUE"""),42824.99861111111)</f>
        <v>42824.99861</v>
      </c>
      <c r="E3126" s="3">
        <f>IFERROR(__xludf.DUMMYFUNCTION("""COMPUTED_VALUE"""),4.542)</f>
        <v>4.542</v>
      </c>
    </row>
    <row r="3127">
      <c r="D3127" s="6">
        <f>IFERROR(__xludf.DUMMYFUNCTION("""COMPUTED_VALUE"""),42828.99861111111)</f>
        <v>42828.99861</v>
      </c>
      <c r="E3127" s="3">
        <f>IFERROR(__xludf.DUMMYFUNCTION("""COMPUTED_VALUE"""),4.5451)</f>
        <v>4.5451</v>
      </c>
    </row>
    <row r="3128">
      <c r="D3128" s="6">
        <f>IFERROR(__xludf.DUMMYFUNCTION("""COMPUTED_VALUE"""),42829.99861111111)</f>
        <v>42829.99861</v>
      </c>
      <c r="E3128" s="3">
        <f>IFERROR(__xludf.DUMMYFUNCTION("""COMPUTED_VALUE"""),4.5405)</f>
        <v>4.5405</v>
      </c>
    </row>
    <row r="3129">
      <c r="D3129" s="6">
        <f>IFERROR(__xludf.DUMMYFUNCTION("""COMPUTED_VALUE"""),42830.99861111111)</f>
        <v>42830.99861</v>
      </c>
      <c r="E3129" s="3">
        <f>IFERROR(__xludf.DUMMYFUNCTION("""COMPUTED_VALUE"""),4.5264)</f>
        <v>4.5264</v>
      </c>
    </row>
    <row r="3130">
      <c r="D3130" s="6">
        <f>IFERROR(__xludf.DUMMYFUNCTION("""COMPUTED_VALUE"""),42831.99861111111)</f>
        <v>42831.99861</v>
      </c>
      <c r="E3130" s="3">
        <f>IFERROR(__xludf.DUMMYFUNCTION("""COMPUTED_VALUE"""),4.5201)</f>
        <v>4.5201</v>
      </c>
    </row>
    <row r="3131">
      <c r="D3131" s="6">
        <f>IFERROR(__xludf.DUMMYFUNCTION("""COMPUTED_VALUE"""),42832.99861111111)</f>
        <v>42832.99861</v>
      </c>
      <c r="E3131" s="3">
        <f>IFERROR(__xludf.DUMMYFUNCTION("""COMPUTED_VALUE"""),4.5176)</f>
        <v>4.5176</v>
      </c>
    </row>
    <row r="3132">
      <c r="D3132" s="6">
        <f>IFERROR(__xludf.DUMMYFUNCTION("""COMPUTED_VALUE"""),42835.99861111111)</f>
        <v>42835.99861</v>
      </c>
      <c r="E3132" s="3">
        <f>IFERROR(__xludf.DUMMYFUNCTION("""COMPUTED_VALUE"""),4.5074)</f>
        <v>4.5074</v>
      </c>
    </row>
    <row r="3133">
      <c r="D3133" s="6">
        <f>IFERROR(__xludf.DUMMYFUNCTION("""COMPUTED_VALUE"""),42836.99861111111)</f>
        <v>42836.99861</v>
      </c>
      <c r="E3133" s="3">
        <f>IFERROR(__xludf.DUMMYFUNCTION("""COMPUTED_VALUE"""),4.507)</f>
        <v>4.507</v>
      </c>
    </row>
    <row r="3134">
      <c r="D3134" s="6">
        <f>IFERROR(__xludf.DUMMYFUNCTION("""COMPUTED_VALUE"""),42837.99861111111)</f>
        <v>42837.99861</v>
      </c>
      <c r="E3134" s="3">
        <f>IFERROR(__xludf.DUMMYFUNCTION("""COMPUTED_VALUE"""),4.5138)</f>
        <v>4.5138</v>
      </c>
    </row>
    <row r="3135">
      <c r="D3135" s="6">
        <f>IFERROR(__xludf.DUMMYFUNCTION("""COMPUTED_VALUE"""),42838.99861111111)</f>
        <v>42838.99861</v>
      </c>
      <c r="E3135" s="3">
        <f>IFERROR(__xludf.DUMMYFUNCTION("""COMPUTED_VALUE"""),4.5199)</f>
        <v>4.5199</v>
      </c>
    </row>
    <row r="3136">
      <c r="D3136" s="6">
        <f>IFERROR(__xludf.DUMMYFUNCTION("""COMPUTED_VALUE"""),42839.99861111111)</f>
        <v>42839.99861</v>
      </c>
      <c r="E3136" s="3">
        <f>IFERROR(__xludf.DUMMYFUNCTION("""COMPUTED_VALUE"""),4.5199)</f>
        <v>4.5199</v>
      </c>
    </row>
    <row r="3137">
      <c r="D3137" s="6">
        <f>IFERROR(__xludf.DUMMYFUNCTION("""COMPUTED_VALUE"""),42842.99861111111)</f>
        <v>42842.99861</v>
      </c>
      <c r="E3137" s="3">
        <f>IFERROR(__xludf.DUMMYFUNCTION("""COMPUTED_VALUE"""),4.5199)</f>
        <v>4.5199</v>
      </c>
    </row>
    <row r="3138">
      <c r="D3138" s="6">
        <f>IFERROR(__xludf.DUMMYFUNCTION("""COMPUTED_VALUE"""),42843.99861111111)</f>
        <v>42843.99861</v>
      </c>
      <c r="E3138" s="3">
        <f>IFERROR(__xludf.DUMMYFUNCTION("""COMPUTED_VALUE"""),4.523)</f>
        <v>4.523</v>
      </c>
    </row>
    <row r="3139">
      <c r="D3139" s="6">
        <f>IFERROR(__xludf.DUMMYFUNCTION("""COMPUTED_VALUE"""),42844.99861111111)</f>
        <v>42844.99861</v>
      </c>
      <c r="E3139" s="3">
        <f>IFERROR(__xludf.DUMMYFUNCTION("""COMPUTED_VALUE"""),4.5343)</f>
        <v>4.5343</v>
      </c>
    </row>
    <row r="3140">
      <c r="D3140" s="6">
        <f>IFERROR(__xludf.DUMMYFUNCTION("""COMPUTED_VALUE"""),42845.99861111111)</f>
        <v>42845.99861</v>
      </c>
      <c r="E3140" s="3">
        <f>IFERROR(__xludf.DUMMYFUNCTION("""COMPUTED_VALUE"""),4.5393)</f>
        <v>4.5393</v>
      </c>
    </row>
    <row r="3141">
      <c r="D3141" s="6">
        <f>IFERROR(__xludf.DUMMYFUNCTION("""COMPUTED_VALUE"""),42846.99861111111)</f>
        <v>42846.99861</v>
      </c>
      <c r="E3141" s="3">
        <f>IFERROR(__xludf.DUMMYFUNCTION("""COMPUTED_VALUE"""),4.5437)</f>
        <v>4.5437</v>
      </c>
    </row>
    <row r="3142">
      <c r="D3142" s="6">
        <f>IFERROR(__xludf.DUMMYFUNCTION("""COMPUTED_VALUE"""),42849.99861111111)</f>
        <v>42849.99861</v>
      </c>
      <c r="E3142" s="3">
        <f>IFERROR(__xludf.DUMMYFUNCTION("""COMPUTED_VALUE"""),4.5258)</f>
        <v>4.5258</v>
      </c>
    </row>
    <row r="3143">
      <c r="D3143" s="6">
        <f>IFERROR(__xludf.DUMMYFUNCTION("""COMPUTED_VALUE"""),42850.99861111111)</f>
        <v>42850.99861</v>
      </c>
      <c r="E3143" s="3">
        <f>IFERROR(__xludf.DUMMYFUNCTION("""COMPUTED_VALUE"""),4.5248)</f>
        <v>4.5248</v>
      </c>
    </row>
    <row r="3144">
      <c r="D3144" s="6">
        <f>IFERROR(__xludf.DUMMYFUNCTION("""COMPUTED_VALUE"""),42851.99861111111)</f>
        <v>42851.99861</v>
      </c>
      <c r="E3144" s="3">
        <f>IFERROR(__xludf.DUMMYFUNCTION("""COMPUTED_VALUE"""),4.5313)</f>
        <v>4.5313</v>
      </c>
    </row>
    <row r="3145">
      <c r="D3145" s="6">
        <f>IFERROR(__xludf.DUMMYFUNCTION("""COMPUTED_VALUE"""),42852.99861111111)</f>
        <v>42852.99861</v>
      </c>
      <c r="E3145" s="3">
        <f>IFERROR(__xludf.DUMMYFUNCTION("""COMPUTED_VALUE"""),4.5331)</f>
        <v>4.5331</v>
      </c>
    </row>
    <row r="3146">
      <c r="D3146" s="6">
        <f>IFERROR(__xludf.DUMMYFUNCTION("""COMPUTED_VALUE"""),42853.99861111111)</f>
        <v>42853.99861</v>
      </c>
      <c r="E3146" s="3">
        <f>IFERROR(__xludf.DUMMYFUNCTION("""COMPUTED_VALUE"""),4.534)</f>
        <v>4.534</v>
      </c>
    </row>
    <row r="3147">
      <c r="D3147" s="6">
        <f>IFERROR(__xludf.DUMMYFUNCTION("""COMPUTED_VALUE"""),42856.99861111111)</f>
        <v>42856.99861</v>
      </c>
      <c r="E3147" s="3">
        <f>IFERROR(__xludf.DUMMYFUNCTION("""COMPUTED_VALUE"""),4.5396)</f>
        <v>4.5396</v>
      </c>
    </row>
    <row r="3148">
      <c r="D3148" s="6">
        <f>IFERROR(__xludf.DUMMYFUNCTION("""COMPUTED_VALUE"""),42857.99861111111)</f>
        <v>42857.99861</v>
      </c>
      <c r="E3148" s="3">
        <f>IFERROR(__xludf.DUMMYFUNCTION("""COMPUTED_VALUE"""),4.5476)</f>
        <v>4.5476</v>
      </c>
    </row>
    <row r="3149">
      <c r="D3149" s="6">
        <f>IFERROR(__xludf.DUMMYFUNCTION("""COMPUTED_VALUE"""),42858.99861111111)</f>
        <v>42858.99861</v>
      </c>
      <c r="E3149" s="3">
        <f>IFERROR(__xludf.DUMMYFUNCTION("""COMPUTED_VALUE"""),4.5454)</f>
        <v>4.5454</v>
      </c>
    </row>
    <row r="3150">
      <c r="D3150" s="6">
        <f>IFERROR(__xludf.DUMMYFUNCTION("""COMPUTED_VALUE"""),42859.99861111111)</f>
        <v>42859.99861</v>
      </c>
      <c r="E3150" s="3">
        <f>IFERROR(__xludf.DUMMYFUNCTION("""COMPUTED_VALUE"""),4.5446)</f>
        <v>4.5446</v>
      </c>
    </row>
    <row r="3151">
      <c r="D3151" s="6">
        <f>IFERROR(__xludf.DUMMYFUNCTION("""COMPUTED_VALUE"""),42860.99861111111)</f>
        <v>42860.99861</v>
      </c>
      <c r="E3151" s="3">
        <f>IFERROR(__xludf.DUMMYFUNCTION("""COMPUTED_VALUE"""),4.5502)</f>
        <v>4.5502</v>
      </c>
    </row>
    <row r="3152">
      <c r="D3152" s="6">
        <f>IFERROR(__xludf.DUMMYFUNCTION("""COMPUTED_VALUE"""),42863.99861111111)</f>
        <v>42863.99861</v>
      </c>
      <c r="E3152" s="3">
        <f>IFERROR(__xludf.DUMMYFUNCTION("""COMPUTED_VALUE"""),4.5487)</f>
        <v>4.5487</v>
      </c>
    </row>
    <row r="3153">
      <c r="D3153" s="6">
        <f>IFERROR(__xludf.DUMMYFUNCTION("""COMPUTED_VALUE"""),42864.99861111111)</f>
        <v>42864.99861</v>
      </c>
      <c r="E3153" s="3">
        <f>IFERROR(__xludf.DUMMYFUNCTION("""COMPUTED_VALUE"""),4.5475)</f>
        <v>4.5475</v>
      </c>
    </row>
    <row r="3154">
      <c r="D3154" s="6">
        <f>IFERROR(__xludf.DUMMYFUNCTION("""COMPUTED_VALUE"""),42865.99861111111)</f>
        <v>42865.99861</v>
      </c>
      <c r="E3154" s="3">
        <f>IFERROR(__xludf.DUMMYFUNCTION("""COMPUTED_VALUE"""),4.55)</f>
        <v>4.55</v>
      </c>
    </row>
    <row r="3155">
      <c r="D3155" s="6">
        <f>IFERROR(__xludf.DUMMYFUNCTION("""COMPUTED_VALUE"""),42866.99861111111)</f>
        <v>42866.99861</v>
      </c>
      <c r="E3155" s="3">
        <f>IFERROR(__xludf.DUMMYFUNCTION("""COMPUTED_VALUE"""),4.544)</f>
        <v>4.544</v>
      </c>
    </row>
    <row r="3156">
      <c r="D3156" s="6">
        <f>IFERROR(__xludf.DUMMYFUNCTION("""COMPUTED_VALUE"""),42867.99861111111)</f>
        <v>42867.99861</v>
      </c>
      <c r="E3156" s="3">
        <f>IFERROR(__xludf.DUMMYFUNCTION("""COMPUTED_VALUE"""),4.5447)</f>
        <v>4.5447</v>
      </c>
    </row>
    <row r="3157">
      <c r="D3157" s="6">
        <f>IFERROR(__xludf.DUMMYFUNCTION("""COMPUTED_VALUE"""),42870.99861111111)</f>
        <v>42870.99861</v>
      </c>
      <c r="E3157" s="3">
        <f>IFERROR(__xludf.DUMMYFUNCTION("""COMPUTED_VALUE"""),4.5487)</f>
        <v>4.5487</v>
      </c>
    </row>
    <row r="3158">
      <c r="D3158" s="6">
        <f>IFERROR(__xludf.DUMMYFUNCTION("""COMPUTED_VALUE"""),42871.99861111111)</f>
        <v>42871.99861</v>
      </c>
      <c r="E3158" s="3">
        <f>IFERROR(__xludf.DUMMYFUNCTION("""COMPUTED_VALUE"""),4.5453)</f>
        <v>4.5453</v>
      </c>
    </row>
    <row r="3159">
      <c r="D3159" s="6">
        <f>IFERROR(__xludf.DUMMYFUNCTION("""COMPUTED_VALUE"""),42872.99861111111)</f>
        <v>42872.99861</v>
      </c>
      <c r="E3159" s="3">
        <f>IFERROR(__xludf.DUMMYFUNCTION("""COMPUTED_VALUE"""),4.5665)</f>
        <v>4.5665</v>
      </c>
    </row>
    <row r="3160">
      <c r="D3160" s="6">
        <f>IFERROR(__xludf.DUMMYFUNCTION("""COMPUTED_VALUE"""),42873.99861111111)</f>
        <v>42873.99861</v>
      </c>
      <c r="E3160" s="3">
        <f>IFERROR(__xludf.DUMMYFUNCTION("""COMPUTED_VALUE"""),4.5673)</f>
        <v>4.5673</v>
      </c>
    </row>
    <row r="3161">
      <c r="D3161" s="6">
        <f>IFERROR(__xludf.DUMMYFUNCTION("""COMPUTED_VALUE"""),42874.99861111111)</f>
        <v>42874.99861</v>
      </c>
      <c r="E3161" s="3">
        <f>IFERROR(__xludf.DUMMYFUNCTION("""COMPUTED_VALUE"""),4.5721)</f>
        <v>4.5721</v>
      </c>
    </row>
    <row r="3162">
      <c r="D3162" s="6">
        <f>IFERROR(__xludf.DUMMYFUNCTION("""COMPUTED_VALUE"""),42877.99861111111)</f>
        <v>42877.99861</v>
      </c>
      <c r="E3162" s="3">
        <f>IFERROR(__xludf.DUMMYFUNCTION("""COMPUTED_VALUE"""),4.5578)</f>
        <v>4.5578</v>
      </c>
    </row>
    <row r="3163">
      <c r="D3163" s="6">
        <f>IFERROR(__xludf.DUMMYFUNCTION("""COMPUTED_VALUE"""),42878.99861111111)</f>
        <v>42878.99861</v>
      </c>
      <c r="E3163" s="3">
        <f>IFERROR(__xludf.DUMMYFUNCTION("""COMPUTED_VALUE"""),4.5504)</f>
        <v>4.5504</v>
      </c>
    </row>
    <row r="3164">
      <c r="D3164" s="6">
        <f>IFERROR(__xludf.DUMMYFUNCTION("""COMPUTED_VALUE"""),42879.99861111111)</f>
        <v>42879.99861</v>
      </c>
      <c r="E3164" s="3">
        <f>IFERROR(__xludf.DUMMYFUNCTION("""COMPUTED_VALUE"""),4.5486)</f>
        <v>4.5486</v>
      </c>
    </row>
    <row r="3165">
      <c r="D3165" s="6">
        <f>IFERROR(__xludf.DUMMYFUNCTION("""COMPUTED_VALUE"""),42880.99861111111)</f>
        <v>42880.99861</v>
      </c>
      <c r="E3165" s="3">
        <f>IFERROR(__xludf.DUMMYFUNCTION("""COMPUTED_VALUE"""),4.5504)</f>
        <v>4.5504</v>
      </c>
    </row>
    <row r="3166">
      <c r="D3166" s="6">
        <f>IFERROR(__xludf.DUMMYFUNCTION("""COMPUTED_VALUE"""),42881.99861111111)</f>
        <v>42881.99861</v>
      </c>
      <c r="E3166" s="3">
        <f>IFERROR(__xludf.DUMMYFUNCTION("""COMPUTED_VALUE"""),4.559)</f>
        <v>4.559</v>
      </c>
    </row>
    <row r="3167">
      <c r="D3167" s="6">
        <f>IFERROR(__xludf.DUMMYFUNCTION("""COMPUTED_VALUE"""),42884.99861111111)</f>
        <v>42884.99861</v>
      </c>
      <c r="E3167" s="3">
        <f>IFERROR(__xludf.DUMMYFUNCTION("""COMPUTED_VALUE"""),4.5626)</f>
        <v>4.5626</v>
      </c>
    </row>
    <row r="3168">
      <c r="D3168" s="6">
        <f>IFERROR(__xludf.DUMMYFUNCTION("""COMPUTED_VALUE"""),42885.99861111111)</f>
        <v>42885.99861</v>
      </c>
      <c r="E3168" s="3">
        <f>IFERROR(__xludf.DUMMYFUNCTION("""COMPUTED_VALUE"""),4.57)</f>
        <v>4.57</v>
      </c>
    </row>
    <row r="3169">
      <c r="D3169" s="6">
        <f>IFERROR(__xludf.DUMMYFUNCTION("""COMPUTED_VALUE"""),42886.99861111111)</f>
        <v>42886.99861</v>
      </c>
      <c r="E3169" s="3">
        <f>IFERROR(__xludf.DUMMYFUNCTION("""COMPUTED_VALUE"""),4.5668)</f>
        <v>4.5668</v>
      </c>
    </row>
    <row r="3170">
      <c r="D3170" s="6">
        <f>IFERROR(__xludf.DUMMYFUNCTION("""COMPUTED_VALUE"""),42887.99861111111)</f>
        <v>42887.99861</v>
      </c>
      <c r="E3170" s="3">
        <f>IFERROR(__xludf.DUMMYFUNCTION("""COMPUTED_VALUE"""),4.5629)</f>
        <v>4.5629</v>
      </c>
    </row>
    <row r="3171">
      <c r="D3171" s="6">
        <f>IFERROR(__xludf.DUMMYFUNCTION("""COMPUTED_VALUE"""),42888.99861111111)</f>
        <v>42888.99861</v>
      </c>
      <c r="E3171" s="3">
        <f>IFERROR(__xludf.DUMMYFUNCTION("""COMPUTED_VALUE"""),4.5662)</f>
        <v>4.5662</v>
      </c>
    </row>
    <row r="3172">
      <c r="D3172" s="6">
        <f>IFERROR(__xludf.DUMMYFUNCTION("""COMPUTED_VALUE"""),42891.99861111111)</f>
        <v>42891.99861</v>
      </c>
      <c r="E3172" s="3">
        <f>IFERROR(__xludf.DUMMYFUNCTION("""COMPUTED_VALUE"""),4.5558)</f>
        <v>4.5558</v>
      </c>
    </row>
    <row r="3173">
      <c r="D3173" s="6">
        <f>IFERROR(__xludf.DUMMYFUNCTION("""COMPUTED_VALUE"""),42892.99861111111)</f>
        <v>42892.99861</v>
      </c>
      <c r="E3173" s="3">
        <f>IFERROR(__xludf.DUMMYFUNCTION("""COMPUTED_VALUE"""),4.5639)</f>
        <v>4.5639</v>
      </c>
    </row>
    <row r="3174">
      <c r="D3174" s="6">
        <f>IFERROR(__xludf.DUMMYFUNCTION("""COMPUTED_VALUE"""),42893.99861111111)</f>
        <v>42893.99861</v>
      </c>
      <c r="E3174" s="3">
        <f>IFERROR(__xludf.DUMMYFUNCTION("""COMPUTED_VALUE"""),4.5679)</f>
        <v>4.5679</v>
      </c>
    </row>
    <row r="3175">
      <c r="D3175" s="6">
        <f>IFERROR(__xludf.DUMMYFUNCTION("""COMPUTED_VALUE"""),42894.99861111111)</f>
        <v>42894.99861</v>
      </c>
      <c r="E3175" s="3">
        <f>IFERROR(__xludf.DUMMYFUNCTION("""COMPUTED_VALUE"""),4.562)</f>
        <v>4.562</v>
      </c>
    </row>
    <row r="3176">
      <c r="D3176" s="6">
        <f>IFERROR(__xludf.DUMMYFUNCTION("""COMPUTED_VALUE"""),42898.99861111111)</f>
        <v>42898.99861</v>
      </c>
      <c r="E3176" s="3">
        <f>IFERROR(__xludf.DUMMYFUNCTION("""COMPUTED_VALUE"""),4.5598)</f>
        <v>4.5598</v>
      </c>
    </row>
    <row r="3177">
      <c r="D3177" s="6">
        <f>IFERROR(__xludf.DUMMYFUNCTION("""COMPUTED_VALUE"""),42899.99861111111)</f>
        <v>42899.99861</v>
      </c>
      <c r="E3177" s="3">
        <f>IFERROR(__xludf.DUMMYFUNCTION("""COMPUTED_VALUE"""),4.563)</f>
        <v>4.563</v>
      </c>
    </row>
    <row r="3178">
      <c r="D3178" s="6">
        <f>IFERROR(__xludf.DUMMYFUNCTION("""COMPUTED_VALUE"""),42900.99861111111)</f>
        <v>42900.99861</v>
      </c>
      <c r="E3178" s="3">
        <f>IFERROR(__xludf.DUMMYFUNCTION("""COMPUTED_VALUE"""),4.5764)</f>
        <v>4.5764</v>
      </c>
    </row>
    <row r="3179">
      <c r="D3179" s="6">
        <f>IFERROR(__xludf.DUMMYFUNCTION("""COMPUTED_VALUE"""),42901.99861111111)</f>
        <v>42901.99861</v>
      </c>
      <c r="E3179" s="3">
        <f>IFERROR(__xludf.DUMMYFUNCTION("""COMPUTED_VALUE"""),4.5821)</f>
        <v>4.5821</v>
      </c>
    </row>
    <row r="3180">
      <c r="D3180" s="6">
        <f>IFERROR(__xludf.DUMMYFUNCTION("""COMPUTED_VALUE"""),42902.99861111111)</f>
        <v>42902.99861</v>
      </c>
      <c r="E3180" s="3">
        <f>IFERROR(__xludf.DUMMYFUNCTION("""COMPUTED_VALUE"""),4.5844)</f>
        <v>4.5844</v>
      </c>
    </row>
    <row r="3181">
      <c r="D3181" s="6">
        <f>IFERROR(__xludf.DUMMYFUNCTION("""COMPUTED_VALUE"""),42905.99861111111)</f>
        <v>42905.99861</v>
      </c>
      <c r="E3181" s="3">
        <f>IFERROR(__xludf.DUMMYFUNCTION("""COMPUTED_VALUE"""),4.5928)</f>
        <v>4.5928</v>
      </c>
    </row>
    <row r="3182">
      <c r="D3182" s="6">
        <f>IFERROR(__xludf.DUMMYFUNCTION("""COMPUTED_VALUE"""),42906.99861111111)</f>
        <v>42906.99861</v>
      </c>
      <c r="E3182" s="3">
        <f>IFERROR(__xludf.DUMMYFUNCTION("""COMPUTED_VALUE"""),4.5985)</f>
        <v>4.5985</v>
      </c>
    </row>
    <row r="3183">
      <c r="D3183" s="6">
        <f>IFERROR(__xludf.DUMMYFUNCTION("""COMPUTED_VALUE"""),42907.99861111111)</f>
        <v>42907.99861</v>
      </c>
      <c r="E3183" s="3">
        <f>IFERROR(__xludf.DUMMYFUNCTION("""COMPUTED_VALUE"""),4.595)</f>
        <v>4.595</v>
      </c>
    </row>
    <row r="3184">
      <c r="D3184" s="6">
        <f>IFERROR(__xludf.DUMMYFUNCTION("""COMPUTED_VALUE"""),42908.99861111111)</f>
        <v>42908.99861</v>
      </c>
      <c r="E3184" s="3">
        <f>IFERROR(__xludf.DUMMYFUNCTION("""COMPUTED_VALUE"""),4.5723)</f>
        <v>4.5723</v>
      </c>
    </row>
    <row r="3185">
      <c r="D3185" s="6">
        <f>IFERROR(__xludf.DUMMYFUNCTION("""COMPUTED_VALUE"""),42909.99861111111)</f>
        <v>42909.99861</v>
      </c>
      <c r="E3185" s="3">
        <f>IFERROR(__xludf.DUMMYFUNCTION("""COMPUTED_VALUE"""),4.5732)</f>
        <v>4.5732</v>
      </c>
    </row>
    <row r="3186">
      <c r="D3186" s="6">
        <f>IFERROR(__xludf.DUMMYFUNCTION("""COMPUTED_VALUE"""),42911.99861111111)</f>
        <v>42911.99861</v>
      </c>
      <c r="E3186" s="3">
        <f>IFERROR(__xludf.DUMMYFUNCTION("""COMPUTED_VALUE"""),4.575)</f>
        <v>4.575</v>
      </c>
    </row>
    <row r="3187">
      <c r="D3187" s="6">
        <f>IFERROR(__xludf.DUMMYFUNCTION("""COMPUTED_VALUE"""),42912.99861111111)</f>
        <v>42912.99861</v>
      </c>
      <c r="E3187" s="3">
        <f>IFERROR(__xludf.DUMMYFUNCTION("""COMPUTED_VALUE"""),4.5741)</f>
        <v>4.5741</v>
      </c>
    </row>
    <row r="3188">
      <c r="D3188" s="6">
        <f>IFERROR(__xludf.DUMMYFUNCTION("""COMPUTED_VALUE"""),42913.99861111111)</f>
        <v>42913.99861</v>
      </c>
      <c r="E3188" s="3">
        <f>IFERROR(__xludf.DUMMYFUNCTION("""COMPUTED_VALUE"""),4.5607)</f>
        <v>4.5607</v>
      </c>
    </row>
    <row r="3189">
      <c r="D3189" s="6">
        <f>IFERROR(__xludf.DUMMYFUNCTION("""COMPUTED_VALUE"""),42914.99861111111)</f>
        <v>42914.99861</v>
      </c>
      <c r="E3189" s="3">
        <f>IFERROR(__xludf.DUMMYFUNCTION("""COMPUTED_VALUE"""),4.5477)</f>
        <v>4.5477</v>
      </c>
    </row>
    <row r="3190">
      <c r="D3190" s="6">
        <f>IFERROR(__xludf.DUMMYFUNCTION("""COMPUTED_VALUE"""),42915.99861111111)</f>
        <v>42915.99861</v>
      </c>
      <c r="E3190" s="3">
        <f>IFERROR(__xludf.DUMMYFUNCTION("""COMPUTED_VALUE"""),4.5668)</f>
        <v>4.5668</v>
      </c>
    </row>
    <row r="3191">
      <c r="D3191" s="6">
        <f>IFERROR(__xludf.DUMMYFUNCTION("""COMPUTED_VALUE"""),42916.99861111111)</f>
        <v>42916.99861</v>
      </c>
      <c r="E3191" s="3">
        <f>IFERROR(__xludf.DUMMYFUNCTION("""COMPUTED_VALUE"""),4.5605)</f>
        <v>4.5605</v>
      </c>
    </row>
    <row r="3192">
      <c r="D3192" s="6">
        <f>IFERROR(__xludf.DUMMYFUNCTION("""COMPUTED_VALUE"""),42919.99861111111)</f>
        <v>42919.99861</v>
      </c>
      <c r="E3192" s="3">
        <f>IFERROR(__xludf.DUMMYFUNCTION("""COMPUTED_VALUE"""),4.5703)</f>
        <v>4.5703</v>
      </c>
    </row>
    <row r="3193">
      <c r="D3193" s="6">
        <f>IFERROR(__xludf.DUMMYFUNCTION("""COMPUTED_VALUE"""),42920.99861111111)</f>
        <v>42920.99861</v>
      </c>
      <c r="E3193" s="3">
        <f>IFERROR(__xludf.DUMMYFUNCTION("""COMPUTED_VALUE"""),4.5818)</f>
        <v>4.5818</v>
      </c>
    </row>
    <row r="3194">
      <c r="D3194" s="6">
        <f>IFERROR(__xludf.DUMMYFUNCTION("""COMPUTED_VALUE"""),42921.99861111111)</f>
        <v>42921.99861</v>
      </c>
      <c r="E3194" s="3">
        <f>IFERROR(__xludf.DUMMYFUNCTION("""COMPUTED_VALUE"""),4.5855)</f>
        <v>4.5855</v>
      </c>
    </row>
    <row r="3195">
      <c r="D3195" s="6">
        <f>IFERROR(__xludf.DUMMYFUNCTION("""COMPUTED_VALUE"""),42922.99861111111)</f>
        <v>42922.99861</v>
      </c>
      <c r="E3195" s="3">
        <f>IFERROR(__xludf.DUMMYFUNCTION("""COMPUTED_VALUE"""),4.5892)</f>
        <v>4.5892</v>
      </c>
    </row>
    <row r="3196">
      <c r="D3196" s="6">
        <f>IFERROR(__xludf.DUMMYFUNCTION("""COMPUTED_VALUE"""),42923.99861111111)</f>
        <v>42923.99861</v>
      </c>
      <c r="E3196" s="3">
        <f>IFERROR(__xludf.DUMMYFUNCTION("""COMPUTED_VALUE"""),4.574)</f>
        <v>4.574</v>
      </c>
    </row>
    <row r="3197">
      <c r="D3197" s="6">
        <f>IFERROR(__xludf.DUMMYFUNCTION("""COMPUTED_VALUE"""),42926.99861111111)</f>
        <v>42926.99861</v>
      </c>
      <c r="E3197" s="3">
        <f>IFERROR(__xludf.DUMMYFUNCTION("""COMPUTED_VALUE"""),4.5676)</f>
        <v>4.5676</v>
      </c>
    </row>
    <row r="3198">
      <c r="D3198" s="6">
        <f>IFERROR(__xludf.DUMMYFUNCTION("""COMPUTED_VALUE"""),42927.99861111111)</f>
        <v>42927.99861</v>
      </c>
      <c r="E3198" s="3">
        <f>IFERROR(__xludf.DUMMYFUNCTION("""COMPUTED_VALUE"""),4.5683)</f>
        <v>4.5683</v>
      </c>
    </row>
    <row r="3199">
      <c r="D3199" s="6">
        <f>IFERROR(__xludf.DUMMYFUNCTION("""COMPUTED_VALUE"""),42928.99861111111)</f>
        <v>42928.99861</v>
      </c>
      <c r="E3199" s="3">
        <f>IFERROR(__xludf.DUMMYFUNCTION("""COMPUTED_VALUE"""),4.5608)</f>
        <v>4.5608</v>
      </c>
    </row>
    <row r="3200">
      <c r="D3200" s="6">
        <f>IFERROR(__xludf.DUMMYFUNCTION("""COMPUTED_VALUE"""),42929.99861111111)</f>
        <v>42929.99861</v>
      </c>
      <c r="E3200" s="3">
        <f>IFERROR(__xludf.DUMMYFUNCTION("""COMPUTED_VALUE"""),4.5608)</f>
        <v>4.5608</v>
      </c>
    </row>
    <row r="3201">
      <c r="D3201" s="6">
        <f>IFERROR(__xludf.DUMMYFUNCTION("""COMPUTED_VALUE"""),42930.99861111111)</f>
        <v>42930.99861</v>
      </c>
      <c r="E3201" s="3">
        <f>IFERROR(__xludf.DUMMYFUNCTION("""COMPUTED_VALUE"""),4.5612)</f>
        <v>4.5612</v>
      </c>
    </row>
    <row r="3202">
      <c r="D3202" s="6">
        <f>IFERROR(__xludf.DUMMYFUNCTION("""COMPUTED_VALUE"""),42935.99861111111)</f>
        <v>42935.99861</v>
      </c>
      <c r="E3202" s="3">
        <f>IFERROR(__xludf.DUMMYFUNCTION("""COMPUTED_VALUE"""),4.5649)</f>
        <v>4.5649</v>
      </c>
    </row>
    <row r="3203">
      <c r="D3203" s="6">
        <f>IFERROR(__xludf.DUMMYFUNCTION("""COMPUTED_VALUE"""),42936.99861111111)</f>
        <v>42936.99861</v>
      </c>
      <c r="E3203" s="3">
        <f>IFERROR(__xludf.DUMMYFUNCTION("""COMPUTED_VALUE"""),4.5665)</f>
        <v>4.5665</v>
      </c>
    </row>
    <row r="3204">
      <c r="D3204" s="6">
        <f>IFERROR(__xludf.DUMMYFUNCTION("""COMPUTED_VALUE"""),42937.99861111111)</f>
        <v>42937.99861</v>
      </c>
      <c r="E3204" s="3">
        <f>IFERROR(__xludf.DUMMYFUNCTION("""COMPUTED_VALUE"""),4.5698)</f>
        <v>4.5698</v>
      </c>
    </row>
    <row r="3205">
      <c r="D3205" s="6">
        <f>IFERROR(__xludf.DUMMYFUNCTION("""COMPUTED_VALUE"""),42940.99861111111)</f>
        <v>42940.99861</v>
      </c>
      <c r="E3205" s="3">
        <f>IFERROR(__xludf.DUMMYFUNCTION("""COMPUTED_VALUE"""),4.561)</f>
        <v>4.561</v>
      </c>
    </row>
    <row r="3206">
      <c r="D3206" s="6">
        <f>IFERROR(__xludf.DUMMYFUNCTION("""COMPUTED_VALUE"""),42941.99861111111)</f>
        <v>42941.99861</v>
      </c>
      <c r="E3206" s="3">
        <f>IFERROR(__xludf.DUMMYFUNCTION("""COMPUTED_VALUE"""),4.563)</f>
        <v>4.563</v>
      </c>
    </row>
    <row r="3207">
      <c r="D3207" s="6">
        <f>IFERROR(__xludf.DUMMYFUNCTION("""COMPUTED_VALUE"""),42942.99861111111)</f>
        <v>42942.99861</v>
      </c>
      <c r="E3207" s="3">
        <f>IFERROR(__xludf.DUMMYFUNCTION("""COMPUTED_VALUE"""),4.5645)</f>
        <v>4.5645</v>
      </c>
    </row>
    <row r="3208">
      <c r="D3208" s="6">
        <f>IFERROR(__xludf.DUMMYFUNCTION("""COMPUTED_VALUE"""),42943.99861111111)</f>
        <v>42943.99861</v>
      </c>
      <c r="E3208" s="3">
        <f>IFERROR(__xludf.DUMMYFUNCTION("""COMPUTED_VALUE"""),4.5613)</f>
        <v>4.5613</v>
      </c>
    </row>
    <row r="3209">
      <c r="D3209" s="6">
        <f>IFERROR(__xludf.DUMMYFUNCTION("""COMPUTED_VALUE"""),42944.99861111111)</f>
        <v>42944.99861</v>
      </c>
      <c r="E3209" s="3">
        <f>IFERROR(__xludf.DUMMYFUNCTION("""COMPUTED_VALUE"""),4.5581)</f>
        <v>4.5581</v>
      </c>
    </row>
    <row r="3210">
      <c r="D3210" s="6">
        <f>IFERROR(__xludf.DUMMYFUNCTION("""COMPUTED_VALUE"""),42947.99861111111)</f>
        <v>42947.99861</v>
      </c>
      <c r="E3210" s="3">
        <f>IFERROR(__xludf.DUMMYFUNCTION("""COMPUTED_VALUE"""),4.557)</f>
        <v>4.557</v>
      </c>
    </row>
    <row r="3211">
      <c r="D3211" s="6">
        <f>IFERROR(__xludf.DUMMYFUNCTION("""COMPUTED_VALUE"""),42948.99861111111)</f>
        <v>42948.99861</v>
      </c>
      <c r="E3211" s="3">
        <f>IFERROR(__xludf.DUMMYFUNCTION("""COMPUTED_VALUE"""),4.5507)</f>
        <v>4.5507</v>
      </c>
    </row>
    <row r="3212">
      <c r="D3212" s="6">
        <f>IFERROR(__xludf.DUMMYFUNCTION("""COMPUTED_VALUE"""),42949.99861111111)</f>
        <v>42949.99861</v>
      </c>
      <c r="E3212" s="3">
        <f>IFERROR(__xludf.DUMMYFUNCTION("""COMPUTED_VALUE"""),4.5584)</f>
        <v>4.5584</v>
      </c>
    </row>
    <row r="3213">
      <c r="D3213" s="6">
        <f>IFERROR(__xludf.DUMMYFUNCTION("""COMPUTED_VALUE"""),42950.99861111111)</f>
        <v>42950.99861</v>
      </c>
      <c r="E3213" s="3">
        <f>IFERROR(__xludf.DUMMYFUNCTION("""COMPUTED_VALUE"""),4.5577)</f>
        <v>4.5577</v>
      </c>
    </row>
    <row r="3214">
      <c r="D3214" s="6">
        <f>IFERROR(__xludf.DUMMYFUNCTION("""COMPUTED_VALUE"""),42951.99861111111)</f>
        <v>42951.99861</v>
      </c>
      <c r="E3214" s="3">
        <f>IFERROR(__xludf.DUMMYFUNCTION("""COMPUTED_VALUE"""),4.564)</f>
        <v>4.564</v>
      </c>
    </row>
    <row r="3215">
      <c r="D3215" s="6">
        <f>IFERROR(__xludf.DUMMYFUNCTION("""COMPUTED_VALUE"""),42954.99861111111)</f>
        <v>42954.99861</v>
      </c>
      <c r="E3215" s="3">
        <f>IFERROR(__xludf.DUMMYFUNCTION("""COMPUTED_VALUE"""),4.56)</f>
        <v>4.56</v>
      </c>
    </row>
    <row r="3216">
      <c r="D3216" s="6">
        <f>IFERROR(__xludf.DUMMYFUNCTION("""COMPUTED_VALUE"""),42955.99861111111)</f>
        <v>42955.99861</v>
      </c>
      <c r="E3216" s="3">
        <f>IFERROR(__xludf.DUMMYFUNCTION("""COMPUTED_VALUE"""),4.5615)</f>
        <v>4.5615</v>
      </c>
    </row>
    <row r="3217">
      <c r="D3217" s="6">
        <f>IFERROR(__xludf.DUMMYFUNCTION("""COMPUTED_VALUE"""),42956.99861111111)</f>
        <v>42956.99861</v>
      </c>
      <c r="E3217" s="3">
        <f>IFERROR(__xludf.DUMMYFUNCTION("""COMPUTED_VALUE"""),4.5667)</f>
        <v>4.5667</v>
      </c>
    </row>
    <row r="3218">
      <c r="D3218" s="6">
        <f>IFERROR(__xludf.DUMMYFUNCTION("""COMPUTED_VALUE"""),42957.99861111111)</f>
        <v>42957.99861</v>
      </c>
      <c r="E3218" s="3">
        <f>IFERROR(__xludf.DUMMYFUNCTION("""COMPUTED_VALUE"""),4.5715)</f>
        <v>4.5715</v>
      </c>
    </row>
    <row r="3219">
      <c r="D3219" s="6">
        <f>IFERROR(__xludf.DUMMYFUNCTION("""COMPUTED_VALUE"""),42958.99861111111)</f>
        <v>42958.99861</v>
      </c>
      <c r="E3219" s="3">
        <f>IFERROR(__xludf.DUMMYFUNCTION("""COMPUTED_VALUE"""),4.5708)</f>
        <v>4.5708</v>
      </c>
    </row>
    <row r="3220">
      <c r="D3220" s="6">
        <f>IFERROR(__xludf.DUMMYFUNCTION("""COMPUTED_VALUE"""),42961.99861111111)</f>
        <v>42961.99861</v>
      </c>
      <c r="E3220" s="3">
        <f>IFERROR(__xludf.DUMMYFUNCTION("""COMPUTED_VALUE"""),4.5709)</f>
        <v>4.5709</v>
      </c>
    </row>
    <row r="3221">
      <c r="D3221" s="6">
        <f>IFERROR(__xludf.DUMMYFUNCTION("""COMPUTED_VALUE"""),42962.99861111111)</f>
        <v>42962.99861</v>
      </c>
      <c r="E3221" s="3">
        <f>IFERROR(__xludf.DUMMYFUNCTION("""COMPUTED_VALUE"""),4.57)</f>
        <v>4.57</v>
      </c>
    </row>
    <row r="3222">
      <c r="D3222" s="6">
        <f>IFERROR(__xludf.DUMMYFUNCTION("""COMPUTED_VALUE"""),42963.99861111111)</f>
        <v>42963.99861</v>
      </c>
      <c r="E3222" s="3">
        <f>IFERROR(__xludf.DUMMYFUNCTION("""COMPUTED_VALUE"""),4.5827)</f>
        <v>4.5827</v>
      </c>
    </row>
    <row r="3223">
      <c r="D3223" s="6">
        <f>IFERROR(__xludf.DUMMYFUNCTION("""COMPUTED_VALUE"""),42964.99861111111)</f>
        <v>42964.99861</v>
      </c>
      <c r="E3223" s="3">
        <f>IFERROR(__xludf.DUMMYFUNCTION("""COMPUTED_VALUE"""),4.5856)</f>
        <v>4.5856</v>
      </c>
    </row>
    <row r="3224">
      <c r="D3224" s="6">
        <f>IFERROR(__xludf.DUMMYFUNCTION("""COMPUTED_VALUE"""),42965.99861111111)</f>
        <v>42965.99861</v>
      </c>
      <c r="E3224" s="3">
        <f>IFERROR(__xludf.DUMMYFUNCTION("""COMPUTED_VALUE"""),4.5859)</f>
        <v>4.5859</v>
      </c>
    </row>
    <row r="3225">
      <c r="D3225" s="6">
        <f>IFERROR(__xludf.DUMMYFUNCTION("""COMPUTED_VALUE"""),42968.99861111111)</f>
        <v>42968.99861</v>
      </c>
      <c r="E3225" s="3">
        <f>IFERROR(__xludf.DUMMYFUNCTION("""COMPUTED_VALUE"""),4.5835)</f>
        <v>4.5835</v>
      </c>
    </row>
    <row r="3226">
      <c r="D3226" s="6">
        <f>IFERROR(__xludf.DUMMYFUNCTION("""COMPUTED_VALUE"""),42969.99861111111)</f>
        <v>42969.99861</v>
      </c>
      <c r="E3226" s="3">
        <f>IFERROR(__xludf.DUMMYFUNCTION("""COMPUTED_VALUE"""),4.583)</f>
        <v>4.583</v>
      </c>
    </row>
    <row r="3227">
      <c r="D3227" s="6">
        <f>IFERROR(__xludf.DUMMYFUNCTION("""COMPUTED_VALUE"""),42970.99861111111)</f>
        <v>42970.99861</v>
      </c>
      <c r="E3227" s="3">
        <f>IFERROR(__xludf.DUMMYFUNCTION("""COMPUTED_VALUE"""),4.584)</f>
        <v>4.584</v>
      </c>
    </row>
    <row r="3228">
      <c r="D3228" s="6">
        <f>IFERROR(__xludf.DUMMYFUNCTION("""COMPUTED_VALUE"""),42971.99861111111)</f>
        <v>42971.99861</v>
      </c>
      <c r="E3228" s="3">
        <f>IFERROR(__xludf.DUMMYFUNCTION("""COMPUTED_VALUE"""),4.5815)</f>
        <v>4.5815</v>
      </c>
    </row>
    <row r="3229">
      <c r="D3229" s="6">
        <f>IFERROR(__xludf.DUMMYFUNCTION("""COMPUTED_VALUE"""),42972.99861111111)</f>
        <v>42972.99861</v>
      </c>
      <c r="E3229" s="3">
        <f>IFERROR(__xludf.DUMMYFUNCTION("""COMPUTED_VALUE"""),4.5964)</f>
        <v>4.5964</v>
      </c>
    </row>
    <row r="3230">
      <c r="D3230" s="6">
        <f>IFERROR(__xludf.DUMMYFUNCTION("""COMPUTED_VALUE"""),42975.99861111111)</f>
        <v>42975.99861</v>
      </c>
      <c r="E3230" s="3">
        <f>IFERROR(__xludf.DUMMYFUNCTION("""COMPUTED_VALUE"""),4.595)</f>
        <v>4.595</v>
      </c>
    </row>
    <row r="3231">
      <c r="D3231" s="6">
        <f>IFERROR(__xludf.DUMMYFUNCTION("""COMPUTED_VALUE"""),42976.99861111111)</f>
        <v>42976.99861</v>
      </c>
      <c r="E3231" s="3">
        <f>IFERROR(__xludf.DUMMYFUNCTION("""COMPUTED_VALUE"""),4.5904)</f>
        <v>4.5904</v>
      </c>
    </row>
    <row r="3232">
      <c r="D3232" s="6">
        <f>IFERROR(__xludf.DUMMYFUNCTION("""COMPUTED_VALUE"""),42977.99861111111)</f>
        <v>42977.99861</v>
      </c>
      <c r="E3232" s="3">
        <f>IFERROR(__xludf.DUMMYFUNCTION("""COMPUTED_VALUE"""),4.5888)</f>
        <v>4.5888</v>
      </c>
    </row>
    <row r="3233">
      <c r="D3233" s="6">
        <f>IFERROR(__xludf.DUMMYFUNCTION("""COMPUTED_VALUE"""),42978.99861111111)</f>
        <v>42978.99861</v>
      </c>
      <c r="E3233" s="3">
        <f>IFERROR(__xludf.DUMMYFUNCTION("""COMPUTED_VALUE"""),4.592)</f>
        <v>4.592</v>
      </c>
    </row>
    <row r="3234">
      <c r="D3234" s="6">
        <f>IFERROR(__xludf.DUMMYFUNCTION("""COMPUTED_VALUE"""),42979.99861111111)</f>
        <v>42979.99861</v>
      </c>
      <c r="E3234" s="3">
        <f>IFERROR(__xludf.DUMMYFUNCTION("""COMPUTED_VALUE"""),4.5921)</f>
        <v>4.5921</v>
      </c>
    </row>
    <row r="3235">
      <c r="D3235" s="6">
        <f>IFERROR(__xludf.DUMMYFUNCTION("""COMPUTED_VALUE"""),42982.99861111111)</f>
        <v>42982.99861</v>
      </c>
      <c r="E3235" s="3">
        <f>IFERROR(__xludf.DUMMYFUNCTION("""COMPUTED_VALUE"""),4.5972)</f>
        <v>4.5972</v>
      </c>
    </row>
    <row r="3236">
      <c r="D3236" s="6">
        <f>IFERROR(__xludf.DUMMYFUNCTION("""COMPUTED_VALUE"""),42983.99861111111)</f>
        <v>42983.99861</v>
      </c>
      <c r="E3236" s="3">
        <f>IFERROR(__xludf.DUMMYFUNCTION("""COMPUTED_VALUE"""),4.593)</f>
        <v>4.593</v>
      </c>
    </row>
    <row r="3237">
      <c r="D3237" s="6">
        <f>IFERROR(__xludf.DUMMYFUNCTION("""COMPUTED_VALUE"""),42984.99861111111)</f>
        <v>42984.99861</v>
      </c>
      <c r="E3237" s="3">
        <f>IFERROR(__xludf.DUMMYFUNCTION("""COMPUTED_VALUE"""),4.5932)</f>
        <v>4.5932</v>
      </c>
    </row>
    <row r="3238">
      <c r="D3238" s="6">
        <f>IFERROR(__xludf.DUMMYFUNCTION("""COMPUTED_VALUE"""),42985.99861111111)</f>
        <v>42985.99861</v>
      </c>
      <c r="E3238" s="3">
        <f>IFERROR(__xludf.DUMMYFUNCTION("""COMPUTED_VALUE"""),4.5938)</f>
        <v>4.5938</v>
      </c>
    </row>
    <row r="3239">
      <c r="D3239" s="6">
        <f>IFERROR(__xludf.DUMMYFUNCTION("""COMPUTED_VALUE"""),42986.99861111111)</f>
        <v>42986.99861</v>
      </c>
      <c r="E3239" s="3">
        <f>IFERROR(__xludf.DUMMYFUNCTION("""COMPUTED_VALUE"""),4.6031)</f>
        <v>4.6031</v>
      </c>
    </row>
    <row r="3240">
      <c r="D3240" s="6">
        <f>IFERROR(__xludf.DUMMYFUNCTION("""COMPUTED_VALUE"""),42989.99861111111)</f>
        <v>42989.99861</v>
      </c>
      <c r="E3240" s="3">
        <f>IFERROR(__xludf.DUMMYFUNCTION("""COMPUTED_VALUE"""),4.5947)</f>
        <v>4.5947</v>
      </c>
    </row>
    <row r="3241">
      <c r="D3241" s="6">
        <f>IFERROR(__xludf.DUMMYFUNCTION("""COMPUTED_VALUE"""),42990.99861111111)</f>
        <v>42990.99861</v>
      </c>
      <c r="E3241" s="3">
        <f>IFERROR(__xludf.DUMMYFUNCTION("""COMPUTED_VALUE"""),4.5983)</f>
        <v>4.5983</v>
      </c>
    </row>
    <row r="3242">
      <c r="D3242" s="6">
        <f>IFERROR(__xludf.DUMMYFUNCTION("""COMPUTED_VALUE"""),42991.99861111111)</f>
        <v>42991.99861</v>
      </c>
      <c r="E3242" s="3">
        <f>IFERROR(__xludf.DUMMYFUNCTION("""COMPUTED_VALUE"""),4.6016)</f>
        <v>4.6016</v>
      </c>
    </row>
    <row r="3243">
      <c r="D3243" s="6">
        <f>IFERROR(__xludf.DUMMYFUNCTION("""COMPUTED_VALUE"""),42992.99861111111)</f>
        <v>42992.99861</v>
      </c>
      <c r="E3243" s="3">
        <f>IFERROR(__xludf.DUMMYFUNCTION("""COMPUTED_VALUE"""),4.5992)</f>
        <v>4.5992</v>
      </c>
    </row>
    <row r="3244">
      <c r="D3244" s="6">
        <f>IFERROR(__xludf.DUMMYFUNCTION("""COMPUTED_VALUE"""),42993.99861111111)</f>
        <v>42993.99861</v>
      </c>
      <c r="E3244" s="3">
        <f>IFERROR(__xludf.DUMMYFUNCTION("""COMPUTED_VALUE"""),4.5989)</f>
        <v>4.5989</v>
      </c>
    </row>
    <row r="3245">
      <c r="D3245" s="6">
        <f>IFERROR(__xludf.DUMMYFUNCTION("""COMPUTED_VALUE"""),42996.99861111111)</f>
        <v>42996.99861</v>
      </c>
      <c r="E3245" s="3">
        <f>IFERROR(__xludf.DUMMYFUNCTION("""COMPUTED_VALUE"""),4.5955)</f>
        <v>4.5955</v>
      </c>
    </row>
    <row r="3246">
      <c r="D3246" s="6">
        <f>IFERROR(__xludf.DUMMYFUNCTION("""COMPUTED_VALUE"""),42997.99861111111)</f>
        <v>42997.99861</v>
      </c>
      <c r="E3246" s="3">
        <f>IFERROR(__xludf.DUMMYFUNCTION("""COMPUTED_VALUE"""),4.5991)</f>
        <v>4.5991</v>
      </c>
    </row>
    <row r="3247">
      <c r="D3247" s="6">
        <f>IFERROR(__xludf.DUMMYFUNCTION("""COMPUTED_VALUE"""),42998.99861111111)</f>
        <v>42998.99861</v>
      </c>
      <c r="E3247" s="3">
        <f>IFERROR(__xludf.DUMMYFUNCTION("""COMPUTED_VALUE"""),4.5945)</f>
        <v>4.5945</v>
      </c>
    </row>
    <row r="3248">
      <c r="D3248" s="6">
        <f>IFERROR(__xludf.DUMMYFUNCTION("""COMPUTED_VALUE"""),42999.99861111111)</f>
        <v>42999.99861</v>
      </c>
      <c r="E3248" s="3">
        <f>IFERROR(__xludf.DUMMYFUNCTION("""COMPUTED_VALUE"""),4.595)</f>
        <v>4.595</v>
      </c>
    </row>
    <row r="3249">
      <c r="D3249" s="6">
        <f>IFERROR(__xludf.DUMMYFUNCTION("""COMPUTED_VALUE"""),43000.99861111111)</f>
        <v>43000.99861</v>
      </c>
      <c r="E3249" s="3">
        <f>IFERROR(__xludf.DUMMYFUNCTION("""COMPUTED_VALUE"""),4.5955)</f>
        <v>4.5955</v>
      </c>
    </row>
    <row r="3250">
      <c r="D3250" s="6">
        <f>IFERROR(__xludf.DUMMYFUNCTION("""COMPUTED_VALUE"""),43003.99861111111)</f>
        <v>43003.99861</v>
      </c>
      <c r="E3250" s="3">
        <f>IFERROR(__xludf.DUMMYFUNCTION("""COMPUTED_VALUE"""),4.5951)</f>
        <v>4.5951</v>
      </c>
    </row>
    <row r="3251">
      <c r="D3251" s="6">
        <f>IFERROR(__xludf.DUMMYFUNCTION("""COMPUTED_VALUE"""),43004.99861111111)</f>
        <v>43004.99861</v>
      </c>
      <c r="E3251" s="3">
        <f>IFERROR(__xludf.DUMMYFUNCTION("""COMPUTED_VALUE"""),4.6023)</f>
        <v>4.6023</v>
      </c>
    </row>
    <row r="3252">
      <c r="D3252" s="6">
        <f>IFERROR(__xludf.DUMMYFUNCTION("""COMPUTED_VALUE"""),43005.99861111111)</f>
        <v>43005.99861</v>
      </c>
      <c r="E3252" s="3">
        <f>IFERROR(__xludf.DUMMYFUNCTION("""COMPUTED_VALUE"""),4.5961)</f>
        <v>4.5961</v>
      </c>
    </row>
    <row r="3253">
      <c r="D3253" s="6">
        <f>IFERROR(__xludf.DUMMYFUNCTION("""COMPUTED_VALUE"""),43006.99861111111)</f>
        <v>43006.99861</v>
      </c>
      <c r="E3253" s="3">
        <f>IFERROR(__xludf.DUMMYFUNCTION("""COMPUTED_VALUE"""),4.5989)</f>
        <v>4.5989</v>
      </c>
    </row>
    <row r="3254">
      <c r="D3254" s="6">
        <f>IFERROR(__xludf.DUMMYFUNCTION("""COMPUTED_VALUE"""),43007.99861111111)</f>
        <v>43007.99861</v>
      </c>
      <c r="E3254" s="3">
        <f>IFERROR(__xludf.DUMMYFUNCTION("""COMPUTED_VALUE"""),4.5954)</f>
        <v>4.5954</v>
      </c>
    </row>
    <row r="3255">
      <c r="D3255" s="6">
        <f>IFERROR(__xludf.DUMMYFUNCTION("""COMPUTED_VALUE"""),43010.99861111111)</f>
        <v>43010.99861</v>
      </c>
      <c r="E3255" s="3">
        <f>IFERROR(__xludf.DUMMYFUNCTION("""COMPUTED_VALUE"""),4.582)</f>
        <v>4.582</v>
      </c>
    </row>
    <row r="3256">
      <c r="D3256" s="6">
        <f>IFERROR(__xludf.DUMMYFUNCTION("""COMPUTED_VALUE"""),43011.99861111111)</f>
        <v>43011.99861</v>
      </c>
      <c r="E3256" s="3">
        <f>IFERROR(__xludf.DUMMYFUNCTION("""COMPUTED_VALUE"""),4.585)</f>
        <v>4.585</v>
      </c>
    </row>
    <row r="3257">
      <c r="D3257" s="6">
        <f>IFERROR(__xludf.DUMMYFUNCTION("""COMPUTED_VALUE"""),43012.99861111111)</f>
        <v>43012.99861</v>
      </c>
      <c r="E3257" s="3">
        <f>IFERROR(__xludf.DUMMYFUNCTION("""COMPUTED_VALUE"""),4.575)</f>
        <v>4.575</v>
      </c>
    </row>
    <row r="3258">
      <c r="D3258" s="6">
        <f>IFERROR(__xludf.DUMMYFUNCTION("""COMPUTED_VALUE"""),43013.99861111111)</f>
        <v>43013.99861</v>
      </c>
      <c r="E3258" s="3">
        <f>IFERROR(__xludf.DUMMYFUNCTION("""COMPUTED_VALUE"""),4.5735)</f>
        <v>4.5735</v>
      </c>
    </row>
    <row r="3259">
      <c r="D3259" s="6">
        <f>IFERROR(__xludf.DUMMYFUNCTION("""COMPUTED_VALUE"""),43014.99861111111)</f>
        <v>43014.99861</v>
      </c>
      <c r="E3259" s="3">
        <f>IFERROR(__xludf.DUMMYFUNCTION("""COMPUTED_VALUE"""),4.5747)</f>
        <v>4.5747</v>
      </c>
    </row>
    <row r="3260">
      <c r="D3260" s="6">
        <f>IFERROR(__xludf.DUMMYFUNCTION("""COMPUTED_VALUE"""),43017.99861111111)</f>
        <v>43017.99861</v>
      </c>
      <c r="E3260" s="3">
        <f>IFERROR(__xludf.DUMMYFUNCTION("""COMPUTED_VALUE"""),4.5682)</f>
        <v>4.5682</v>
      </c>
    </row>
    <row r="3261">
      <c r="D3261" s="6">
        <f>IFERROR(__xludf.DUMMYFUNCTION("""COMPUTED_VALUE"""),43018.99861111111)</f>
        <v>43018.99861</v>
      </c>
      <c r="E3261" s="3">
        <f>IFERROR(__xludf.DUMMYFUNCTION("""COMPUTED_VALUE"""),4.5825)</f>
        <v>4.5825</v>
      </c>
    </row>
    <row r="3262">
      <c r="D3262" s="6">
        <f>IFERROR(__xludf.DUMMYFUNCTION("""COMPUTED_VALUE"""),43019.99861111111)</f>
        <v>43019.99861</v>
      </c>
      <c r="E3262" s="3">
        <f>IFERROR(__xludf.DUMMYFUNCTION("""COMPUTED_VALUE"""),4.5826)</f>
        <v>4.5826</v>
      </c>
    </row>
    <row r="3263">
      <c r="D3263" s="6">
        <f>IFERROR(__xludf.DUMMYFUNCTION("""COMPUTED_VALUE"""),43020.99861111111)</f>
        <v>43020.99861</v>
      </c>
      <c r="E3263" s="3">
        <f>IFERROR(__xludf.DUMMYFUNCTION("""COMPUTED_VALUE"""),4.5898)</f>
        <v>4.5898</v>
      </c>
    </row>
    <row r="3264">
      <c r="D3264" s="6">
        <f>IFERROR(__xludf.DUMMYFUNCTION("""COMPUTED_VALUE"""),43021.99861111111)</f>
        <v>43021.99861</v>
      </c>
      <c r="E3264" s="3">
        <f>IFERROR(__xludf.DUMMYFUNCTION("""COMPUTED_VALUE"""),4.582)</f>
        <v>4.582</v>
      </c>
    </row>
    <row r="3265">
      <c r="D3265" s="6">
        <f>IFERROR(__xludf.DUMMYFUNCTION("""COMPUTED_VALUE"""),43024.99861111111)</f>
        <v>43024.99861</v>
      </c>
      <c r="E3265" s="3">
        <f>IFERROR(__xludf.DUMMYFUNCTION("""COMPUTED_VALUE"""),4.585)</f>
        <v>4.585</v>
      </c>
    </row>
    <row r="3266">
      <c r="D3266" s="6">
        <f>IFERROR(__xludf.DUMMYFUNCTION("""COMPUTED_VALUE"""),43025.99861111111)</f>
        <v>43025.99861</v>
      </c>
      <c r="E3266" s="3">
        <f>IFERROR(__xludf.DUMMYFUNCTION("""COMPUTED_VALUE"""),4.5826)</f>
        <v>4.5826</v>
      </c>
    </row>
    <row r="3267">
      <c r="D3267" s="6">
        <f>IFERROR(__xludf.DUMMYFUNCTION("""COMPUTED_VALUE"""),43026.99861111111)</f>
        <v>43026.99861</v>
      </c>
      <c r="E3267" s="3">
        <f>IFERROR(__xludf.DUMMYFUNCTION("""COMPUTED_VALUE"""),4.5854)</f>
        <v>4.5854</v>
      </c>
    </row>
    <row r="3268">
      <c r="D3268" s="6">
        <f>IFERROR(__xludf.DUMMYFUNCTION("""COMPUTED_VALUE"""),43027.99861111111)</f>
        <v>43027.99861</v>
      </c>
      <c r="E3268" s="3">
        <f>IFERROR(__xludf.DUMMYFUNCTION("""COMPUTED_VALUE"""),4.595)</f>
        <v>4.595</v>
      </c>
    </row>
    <row r="3269">
      <c r="D3269" s="6">
        <f>IFERROR(__xludf.DUMMYFUNCTION("""COMPUTED_VALUE"""),43028.99861111111)</f>
        <v>43028.99861</v>
      </c>
      <c r="E3269" s="3">
        <f>IFERROR(__xludf.DUMMYFUNCTION("""COMPUTED_VALUE"""),4.5992)</f>
        <v>4.5992</v>
      </c>
    </row>
    <row r="3270">
      <c r="D3270" s="6">
        <f>IFERROR(__xludf.DUMMYFUNCTION("""COMPUTED_VALUE"""),43031.99861111111)</f>
        <v>43031.99861</v>
      </c>
      <c r="E3270" s="3">
        <f>IFERROR(__xludf.DUMMYFUNCTION("""COMPUTED_VALUE"""),4.5947)</f>
        <v>4.5947</v>
      </c>
    </row>
    <row r="3271">
      <c r="D3271" s="6">
        <f>IFERROR(__xludf.DUMMYFUNCTION("""COMPUTED_VALUE"""),43032.99861111111)</f>
        <v>43032.99861</v>
      </c>
      <c r="E3271" s="3">
        <f>IFERROR(__xludf.DUMMYFUNCTION("""COMPUTED_VALUE"""),4.595)</f>
        <v>4.595</v>
      </c>
    </row>
    <row r="3272">
      <c r="D3272" s="6">
        <f>IFERROR(__xludf.DUMMYFUNCTION("""COMPUTED_VALUE"""),43033.99861111111)</f>
        <v>43033.99861</v>
      </c>
      <c r="E3272" s="3">
        <f>IFERROR(__xludf.DUMMYFUNCTION("""COMPUTED_VALUE"""),4.5948)</f>
        <v>4.5948</v>
      </c>
    </row>
    <row r="3273">
      <c r="D3273" s="6">
        <f>IFERROR(__xludf.DUMMYFUNCTION("""COMPUTED_VALUE"""),43034.99861111111)</f>
        <v>43034.99861</v>
      </c>
      <c r="E3273" s="3">
        <f>IFERROR(__xludf.DUMMYFUNCTION("""COMPUTED_VALUE"""),4.5946)</f>
        <v>4.5946</v>
      </c>
    </row>
    <row r="3274">
      <c r="D3274" s="6">
        <f>IFERROR(__xludf.DUMMYFUNCTION("""COMPUTED_VALUE"""),43035.99861111111)</f>
        <v>43035.99861</v>
      </c>
      <c r="E3274" s="3">
        <f>IFERROR(__xludf.DUMMYFUNCTION("""COMPUTED_VALUE"""),4.6099)</f>
        <v>4.6099</v>
      </c>
    </row>
    <row r="3275">
      <c r="D3275" s="6">
        <f>IFERROR(__xludf.DUMMYFUNCTION("""COMPUTED_VALUE"""),43038.99861111111)</f>
        <v>43038.99861</v>
      </c>
      <c r="E3275" s="3">
        <f>IFERROR(__xludf.DUMMYFUNCTION("""COMPUTED_VALUE"""),4.5955)</f>
        <v>4.5955</v>
      </c>
    </row>
    <row r="3276">
      <c r="D3276" s="6">
        <f>IFERROR(__xludf.DUMMYFUNCTION("""COMPUTED_VALUE"""),43039.99861111111)</f>
        <v>43039.99861</v>
      </c>
      <c r="E3276" s="3">
        <f>IFERROR(__xludf.DUMMYFUNCTION("""COMPUTED_VALUE"""),4.6013)</f>
        <v>4.6013</v>
      </c>
    </row>
    <row r="3277">
      <c r="D3277" s="6">
        <f>IFERROR(__xludf.DUMMYFUNCTION("""COMPUTED_VALUE"""),43040.99861111111)</f>
        <v>43040.99861</v>
      </c>
      <c r="E3277" s="3">
        <f>IFERROR(__xludf.DUMMYFUNCTION("""COMPUTED_VALUE"""),4.6042)</f>
        <v>4.6042</v>
      </c>
    </row>
    <row r="3278">
      <c r="D3278" s="6">
        <f>IFERROR(__xludf.DUMMYFUNCTION("""COMPUTED_VALUE"""),43041.99861111111)</f>
        <v>43041.99861</v>
      </c>
      <c r="E3278" s="3">
        <f>IFERROR(__xludf.DUMMYFUNCTION("""COMPUTED_VALUE"""),4.6011)</f>
        <v>4.6011</v>
      </c>
    </row>
    <row r="3279">
      <c r="D3279" s="6">
        <f>IFERROR(__xludf.DUMMYFUNCTION("""COMPUTED_VALUE"""),43042.99861111111)</f>
        <v>43042.99861</v>
      </c>
      <c r="E3279" s="3">
        <f>IFERROR(__xludf.DUMMYFUNCTION("""COMPUTED_VALUE"""),4.6077)</f>
        <v>4.6077</v>
      </c>
    </row>
    <row r="3280">
      <c r="D3280" s="6">
        <f>IFERROR(__xludf.DUMMYFUNCTION("""COMPUTED_VALUE"""),43045.99861111111)</f>
        <v>43045.99861</v>
      </c>
      <c r="E3280" s="3">
        <f>IFERROR(__xludf.DUMMYFUNCTION("""COMPUTED_VALUE"""),4.5883)</f>
        <v>4.5883</v>
      </c>
    </row>
    <row r="3281">
      <c r="D3281" s="6">
        <f>IFERROR(__xludf.DUMMYFUNCTION("""COMPUTED_VALUE"""),43046.99861111111)</f>
        <v>43046.99861</v>
      </c>
      <c r="E3281" s="3">
        <f>IFERROR(__xludf.DUMMYFUNCTION("""COMPUTED_VALUE"""),4.6355)</f>
        <v>4.6355</v>
      </c>
    </row>
    <row r="3282">
      <c r="D3282" s="6">
        <f>IFERROR(__xludf.DUMMYFUNCTION("""COMPUTED_VALUE"""),43047.99861111111)</f>
        <v>43047.99861</v>
      </c>
      <c r="E3282" s="3">
        <f>IFERROR(__xludf.DUMMYFUNCTION("""COMPUTED_VALUE"""),4.6328)</f>
        <v>4.6328</v>
      </c>
    </row>
    <row r="3283">
      <c r="D3283" s="6">
        <f>IFERROR(__xludf.DUMMYFUNCTION("""COMPUTED_VALUE"""),43048.99861111111)</f>
        <v>43048.99861</v>
      </c>
      <c r="E3283" s="3">
        <f>IFERROR(__xludf.DUMMYFUNCTION("""COMPUTED_VALUE"""),4.6453)</f>
        <v>4.6453</v>
      </c>
    </row>
    <row r="3284">
      <c r="D3284" s="6">
        <f>IFERROR(__xludf.DUMMYFUNCTION("""COMPUTED_VALUE"""),43049.99861111111)</f>
        <v>43049.99861</v>
      </c>
      <c r="E3284" s="3">
        <f>IFERROR(__xludf.DUMMYFUNCTION("""COMPUTED_VALUE"""),4.6538)</f>
        <v>4.6538</v>
      </c>
    </row>
    <row r="3285">
      <c r="D3285" s="6">
        <f>IFERROR(__xludf.DUMMYFUNCTION("""COMPUTED_VALUE"""),43051.99861111111)</f>
        <v>43051.99861</v>
      </c>
      <c r="E3285" s="3">
        <f>IFERROR(__xludf.DUMMYFUNCTION("""COMPUTED_VALUE"""),4.655)</f>
        <v>4.655</v>
      </c>
    </row>
    <row r="3286">
      <c r="D3286" s="6">
        <f>IFERROR(__xludf.DUMMYFUNCTION("""COMPUTED_VALUE"""),43052.99861111111)</f>
        <v>43052.99861</v>
      </c>
      <c r="E3286" s="3">
        <f>IFERROR(__xludf.DUMMYFUNCTION("""COMPUTED_VALUE"""),4.6497)</f>
        <v>4.6497</v>
      </c>
    </row>
    <row r="3287">
      <c r="D3287" s="6">
        <f>IFERROR(__xludf.DUMMYFUNCTION("""COMPUTED_VALUE"""),43053.99861111111)</f>
        <v>43053.99861</v>
      </c>
      <c r="E3287" s="3">
        <f>IFERROR(__xludf.DUMMYFUNCTION("""COMPUTED_VALUE"""),4.6513)</f>
        <v>4.6513</v>
      </c>
    </row>
    <row r="3288">
      <c r="D3288" s="6">
        <f>IFERROR(__xludf.DUMMYFUNCTION("""COMPUTED_VALUE"""),43054.99861111111)</f>
        <v>43054.99861</v>
      </c>
      <c r="E3288" s="3">
        <f>IFERROR(__xludf.DUMMYFUNCTION("""COMPUTED_VALUE"""),4.6441)</f>
        <v>4.6441</v>
      </c>
    </row>
    <row r="3289">
      <c r="D3289" s="6">
        <f>IFERROR(__xludf.DUMMYFUNCTION("""COMPUTED_VALUE"""),43055.99861111111)</f>
        <v>43055.99861</v>
      </c>
      <c r="E3289" s="3">
        <f>IFERROR(__xludf.DUMMYFUNCTION("""COMPUTED_VALUE"""),4.6395)</f>
        <v>4.6395</v>
      </c>
    </row>
    <row r="3290">
      <c r="D3290" s="6">
        <f>IFERROR(__xludf.DUMMYFUNCTION("""COMPUTED_VALUE"""),43056.99861111111)</f>
        <v>43056.99861</v>
      </c>
      <c r="E3290" s="3">
        <f>IFERROR(__xludf.DUMMYFUNCTION("""COMPUTED_VALUE"""),4.645)</f>
        <v>4.645</v>
      </c>
    </row>
    <row r="3291">
      <c r="D3291" s="6">
        <f>IFERROR(__xludf.DUMMYFUNCTION("""COMPUTED_VALUE"""),43059.99861111111)</f>
        <v>43059.99861</v>
      </c>
      <c r="E3291" s="3">
        <f>IFERROR(__xludf.DUMMYFUNCTION("""COMPUTED_VALUE"""),4.6459)</f>
        <v>4.6459</v>
      </c>
    </row>
    <row r="3292">
      <c r="D3292" s="6">
        <f>IFERROR(__xludf.DUMMYFUNCTION("""COMPUTED_VALUE"""),43060.99861111111)</f>
        <v>43060.99861</v>
      </c>
      <c r="E3292" s="3">
        <f>IFERROR(__xludf.DUMMYFUNCTION("""COMPUTED_VALUE"""),4.6576)</f>
        <v>4.6576</v>
      </c>
    </row>
    <row r="3293">
      <c r="D3293" s="6">
        <f>IFERROR(__xludf.DUMMYFUNCTION("""COMPUTED_VALUE"""),43061.99861111111)</f>
        <v>43061.99861</v>
      </c>
      <c r="E3293" s="3">
        <f>IFERROR(__xludf.DUMMYFUNCTION("""COMPUTED_VALUE"""),4.6514)</f>
        <v>4.6514</v>
      </c>
    </row>
    <row r="3294">
      <c r="D3294" s="6">
        <f>IFERROR(__xludf.DUMMYFUNCTION("""COMPUTED_VALUE"""),43062.99861111111)</f>
        <v>43062.99861</v>
      </c>
      <c r="E3294" s="3">
        <f>IFERROR(__xludf.DUMMYFUNCTION("""COMPUTED_VALUE"""),4.6552)</f>
        <v>4.6552</v>
      </c>
    </row>
    <row r="3295">
      <c r="D3295" s="6">
        <f>IFERROR(__xludf.DUMMYFUNCTION("""COMPUTED_VALUE"""),43063.99861111111)</f>
        <v>43063.99861</v>
      </c>
      <c r="E3295" s="3">
        <f>IFERROR(__xludf.DUMMYFUNCTION("""COMPUTED_VALUE"""),4.6531)</f>
        <v>4.6531</v>
      </c>
    </row>
    <row r="3296">
      <c r="D3296" s="6">
        <f>IFERROR(__xludf.DUMMYFUNCTION("""COMPUTED_VALUE"""),43066.99861111111)</f>
        <v>43066.99861</v>
      </c>
      <c r="E3296" s="3">
        <f>IFERROR(__xludf.DUMMYFUNCTION("""COMPUTED_VALUE"""),4.6367)</f>
        <v>4.6367</v>
      </c>
    </row>
    <row r="3297">
      <c r="D3297" s="6">
        <f>IFERROR(__xludf.DUMMYFUNCTION("""COMPUTED_VALUE"""),43067.99861111111)</f>
        <v>43067.99861</v>
      </c>
      <c r="E3297" s="3">
        <f>IFERROR(__xludf.DUMMYFUNCTION("""COMPUTED_VALUE"""),4.6452)</f>
        <v>4.6452</v>
      </c>
    </row>
    <row r="3298">
      <c r="D3298" s="6">
        <f>IFERROR(__xludf.DUMMYFUNCTION("""COMPUTED_VALUE"""),43068.99861111111)</f>
        <v>43068.99861</v>
      </c>
      <c r="E3298" s="3">
        <f>IFERROR(__xludf.DUMMYFUNCTION("""COMPUTED_VALUE"""),4.6458)</f>
        <v>4.6458</v>
      </c>
    </row>
    <row r="3299">
      <c r="D3299" s="6">
        <f>IFERROR(__xludf.DUMMYFUNCTION("""COMPUTED_VALUE"""),43069.99861111111)</f>
        <v>43069.99861</v>
      </c>
      <c r="E3299" s="3">
        <f>IFERROR(__xludf.DUMMYFUNCTION("""COMPUTED_VALUE"""),4.6468)</f>
        <v>4.6468</v>
      </c>
    </row>
    <row r="3300">
      <c r="D3300" s="6">
        <f>IFERROR(__xludf.DUMMYFUNCTION("""COMPUTED_VALUE"""),43070.99861111111)</f>
        <v>43070.99861</v>
      </c>
      <c r="E3300" s="3">
        <f>IFERROR(__xludf.DUMMYFUNCTION("""COMPUTED_VALUE"""),4.652)</f>
        <v>4.652</v>
      </c>
    </row>
    <row r="3301">
      <c r="D3301" s="6">
        <f>IFERROR(__xludf.DUMMYFUNCTION("""COMPUTED_VALUE"""),43073.99861111111)</f>
        <v>43073.99861</v>
      </c>
      <c r="E3301" s="3">
        <f>IFERROR(__xludf.DUMMYFUNCTION("""COMPUTED_VALUE"""),4.6285)</f>
        <v>4.6285</v>
      </c>
    </row>
    <row r="3302">
      <c r="D3302" s="6">
        <f>IFERROR(__xludf.DUMMYFUNCTION("""COMPUTED_VALUE"""),43074.99861111111)</f>
        <v>43074.99861</v>
      </c>
      <c r="E3302" s="3">
        <f>IFERROR(__xludf.DUMMYFUNCTION("""COMPUTED_VALUE"""),4.6334)</f>
        <v>4.6334</v>
      </c>
    </row>
    <row r="3303">
      <c r="D3303" s="6">
        <f>IFERROR(__xludf.DUMMYFUNCTION("""COMPUTED_VALUE"""),43075.99861111111)</f>
        <v>43075.99861</v>
      </c>
      <c r="E3303" s="3">
        <f>IFERROR(__xludf.DUMMYFUNCTION("""COMPUTED_VALUE"""),4.6329)</f>
        <v>4.6329</v>
      </c>
    </row>
    <row r="3304">
      <c r="D3304" s="6">
        <f>IFERROR(__xludf.DUMMYFUNCTION("""COMPUTED_VALUE"""),43076.99861111111)</f>
        <v>43076.99861</v>
      </c>
      <c r="E3304" s="3">
        <f>IFERROR(__xludf.DUMMYFUNCTION("""COMPUTED_VALUE"""),4.6344)</f>
        <v>4.6344</v>
      </c>
    </row>
    <row r="3305">
      <c r="D3305" s="6">
        <f>IFERROR(__xludf.DUMMYFUNCTION("""COMPUTED_VALUE"""),43077.99861111111)</f>
        <v>43077.99861</v>
      </c>
      <c r="E3305" s="3">
        <f>IFERROR(__xludf.DUMMYFUNCTION("""COMPUTED_VALUE"""),4.6358)</f>
        <v>4.6358</v>
      </c>
    </row>
    <row r="3306">
      <c r="D3306" s="6">
        <f>IFERROR(__xludf.DUMMYFUNCTION("""COMPUTED_VALUE"""),43080.99861111111)</f>
        <v>43080.99861</v>
      </c>
      <c r="E3306" s="3">
        <f>IFERROR(__xludf.DUMMYFUNCTION("""COMPUTED_VALUE"""),4.6324)</f>
        <v>4.6324</v>
      </c>
    </row>
    <row r="3307">
      <c r="D3307" s="6">
        <f>IFERROR(__xludf.DUMMYFUNCTION("""COMPUTED_VALUE"""),43081.99861111111)</f>
        <v>43081.99861</v>
      </c>
      <c r="E3307" s="3">
        <f>IFERROR(__xludf.DUMMYFUNCTION("""COMPUTED_VALUE"""),4.6364)</f>
        <v>4.6364</v>
      </c>
    </row>
    <row r="3308">
      <c r="D3308" s="6">
        <f>IFERROR(__xludf.DUMMYFUNCTION("""COMPUTED_VALUE"""),43082.99861111111)</f>
        <v>43082.99861</v>
      </c>
      <c r="E3308" s="3">
        <f>IFERROR(__xludf.DUMMYFUNCTION("""COMPUTED_VALUE"""),4.6369)</f>
        <v>4.6369</v>
      </c>
    </row>
    <row r="3309">
      <c r="D3309" s="6">
        <f>IFERROR(__xludf.DUMMYFUNCTION("""COMPUTED_VALUE"""),43083.99861111111)</f>
        <v>43083.99861</v>
      </c>
      <c r="E3309" s="3">
        <f>IFERROR(__xludf.DUMMYFUNCTION("""COMPUTED_VALUE"""),4.6334)</f>
        <v>4.6334</v>
      </c>
    </row>
    <row r="3310">
      <c r="D3310" s="6">
        <f>IFERROR(__xludf.DUMMYFUNCTION("""COMPUTED_VALUE"""),43084.99861111111)</f>
        <v>43084.99861</v>
      </c>
      <c r="E3310" s="3">
        <f>IFERROR(__xludf.DUMMYFUNCTION("""COMPUTED_VALUE"""),4.6336)</f>
        <v>4.6336</v>
      </c>
    </row>
    <row r="3311">
      <c r="D3311" s="6">
        <f>IFERROR(__xludf.DUMMYFUNCTION("""COMPUTED_VALUE"""),43087.99861111111)</f>
        <v>43087.99861</v>
      </c>
      <c r="E3311" s="3">
        <f>IFERROR(__xludf.DUMMYFUNCTION("""COMPUTED_VALUE"""),4.6131)</f>
        <v>4.6131</v>
      </c>
    </row>
    <row r="3312">
      <c r="D3312" s="6">
        <f>IFERROR(__xludf.DUMMYFUNCTION("""COMPUTED_VALUE"""),43088.99861111111)</f>
        <v>43088.99861</v>
      </c>
      <c r="E3312" s="3">
        <f>IFERROR(__xludf.DUMMYFUNCTION("""COMPUTED_VALUE"""),4.62)</f>
        <v>4.62</v>
      </c>
    </row>
    <row r="3313">
      <c r="D3313" s="6">
        <f>IFERROR(__xludf.DUMMYFUNCTION("""COMPUTED_VALUE"""),43089.99861111111)</f>
        <v>43089.99861</v>
      </c>
      <c r="E3313" s="3">
        <f>IFERROR(__xludf.DUMMYFUNCTION("""COMPUTED_VALUE"""),4.6294)</f>
        <v>4.6294</v>
      </c>
    </row>
    <row r="3314">
      <c r="D3314" s="6">
        <f>IFERROR(__xludf.DUMMYFUNCTION("""COMPUTED_VALUE"""),43090.99861111111)</f>
        <v>43090.99861</v>
      </c>
      <c r="E3314" s="3">
        <f>IFERROR(__xludf.DUMMYFUNCTION("""COMPUTED_VALUE"""),4.635)</f>
        <v>4.635</v>
      </c>
    </row>
    <row r="3315">
      <c r="D3315" s="6">
        <f>IFERROR(__xludf.DUMMYFUNCTION("""COMPUTED_VALUE"""),43091.99861111111)</f>
        <v>43091.99861</v>
      </c>
      <c r="E3315" s="3">
        <f>IFERROR(__xludf.DUMMYFUNCTION("""COMPUTED_VALUE"""),4.6414)</f>
        <v>4.6414</v>
      </c>
    </row>
    <row r="3316">
      <c r="D3316" s="6">
        <f>IFERROR(__xludf.DUMMYFUNCTION("""COMPUTED_VALUE"""),43094.99861111111)</f>
        <v>43094.99861</v>
      </c>
      <c r="E3316" s="3">
        <f>IFERROR(__xludf.DUMMYFUNCTION("""COMPUTED_VALUE"""),4.6368)</f>
        <v>4.6368</v>
      </c>
    </row>
    <row r="3317">
      <c r="D3317" s="6">
        <f>IFERROR(__xludf.DUMMYFUNCTION("""COMPUTED_VALUE"""),43095.99861111111)</f>
        <v>43095.99861</v>
      </c>
      <c r="E3317" s="3">
        <f>IFERROR(__xludf.DUMMYFUNCTION("""COMPUTED_VALUE"""),4.6364)</f>
        <v>4.6364</v>
      </c>
    </row>
    <row r="3318">
      <c r="D3318" s="6">
        <f>IFERROR(__xludf.DUMMYFUNCTION("""COMPUTED_VALUE"""),43096.99861111111)</f>
        <v>43096.99861</v>
      </c>
      <c r="E3318" s="3">
        <f>IFERROR(__xludf.DUMMYFUNCTION("""COMPUTED_VALUE"""),4.6508)</f>
        <v>4.6508</v>
      </c>
    </row>
    <row r="3319">
      <c r="D3319" s="6">
        <f>IFERROR(__xludf.DUMMYFUNCTION("""COMPUTED_VALUE"""),43097.99861111111)</f>
        <v>43097.99861</v>
      </c>
      <c r="E3319" s="3">
        <f>IFERROR(__xludf.DUMMYFUNCTION("""COMPUTED_VALUE"""),4.6545)</f>
        <v>4.6545</v>
      </c>
    </row>
    <row r="3320">
      <c r="D3320" s="6">
        <f>IFERROR(__xludf.DUMMYFUNCTION("""COMPUTED_VALUE"""),43098.99861111111)</f>
        <v>43098.99861</v>
      </c>
      <c r="E3320" s="3">
        <f>IFERROR(__xludf.DUMMYFUNCTION("""COMPUTED_VALUE"""),4.6666)</f>
        <v>4.6666</v>
      </c>
    </row>
    <row r="3321">
      <c r="D3321" s="6">
        <f>IFERROR(__xludf.DUMMYFUNCTION("""COMPUTED_VALUE"""),43101.99861111111)</f>
        <v>43101.99861</v>
      </c>
      <c r="E3321" s="3">
        <f>IFERROR(__xludf.DUMMYFUNCTION("""COMPUTED_VALUE"""),4.6617)</f>
        <v>4.6617</v>
      </c>
    </row>
    <row r="3322">
      <c r="D3322" s="6">
        <f>IFERROR(__xludf.DUMMYFUNCTION("""COMPUTED_VALUE"""),43102.99861111111)</f>
        <v>43102.99861</v>
      </c>
      <c r="E3322" s="3">
        <f>IFERROR(__xludf.DUMMYFUNCTION("""COMPUTED_VALUE"""),4.6943)</f>
        <v>4.6943</v>
      </c>
    </row>
    <row r="3323">
      <c r="D3323" s="6">
        <f>IFERROR(__xludf.DUMMYFUNCTION("""COMPUTED_VALUE"""),43103.99861111111)</f>
        <v>43103.99861</v>
      </c>
      <c r="E3323" s="3">
        <f>IFERROR(__xludf.DUMMYFUNCTION("""COMPUTED_VALUE"""),4.6526)</f>
        <v>4.6526</v>
      </c>
    </row>
    <row r="3324">
      <c r="D3324" s="6">
        <f>IFERROR(__xludf.DUMMYFUNCTION("""COMPUTED_VALUE"""),43104.99861111111)</f>
        <v>43104.99861</v>
      </c>
      <c r="E3324" s="3">
        <f>IFERROR(__xludf.DUMMYFUNCTION("""COMPUTED_VALUE"""),4.6327)</f>
        <v>4.6327</v>
      </c>
    </row>
    <row r="3325">
      <c r="D3325" s="6">
        <f>IFERROR(__xludf.DUMMYFUNCTION("""COMPUTED_VALUE"""),43105.99861111111)</f>
        <v>43105.99861</v>
      </c>
      <c r="E3325" s="3">
        <f>IFERROR(__xludf.DUMMYFUNCTION("""COMPUTED_VALUE"""),4.641)</f>
        <v>4.641</v>
      </c>
    </row>
    <row r="3326">
      <c r="D3326" s="6">
        <f>IFERROR(__xludf.DUMMYFUNCTION("""COMPUTED_VALUE"""),43108.99861111111)</f>
        <v>43108.99861</v>
      </c>
      <c r="E3326" s="3">
        <f>IFERROR(__xludf.DUMMYFUNCTION("""COMPUTED_VALUE"""),4.6485)</f>
        <v>4.6485</v>
      </c>
    </row>
    <row r="3327">
      <c r="D3327" s="6">
        <f>IFERROR(__xludf.DUMMYFUNCTION("""COMPUTED_VALUE"""),43109.99861111111)</f>
        <v>43109.99861</v>
      </c>
      <c r="E3327" s="3">
        <f>IFERROR(__xludf.DUMMYFUNCTION("""COMPUTED_VALUE"""),4.6593)</f>
        <v>4.6593</v>
      </c>
    </row>
    <row r="3328">
      <c r="D3328" s="6">
        <f>IFERROR(__xludf.DUMMYFUNCTION("""COMPUTED_VALUE"""),43110.99861111111)</f>
        <v>43110.99861</v>
      </c>
      <c r="E3328" s="3">
        <f>IFERROR(__xludf.DUMMYFUNCTION("""COMPUTED_VALUE"""),4.6464)</f>
        <v>4.6464</v>
      </c>
    </row>
    <row r="3329">
      <c r="D3329" s="6">
        <f>IFERROR(__xludf.DUMMYFUNCTION("""COMPUTED_VALUE"""),43111.99861111111)</f>
        <v>43111.99861</v>
      </c>
      <c r="E3329" s="3">
        <f>IFERROR(__xludf.DUMMYFUNCTION("""COMPUTED_VALUE"""),4.6434)</f>
        <v>4.6434</v>
      </c>
    </row>
    <row r="3330">
      <c r="D3330" s="6">
        <f>IFERROR(__xludf.DUMMYFUNCTION("""COMPUTED_VALUE"""),43112.99861111111)</f>
        <v>43112.99861</v>
      </c>
      <c r="E3330" s="3">
        <f>IFERROR(__xludf.DUMMYFUNCTION("""COMPUTED_VALUE"""),4.6425)</f>
        <v>4.6425</v>
      </c>
    </row>
    <row r="3331">
      <c r="D3331" s="6">
        <f>IFERROR(__xludf.DUMMYFUNCTION("""COMPUTED_VALUE"""),43115.99861111111)</f>
        <v>43115.99861</v>
      </c>
      <c r="E3331" s="3">
        <f>IFERROR(__xludf.DUMMYFUNCTION("""COMPUTED_VALUE"""),4.6377)</f>
        <v>4.6377</v>
      </c>
    </row>
    <row r="3332">
      <c r="D3332" s="6">
        <f>IFERROR(__xludf.DUMMYFUNCTION("""COMPUTED_VALUE"""),43116.99861111111)</f>
        <v>43116.99861</v>
      </c>
      <c r="E3332" s="3">
        <f>IFERROR(__xludf.DUMMYFUNCTION("""COMPUTED_VALUE"""),4.6627)</f>
        <v>4.6627</v>
      </c>
    </row>
    <row r="3333">
      <c r="D3333" s="6">
        <f>IFERROR(__xludf.DUMMYFUNCTION("""COMPUTED_VALUE"""),43117.99861111111)</f>
        <v>43117.99861</v>
      </c>
      <c r="E3333" s="3">
        <f>IFERROR(__xludf.DUMMYFUNCTION("""COMPUTED_VALUE"""),4.6618)</f>
        <v>4.6618</v>
      </c>
    </row>
    <row r="3334">
      <c r="D3334" s="6">
        <f>IFERROR(__xludf.DUMMYFUNCTION("""COMPUTED_VALUE"""),43118.99861111111)</f>
        <v>43118.99861</v>
      </c>
      <c r="E3334" s="3">
        <f>IFERROR(__xludf.DUMMYFUNCTION("""COMPUTED_VALUE"""),4.6544)</f>
        <v>4.6544</v>
      </c>
    </row>
    <row r="3335">
      <c r="D3335" s="6">
        <f>IFERROR(__xludf.DUMMYFUNCTION("""COMPUTED_VALUE"""),43119.99861111111)</f>
        <v>43119.99861</v>
      </c>
      <c r="E3335" s="3">
        <f>IFERROR(__xludf.DUMMYFUNCTION("""COMPUTED_VALUE"""),4.6608)</f>
        <v>4.6608</v>
      </c>
    </row>
    <row r="3336">
      <c r="D3336" s="6">
        <f>IFERROR(__xludf.DUMMYFUNCTION("""COMPUTED_VALUE"""),43122.99861111111)</f>
        <v>43122.99861</v>
      </c>
      <c r="E3336" s="3">
        <f>IFERROR(__xludf.DUMMYFUNCTION("""COMPUTED_VALUE"""),4.6647)</f>
        <v>4.6647</v>
      </c>
    </row>
    <row r="3337">
      <c r="D3337" s="6">
        <f>IFERROR(__xludf.DUMMYFUNCTION("""COMPUTED_VALUE"""),43123.99861111111)</f>
        <v>43123.99861</v>
      </c>
      <c r="E3337" s="3">
        <f>IFERROR(__xludf.DUMMYFUNCTION("""COMPUTED_VALUE"""),4.6699)</f>
        <v>4.6699</v>
      </c>
    </row>
    <row r="3338">
      <c r="D3338" s="6">
        <f>IFERROR(__xludf.DUMMYFUNCTION("""COMPUTED_VALUE"""),43124.99861111111)</f>
        <v>43124.99861</v>
      </c>
      <c r="E3338" s="3">
        <f>IFERROR(__xludf.DUMMYFUNCTION("""COMPUTED_VALUE"""),4.6696)</f>
        <v>4.6696</v>
      </c>
    </row>
    <row r="3339">
      <c r="D3339" s="6">
        <f>IFERROR(__xludf.DUMMYFUNCTION("""COMPUTED_VALUE"""),43125.99861111111)</f>
        <v>43125.99861</v>
      </c>
      <c r="E3339" s="3">
        <f>IFERROR(__xludf.DUMMYFUNCTION("""COMPUTED_VALUE"""),4.6769)</f>
        <v>4.6769</v>
      </c>
    </row>
    <row r="3340">
      <c r="D3340" s="6">
        <f>IFERROR(__xludf.DUMMYFUNCTION("""COMPUTED_VALUE"""),43126.99861111111)</f>
        <v>43126.99861</v>
      </c>
      <c r="E3340" s="3">
        <f>IFERROR(__xludf.DUMMYFUNCTION("""COMPUTED_VALUE"""),4.6759)</f>
        <v>4.6759</v>
      </c>
    </row>
    <row r="3341">
      <c r="D3341" s="6">
        <f>IFERROR(__xludf.DUMMYFUNCTION("""COMPUTED_VALUE"""),43129.99861111111)</f>
        <v>43129.99861</v>
      </c>
      <c r="E3341" s="3">
        <f>IFERROR(__xludf.DUMMYFUNCTION("""COMPUTED_VALUE"""),4.6516)</f>
        <v>4.6516</v>
      </c>
    </row>
    <row r="3342">
      <c r="D3342" s="6">
        <f>IFERROR(__xludf.DUMMYFUNCTION("""COMPUTED_VALUE"""),43130.99861111111)</f>
        <v>43130.99861</v>
      </c>
      <c r="E3342" s="3">
        <f>IFERROR(__xludf.DUMMYFUNCTION("""COMPUTED_VALUE"""),4.6551)</f>
        <v>4.6551</v>
      </c>
    </row>
    <row r="3343">
      <c r="D3343" s="6">
        <f>IFERROR(__xludf.DUMMYFUNCTION("""COMPUTED_VALUE"""),43131.99861111111)</f>
        <v>43131.99861</v>
      </c>
      <c r="E3343" s="3">
        <f>IFERROR(__xludf.DUMMYFUNCTION("""COMPUTED_VALUE"""),4.6564)</f>
        <v>4.6564</v>
      </c>
    </row>
    <row r="3344">
      <c r="D3344" s="6">
        <f>IFERROR(__xludf.DUMMYFUNCTION("""COMPUTED_VALUE"""),43132.99861111111)</f>
        <v>43132.99861</v>
      </c>
      <c r="E3344" s="3">
        <f>IFERROR(__xludf.DUMMYFUNCTION("""COMPUTED_VALUE"""),4.655)</f>
        <v>4.655</v>
      </c>
    </row>
    <row r="3345">
      <c r="D3345" s="6">
        <f>IFERROR(__xludf.DUMMYFUNCTION("""COMPUTED_VALUE"""),43133.99861111111)</f>
        <v>43133.99861</v>
      </c>
      <c r="E3345" s="3">
        <f>IFERROR(__xludf.DUMMYFUNCTION("""COMPUTED_VALUE"""),4.6512)</f>
        <v>4.6512</v>
      </c>
    </row>
    <row r="3346">
      <c r="D3346" s="6">
        <f>IFERROR(__xludf.DUMMYFUNCTION("""COMPUTED_VALUE"""),43136.99861111111)</f>
        <v>43136.99861</v>
      </c>
      <c r="E3346" s="3">
        <f>IFERROR(__xludf.DUMMYFUNCTION("""COMPUTED_VALUE"""),4.6337)</f>
        <v>4.6337</v>
      </c>
    </row>
    <row r="3347">
      <c r="D3347" s="6">
        <f>IFERROR(__xludf.DUMMYFUNCTION("""COMPUTED_VALUE"""),43137.99861111111)</f>
        <v>43137.99861</v>
      </c>
      <c r="E3347" s="3">
        <f>IFERROR(__xludf.DUMMYFUNCTION("""COMPUTED_VALUE"""),4.6513)</f>
        <v>4.6513</v>
      </c>
    </row>
    <row r="3348">
      <c r="D3348" s="6">
        <f>IFERROR(__xludf.DUMMYFUNCTION("""COMPUTED_VALUE"""),43138.99861111111)</f>
        <v>43138.99861</v>
      </c>
      <c r="E3348" s="3">
        <f>IFERROR(__xludf.DUMMYFUNCTION("""COMPUTED_VALUE"""),4.6556)</f>
        <v>4.6556</v>
      </c>
    </row>
    <row r="3349">
      <c r="D3349" s="6">
        <f>IFERROR(__xludf.DUMMYFUNCTION("""COMPUTED_VALUE"""),43139.99861111111)</f>
        <v>43139.99861</v>
      </c>
      <c r="E3349" s="3">
        <f>IFERROR(__xludf.DUMMYFUNCTION("""COMPUTED_VALUE"""),4.6577)</f>
        <v>4.6577</v>
      </c>
    </row>
    <row r="3350">
      <c r="D3350" s="6">
        <f>IFERROR(__xludf.DUMMYFUNCTION("""COMPUTED_VALUE"""),43140.99861111111)</f>
        <v>43140.99861</v>
      </c>
      <c r="E3350" s="3">
        <f>IFERROR(__xludf.DUMMYFUNCTION("""COMPUTED_VALUE"""),4.6586)</f>
        <v>4.6586</v>
      </c>
    </row>
    <row r="3351">
      <c r="D3351" s="6">
        <f>IFERROR(__xludf.DUMMYFUNCTION("""COMPUTED_VALUE"""),43143.99861111111)</f>
        <v>43143.99861</v>
      </c>
      <c r="E3351" s="3">
        <f>IFERROR(__xludf.DUMMYFUNCTION("""COMPUTED_VALUE"""),4.6525)</f>
        <v>4.6525</v>
      </c>
    </row>
    <row r="3352">
      <c r="D3352" s="6">
        <f>IFERROR(__xludf.DUMMYFUNCTION("""COMPUTED_VALUE"""),43144.99861111111)</f>
        <v>43144.99861</v>
      </c>
      <c r="E3352" s="3">
        <f>IFERROR(__xludf.DUMMYFUNCTION("""COMPUTED_VALUE"""),4.6594)</f>
        <v>4.6594</v>
      </c>
    </row>
    <row r="3353">
      <c r="D3353" s="6">
        <f>IFERROR(__xludf.DUMMYFUNCTION("""COMPUTED_VALUE"""),43145.99861111111)</f>
        <v>43145.99861</v>
      </c>
      <c r="E3353" s="3">
        <f>IFERROR(__xludf.DUMMYFUNCTION("""COMPUTED_VALUE"""),4.6634)</f>
        <v>4.6634</v>
      </c>
    </row>
    <row r="3354">
      <c r="D3354" s="6">
        <f>IFERROR(__xludf.DUMMYFUNCTION("""COMPUTED_VALUE"""),43146.99861111111)</f>
        <v>43146.99861</v>
      </c>
      <c r="E3354" s="3">
        <f>IFERROR(__xludf.DUMMYFUNCTION("""COMPUTED_VALUE"""),4.6629)</f>
        <v>4.6629</v>
      </c>
    </row>
    <row r="3355">
      <c r="D3355" s="6">
        <f>IFERROR(__xludf.DUMMYFUNCTION("""COMPUTED_VALUE"""),43147.99861111111)</f>
        <v>43147.99861</v>
      </c>
      <c r="E3355" s="3">
        <f>IFERROR(__xludf.DUMMYFUNCTION("""COMPUTED_VALUE"""),4.6633)</f>
        <v>4.6633</v>
      </c>
    </row>
    <row r="3356">
      <c r="D3356" s="6">
        <f>IFERROR(__xludf.DUMMYFUNCTION("""COMPUTED_VALUE"""),43150.99861111111)</f>
        <v>43150.99861</v>
      </c>
      <c r="E3356" s="3">
        <f>IFERROR(__xludf.DUMMYFUNCTION("""COMPUTED_VALUE"""),4.6588)</f>
        <v>4.6588</v>
      </c>
    </row>
    <row r="3357">
      <c r="D3357" s="6">
        <f>IFERROR(__xludf.DUMMYFUNCTION("""COMPUTED_VALUE"""),43151.99861111111)</f>
        <v>43151.99861</v>
      </c>
      <c r="E3357" s="3">
        <f>IFERROR(__xludf.DUMMYFUNCTION("""COMPUTED_VALUE"""),4.6618)</f>
        <v>4.6618</v>
      </c>
    </row>
    <row r="3358">
      <c r="D3358" s="6">
        <f>IFERROR(__xludf.DUMMYFUNCTION("""COMPUTED_VALUE"""),43152.99861111111)</f>
        <v>43152.99861</v>
      </c>
      <c r="E3358" s="3">
        <f>IFERROR(__xludf.DUMMYFUNCTION("""COMPUTED_VALUE"""),4.6611)</f>
        <v>4.6611</v>
      </c>
    </row>
    <row r="3359">
      <c r="D3359" s="6">
        <f>IFERROR(__xludf.DUMMYFUNCTION("""COMPUTED_VALUE"""),43153.99861111111)</f>
        <v>43153.99861</v>
      </c>
      <c r="E3359" s="3">
        <f>IFERROR(__xludf.DUMMYFUNCTION("""COMPUTED_VALUE"""),4.659)</f>
        <v>4.659</v>
      </c>
    </row>
    <row r="3360">
      <c r="D3360" s="6">
        <f>IFERROR(__xludf.DUMMYFUNCTION("""COMPUTED_VALUE"""),43154.99861111111)</f>
        <v>43154.99861</v>
      </c>
      <c r="E3360" s="3">
        <f>IFERROR(__xludf.DUMMYFUNCTION("""COMPUTED_VALUE"""),4.6554)</f>
        <v>4.6554</v>
      </c>
    </row>
    <row r="3361">
      <c r="D3361" s="6">
        <f>IFERROR(__xludf.DUMMYFUNCTION("""COMPUTED_VALUE"""),43156.99861111111)</f>
        <v>43156.99861</v>
      </c>
      <c r="E3361" s="3">
        <f>IFERROR(__xludf.DUMMYFUNCTION("""COMPUTED_VALUE"""),4.6554)</f>
        <v>4.6554</v>
      </c>
    </row>
    <row r="3362">
      <c r="D3362" s="6">
        <f>IFERROR(__xludf.DUMMYFUNCTION("""COMPUTED_VALUE"""),43157.99861111111)</f>
        <v>43157.99861</v>
      </c>
      <c r="E3362" s="3">
        <f>IFERROR(__xludf.DUMMYFUNCTION("""COMPUTED_VALUE"""),4.6534)</f>
        <v>4.6534</v>
      </c>
    </row>
    <row r="3363">
      <c r="D3363" s="6">
        <f>IFERROR(__xludf.DUMMYFUNCTION("""COMPUTED_VALUE"""),43158.99861111111)</f>
        <v>43158.99861</v>
      </c>
      <c r="E3363" s="3">
        <f>IFERROR(__xludf.DUMMYFUNCTION("""COMPUTED_VALUE"""),4.6626)</f>
        <v>4.6626</v>
      </c>
    </row>
    <row r="3364">
      <c r="D3364" s="6">
        <f>IFERROR(__xludf.DUMMYFUNCTION("""COMPUTED_VALUE"""),43159.99861111111)</f>
        <v>43159.99861</v>
      </c>
      <c r="E3364" s="3">
        <f>IFERROR(__xludf.DUMMYFUNCTION("""COMPUTED_VALUE"""),4.6638)</f>
        <v>4.6638</v>
      </c>
    </row>
    <row r="3365">
      <c r="D3365" s="6">
        <f>IFERROR(__xludf.DUMMYFUNCTION("""COMPUTED_VALUE"""),43160.99861111111)</f>
        <v>43160.99861</v>
      </c>
      <c r="E3365" s="3">
        <f>IFERROR(__xludf.DUMMYFUNCTION("""COMPUTED_VALUE"""),4.6596)</f>
        <v>4.6596</v>
      </c>
    </row>
    <row r="3366">
      <c r="D3366" s="6">
        <f>IFERROR(__xludf.DUMMYFUNCTION("""COMPUTED_VALUE"""),43161.99861111111)</f>
        <v>43161.99861</v>
      </c>
      <c r="E3366" s="3">
        <f>IFERROR(__xludf.DUMMYFUNCTION("""COMPUTED_VALUE"""),4.6613)</f>
        <v>4.6613</v>
      </c>
    </row>
    <row r="3367">
      <c r="D3367" s="6">
        <f>IFERROR(__xludf.DUMMYFUNCTION("""COMPUTED_VALUE"""),43164.99861111111)</f>
        <v>43164.99861</v>
      </c>
      <c r="E3367" s="3">
        <f>IFERROR(__xludf.DUMMYFUNCTION("""COMPUTED_VALUE"""),4.6541)</f>
        <v>4.6541</v>
      </c>
    </row>
    <row r="3368">
      <c r="D3368" s="6">
        <f>IFERROR(__xludf.DUMMYFUNCTION("""COMPUTED_VALUE"""),43165.99861111111)</f>
        <v>43165.99861</v>
      </c>
      <c r="E3368" s="3">
        <f>IFERROR(__xludf.DUMMYFUNCTION("""COMPUTED_VALUE"""),4.662)</f>
        <v>4.662</v>
      </c>
    </row>
    <row r="3369">
      <c r="D3369" s="6">
        <f>IFERROR(__xludf.DUMMYFUNCTION("""COMPUTED_VALUE"""),43166.99861111111)</f>
        <v>43166.99861</v>
      </c>
      <c r="E3369" s="3">
        <f>IFERROR(__xludf.DUMMYFUNCTION("""COMPUTED_VALUE"""),4.6631)</f>
        <v>4.6631</v>
      </c>
    </row>
    <row r="3370">
      <c r="D3370" s="6">
        <f>IFERROR(__xludf.DUMMYFUNCTION("""COMPUTED_VALUE"""),43167.99861111111)</f>
        <v>43167.99861</v>
      </c>
      <c r="E3370" s="3">
        <f>IFERROR(__xludf.DUMMYFUNCTION("""COMPUTED_VALUE"""),4.6616)</f>
        <v>4.6616</v>
      </c>
    </row>
    <row r="3371">
      <c r="D3371" s="6">
        <f>IFERROR(__xludf.DUMMYFUNCTION("""COMPUTED_VALUE"""),43168.99861111111)</f>
        <v>43168.99861</v>
      </c>
      <c r="E3371" s="3">
        <f>IFERROR(__xludf.DUMMYFUNCTION("""COMPUTED_VALUE"""),4.6589)</f>
        <v>4.6589</v>
      </c>
    </row>
    <row r="3372">
      <c r="D3372" s="6">
        <f>IFERROR(__xludf.DUMMYFUNCTION("""COMPUTED_VALUE"""),43171.99861111111)</f>
        <v>43171.99861</v>
      </c>
      <c r="E3372" s="3">
        <f>IFERROR(__xludf.DUMMYFUNCTION("""COMPUTED_VALUE"""),4.659)</f>
        <v>4.659</v>
      </c>
    </row>
    <row r="3373">
      <c r="D3373" s="6">
        <f>IFERROR(__xludf.DUMMYFUNCTION("""COMPUTED_VALUE"""),43172.99861111111)</f>
        <v>43172.99861</v>
      </c>
      <c r="E3373" s="3">
        <f>IFERROR(__xludf.DUMMYFUNCTION("""COMPUTED_VALUE"""),4.6794)</f>
        <v>4.6794</v>
      </c>
    </row>
    <row r="3374">
      <c r="D3374" s="6">
        <f>IFERROR(__xludf.DUMMYFUNCTION("""COMPUTED_VALUE"""),43173.99861111111)</f>
        <v>43173.99861</v>
      </c>
      <c r="E3374" s="3">
        <f>IFERROR(__xludf.DUMMYFUNCTION("""COMPUTED_VALUE"""),4.6707)</f>
        <v>4.6707</v>
      </c>
    </row>
    <row r="3375">
      <c r="D3375" s="6">
        <f>IFERROR(__xludf.DUMMYFUNCTION("""COMPUTED_VALUE"""),43174.99861111111)</f>
        <v>43174.99861</v>
      </c>
      <c r="E3375" s="3">
        <f>IFERROR(__xludf.DUMMYFUNCTION("""COMPUTED_VALUE"""),4.666)</f>
        <v>4.666</v>
      </c>
    </row>
    <row r="3376">
      <c r="D3376" s="6">
        <f>IFERROR(__xludf.DUMMYFUNCTION("""COMPUTED_VALUE"""),43175.99861111111)</f>
        <v>43175.99861</v>
      </c>
      <c r="E3376" s="3">
        <f>IFERROR(__xludf.DUMMYFUNCTION("""COMPUTED_VALUE"""),4.6681)</f>
        <v>4.6681</v>
      </c>
    </row>
    <row r="3377">
      <c r="D3377" s="6">
        <f>IFERROR(__xludf.DUMMYFUNCTION("""COMPUTED_VALUE"""),43178.99861111111)</f>
        <v>43178.99861</v>
      </c>
      <c r="E3377" s="3">
        <f>IFERROR(__xludf.DUMMYFUNCTION("""COMPUTED_VALUE"""),4.664)</f>
        <v>4.664</v>
      </c>
    </row>
    <row r="3378">
      <c r="D3378" s="6">
        <f>IFERROR(__xludf.DUMMYFUNCTION("""COMPUTED_VALUE"""),43179.99861111111)</f>
        <v>43179.99861</v>
      </c>
      <c r="E3378" s="3">
        <f>IFERROR(__xludf.DUMMYFUNCTION("""COMPUTED_VALUE"""),4.6667)</f>
        <v>4.6667</v>
      </c>
    </row>
    <row r="3379">
      <c r="D3379" s="6">
        <f>IFERROR(__xludf.DUMMYFUNCTION("""COMPUTED_VALUE"""),43180.99861111111)</f>
        <v>43180.99861</v>
      </c>
      <c r="E3379" s="3">
        <f>IFERROR(__xludf.DUMMYFUNCTION("""COMPUTED_VALUE"""),4.6768)</f>
        <v>4.6768</v>
      </c>
    </row>
    <row r="3380">
      <c r="D3380" s="6">
        <f>IFERROR(__xludf.DUMMYFUNCTION("""COMPUTED_VALUE"""),43181.99861111111)</f>
        <v>43181.99861</v>
      </c>
      <c r="E3380" s="3">
        <f>IFERROR(__xludf.DUMMYFUNCTION("""COMPUTED_VALUE"""),4.668)</f>
        <v>4.668</v>
      </c>
    </row>
    <row r="3381">
      <c r="D3381" s="6">
        <f>IFERROR(__xludf.DUMMYFUNCTION("""COMPUTED_VALUE"""),43182.99861111111)</f>
        <v>43182.99861</v>
      </c>
      <c r="E3381" s="3">
        <f>IFERROR(__xludf.DUMMYFUNCTION("""COMPUTED_VALUE"""),4.6662)</f>
        <v>4.6662</v>
      </c>
    </row>
    <row r="3382">
      <c r="D3382" s="6">
        <f>IFERROR(__xludf.DUMMYFUNCTION("""COMPUTED_VALUE"""),43185.99861111111)</f>
        <v>43185.99861</v>
      </c>
      <c r="E3382" s="3">
        <f>IFERROR(__xludf.DUMMYFUNCTION("""COMPUTED_VALUE"""),4.65)</f>
        <v>4.65</v>
      </c>
    </row>
    <row r="3383">
      <c r="D3383" s="6">
        <f>IFERROR(__xludf.DUMMYFUNCTION("""COMPUTED_VALUE"""),43186.99861111111)</f>
        <v>43186.99861</v>
      </c>
      <c r="E3383" s="3">
        <f>IFERROR(__xludf.DUMMYFUNCTION("""COMPUTED_VALUE"""),4.6547)</f>
        <v>4.6547</v>
      </c>
    </row>
    <row r="3384">
      <c r="D3384" s="6">
        <f>IFERROR(__xludf.DUMMYFUNCTION("""COMPUTED_VALUE"""),43187.99861111111)</f>
        <v>43187.99861</v>
      </c>
      <c r="E3384" s="3">
        <f>IFERROR(__xludf.DUMMYFUNCTION("""COMPUTED_VALUE"""),4.6555)</f>
        <v>4.6555</v>
      </c>
    </row>
    <row r="3385">
      <c r="D3385" s="6">
        <f>IFERROR(__xludf.DUMMYFUNCTION("""COMPUTED_VALUE"""),43188.99861111111)</f>
        <v>43188.99861</v>
      </c>
      <c r="E3385" s="3">
        <f>IFERROR(__xludf.DUMMYFUNCTION("""COMPUTED_VALUE"""),4.6615)</f>
        <v>4.6615</v>
      </c>
    </row>
    <row r="3386">
      <c r="D3386" s="6">
        <f>IFERROR(__xludf.DUMMYFUNCTION("""COMPUTED_VALUE"""),43189.99861111111)</f>
        <v>43189.99861</v>
      </c>
      <c r="E3386" s="3">
        <f>IFERROR(__xludf.DUMMYFUNCTION("""COMPUTED_VALUE"""),4.6582)</f>
        <v>4.6582</v>
      </c>
    </row>
    <row r="3387">
      <c r="D3387" s="6">
        <f>IFERROR(__xludf.DUMMYFUNCTION("""COMPUTED_VALUE"""),43191.99861111111)</f>
        <v>43191.99861</v>
      </c>
      <c r="E3387" s="3">
        <f>IFERROR(__xludf.DUMMYFUNCTION("""COMPUTED_VALUE"""),4.6582)</f>
        <v>4.6582</v>
      </c>
    </row>
    <row r="3388">
      <c r="D3388" s="6">
        <f>IFERROR(__xludf.DUMMYFUNCTION("""COMPUTED_VALUE"""),43192.99861111111)</f>
        <v>43192.99861</v>
      </c>
      <c r="E3388" s="3">
        <f>IFERROR(__xludf.DUMMYFUNCTION("""COMPUTED_VALUE"""),4.6582)</f>
        <v>4.6582</v>
      </c>
    </row>
    <row r="3389">
      <c r="D3389" s="6">
        <f>IFERROR(__xludf.DUMMYFUNCTION("""COMPUTED_VALUE"""),43193.99861111111)</f>
        <v>43193.99861</v>
      </c>
      <c r="E3389" s="3">
        <f>IFERROR(__xludf.DUMMYFUNCTION("""COMPUTED_VALUE"""),4.656)</f>
        <v>4.656</v>
      </c>
    </row>
    <row r="3390">
      <c r="D3390" s="6">
        <f>IFERROR(__xludf.DUMMYFUNCTION("""COMPUTED_VALUE"""),43194.99861111111)</f>
        <v>43194.99861</v>
      </c>
      <c r="E3390" s="3">
        <f>IFERROR(__xludf.DUMMYFUNCTION("""COMPUTED_VALUE"""),4.6777)</f>
        <v>4.6777</v>
      </c>
    </row>
    <row r="3391">
      <c r="D3391" s="6">
        <f>IFERROR(__xludf.DUMMYFUNCTION("""COMPUTED_VALUE"""),43195.99861111111)</f>
        <v>43195.99861</v>
      </c>
      <c r="E3391" s="3">
        <f>IFERROR(__xludf.DUMMYFUNCTION("""COMPUTED_VALUE"""),4.659)</f>
        <v>4.659</v>
      </c>
    </row>
    <row r="3392">
      <c r="D3392" s="6">
        <f>IFERROR(__xludf.DUMMYFUNCTION("""COMPUTED_VALUE"""),43196.99861111111)</f>
        <v>43196.99861</v>
      </c>
      <c r="E3392" s="3">
        <f>IFERROR(__xludf.DUMMYFUNCTION("""COMPUTED_VALUE"""),4.6594)</f>
        <v>4.6594</v>
      </c>
    </row>
    <row r="3393">
      <c r="D3393" s="6">
        <f>IFERROR(__xludf.DUMMYFUNCTION("""COMPUTED_VALUE"""),43199.99861111111)</f>
        <v>43199.99861</v>
      </c>
      <c r="E3393" s="3">
        <f>IFERROR(__xludf.DUMMYFUNCTION("""COMPUTED_VALUE"""),4.6613)</f>
        <v>4.6613</v>
      </c>
    </row>
    <row r="3394">
      <c r="D3394" s="6">
        <f>IFERROR(__xludf.DUMMYFUNCTION("""COMPUTED_VALUE"""),43200.99861111111)</f>
        <v>43200.99861</v>
      </c>
      <c r="E3394" s="3">
        <f>IFERROR(__xludf.DUMMYFUNCTION("""COMPUTED_VALUE"""),4.655)</f>
        <v>4.655</v>
      </c>
    </row>
    <row r="3395">
      <c r="D3395" s="6">
        <f>IFERROR(__xludf.DUMMYFUNCTION("""COMPUTED_VALUE"""),43201.99861111111)</f>
        <v>43201.99861</v>
      </c>
      <c r="E3395" s="3">
        <f>IFERROR(__xludf.DUMMYFUNCTION("""COMPUTED_VALUE"""),4.6603)</f>
        <v>4.6603</v>
      </c>
    </row>
    <row r="3396">
      <c r="D3396" s="6">
        <f>IFERROR(__xludf.DUMMYFUNCTION("""COMPUTED_VALUE"""),43202.99861111111)</f>
        <v>43202.99861</v>
      </c>
      <c r="E3396" s="3">
        <f>IFERROR(__xludf.DUMMYFUNCTION("""COMPUTED_VALUE"""),4.6585)</f>
        <v>4.6585</v>
      </c>
    </row>
    <row r="3397">
      <c r="D3397" s="6">
        <f>IFERROR(__xludf.DUMMYFUNCTION("""COMPUTED_VALUE"""),43203.99861111111)</f>
        <v>43203.99861</v>
      </c>
      <c r="E3397" s="3">
        <f>IFERROR(__xludf.DUMMYFUNCTION("""COMPUTED_VALUE"""),4.6583)</f>
        <v>4.6583</v>
      </c>
    </row>
    <row r="3398">
      <c r="D3398" s="6">
        <f>IFERROR(__xludf.DUMMYFUNCTION("""COMPUTED_VALUE"""),43206.99861111111)</f>
        <v>43206.99861</v>
      </c>
      <c r="E3398" s="3">
        <f>IFERROR(__xludf.DUMMYFUNCTION("""COMPUTED_VALUE"""),4.6369)</f>
        <v>4.6369</v>
      </c>
    </row>
    <row r="3399">
      <c r="D3399" s="6">
        <f>IFERROR(__xludf.DUMMYFUNCTION("""COMPUTED_VALUE"""),43207.99861111111)</f>
        <v>43207.99861</v>
      </c>
      <c r="E3399" s="3">
        <f>IFERROR(__xludf.DUMMYFUNCTION("""COMPUTED_VALUE"""),4.6417)</f>
        <v>4.6417</v>
      </c>
    </row>
    <row r="3400">
      <c r="D3400" s="6">
        <f>IFERROR(__xludf.DUMMYFUNCTION("""COMPUTED_VALUE"""),43208.99861111111)</f>
        <v>43208.99861</v>
      </c>
      <c r="E3400" s="3">
        <f>IFERROR(__xludf.DUMMYFUNCTION("""COMPUTED_VALUE"""),4.652)</f>
        <v>4.652</v>
      </c>
    </row>
    <row r="3401">
      <c r="D3401" s="6">
        <f>IFERROR(__xludf.DUMMYFUNCTION("""COMPUTED_VALUE"""),43209.99861111111)</f>
        <v>43209.99861</v>
      </c>
      <c r="E3401" s="3">
        <f>IFERROR(__xludf.DUMMYFUNCTION("""COMPUTED_VALUE"""),4.654)</f>
        <v>4.654</v>
      </c>
    </row>
    <row r="3402">
      <c r="D3402" s="6">
        <f>IFERROR(__xludf.DUMMYFUNCTION("""COMPUTED_VALUE"""),43210.99861111111)</f>
        <v>43210.99861</v>
      </c>
      <c r="E3402" s="3">
        <f>IFERROR(__xludf.DUMMYFUNCTION("""COMPUTED_VALUE"""),4.6561)</f>
        <v>4.6561</v>
      </c>
    </row>
    <row r="3403">
      <c r="D3403" s="6">
        <f>IFERROR(__xludf.DUMMYFUNCTION("""COMPUTED_VALUE"""),43213.99861111111)</f>
        <v>43213.99861</v>
      </c>
      <c r="E3403" s="3">
        <f>IFERROR(__xludf.DUMMYFUNCTION("""COMPUTED_VALUE"""),4.6562)</f>
        <v>4.6562</v>
      </c>
    </row>
    <row r="3404">
      <c r="D3404" s="6">
        <f>IFERROR(__xludf.DUMMYFUNCTION("""COMPUTED_VALUE"""),43214.99861111111)</f>
        <v>43214.99861</v>
      </c>
      <c r="E3404" s="3">
        <f>IFERROR(__xludf.DUMMYFUNCTION("""COMPUTED_VALUE"""),4.6503)</f>
        <v>4.6503</v>
      </c>
    </row>
    <row r="3405">
      <c r="D3405" s="6">
        <f>IFERROR(__xludf.DUMMYFUNCTION("""COMPUTED_VALUE"""),43215.99861111111)</f>
        <v>43215.99861</v>
      </c>
      <c r="E3405" s="3">
        <f>IFERROR(__xludf.DUMMYFUNCTION("""COMPUTED_VALUE"""),4.6463)</f>
        <v>4.6463</v>
      </c>
    </row>
    <row r="3406">
      <c r="D3406" s="6">
        <f>IFERROR(__xludf.DUMMYFUNCTION("""COMPUTED_VALUE"""),43216.99861111111)</f>
        <v>43216.99861</v>
      </c>
      <c r="E3406" s="3">
        <f>IFERROR(__xludf.DUMMYFUNCTION("""COMPUTED_VALUE"""),4.658)</f>
        <v>4.658</v>
      </c>
    </row>
    <row r="3407">
      <c r="D3407" s="6">
        <f>IFERROR(__xludf.DUMMYFUNCTION("""COMPUTED_VALUE"""),43217.99861111111)</f>
        <v>43217.99861</v>
      </c>
      <c r="E3407" s="3">
        <f>IFERROR(__xludf.DUMMYFUNCTION("""COMPUTED_VALUE"""),4.659)</f>
        <v>4.659</v>
      </c>
    </row>
    <row r="3408">
      <c r="D3408" s="6">
        <f>IFERROR(__xludf.DUMMYFUNCTION("""COMPUTED_VALUE"""),43220.99861111111)</f>
        <v>43220.99861</v>
      </c>
      <c r="E3408" s="3">
        <f>IFERROR(__xludf.DUMMYFUNCTION("""COMPUTED_VALUE"""),4.6576)</f>
        <v>4.6576</v>
      </c>
    </row>
    <row r="3409">
      <c r="D3409" s="6">
        <f>IFERROR(__xludf.DUMMYFUNCTION("""COMPUTED_VALUE"""),43221.99861111111)</f>
        <v>43221.99861</v>
      </c>
      <c r="E3409" s="3">
        <f>IFERROR(__xludf.DUMMYFUNCTION("""COMPUTED_VALUE"""),4.6576)</f>
        <v>4.6576</v>
      </c>
    </row>
    <row r="3410">
      <c r="D3410" s="6">
        <f>IFERROR(__xludf.DUMMYFUNCTION("""COMPUTED_VALUE"""),43222.99861111111)</f>
        <v>43222.99861</v>
      </c>
      <c r="E3410" s="3">
        <f>IFERROR(__xludf.DUMMYFUNCTION("""COMPUTED_VALUE"""),4.6607)</f>
        <v>4.6607</v>
      </c>
    </row>
    <row r="3411">
      <c r="D3411" s="6">
        <f>IFERROR(__xludf.DUMMYFUNCTION("""COMPUTED_VALUE"""),43223.99861111111)</f>
        <v>43223.99861</v>
      </c>
      <c r="E3411" s="3">
        <f>IFERROR(__xludf.DUMMYFUNCTION("""COMPUTED_VALUE"""),4.6654)</f>
        <v>4.6654</v>
      </c>
    </row>
    <row r="3412">
      <c r="D3412" s="6">
        <f>IFERROR(__xludf.DUMMYFUNCTION("""COMPUTED_VALUE"""),43224.99861111111)</f>
        <v>43224.99861</v>
      </c>
      <c r="E3412" s="3">
        <f>IFERROR(__xludf.DUMMYFUNCTION("""COMPUTED_VALUE"""),4.6561)</f>
        <v>4.6561</v>
      </c>
    </row>
    <row r="3413">
      <c r="D3413" s="6">
        <f>IFERROR(__xludf.DUMMYFUNCTION("""COMPUTED_VALUE"""),43227.99861111111)</f>
        <v>43227.99861</v>
      </c>
      <c r="E3413" s="3">
        <f>IFERROR(__xludf.DUMMYFUNCTION("""COMPUTED_VALUE"""),4.6538)</f>
        <v>4.6538</v>
      </c>
    </row>
    <row r="3414">
      <c r="D3414" s="6">
        <f>IFERROR(__xludf.DUMMYFUNCTION("""COMPUTED_VALUE"""),43228.99861111111)</f>
        <v>43228.99861</v>
      </c>
      <c r="E3414" s="3">
        <f>IFERROR(__xludf.DUMMYFUNCTION("""COMPUTED_VALUE"""),4.6483)</f>
        <v>4.6483</v>
      </c>
    </row>
    <row r="3415">
      <c r="D3415" s="6">
        <f>IFERROR(__xludf.DUMMYFUNCTION("""COMPUTED_VALUE"""),43229.99861111111)</f>
        <v>43229.99861</v>
      </c>
      <c r="E3415" s="3">
        <f>IFERROR(__xludf.DUMMYFUNCTION("""COMPUTED_VALUE"""),4.6428)</f>
        <v>4.6428</v>
      </c>
    </row>
    <row r="3416">
      <c r="D3416" s="6">
        <f>IFERROR(__xludf.DUMMYFUNCTION("""COMPUTED_VALUE"""),43230.99861111111)</f>
        <v>43230.99861</v>
      </c>
      <c r="E3416" s="3">
        <f>IFERROR(__xludf.DUMMYFUNCTION("""COMPUTED_VALUE"""),4.6378)</f>
        <v>4.6378</v>
      </c>
    </row>
    <row r="3417">
      <c r="D3417" s="6">
        <f>IFERROR(__xludf.DUMMYFUNCTION("""COMPUTED_VALUE"""),43231.99861111111)</f>
        <v>43231.99861</v>
      </c>
      <c r="E3417" s="3">
        <f>IFERROR(__xludf.DUMMYFUNCTION("""COMPUTED_VALUE"""),4.6338)</f>
        <v>4.6338</v>
      </c>
    </row>
    <row r="3418">
      <c r="D3418" s="6">
        <f>IFERROR(__xludf.DUMMYFUNCTION("""COMPUTED_VALUE"""),43233.99861111111)</f>
        <v>43233.99861</v>
      </c>
      <c r="E3418" s="3">
        <f>IFERROR(__xludf.DUMMYFUNCTION("""COMPUTED_VALUE"""),4.6338)</f>
        <v>4.6338</v>
      </c>
    </row>
    <row r="3419">
      <c r="D3419" s="6">
        <f>IFERROR(__xludf.DUMMYFUNCTION("""COMPUTED_VALUE"""),43234.99861111111)</f>
        <v>43234.99861</v>
      </c>
      <c r="E3419" s="3">
        <f>IFERROR(__xludf.DUMMYFUNCTION("""COMPUTED_VALUE"""),4.6213)</f>
        <v>4.6213</v>
      </c>
    </row>
    <row r="3420">
      <c r="D3420" s="6">
        <f>IFERROR(__xludf.DUMMYFUNCTION("""COMPUTED_VALUE"""),43235.99861111111)</f>
        <v>43235.99861</v>
      </c>
      <c r="E3420" s="3">
        <f>IFERROR(__xludf.DUMMYFUNCTION("""COMPUTED_VALUE"""),4.634)</f>
        <v>4.634</v>
      </c>
    </row>
    <row r="3421">
      <c r="D3421" s="6">
        <f>IFERROR(__xludf.DUMMYFUNCTION("""COMPUTED_VALUE"""),43236.99861111111)</f>
        <v>43236.99861</v>
      </c>
      <c r="E3421" s="3">
        <f>IFERROR(__xludf.DUMMYFUNCTION("""COMPUTED_VALUE"""),4.6311)</f>
        <v>4.6311</v>
      </c>
    </row>
    <row r="3422">
      <c r="D3422" s="6">
        <f>IFERROR(__xludf.DUMMYFUNCTION("""COMPUTED_VALUE"""),43237.99861111111)</f>
        <v>43237.99861</v>
      </c>
      <c r="E3422" s="3">
        <f>IFERROR(__xludf.DUMMYFUNCTION("""COMPUTED_VALUE"""),4.6327)</f>
        <v>4.6327</v>
      </c>
    </row>
    <row r="3423">
      <c r="D3423" s="6">
        <f>IFERROR(__xludf.DUMMYFUNCTION("""COMPUTED_VALUE"""),43238.99861111111)</f>
        <v>43238.99861</v>
      </c>
      <c r="E3423" s="3">
        <f>IFERROR(__xludf.DUMMYFUNCTION("""COMPUTED_VALUE"""),4.6306)</f>
        <v>4.6306</v>
      </c>
    </row>
    <row r="3424">
      <c r="D3424" s="6">
        <f>IFERROR(__xludf.DUMMYFUNCTION("""COMPUTED_VALUE"""),43241.99861111111)</f>
        <v>43241.99861</v>
      </c>
      <c r="E3424" s="3">
        <f>IFERROR(__xludf.DUMMYFUNCTION("""COMPUTED_VALUE"""),4.6202)</f>
        <v>4.6202</v>
      </c>
    </row>
    <row r="3425">
      <c r="D3425" s="6">
        <f>IFERROR(__xludf.DUMMYFUNCTION("""COMPUTED_VALUE"""),43242.99861111111)</f>
        <v>43242.99861</v>
      </c>
      <c r="E3425" s="3">
        <f>IFERROR(__xludf.DUMMYFUNCTION("""COMPUTED_VALUE"""),4.6243)</f>
        <v>4.6243</v>
      </c>
    </row>
    <row r="3426">
      <c r="D3426" s="6">
        <f>IFERROR(__xludf.DUMMYFUNCTION("""COMPUTED_VALUE"""),43243.99861111111)</f>
        <v>43243.99861</v>
      </c>
      <c r="E3426" s="3">
        <f>IFERROR(__xludf.DUMMYFUNCTION("""COMPUTED_VALUE"""),4.6241)</f>
        <v>4.6241</v>
      </c>
    </row>
    <row r="3427">
      <c r="D3427" s="6">
        <f>IFERROR(__xludf.DUMMYFUNCTION("""COMPUTED_VALUE"""),43244.99861111111)</f>
        <v>43244.99861</v>
      </c>
      <c r="E3427" s="3">
        <f>IFERROR(__xludf.DUMMYFUNCTION("""COMPUTED_VALUE"""),4.6265)</f>
        <v>4.6265</v>
      </c>
    </row>
    <row r="3428">
      <c r="D3428" s="6">
        <f>IFERROR(__xludf.DUMMYFUNCTION("""COMPUTED_VALUE"""),43245.99861111111)</f>
        <v>43245.99861</v>
      </c>
      <c r="E3428" s="3">
        <f>IFERROR(__xludf.DUMMYFUNCTION("""COMPUTED_VALUE"""),4.6238)</f>
        <v>4.6238</v>
      </c>
    </row>
    <row r="3429">
      <c r="D3429" s="6">
        <f>IFERROR(__xludf.DUMMYFUNCTION("""COMPUTED_VALUE"""),43248.99861111111)</f>
        <v>43248.99861</v>
      </c>
      <c r="E3429" s="3">
        <f>IFERROR(__xludf.DUMMYFUNCTION("""COMPUTED_VALUE"""),4.6363)</f>
        <v>4.6363</v>
      </c>
    </row>
    <row r="3430">
      <c r="D3430" s="6">
        <f>IFERROR(__xludf.DUMMYFUNCTION("""COMPUTED_VALUE"""),43249.99861111111)</f>
        <v>43249.99861</v>
      </c>
      <c r="E3430" s="3">
        <f>IFERROR(__xludf.DUMMYFUNCTION("""COMPUTED_VALUE"""),4.6438)</f>
        <v>4.6438</v>
      </c>
    </row>
    <row r="3431">
      <c r="D3431" s="6">
        <f>IFERROR(__xludf.DUMMYFUNCTION("""COMPUTED_VALUE"""),43250.99861111111)</f>
        <v>43250.99861</v>
      </c>
      <c r="E3431" s="3">
        <f>IFERROR(__xludf.DUMMYFUNCTION("""COMPUTED_VALUE"""),4.6472)</f>
        <v>4.6472</v>
      </c>
    </row>
    <row r="3432">
      <c r="D3432" s="6">
        <f>IFERROR(__xludf.DUMMYFUNCTION("""COMPUTED_VALUE"""),43251.99861111111)</f>
        <v>43251.99861</v>
      </c>
      <c r="E3432" s="3">
        <f>IFERROR(__xludf.DUMMYFUNCTION("""COMPUTED_VALUE"""),4.6603)</f>
        <v>4.6603</v>
      </c>
    </row>
    <row r="3433">
      <c r="D3433" s="6">
        <f>IFERROR(__xludf.DUMMYFUNCTION("""COMPUTED_VALUE"""),43252.99861111111)</f>
        <v>43252.99861</v>
      </c>
      <c r="E3433" s="3">
        <f>IFERROR(__xludf.DUMMYFUNCTION("""COMPUTED_VALUE"""),4.662)</f>
        <v>4.662</v>
      </c>
    </row>
    <row r="3434">
      <c r="D3434" s="6">
        <f>IFERROR(__xludf.DUMMYFUNCTION("""COMPUTED_VALUE"""),43255.99861111111)</f>
        <v>43255.99861</v>
      </c>
      <c r="E3434" s="3">
        <f>IFERROR(__xludf.DUMMYFUNCTION("""COMPUTED_VALUE"""),4.6544)</f>
        <v>4.6544</v>
      </c>
    </row>
    <row r="3435">
      <c r="D3435" s="6">
        <f>IFERROR(__xludf.DUMMYFUNCTION("""COMPUTED_VALUE"""),43256.99861111111)</f>
        <v>43256.99861</v>
      </c>
      <c r="E3435" s="3">
        <f>IFERROR(__xludf.DUMMYFUNCTION("""COMPUTED_VALUE"""),4.6481)</f>
        <v>4.6481</v>
      </c>
    </row>
    <row r="3436">
      <c r="D3436" s="6">
        <f>IFERROR(__xludf.DUMMYFUNCTION("""COMPUTED_VALUE"""),43257.99861111111)</f>
        <v>43257.99861</v>
      </c>
      <c r="E3436" s="3">
        <f>IFERROR(__xludf.DUMMYFUNCTION("""COMPUTED_VALUE"""),4.6535)</f>
        <v>4.6535</v>
      </c>
    </row>
    <row r="3437">
      <c r="D3437" s="6">
        <f>IFERROR(__xludf.DUMMYFUNCTION("""COMPUTED_VALUE"""),43258.99861111111)</f>
        <v>43258.99861</v>
      </c>
      <c r="E3437" s="3">
        <f>IFERROR(__xludf.DUMMYFUNCTION("""COMPUTED_VALUE"""),4.6538)</f>
        <v>4.6538</v>
      </c>
    </row>
    <row r="3438">
      <c r="D3438" s="6">
        <f>IFERROR(__xludf.DUMMYFUNCTION("""COMPUTED_VALUE"""),43259.99861111111)</f>
        <v>43259.99861</v>
      </c>
      <c r="E3438" s="3">
        <f>IFERROR(__xludf.DUMMYFUNCTION("""COMPUTED_VALUE"""),4.656)</f>
        <v>4.656</v>
      </c>
    </row>
    <row r="3439">
      <c r="D3439" s="6">
        <f>IFERROR(__xludf.DUMMYFUNCTION("""COMPUTED_VALUE"""),43262.99861111111)</f>
        <v>43262.99861</v>
      </c>
      <c r="E3439" s="3">
        <f>IFERROR(__xludf.DUMMYFUNCTION("""COMPUTED_VALUE"""),4.66)</f>
        <v>4.66</v>
      </c>
    </row>
    <row r="3440">
      <c r="D3440" s="6">
        <f>IFERROR(__xludf.DUMMYFUNCTION("""COMPUTED_VALUE"""),43263.99861111111)</f>
        <v>43263.99861</v>
      </c>
      <c r="E3440" s="3">
        <f>IFERROR(__xludf.DUMMYFUNCTION("""COMPUTED_VALUE"""),4.6603)</f>
        <v>4.6603</v>
      </c>
    </row>
    <row r="3441">
      <c r="D3441" s="6">
        <f>IFERROR(__xludf.DUMMYFUNCTION("""COMPUTED_VALUE"""),43264.99861111111)</f>
        <v>43264.99861</v>
      </c>
      <c r="E3441" s="3">
        <f>IFERROR(__xludf.DUMMYFUNCTION("""COMPUTED_VALUE"""),4.6638)</f>
        <v>4.6638</v>
      </c>
    </row>
    <row r="3442">
      <c r="D3442" s="6">
        <f>IFERROR(__xludf.DUMMYFUNCTION("""COMPUTED_VALUE"""),43265.99861111111)</f>
        <v>43265.99861</v>
      </c>
      <c r="E3442" s="3">
        <f>IFERROR(__xludf.DUMMYFUNCTION("""COMPUTED_VALUE"""),4.6625)</f>
        <v>4.6625</v>
      </c>
    </row>
    <row r="3443">
      <c r="D3443" s="6">
        <f>IFERROR(__xludf.DUMMYFUNCTION("""COMPUTED_VALUE"""),43266.99861111111)</f>
        <v>43266.99861</v>
      </c>
      <c r="E3443" s="3">
        <f>IFERROR(__xludf.DUMMYFUNCTION("""COMPUTED_VALUE"""),4.6599)</f>
        <v>4.6599</v>
      </c>
    </row>
    <row r="3444">
      <c r="D3444" s="6">
        <f>IFERROR(__xludf.DUMMYFUNCTION("""COMPUTED_VALUE"""),43269.99861111111)</f>
        <v>43269.99861</v>
      </c>
      <c r="E3444" s="3">
        <f>IFERROR(__xludf.DUMMYFUNCTION("""COMPUTED_VALUE"""),4.6658)</f>
        <v>4.6658</v>
      </c>
    </row>
    <row r="3445">
      <c r="D3445" s="6">
        <f>IFERROR(__xludf.DUMMYFUNCTION("""COMPUTED_VALUE"""),43270.99861111111)</f>
        <v>43270.99861</v>
      </c>
      <c r="E3445" s="3">
        <f>IFERROR(__xludf.DUMMYFUNCTION("""COMPUTED_VALUE"""),4.6672)</f>
        <v>4.6672</v>
      </c>
    </row>
    <row r="3446">
      <c r="D3446" s="6">
        <f>IFERROR(__xludf.DUMMYFUNCTION("""COMPUTED_VALUE"""),43271.99861111111)</f>
        <v>43271.99861</v>
      </c>
      <c r="E3446" s="3">
        <f>IFERROR(__xludf.DUMMYFUNCTION("""COMPUTED_VALUE"""),4.6695)</f>
        <v>4.6695</v>
      </c>
    </row>
    <row r="3447">
      <c r="D3447" s="6">
        <f>IFERROR(__xludf.DUMMYFUNCTION("""COMPUTED_VALUE"""),43272.99861111111)</f>
        <v>43272.99861</v>
      </c>
      <c r="E3447" s="3">
        <f>IFERROR(__xludf.DUMMYFUNCTION("""COMPUTED_VALUE"""),4.668)</f>
        <v>4.668</v>
      </c>
    </row>
    <row r="3448">
      <c r="D3448" s="6">
        <f>IFERROR(__xludf.DUMMYFUNCTION("""COMPUTED_VALUE"""),43273.99861111111)</f>
        <v>43273.99861</v>
      </c>
      <c r="E3448" s="3">
        <f>IFERROR(__xludf.DUMMYFUNCTION("""COMPUTED_VALUE"""),4.658)</f>
        <v>4.658</v>
      </c>
    </row>
    <row r="3449">
      <c r="D3449" s="6">
        <f>IFERROR(__xludf.DUMMYFUNCTION("""COMPUTED_VALUE"""),43276.99861111111)</f>
        <v>43276.99861</v>
      </c>
      <c r="E3449" s="3">
        <f>IFERROR(__xludf.DUMMYFUNCTION("""COMPUTED_VALUE"""),4.6668)</f>
        <v>4.6668</v>
      </c>
    </row>
    <row r="3450">
      <c r="D3450" s="6">
        <f>IFERROR(__xludf.DUMMYFUNCTION("""COMPUTED_VALUE"""),43277.99861111111)</f>
        <v>43277.99861</v>
      </c>
      <c r="E3450" s="3">
        <f>IFERROR(__xludf.DUMMYFUNCTION("""COMPUTED_VALUE"""),4.659)</f>
        <v>4.659</v>
      </c>
    </row>
    <row r="3451">
      <c r="D3451" s="6">
        <f>IFERROR(__xludf.DUMMYFUNCTION("""COMPUTED_VALUE"""),43278.99861111111)</f>
        <v>43278.99861</v>
      </c>
      <c r="E3451" s="3">
        <f>IFERROR(__xludf.DUMMYFUNCTION("""COMPUTED_VALUE"""),4.6502)</f>
        <v>4.6502</v>
      </c>
    </row>
    <row r="3452">
      <c r="D3452" s="6">
        <f>IFERROR(__xludf.DUMMYFUNCTION("""COMPUTED_VALUE"""),43279.99861111111)</f>
        <v>43279.99861</v>
      </c>
      <c r="E3452" s="3">
        <f>IFERROR(__xludf.DUMMYFUNCTION("""COMPUTED_VALUE"""),4.6572)</f>
        <v>4.6572</v>
      </c>
    </row>
    <row r="3453">
      <c r="D3453" s="6">
        <f>IFERROR(__xludf.DUMMYFUNCTION("""COMPUTED_VALUE"""),43280.99861111111)</f>
        <v>43280.99861</v>
      </c>
      <c r="E3453" s="3">
        <f>IFERROR(__xludf.DUMMYFUNCTION("""COMPUTED_VALUE"""),4.6612)</f>
        <v>4.6612</v>
      </c>
    </row>
    <row r="3454">
      <c r="D3454" s="6">
        <f>IFERROR(__xludf.DUMMYFUNCTION("""COMPUTED_VALUE"""),43283.99861111111)</f>
        <v>43283.99861</v>
      </c>
      <c r="E3454" s="3">
        <f>IFERROR(__xludf.DUMMYFUNCTION("""COMPUTED_VALUE"""),4.6615)</f>
        <v>4.6615</v>
      </c>
    </row>
    <row r="3455">
      <c r="D3455" s="6">
        <f>IFERROR(__xludf.DUMMYFUNCTION("""COMPUTED_VALUE"""),43284.99861111111)</f>
        <v>43284.99861</v>
      </c>
      <c r="E3455" s="3">
        <f>IFERROR(__xludf.DUMMYFUNCTION("""COMPUTED_VALUE"""),4.659)</f>
        <v>4.659</v>
      </c>
    </row>
    <row r="3456">
      <c r="D3456" s="6">
        <f>IFERROR(__xludf.DUMMYFUNCTION("""COMPUTED_VALUE"""),43285.99861111111)</f>
        <v>43285.99861</v>
      </c>
      <c r="E3456" s="3">
        <f>IFERROR(__xludf.DUMMYFUNCTION("""COMPUTED_VALUE"""),4.6568)</f>
        <v>4.6568</v>
      </c>
    </row>
    <row r="3457">
      <c r="D3457" s="6">
        <f>IFERROR(__xludf.DUMMYFUNCTION("""COMPUTED_VALUE"""),43286.99861111111)</f>
        <v>43286.99861</v>
      </c>
      <c r="E3457" s="3">
        <f>IFERROR(__xludf.DUMMYFUNCTION("""COMPUTED_VALUE"""),4.6588)</f>
        <v>4.6588</v>
      </c>
    </row>
    <row r="3458">
      <c r="D3458" s="6">
        <f>IFERROR(__xludf.DUMMYFUNCTION("""COMPUTED_VALUE"""),43287.99861111111)</f>
        <v>43287.99861</v>
      </c>
      <c r="E3458" s="3">
        <f>IFERROR(__xludf.DUMMYFUNCTION("""COMPUTED_VALUE"""),4.6578)</f>
        <v>4.6578</v>
      </c>
    </row>
    <row r="3459">
      <c r="D3459" s="6">
        <f>IFERROR(__xludf.DUMMYFUNCTION("""COMPUTED_VALUE"""),43290.99861111111)</f>
        <v>43290.99861</v>
      </c>
      <c r="E3459" s="3">
        <f>IFERROR(__xludf.DUMMYFUNCTION("""COMPUTED_VALUE"""),4.6565)</f>
        <v>4.6565</v>
      </c>
    </row>
    <row r="3460">
      <c r="D3460" s="6">
        <f>IFERROR(__xludf.DUMMYFUNCTION("""COMPUTED_VALUE"""),43291.99861111111)</f>
        <v>43291.99861</v>
      </c>
      <c r="E3460" s="3">
        <f>IFERROR(__xludf.DUMMYFUNCTION("""COMPUTED_VALUE"""),4.6556)</f>
        <v>4.6556</v>
      </c>
    </row>
    <row r="3461">
      <c r="D3461" s="6">
        <f>IFERROR(__xludf.DUMMYFUNCTION("""COMPUTED_VALUE"""),43292.99861111111)</f>
        <v>43292.99861</v>
      </c>
      <c r="E3461" s="3">
        <f>IFERROR(__xludf.DUMMYFUNCTION("""COMPUTED_VALUE"""),4.6554)</f>
        <v>4.6554</v>
      </c>
    </row>
    <row r="3462">
      <c r="D3462" s="6">
        <f>IFERROR(__xludf.DUMMYFUNCTION("""COMPUTED_VALUE"""),43293.99861111111)</f>
        <v>43293.99861</v>
      </c>
      <c r="E3462" s="3">
        <f>IFERROR(__xludf.DUMMYFUNCTION("""COMPUTED_VALUE"""),4.6566)</f>
        <v>4.6566</v>
      </c>
    </row>
    <row r="3463">
      <c r="D3463" s="6">
        <f>IFERROR(__xludf.DUMMYFUNCTION("""COMPUTED_VALUE"""),43294.99861111111)</f>
        <v>43294.99861</v>
      </c>
      <c r="E3463" s="3">
        <f>IFERROR(__xludf.DUMMYFUNCTION("""COMPUTED_VALUE"""),4.65)</f>
        <v>4.65</v>
      </c>
    </row>
    <row r="3464">
      <c r="D3464" s="6">
        <f>IFERROR(__xludf.DUMMYFUNCTION("""COMPUTED_VALUE"""),43297.99861111111)</f>
        <v>43297.99861</v>
      </c>
      <c r="E3464" s="3">
        <f>IFERROR(__xludf.DUMMYFUNCTION("""COMPUTED_VALUE"""),4.6557)</f>
        <v>4.6557</v>
      </c>
    </row>
    <row r="3465">
      <c r="D3465" s="6">
        <f>IFERROR(__xludf.DUMMYFUNCTION("""COMPUTED_VALUE"""),43298.99861111111)</f>
        <v>43298.99861</v>
      </c>
      <c r="E3465" s="3">
        <f>IFERROR(__xludf.DUMMYFUNCTION("""COMPUTED_VALUE"""),4.6492)</f>
        <v>4.6492</v>
      </c>
    </row>
    <row r="3466">
      <c r="D3466" s="6">
        <f>IFERROR(__xludf.DUMMYFUNCTION("""COMPUTED_VALUE"""),43299.99861111111)</f>
        <v>43299.99861</v>
      </c>
      <c r="E3466" s="3">
        <f>IFERROR(__xludf.DUMMYFUNCTION("""COMPUTED_VALUE"""),4.6518)</f>
        <v>4.6518</v>
      </c>
    </row>
    <row r="3467">
      <c r="D3467" s="6">
        <f>IFERROR(__xludf.DUMMYFUNCTION("""COMPUTED_VALUE"""),43300.99861111111)</f>
        <v>43300.99861</v>
      </c>
      <c r="E3467" s="3">
        <f>IFERROR(__xludf.DUMMYFUNCTION("""COMPUTED_VALUE"""),4.6525)</f>
        <v>4.6525</v>
      </c>
    </row>
    <row r="3468">
      <c r="D3468" s="6">
        <f>IFERROR(__xludf.DUMMYFUNCTION("""COMPUTED_VALUE"""),43301.99861111111)</f>
        <v>43301.99861</v>
      </c>
      <c r="E3468" s="3">
        <f>IFERROR(__xludf.DUMMYFUNCTION("""COMPUTED_VALUE"""),4.6514)</f>
        <v>4.6514</v>
      </c>
    </row>
    <row r="3469">
      <c r="D3469" s="6">
        <f>IFERROR(__xludf.DUMMYFUNCTION("""COMPUTED_VALUE"""),43303.99861111111)</f>
        <v>43303.99861</v>
      </c>
      <c r="E3469" s="3">
        <f>IFERROR(__xludf.DUMMYFUNCTION("""COMPUTED_VALUE"""),4.6542)</f>
        <v>4.6542</v>
      </c>
    </row>
    <row r="3470">
      <c r="D3470" s="6">
        <f>IFERROR(__xludf.DUMMYFUNCTION("""COMPUTED_VALUE"""),43304.99861111111)</f>
        <v>43304.99861</v>
      </c>
      <c r="E3470" s="3">
        <f>IFERROR(__xludf.DUMMYFUNCTION("""COMPUTED_VALUE"""),4.6448)</f>
        <v>4.6448</v>
      </c>
    </row>
    <row r="3471">
      <c r="D3471" s="6">
        <f>IFERROR(__xludf.DUMMYFUNCTION("""COMPUTED_VALUE"""),43305.99861111111)</f>
        <v>43305.99861</v>
      </c>
      <c r="E3471" s="3">
        <f>IFERROR(__xludf.DUMMYFUNCTION("""COMPUTED_VALUE"""),4.6264)</f>
        <v>4.6264</v>
      </c>
    </row>
    <row r="3472">
      <c r="D3472" s="6">
        <f>IFERROR(__xludf.DUMMYFUNCTION("""COMPUTED_VALUE"""),43306.99861111111)</f>
        <v>43306.99861</v>
      </c>
      <c r="E3472" s="3">
        <f>IFERROR(__xludf.DUMMYFUNCTION("""COMPUTED_VALUE"""),4.6189)</f>
        <v>4.6189</v>
      </c>
    </row>
    <row r="3473">
      <c r="D3473" s="6">
        <f>IFERROR(__xludf.DUMMYFUNCTION("""COMPUTED_VALUE"""),43307.99861111111)</f>
        <v>43307.99861</v>
      </c>
      <c r="E3473" s="3">
        <f>IFERROR(__xludf.DUMMYFUNCTION("""COMPUTED_VALUE"""),4.6356)</f>
        <v>4.6356</v>
      </c>
    </row>
    <row r="3474">
      <c r="D3474" s="6">
        <f>IFERROR(__xludf.DUMMYFUNCTION("""COMPUTED_VALUE"""),43308.99861111111)</f>
        <v>43308.99861</v>
      </c>
      <c r="E3474" s="3">
        <f>IFERROR(__xludf.DUMMYFUNCTION("""COMPUTED_VALUE"""),4.6222)</f>
        <v>4.6222</v>
      </c>
    </row>
    <row r="3475">
      <c r="D3475" s="6">
        <f>IFERROR(__xludf.DUMMYFUNCTION("""COMPUTED_VALUE"""),43311.99861111111)</f>
        <v>43311.99861</v>
      </c>
      <c r="E3475" s="3">
        <f>IFERROR(__xludf.DUMMYFUNCTION("""COMPUTED_VALUE"""),4.6228)</f>
        <v>4.6228</v>
      </c>
    </row>
    <row r="3476">
      <c r="D3476" s="6">
        <f>IFERROR(__xludf.DUMMYFUNCTION("""COMPUTED_VALUE"""),43312.99861111111)</f>
        <v>43312.99861</v>
      </c>
      <c r="E3476" s="3">
        <f>IFERROR(__xludf.DUMMYFUNCTION("""COMPUTED_VALUE"""),4.6195)</f>
        <v>4.6195</v>
      </c>
    </row>
    <row r="3477">
      <c r="D3477" s="6">
        <f>IFERROR(__xludf.DUMMYFUNCTION("""COMPUTED_VALUE"""),43313.99861111111)</f>
        <v>43313.99861</v>
      </c>
      <c r="E3477" s="3">
        <f>IFERROR(__xludf.DUMMYFUNCTION("""COMPUTED_VALUE"""),4.6171)</f>
        <v>4.6171</v>
      </c>
    </row>
    <row r="3478">
      <c r="D3478" s="6">
        <f>IFERROR(__xludf.DUMMYFUNCTION("""COMPUTED_VALUE"""),43314.99861111111)</f>
        <v>43314.99861</v>
      </c>
      <c r="E3478" s="3">
        <f>IFERROR(__xludf.DUMMYFUNCTION("""COMPUTED_VALUE"""),4.6172)</f>
        <v>4.6172</v>
      </c>
    </row>
    <row r="3479">
      <c r="D3479" s="6">
        <f>IFERROR(__xludf.DUMMYFUNCTION("""COMPUTED_VALUE"""),43315.99861111111)</f>
        <v>43315.99861</v>
      </c>
      <c r="E3479" s="3">
        <f>IFERROR(__xludf.DUMMYFUNCTION("""COMPUTED_VALUE"""),4.6172)</f>
        <v>4.6172</v>
      </c>
    </row>
    <row r="3480">
      <c r="D3480" s="6">
        <f>IFERROR(__xludf.DUMMYFUNCTION("""COMPUTED_VALUE"""),43318.99861111111)</f>
        <v>43318.99861</v>
      </c>
      <c r="E3480" s="3">
        <f>IFERROR(__xludf.DUMMYFUNCTION("""COMPUTED_VALUE"""),4.6387)</f>
        <v>4.6387</v>
      </c>
    </row>
    <row r="3481">
      <c r="D3481" s="6">
        <f>IFERROR(__xludf.DUMMYFUNCTION("""COMPUTED_VALUE"""),43319.99861111111)</f>
        <v>43319.99861</v>
      </c>
      <c r="E3481" s="3">
        <f>IFERROR(__xludf.DUMMYFUNCTION("""COMPUTED_VALUE"""),4.6432)</f>
        <v>4.6432</v>
      </c>
    </row>
    <row r="3482">
      <c r="D3482" s="6">
        <f>IFERROR(__xludf.DUMMYFUNCTION("""COMPUTED_VALUE"""),43320.99861111111)</f>
        <v>43320.99861</v>
      </c>
      <c r="E3482" s="3">
        <f>IFERROR(__xludf.DUMMYFUNCTION("""COMPUTED_VALUE"""),4.6389)</f>
        <v>4.6389</v>
      </c>
    </row>
    <row r="3483">
      <c r="D3483" s="6">
        <f>IFERROR(__xludf.DUMMYFUNCTION("""COMPUTED_VALUE"""),43321.99861111111)</f>
        <v>43321.99861</v>
      </c>
      <c r="E3483" s="3">
        <f>IFERROR(__xludf.DUMMYFUNCTION("""COMPUTED_VALUE"""),4.6523)</f>
        <v>4.6523</v>
      </c>
    </row>
    <row r="3484">
      <c r="D3484" s="6">
        <f>IFERROR(__xludf.DUMMYFUNCTION("""COMPUTED_VALUE"""),43322.99861111111)</f>
        <v>43322.99861</v>
      </c>
      <c r="E3484" s="3">
        <f>IFERROR(__xludf.DUMMYFUNCTION("""COMPUTED_VALUE"""),4.6544)</f>
        <v>4.6544</v>
      </c>
    </row>
    <row r="3485">
      <c r="D3485" s="6">
        <f>IFERROR(__xludf.DUMMYFUNCTION("""COMPUTED_VALUE"""),43325.99861111111)</f>
        <v>43325.99861</v>
      </c>
      <c r="E3485" s="3">
        <f>IFERROR(__xludf.DUMMYFUNCTION("""COMPUTED_VALUE"""),4.6567)</f>
        <v>4.6567</v>
      </c>
    </row>
    <row r="3486">
      <c r="D3486" s="6">
        <f>IFERROR(__xludf.DUMMYFUNCTION("""COMPUTED_VALUE"""),43326.99861111111)</f>
        <v>43326.99861</v>
      </c>
      <c r="E3486" s="3">
        <f>IFERROR(__xludf.DUMMYFUNCTION("""COMPUTED_VALUE"""),4.653)</f>
        <v>4.653</v>
      </c>
    </row>
    <row r="3487">
      <c r="D3487" s="6">
        <f>IFERROR(__xludf.DUMMYFUNCTION("""COMPUTED_VALUE"""),43327.99861111111)</f>
        <v>43327.99861</v>
      </c>
      <c r="E3487" s="3">
        <f>IFERROR(__xludf.DUMMYFUNCTION("""COMPUTED_VALUE"""),4.6634)</f>
        <v>4.6634</v>
      </c>
    </row>
    <row r="3488">
      <c r="D3488" s="6">
        <f>IFERROR(__xludf.DUMMYFUNCTION("""COMPUTED_VALUE"""),43328.99861111111)</f>
        <v>43328.99861</v>
      </c>
      <c r="E3488" s="3">
        <f>IFERROR(__xludf.DUMMYFUNCTION("""COMPUTED_VALUE"""),4.654)</f>
        <v>4.654</v>
      </c>
    </row>
    <row r="3489">
      <c r="D3489" s="6">
        <f>IFERROR(__xludf.DUMMYFUNCTION("""COMPUTED_VALUE"""),43329.99861111111)</f>
        <v>43329.99861</v>
      </c>
      <c r="E3489" s="3">
        <f>IFERROR(__xludf.DUMMYFUNCTION("""COMPUTED_VALUE"""),4.6527)</f>
        <v>4.6527</v>
      </c>
    </row>
    <row r="3490">
      <c r="D3490" s="6">
        <f>IFERROR(__xludf.DUMMYFUNCTION("""COMPUTED_VALUE"""),43332.99861111111)</f>
        <v>43332.99861</v>
      </c>
      <c r="E3490" s="3">
        <f>IFERROR(__xludf.DUMMYFUNCTION("""COMPUTED_VALUE"""),4.645)</f>
        <v>4.645</v>
      </c>
    </row>
    <row r="3491">
      <c r="D3491" s="6">
        <f>IFERROR(__xludf.DUMMYFUNCTION("""COMPUTED_VALUE"""),43333.99861111111)</f>
        <v>43333.99861</v>
      </c>
      <c r="E3491" s="3">
        <f>IFERROR(__xludf.DUMMYFUNCTION("""COMPUTED_VALUE"""),4.641)</f>
        <v>4.641</v>
      </c>
    </row>
    <row r="3492">
      <c r="D3492" s="6">
        <f>IFERROR(__xludf.DUMMYFUNCTION("""COMPUTED_VALUE"""),43334.99861111111)</f>
        <v>43334.99861</v>
      </c>
      <c r="E3492" s="3">
        <f>IFERROR(__xludf.DUMMYFUNCTION("""COMPUTED_VALUE"""),4.6443)</f>
        <v>4.6443</v>
      </c>
    </row>
    <row r="3493">
      <c r="D3493" s="6">
        <f>IFERROR(__xludf.DUMMYFUNCTION("""COMPUTED_VALUE"""),43335.99861111111)</f>
        <v>43335.99861</v>
      </c>
      <c r="E3493" s="3">
        <f>IFERROR(__xludf.DUMMYFUNCTION("""COMPUTED_VALUE"""),4.6346)</f>
        <v>4.6346</v>
      </c>
    </row>
    <row r="3494">
      <c r="D3494" s="6">
        <f>IFERROR(__xludf.DUMMYFUNCTION("""COMPUTED_VALUE"""),43336.99861111111)</f>
        <v>43336.99861</v>
      </c>
      <c r="E3494" s="3">
        <f>IFERROR(__xludf.DUMMYFUNCTION("""COMPUTED_VALUE"""),4.634)</f>
        <v>4.634</v>
      </c>
    </row>
    <row r="3495">
      <c r="D3495" s="6">
        <f>IFERROR(__xludf.DUMMYFUNCTION("""COMPUTED_VALUE"""),43339.99861111111)</f>
        <v>43339.99861</v>
      </c>
      <c r="E3495" s="3">
        <f>IFERROR(__xludf.DUMMYFUNCTION("""COMPUTED_VALUE"""),4.6416)</f>
        <v>4.6416</v>
      </c>
    </row>
    <row r="3496">
      <c r="D3496" s="6">
        <f>IFERROR(__xludf.DUMMYFUNCTION("""COMPUTED_VALUE"""),43340.99861111111)</f>
        <v>43340.99861</v>
      </c>
      <c r="E3496" s="3">
        <f>IFERROR(__xludf.DUMMYFUNCTION("""COMPUTED_VALUE"""),4.6399)</f>
        <v>4.6399</v>
      </c>
    </row>
    <row r="3497">
      <c r="D3497" s="6">
        <f>IFERROR(__xludf.DUMMYFUNCTION("""COMPUTED_VALUE"""),43341.99861111111)</f>
        <v>43341.99861</v>
      </c>
      <c r="E3497" s="3">
        <f>IFERROR(__xludf.DUMMYFUNCTION("""COMPUTED_VALUE"""),4.6317)</f>
        <v>4.6317</v>
      </c>
    </row>
    <row r="3498">
      <c r="D3498" s="6">
        <f>IFERROR(__xludf.DUMMYFUNCTION("""COMPUTED_VALUE"""),43342.99861111111)</f>
        <v>43342.99861</v>
      </c>
      <c r="E3498" s="3">
        <f>IFERROR(__xludf.DUMMYFUNCTION("""COMPUTED_VALUE"""),4.6453)</f>
        <v>4.6453</v>
      </c>
    </row>
    <row r="3499">
      <c r="D3499" s="6">
        <f>IFERROR(__xludf.DUMMYFUNCTION("""COMPUTED_VALUE"""),43343.99861111111)</f>
        <v>43343.99861</v>
      </c>
      <c r="E3499" s="3">
        <f>IFERROR(__xludf.DUMMYFUNCTION("""COMPUTED_VALUE"""),4.6361)</f>
        <v>4.6361</v>
      </c>
    </row>
    <row r="3500">
      <c r="D3500" s="6">
        <f>IFERROR(__xludf.DUMMYFUNCTION("""COMPUTED_VALUE"""),43346.99861111111)</f>
        <v>43346.99861</v>
      </c>
      <c r="E3500" s="3">
        <f>IFERROR(__xludf.DUMMYFUNCTION("""COMPUTED_VALUE"""),4.6313)</f>
        <v>4.6313</v>
      </c>
    </row>
    <row r="3501">
      <c r="D3501" s="6">
        <f>IFERROR(__xludf.DUMMYFUNCTION("""COMPUTED_VALUE"""),43347.99861111111)</f>
        <v>43347.99861</v>
      </c>
      <c r="E3501" s="3">
        <f>IFERROR(__xludf.DUMMYFUNCTION("""COMPUTED_VALUE"""),4.6295)</f>
        <v>4.6295</v>
      </c>
    </row>
    <row r="3502">
      <c r="D3502" s="6">
        <f>IFERROR(__xludf.DUMMYFUNCTION("""COMPUTED_VALUE"""),43348.99861111111)</f>
        <v>43348.99861</v>
      </c>
      <c r="E3502" s="3">
        <f>IFERROR(__xludf.DUMMYFUNCTION("""COMPUTED_VALUE"""),4.6348)</f>
        <v>4.6348</v>
      </c>
    </row>
    <row r="3503">
      <c r="D3503" s="6">
        <f>IFERROR(__xludf.DUMMYFUNCTION("""COMPUTED_VALUE"""),43349.99861111111)</f>
        <v>43349.99861</v>
      </c>
      <c r="E3503" s="3">
        <f>IFERROR(__xludf.DUMMYFUNCTION("""COMPUTED_VALUE"""),4.637)</f>
        <v>4.637</v>
      </c>
    </row>
    <row r="3504">
      <c r="D3504" s="6">
        <f>IFERROR(__xludf.DUMMYFUNCTION("""COMPUTED_VALUE"""),43350.99861111111)</f>
        <v>43350.99861</v>
      </c>
      <c r="E3504" s="3">
        <f>IFERROR(__xludf.DUMMYFUNCTION("""COMPUTED_VALUE"""),4.6354)</f>
        <v>4.6354</v>
      </c>
    </row>
    <row r="3505">
      <c r="D3505" s="6">
        <f>IFERROR(__xludf.DUMMYFUNCTION("""COMPUTED_VALUE"""),43353.99861111111)</f>
        <v>43353.99861</v>
      </c>
      <c r="E3505" s="3">
        <f>IFERROR(__xludf.DUMMYFUNCTION("""COMPUTED_VALUE"""),4.625)</f>
        <v>4.625</v>
      </c>
    </row>
    <row r="3506">
      <c r="D3506" s="6">
        <f>IFERROR(__xludf.DUMMYFUNCTION("""COMPUTED_VALUE"""),43354.99861111111)</f>
        <v>43354.99861</v>
      </c>
      <c r="E3506" s="3">
        <f>IFERROR(__xludf.DUMMYFUNCTION("""COMPUTED_VALUE"""),4.6292)</f>
        <v>4.6292</v>
      </c>
    </row>
    <row r="3507">
      <c r="D3507" s="6">
        <f>IFERROR(__xludf.DUMMYFUNCTION("""COMPUTED_VALUE"""),43355.99861111111)</f>
        <v>43355.99861</v>
      </c>
      <c r="E3507" s="3">
        <f>IFERROR(__xludf.DUMMYFUNCTION("""COMPUTED_VALUE"""),4.6333)</f>
        <v>4.6333</v>
      </c>
    </row>
    <row r="3508">
      <c r="D3508" s="6">
        <f>IFERROR(__xludf.DUMMYFUNCTION("""COMPUTED_VALUE"""),43356.99861111111)</f>
        <v>43356.99861</v>
      </c>
      <c r="E3508" s="3">
        <f>IFERROR(__xludf.DUMMYFUNCTION("""COMPUTED_VALUE"""),4.6373)</f>
        <v>4.6373</v>
      </c>
    </row>
    <row r="3509">
      <c r="D3509" s="6">
        <f>IFERROR(__xludf.DUMMYFUNCTION("""COMPUTED_VALUE"""),43357.99861111111)</f>
        <v>43357.99861</v>
      </c>
      <c r="E3509" s="3">
        <f>IFERROR(__xludf.DUMMYFUNCTION("""COMPUTED_VALUE"""),4.6377)</f>
        <v>4.6377</v>
      </c>
    </row>
    <row r="3510">
      <c r="D3510" s="6">
        <f>IFERROR(__xludf.DUMMYFUNCTION("""COMPUTED_VALUE"""),43360.99861111111)</f>
        <v>43360.99861</v>
      </c>
      <c r="E3510" s="3">
        <f>IFERROR(__xludf.DUMMYFUNCTION("""COMPUTED_VALUE"""),4.6415)</f>
        <v>4.6415</v>
      </c>
    </row>
    <row r="3511">
      <c r="D3511" s="6">
        <f>IFERROR(__xludf.DUMMYFUNCTION("""COMPUTED_VALUE"""),43361.99861111111)</f>
        <v>43361.99861</v>
      </c>
      <c r="E3511" s="3">
        <f>IFERROR(__xludf.DUMMYFUNCTION("""COMPUTED_VALUE"""),4.643)</f>
        <v>4.643</v>
      </c>
    </row>
    <row r="3512">
      <c r="D3512" s="6">
        <f>IFERROR(__xludf.DUMMYFUNCTION("""COMPUTED_VALUE"""),43362.99861111111)</f>
        <v>43362.99861</v>
      </c>
      <c r="E3512" s="3">
        <f>IFERROR(__xludf.DUMMYFUNCTION("""COMPUTED_VALUE"""),4.649)</f>
        <v>4.649</v>
      </c>
    </row>
    <row r="3513">
      <c r="D3513" s="6">
        <f>IFERROR(__xludf.DUMMYFUNCTION("""COMPUTED_VALUE"""),43363.99861111111)</f>
        <v>43363.99861</v>
      </c>
      <c r="E3513" s="3">
        <f>IFERROR(__xludf.DUMMYFUNCTION("""COMPUTED_VALUE"""),4.6512)</f>
        <v>4.6512</v>
      </c>
    </row>
    <row r="3514">
      <c r="D3514" s="6">
        <f>IFERROR(__xludf.DUMMYFUNCTION("""COMPUTED_VALUE"""),43364.99861111111)</f>
        <v>43364.99861</v>
      </c>
      <c r="E3514" s="3">
        <f>IFERROR(__xludf.DUMMYFUNCTION("""COMPUTED_VALUE"""),4.6526)</f>
        <v>4.6526</v>
      </c>
    </row>
    <row r="3515">
      <c r="D3515" s="6">
        <f>IFERROR(__xludf.DUMMYFUNCTION("""COMPUTED_VALUE"""),43367.99861111111)</f>
        <v>43367.99861</v>
      </c>
      <c r="E3515" s="3">
        <f>IFERROR(__xludf.DUMMYFUNCTION("""COMPUTED_VALUE"""),4.6538)</f>
        <v>4.6538</v>
      </c>
    </row>
    <row r="3516">
      <c r="D3516" s="6">
        <f>IFERROR(__xludf.DUMMYFUNCTION("""COMPUTED_VALUE"""),43368.99861111111)</f>
        <v>43368.99861</v>
      </c>
      <c r="E3516" s="3">
        <f>IFERROR(__xludf.DUMMYFUNCTION("""COMPUTED_VALUE"""),4.6571)</f>
        <v>4.6571</v>
      </c>
    </row>
    <row r="3517">
      <c r="D3517" s="6">
        <f>IFERROR(__xludf.DUMMYFUNCTION("""COMPUTED_VALUE"""),43369.99861111111)</f>
        <v>43369.99861</v>
      </c>
      <c r="E3517" s="3">
        <f>IFERROR(__xludf.DUMMYFUNCTION("""COMPUTED_VALUE"""),4.656)</f>
        <v>4.656</v>
      </c>
    </row>
    <row r="3518">
      <c r="D3518" s="6">
        <f>IFERROR(__xludf.DUMMYFUNCTION("""COMPUTED_VALUE"""),43370.99861111111)</f>
        <v>43370.99861</v>
      </c>
      <c r="E3518" s="3">
        <f>IFERROR(__xludf.DUMMYFUNCTION("""COMPUTED_VALUE"""),4.6593)</f>
        <v>4.6593</v>
      </c>
    </row>
    <row r="3519">
      <c r="D3519" s="6">
        <f>IFERROR(__xludf.DUMMYFUNCTION("""COMPUTED_VALUE"""),43371.99861111111)</f>
        <v>43371.99861</v>
      </c>
      <c r="E3519" s="3">
        <f>IFERROR(__xludf.DUMMYFUNCTION("""COMPUTED_VALUE"""),4.6503)</f>
        <v>4.6503</v>
      </c>
    </row>
    <row r="3520">
      <c r="D3520" s="6">
        <f>IFERROR(__xludf.DUMMYFUNCTION("""COMPUTED_VALUE"""),43374.99861111111)</f>
        <v>43374.99861</v>
      </c>
      <c r="E3520" s="3">
        <f>IFERROR(__xludf.DUMMYFUNCTION("""COMPUTED_VALUE"""),4.6622)</f>
        <v>4.6622</v>
      </c>
    </row>
    <row r="3521">
      <c r="D3521" s="6">
        <f>IFERROR(__xludf.DUMMYFUNCTION("""COMPUTED_VALUE"""),43375.99861111111)</f>
        <v>43375.99861</v>
      </c>
      <c r="E3521" s="3">
        <f>IFERROR(__xludf.DUMMYFUNCTION("""COMPUTED_VALUE"""),4.6655)</f>
        <v>4.6655</v>
      </c>
    </row>
    <row r="3522">
      <c r="D3522" s="6">
        <f>IFERROR(__xludf.DUMMYFUNCTION("""COMPUTED_VALUE"""),43376.99861111111)</f>
        <v>43376.99861</v>
      </c>
      <c r="E3522" s="3">
        <f>IFERROR(__xludf.DUMMYFUNCTION("""COMPUTED_VALUE"""),4.665)</f>
        <v>4.665</v>
      </c>
    </row>
    <row r="3523">
      <c r="D3523" s="6">
        <f>IFERROR(__xludf.DUMMYFUNCTION("""COMPUTED_VALUE"""),43377.99861111111)</f>
        <v>43377.99861</v>
      </c>
      <c r="E3523" s="3">
        <f>IFERROR(__xludf.DUMMYFUNCTION("""COMPUTED_VALUE"""),4.6696)</f>
        <v>4.6696</v>
      </c>
    </row>
    <row r="3524">
      <c r="D3524" s="6">
        <f>IFERROR(__xludf.DUMMYFUNCTION("""COMPUTED_VALUE"""),43378.99861111111)</f>
        <v>43378.99861</v>
      </c>
      <c r="E3524" s="3">
        <f>IFERROR(__xludf.DUMMYFUNCTION("""COMPUTED_VALUE"""),4.6688)</f>
        <v>4.6688</v>
      </c>
    </row>
    <row r="3525">
      <c r="D3525" s="6">
        <f>IFERROR(__xludf.DUMMYFUNCTION("""COMPUTED_VALUE"""),43380.99861111111)</f>
        <v>43380.99861</v>
      </c>
      <c r="E3525" s="3">
        <f>IFERROR(__xludf.DUMMYFUNCTION("""COMPUTED_VALUE"""),4.6723)</f>
        <v>4.6723</v>
      </c>
    </row>
    <row r="3526">
      <c r="D3526" s="6">
        <f>IFERROR(__xludf.DUMMYFUNCTION("""COMPUTED_VALUE"""),43381.99861111111)</f>
        <v>43381.99861</v>
      </c>
      <c r="E3526" s="3">
        <f>IFERROR(__xludf.DUMMYFUNCTION("""COMPUTED_VALUE"""),4.6661)</f>
        <v>4.6661</v>
      </c>
    </row>
    <row r="3527">
      <c r="D3527" s="6">
        <f>IFERROR(__xludf.DUMMYFUNCTION("""COMPUTED_VALUE"""),43382.99861111111)</f>
        <v>43382.99861</v>
      </c>
      <c r="E3527" s="3">
        <f>IFERROR(__xludf.DUMMYFUNCTION("""COMPUTED_VALUE"""),4.6591)</f>
        <v>4.6591</v>
      </c>
    </row>
    <row r="3528">
      <c r="D3528" s="6">
        <f>IFERROR(__xludf.DUMMYFUNCTION("""COMPUTED_VALUE"""),43383.99861111111)</f>
        <v>43383.99861</v>
      </c>
      <c r="E3528" s="3">
        <f>IFERROR(__xludf.DUMMYFUNCTION("""COMPUTED_VALUE"""),4.6641)</f>
        <v>4.6641</v>
      </c>
    </row>
    <row r="3529">
      <c r="D3529" s="6">
        <f>IFERROR(__xludf.DUMMYFUNCTION("""COMPUTED_VALUE"""),43384.99861111111)</f>
        <v>43384.99861</v>
      </c>
      <c r="E3529" s="3">
        <f>IFERROR(__xludf.DUMMYFUNCTION("""COMPUTED_VALUE"""),4.6603)</f>
        <v>4.6603</v>
      </c>
    </row>
    <row r="3530">
      <c r="D3530" s="6">
        <f>IFERROR(__xludf.DUMMYFUNCTION("""COMPUTED_VALUE"""),43385.99861111111)</f>
        <v>43385.99861</v>
      </c>
      <c r="E3530" s="3">
        <f>IFERROR(__xludf.DUMMYFUNCTION("""COMPUTED_VALUE"""),4.6623)</f>
        <v>4.6623</v>
      </c>
    </row>
    <row r="3531">
      <c r="D3531" s="6">
        <f>IFERROR(__xludf.DUMMYFUNCTION("""COMPUTED_VALUE"""),43388.99861111111)</f>
        <v>43388.99861</v>
      </c>
      <c r="E3531" s="3">
        <f>IFERROR(__xludf.DUMMYFUNCTION("""COMPUTED_VALUE"""),4.6616)</f>
        <v>4.6616</v>
      </c>
    </row>
    <row r="3532">
      <c r="D3532" s="6">
        <f>IFERROR(__xludf.DUMMYFUNCTION("""COMPUTED_VALUE"""),43389.99861111111)</f>
        <v>43389.99861</v>
      </c>
      <c r="E3532" s="3">
        <f>IFERROR(__xludf.DUMMYFUNCTION("""COMPUTED_VALUE"""),4.6636)</f>
        <v>4.6636</v>
      </c>
    </row>
    <row r="3533">
      <c r="D3533" s="6">
        <f>IFERROR(__xludf.DUMMYFUNCTION("""COMPUTED_VALUE"""),43390.99861111111)</f>
        <v>43390.99861</v>
      </c>
      <c r="E3533" s="3">
        <f>IFERROR(__xludf.DUMMYFUNCTION("""COMPUTED_VALUE"""),4.6632)</f>
        <v>4.6632</v>
      </c>
    </row>
    <row r="3534">
      <c r="D3534" s="6">
        <f>IFERROR(__xludf.DUMMYFUNCTION("""COMPUTED_VALUE"""),43391.99861111111)</f>
        <v>43391.99861</v>
      </c>
      <c r="E3534" s="3">
        <f>IFERROR(__xludf.DUMMYFUNCTION("""COMPUTED_VALUE"""),4.6693)</f>
        <v>4.6693</v>
      </c>
    </row>
    <row r="3535">
      <c r="D3535" s="6">
        <f>IFERROR(__xludf.DUMMYFUNCTION("""COMPUTED_VALUE"""),43392.99861111111)</f>
        <v>43392.99861</v>
      </c>
      <c r="E3535" s="3">
        <f>IFERROR(__xludf.DUMMYFUNCTION("""COMPUTED_VALUE"""),4.6668)</f>
        <v>4.6668</v>
      </c>
    </row>
    <row r="3536">
      <c r="D3536" s="6">
        <f>IFERROR(__xludf.DUMMYFUNCTION("""COMPUTED_VALUE"""),43395.99861111111)</f>
        <v>43395.99861</v>
      </c>
      <c r="E3536" s="3">
        <f>IFERROR(__xludf.DUMMYFUNCTION("""COMPUTED_VALUE"""),4.663)</f>
        <v>4.663</v>
      </c>
    </row>
    <row r="3537">
      <c r="D3537" s="6">
        <f>IFERROR(__xludf.DUMMYFUNCTION("""COMPUTED_VALUE"""),43396.99861111111)</f>
        <v>43396.99861</v>
      </c>
      <c r="E3537" s="3">
        <f>IFERROR(__xludf.DUMMYFUNCTION("""COMPUTED_VALUE"""),4.6619)</f>
        <v>4.6619</v>
      </c>
    </row>
    <row r="3538">
      <c r="D3538" s="6">
        <f>IFERROR(__xludf.DUMMYFUNCTION("""COMPUTED_VALUE"""),43397.99861111111)</f>
        <v>43397.99861</v>
      </c>
      <c r="E3538" s="3">
        <f>IFERROR(__xludf.DUMMYFUNCTION("""COMPUTED_VALUE"""),4.657)</f>
        <v>4.657</v>
      </c>
    </row>
    <row r="3539">
      <c r="D3539" s="6">
        <f>IFERROR(__xludf.DUMMYFUNCTION("""COMPUTED_VALUE"""),43398.99861111111)</f>
        <v>43398.99861</v>
      </c>
      <c r="E3539" s="3">
        <f>IFERROR(__xludf.DUMMYFUNCTION("""COMPUTED_VALUE"""),4.6577)</f>
        <v>4.6577</v>
      </c>
    </row>
    <row r="3540">
      <c r="D3540" s="6">
        <f>IFERROR(__xludf.DUMMYFUNCTION("""COMPUTED_VALUE"""),43399.99861111111)</f>
        <v>43399.99861</v>
      </c>
      <c r="E3540" s="3">
        <f>IFERROR(__xludf.DUMMYFUNCTION("""COMPUTED_VALUE"""),4.6571)</f>
        <v>4.6571</v>
      </c>
    </row>
    <row r="3541">
      <c r="D3541" s="6">
        <f>IFERROR(__xludf.DUMMYFUNCTION("""COMPUTED_VALUE"""),43401.99861111111)</f>
        <v>43401.99861</v>
      </c>
      <c r="E3541" s="3">
        <f>IFERROR(__xludf.DUMMYFUNCTION("""COMPUTED_VALUE"""),4.6571)</f>
        <v>4.6571</v>
      </c>
    </row>
    <row r="3542">
      <c r="D3542" s="6">
        <f>IFERROR(__xludf.DUMMYFUNCTION("""COMPUTED_VALUE"""),43402.99861111111)</f>
        <v>43402.99861</v>
      </c>
      <c r="E3542" s="3">
        <f>IFERROR(__xludf.DUMMYFUNCTION("""COMPUTED_VALUE"""),4.6652)</f>
        <v>4.6652</v>
      </c>
    </row>
    <row r="3543">
      <c r="D3543" s="6">
        <f>IFERROR(__xludf.DUMMYFUNCTION("""COMPUTED_VALUE"""),43403.99861111111)</f>
        <v>43403.99861</v>
      </c>
      <c r="E3543" s="3">
        <f>IFERROR(__xludf.DUMMYFUNCTION("""COMPUTED_VALUE"""),4.6672)</f>
        <v>4.6672</v>
      </c>
    </row>
    <row r="3544">
      <c r="D3544" s="6">
        <f>IFERROR(__xludf.DUMMYFUNCTION("""COMPUTED_VALUE"""),43404.99861111111)</f>
        <v>43404.99861</v>
      </c>
      <c r="E3544" s="3">
        <f>IFERROR(__xludf.DUMMYFUNCTION("""COMPUTED_VALUE"""),4.6666)</f>
        <v>4.6666</v>
      </c>
    </row>
    <row r="3545">
      <c r="D3545" s="6">
        <f>IFERROR(__xludf.DUMMYFUNCTION("""COMPUTED_VALUE"""),43405.99861111111)</f>
        <v>43405.99861</v>
      </c>
      <c r="E3545" s="3">
        <f>IFERROR(__xludf.DUMMYFUNCTION("""COMPUTED_VALUE"""),4.6648)</f>
        <v>4.6648</v>
      </c>
    </row>
    <row r="3546">
      <c r="D3546" s="6">
        <f>IFERROR(__xludf.DUMMYFUNCTION("""COMPUTED_VALUE"""),43406.99861111111)</f>
        <v>43406.99861</v>
      </c>
      <c r="E3546" s="3">
        <f>IFERROR(__xludf.DUMMYFUNCTION("""COMPUTED_VALUE"""),4.6644)</f>
        <v>4.6644</v>
      </c>
    </row>
    <row r="3547">
      <c r="D3547" s="6">
        <f>IFERROR(__xludf.DUMMYFUNCTION("""COMPUTED_VALUE"""),43409.99861111111)</f>
        <v>43409.99861</v>
      </c>
      <c r="E3547" s="3">
        <f>IFERROR(__xludf.DUMMYFUNCTION("""COMPUTED_VALUE"""),4.6572)</f>
        <v>4.6572</v>
      </c>
    </row>
    <row r="3548">
      <c r="D3548" s="6">
        <f>IFERROR(__xludf.DUMMYFUNCTION("""COMPUTED_VALUE"""),43410.99861111111)</f>
        <v>43410.99861</v>
      </c>
      <c r="E3548" s="3">
        <f>IFERROR(__xludf.DUMMYFUNCTION("""COMPUTED_VALUE"""),4.6593)</f>
        <v>4.6593</v>
      </c>
    </row>
    <row r="3549">
      <c r="D3549" s="6">
        <f>IFERROR(__xludf.DUMMYFUNCTION("""COMPUTED_VALUE"""),43411.99861111111)</f>
        <v>43411.99861</v>
      </c>
      <c r="E3549" s="3">
        <f>IFERROR(__xludf.DUMMYFUNCTION("""COMPUTED_VALUE"""),4.6665)</f>
        <v>4.6665</v>
      </c>
    </row>
    <row r="3550">
      <c r="D3550" s="6">
        <f>IFERROR(__xludf.DUMMYFUNCTION("""COMPUTED_VALUE"""),43412.99861111111)</f>
        <v>43412.99861</v>
      </c>
      <c r="E3550" s="3">
        <f>IFERROR(__xludf.DUMMYFUNCTION("""COMPUTED_VALUE"""),4.6636)</f>
        <v>4.6636</v>
      </c>
    </row>
    <row r="3551">
      <c r="D3551" s="6">
        <f>IFERROR(__xludf.DUMMYFUNCTION("""COMPUTED_VALUE"""),43413.99861111111)</f>
        <v>43413.99861</v>
      </c>
      <c r="E3551" s="3">
        <f>IFERROR(__xludf.DUMMYFUNCTION("""COMPUTED_VALUE"""),4.6611)</f>
        <v>4.6611</v>
      </c>
    </row>
    <row r="3552">
      <c r="D3552" s="6">
        <f>IFERROR(__xludf.DUMMYFUNCTION("""COMPUTED_VALUE"""),43416.99861111111)</f>
        <v>43416.99861</v>
      </c>
      <c r="E3552" s="3">
        <f>IFERROR(__xludf.DUMMYFUNCTION("""COMPUTED_VALUE"""),4.6545)</f>
        <v>4.6545</v>
      </c>
    </row>
    <row r="3553">
      <c r="D3553" s="6">
        <f>IFERROR(__xludf.DUMMYFUNCTION("""COMPUTED_VALUE"""),43417.99861111111)</f>
        <v>43417.99861</v>
      </c>
      <c r="E3553" s="3">
        <f>IFERROR(__xludf.DUMMYFUNCTION("""COMPUTED_VALUE"""),4.6614)</f>
        <v>4.6614</v>
      </c>
    </row>
    <row r="3554">
      <c r="D3554" s="6">
        <f>IFERROR(__xludf.DUMMYFUNCTION("""COMPUTED_VALUE"""),43418.99861111111)</f>
        <v>43418.99861</v>
      </c>
      <c r="E3554" s="3">
        <f>IFERROR(__xludf.DUMMYFUNCTION("""COMPUTED_VALUE"""),4.6624)</f>
        <v>4.6624</v>
      </c>
    </row>
    <row r="3555">
      <c r="D3555" s="6">
        <f>IFERROR(__xludf.DUMMYFUNCTION("""COMPUTED_VALUE"""),43419.99861111111)</f>
        <v>43419.99861</v>
      </c>
      <c r="E3555" s="3">
        <f>IFERROR(__xludf.DUMMYFUNCTION("""COMPUTED_VALUE"""),4.666)</f>
        <v>4.666</v>
      </c>
    </row>
    <row r="3556">
      <c r="D3556" s="6">
        <f>IFERROR(__xludf.DUMMYFUNCTION("""COMPUTED_VALUE"""),43420.99861111111)</f>
        <v>43420.99861</v>
      </c>
      <c r="E3556" s="3">
        <f>IFERROR(__xludf.DUMMYFUNCTION("""COMPUTED_VALUE"""),4.6655)</f>
        <v>4.6655</v>
      </c>
    </row>
    <row r="3557">
      <c r="D3557" s="6">
        <f>IFERROR(__xludf.DUMMYFUNCTION("""COMPUTED_VALUE"""),43423.99861111111)</f>
        <v>43423.99861</v>
      </c>
      <c r="E3557" s="3">
        <f>IFERROR(__xludf.DUMMYFUNCTION("""COMPUTED_VALUE"""),4.6635)</f>
        <v>4.6635</v>
      </c>
    </row>
    <row r="3558">
      <c r="D3558" s="6">
        <f>IFERROR(__xludf.DUMMYFUNCTION("""COMPUTED_VALUE"""),43424.99861111111)</f>
        <v>43424.99861</v>
      </c>
      <c r="E3558" s="3">
        <f>IFERROR(__xludf.DUMMYFUNCTION("""COMPUTED_VALUE"""),4.6671)</f>
        <v>4.6671</v>
      </c>
    </row>
    <row r="3559">
      <c r="D3559" s="6">
        <f>IFERROR(__xludf.DUMMYFUNCTION("""COMPUTED_VALUE"""),43425.99861111111)</f>
        <v>43425.99861</v>
      </c>
      <c r="E3559" s="3">
        <f>IFERROR(__xludf.DUMMYFUNCTION("""COMPUTED_VALUE"""),4.6684)</f>
        <v>4.6684</v>
      </c>
    </row>
    <row r="3560">
      <c r="D3560" s="6">
        <f>IFERROR(__xludf.DUMMYFUNCTION("""COMPUTED_VALUE"""),43426.99861111111)</f>
        <v>43426.99861</v>
      </c>
      <c r="E3560" s="3">
        <f>IFERROR(__xludf.DUMMYFUNCTION("""COMPUTED_VALUE"""),4.6641)</f>
        <v>4.6641</v>
      </c>
    </row>
    <row r="3561">
      <c r="D3561" s="6">
        <f>IFERROR(__xludf.DUMMYFUNCTION("""COMPUTED_VALUE"""),43427.99861111111)</f>
        <v>43427.99861</v>
      </c>
      <c r="E3561" s="3">
        <f>IFERROR(__xludf.DUMMYFUNCTION("""COMPUTED_VALUE"""),4.6606)</f>
        <v>4.6606</v>
      </c>
    </row>
    <row r="3562">
      <c r="D3562" s="6">
        <f>IFERROR(__xludf.DUMMYFUNCTION("""COMPUTED_VALUE"""),43430.99861111111)</f>
        <v>43430.99861</v>
      </c>
      <c r="E3562" s="3">
        <f>IFERROR(__xludf.DUMMYFUNCTION("""COMPUTED_VALUE"""),4.6574)</f>
        <v>4.6574</v>
      </c>
    </row>
    <row r="3563">
      <c r="D3563" s="6">
        <f>IFERROR(__xludf.DUMMYFUNCTION("""COMPUTED_VALUE"""),43431.99861111111)</f>
        <v>43431.99861</v>
      </c>
      <c r="E3563" s="3">
        <f>IFERROR(__xludf.DUMMYFUNCTION("""COMPUTED_VALUE"""),4.6617)</f>
        <v>4.6617</v>
      </c>
    </row>
    <row r="3564">
      <c r="D3564" s="6">
        <f>IFERROR(__xludf.DUMMYFUNCTION("""COMPUTED_VALUE"""),43432.99861111111)</f>
        <v>43432.99861</v>
      </c>
      <c r="E3564" s="3">
        <f>IFERROR(__xludf.DUMMYFUNCTION("""COMPUTED_VALUE"""),4.6626)</f>
        <v>4.6626</v>
      </c>
    </row>
    <row r="3565">
      <c r="D3565" s="6">
        <f>IFERROR(__xludf.DUMMYFUNCTION("""COMPUTED_VALUE"""),43433.99861111111)</f>
        <v>43433.99861</v>
      </c>
      <c r="E3565" s="3">
        <f>IFERROR(__xludf.DUMMYFUNCTION("""COMPUTED_VALUE"""),4.6623)</f>
        <v>4.6623</v>
      </c>
    </row>
    <row r="3566">
      <c r="D3566" s="6">
        <f>IFERROR(__xludf.DUMMYFUNCTION("""COMPUTED_VALUE"""),43434.99861111111)</f>
        <v>43434.99861</v>
      </c>
      <c r="E3566" s="3">
        <f>IFERROR(__xludf.DUMMYFUNCTION("""COMPUTED_VALUE"""),4.6601)</f>
        <v>4.6601</v>
      </c>
    </row>
    <row r="3567">
      <c r="D3567" s="6">
        <f>IFERROR(__xludf.DUMMYFUNCTION("""COMPUTED_VALUE"""),43437.99861111111)</f>
        <v>43437.99861</v>
      </c>
      <c r="E3567" s="3">
        <f>IFERROR(__xludf.DUMMYFUNCTION("""COMPUTED_VALUE"""),4.6468)</f>
        <v>4.6468</v>
      </c>
    </row>
    <row r="3568">
      <c r="D3568" s="6">
        <f>IFERROR(__xludf.DUMMYFUNCTION("""COMPUTED_VALUE"""),43438.99861111111)</f>
        <v>43438.99861</v>
      </c>
      <c r="E3568" s="3">
        <f>IFERROR(__xludf.DUMMYFUNCTION("""COMPUTED_VALUE"""),4.6532)</f>
        <v>4.6532</v>
      </c>
    </row>
    <row r="3569">
      <c r="D3569" s="6">
        <f>IFERROR(__xludf.DUMMYFUNCTION("""COMPUTED_VALUE"""),43439.99861111111)</f>
        <v>43439.99861</v>
      </c>
      <c r="E3569" s="3">
        <f>IFERROR(__xludf.DUMMYFUNCTION("""COMPUTED_VALUE"""),4.6557)</f>
        <v>4.6557</v>
      </c>
    </row>
    <row r="3570">
      <c r="D3570" s="6">
        <f>IFERROR(__xludf.DUMMYFUNCTION("""COMPUTED_VALUE"""),43441.99861111111)</f>
        <v>43441.99861</v>
      </c>
      <c r="E3570" s="3">
        <f>IFERROR(__xludf.DUMMYFUNCTION("""COMPUTED_VALUE"""),4.6561)</f>
        <v>4.6561</v>
      </c>
    </row>
    <row r="3571">
      <c r="D3571" s="6">
        <f>IFERROR(__xludf.DUMMYFUNCTION("""COMPUTED_VALUE"""),43444.99861111111)</f>
        <v>43444.99861</v>
      </c>
      <c r="E3571" s="3">
        <f>IFERROR(__xludf.DUMMYFUNCTION("""COMPUTED_VALUE"""),4.649)</f>
        <v>4.649</v>
      </c>
    </row>
    <row r="3572">
      <c r="D3572" s="6">
        <f>IFERROR(__xludf.DUMMYFUNCTION("""COMPUTED_VALUE"""),43445.99861111111)</f>
        <v>43445.99861</v>
      </c>
      <c r="E3572" s="3">
        <f>IFERROR(__xludf.DUMMYFUNCTION("""COMPUTED_VALUE"""),4.6574)</f>
        <v>4.6574</v>
      </c>
    </row>
    <row r="3573">
      <c r="D3573" s="6">
        <f>IFERROR(__xludf.DUMMYFUNCTION("""COMPUTED_VALUE"""),43446.99861111111)</f>
        <v>43446.99861</v>
      </c>
      <c r="E3573" s="3">
        <f>IFERROR(__xludf.DUMMYFUNCTION("""COMPUTED_VALUE"""),4.6594)</f>
        <v>4.6594</v>
      </c>
    </row>
    <row r="3574">
      <c r="D3574" s="6">
        <f>IFERROR(__xludf.DUMMYFUNCTION("""COMPUTED_VALUE"""),43447.99861111111)</f>
        <v>43447.99861</v>
      </c>
      <c r="E3574" s="3">
        <f>IFERROR(__xludf.DUMMYFUNCTION("""COMPUTED_VALUE"""),4.657)</f>
        <v>4.657</v>
      </c>
    </row>
    <row r="3575">
      <c r="D3575" s="6">
        <f>IFERROR(__xludf.DUMMYFUNCTION("""COMPUTED_VALUE"""),43448.99861111111)</f>
        <v>43448.99861</v>
      </c>
      <c r="E3575" s="3">
        <f>IFERROR(__xludf.DUMMYFUNCTION("""COMPUTED_VALUE"""),4.6576)</f>
        <v>4.6576</v>
      </c>
    </row>
    <row r="3576">
      <c r="D3576" s="6">
        <f>IFERROR(__xludf.DUMMYFUNCTION("""COMPUTED_VALUE"""),43451.99861111111)</f>
        <v>43451.99861</v>
      </c>
      <c r="E3576" s="3">
        <f>IFERROR(__xludf.DUMMYFUNCTION("""COMPUTED_VALUE"""),4.6475)</f>
        <v>4.6475</v>
      </c>
    </row>
    <row r="3577">
      <c r="D3577" s="6">
        <f>IFERROR(__xludf.DUMMYFUNCTION("""COMPUTED_VALUE"""),43452.99861111111)</f>
        <v>43452.99861</v>
      </c>
      <c r="E3577" s="3">
        <f>IFERROR(__xludf.DUMMYFUNCTION("""COMPUTED_VALUE"""),4.6514)</f>
        <v>4.6514</v>
      </c>
    </row>
    <row r="3578">
      <c r="D3578" s="6">
        <f>IFERROR(__xludf.DUMMYFUNCTION("""COMPUTED_VALUE"""),43453.99861111111)</f>
        <v>43453.99861</v>
      </c>
      <c r="E3578" s="3">
        <f>IFERROR(__xludf.DUMMYFUNCTION("""COMPUTED_VALUE"""),4.6641)</f>
        <v>4.6641</v>
      </c>
    </row>
    <row r="3579">
      <c r="D3579" s="6">
        <f>IFERROR(__xludf.DUMMYFUNCTION("""COMPUTED_VALUE"""),43454.99861111111)</f>
        <v>43454.99861</v>
      </c>
      <c r="E3579" s="3">
        <f>IFERROR(__xludf.DUMMYFUNCTION("""COMPUTED_VALUE"""),4.6608)</f>
        <v>4.6608</v>
      </c>
    </row>
    <row r="3580">
      <c r="D3580" s="6">
        <f>IFERROR(__xludf.DUMMYFUNCTION("""COMPUTED_VALUE"""),43455.99861111111)</f>
        <v>43455.99861</v>
      </c>
      <c r="E3580" s="3">
        <f>IFERROR(__xludf.DUMMYFUNCTION("""COMPUTED_VALUE"""),4.6522)</f>
        <v>4.6522</v>
      </c>
    </row>
    <row r="3581">
      <c r="D3581" s="6">
        <f>IFERROR(__xludf.DUMMYFUNCTION("""COMPUTED_VALUE"""),43458.99861111111)</f>
        <v>43458.99861</v>
      </c>
      <c r="E3581" s="3">
        <f>IFERROR(__xludf.DUMMYFUNCTION("""COMPUTED_VALUE"""),4.6423)</f>
        <v>4.6423</v>
      </c>
    </row>
    <row r="3582">
      <c r="D3582" s="6">
        <f>IFERROR(__xludf.DUMMYFUNCTION("""COMPUTED_VALUE"""),43459.99861111111)</f>
        <v>43459.99861</v>
      </c>
      <c r="E3582" s="3">
        <f>IFERROR(__xludf.DUMMYFUNCTION("""COMPUTED_VALUE"""),4.6423)</f>
        <v>4.6423</v>
      </c>
    </row>
    <row r="3583">
      <c r="D3583" s="6">
        <f>IFERROR(__xludf.DUMMYFUNCTION("""COMPUTED_VALUE"""),43460.99861111111)</f>
        <v>43460.99861</v>
      </c>
      <c r="E3583" s="3">
        <f>IFERROR(__xludf.DUMMYFUNCTION("""COMPUTED_VALUE"""),4.6423)</f>
        <v>4.6423</v>
      </c>
    </row>
    <row r="3584">
      <c r="D3584" s="6">
        <f>IFERROR(__xludf.DUMMYFUNCTION("""COMPUTED_VALUE"""),43461.99861111111)</f>
        <v>43461.99861</v>
      </c>
      <c r="E3584" s="3">
        <f>IFERROR(__xludf.DUMMYFUNCTION("""COMPUTED_VALUE"""),4.6588)</f>
        <v>4.6588</v>
      </c>
    </row>
    <row r="3585">
      <c r="D3585" s="6">
        <f>IFERROR(__xludf.DUMMYFUNCTION("""COMPUTED_VALUE"""),43462.99861111111)</f>
        <v>43462.99861</v>
      </c>
      <c r="E3585" s="3">
        <f>IFERROR(__xludf.DUMMYFUNCTION("""COMPUTED_VALUE"""),4.6644)</f>
        <v>4.6644</v>
      </c>
    </row>
    <row r="3586">
      <c r="D3586" s="6">
        <f>IFERROR(__xludf.DUMMYFUNCTION("""COMPUTED_VALUE"""),43465.99861111111)</f>
        <v>43465.99861</v>
      </c>
      <c r="E3586" s="3">
        <f>IFERROR(__xludf.DUMMYFUNCTION("""COMPUTED_VALUE"""),4.6513)</f>
        <v>4.6513</v>
      </c>
    </row>
    <row r="3587">
      <c r="D3587" s="6">
        <f>IFERROR(__xludf.DUMMYFUNCTION("""COMPUTED_VALUE"""),43466.99861111111)</f>
        <v>43466.99861</v>
      </c>
      <c r="E3587" s="3">
        <f>IFERROR(__xludf.DUMMYFUNCTION("""COMPUTED_VALUE"""),4.6513)</f>
        <v>4.6513</v>
      </c>
    </row>
    <row r="3588">
      <c r="D3588" s="6">
        <f>IFERROR(__xludf.DUMMYFUNCTION("""COMPUTED_VALUE"""),43467.99861111111)</f>
        <v>43467.99861</v>
      </c>
      <c r="E3588" s="3">
        <f>IFERROR(__xludf.DUMMYFUNCTION("""COMPUTED_VALUE"""),4.6574)</f>
        <v>4.6574</v>
      </c>
    </row>
    <row r="3589">
      <c r="D3589" s="6">
        <f>IFERROR(__xludf.DUMMYFUNCTION("""COMPUTED_VALUE"""),43468.99861111111)</f>
        <v>43468.99861</v>
      </c>
      <c r="E3589" s="3">
        <f>IFERROR(__xludf.DUMMYFUNCTION("""COMPUTED_VALUE"""),4.6692)</f>
        <v>4.6692</v>
      </c>
    </row>
    <row r="3590">
      <c r="D3590" s="6">
        <f>IFERROR(__xludf.DUMMYFUNCTION("""COMPUTED_VALUE"""),43469.99861111111)</f>
        <v>43469.99861</v>
      </c>
      <c r="E3590" s="3">
        <f>IFERROR(__xludf.DUMMYFUNCTION("""COMPUTED_VALUE"""),4.6662)</f>
        <v>4.6662</v>
      </c>
    </row>
    <row r="3591">
      <c r="D3591" s="6">
        <f>IFERROR(__xludf.DUMMYFUNCTION("""COMPUTED_VALUE"""),43472.99861111111)</f>
        <v>43472.99861</v>
      </c>
      <c r="E3591" s="3">
        <f>IFERROR(__xludf.DUMMYFUNCTION("""COMPUTED_VALUE"""),4.6602)</f>
        <v>4.6602</v>
      </c>
    </row>
    <row r="3592">
      <c r="D3592" s="6">
        <f>IFERROR(__xludf.DUMMYFUNCTION("""COMPUTED_VALUE"""),43473.99861111111)</f>
        <v>43473.99861</v>
      </c>
      <c r="E3592" s="3">
        <f>IFERROR(__xludf.DUMMYFUNCTION("""COMPUTED_VALUE"""),4.6715)</f>
        <v>4.6715</v>
      </c>
    </row>
    <row r="3593">
      <c r="D3593" s="6">
        <f>IFERROR(__xludf.DUMMYFUNCTION("""COMPUTED_VALUE"""),43474.99861111111)</f>
        <v>43474.99861</v>
      </c>
      <c r="E3593" s="3">
        <f>IFERROR(__xludf.DUMMYFUNCTION("""COMPUTED_VALUE"""),4.6776)</f>
        <v>4.6776</v>
      </c>
    </row>
    <row r="3594">
      <c r="D3594" s="6">
        <f>IFERROR(__xludf.DUMMYFUNCTION("""COMPUTED_VALUE"""),43475.99861111111)</f>
        <v>43475.99861</v>
      </c>
      <c r="E3594" s="3">
        <f>IFERROR(__xludf.DUMMYFUNCTION("""COMPUTED_VALUE"""),4.6825)</f>
        <v>4.6825</v>
      </c>
    </row>
    <row r="3595">
      <c r="D3595" s="6">
        <f>IFERROR(__xludf.DUMMYFUNCTION("""COMPUTED_VALUE"""),43476.99861111111)</f>
        <v>43476.99861</v>
      </c>
      <c r="E3595" s="3">
        <f>IFERROR(__xludf.DUMMYFUNCTION("""COMPUTED_VALUE"""),4.6888)</f>
        <v>4.6888</v>
      </c>
    </row>
    <row r="3596">
      <c r="D3596" s="6">
        <f>IFERROR(__xludf.DUMMYFUNCTION("""COMPUTED_VALUE"""),43479.99861111111)</f>
        <v>43479.99861</v>
      </c>
      <c r="E3596" s="3">
        <f>IFERROR(__xludf.DUMMYFUNCTION("""COMPUTED_VALUE"""),4.6775)</f>
        <v>4.6775</v>
      </c>
    </row>
    <row r="3597">
      <c r="D3597" s="6">
        <f>IFERROR(__xludf.DUMMYFUNCTION("""COMPUTED_VALUE"""),43480.99861111111)</f>
        <v>43480.99861</v>
      </c>
      <c r="E3597" s="3">
        <f>IFERROR(__xludf.DUMMYFUNCTION("""COMPUTED_VALUE"""),4.6882)</f>
        <v>4.6882</v>
      </c>
    </row>
    <row r="3598">
      <c r="D3598" s="6">
        <f>IFERROR(__xludf.DUMMYFUNCTION("""COMPUTED_VALUE"""),43481.99861111111)</f>
        <v>43481.99861</v>
      </c>
      <c r="E3598" s="3">
        <f>IFERROR(__xludf.DUMMYFUNCTION("""COMPUTED_VALUE"""),4.6892)</f>
        <v>4.6892</v>
      </c>
    </row>
    <row r="3599">
      <c r="D3599" s="6">
        <f>IFERROR(__xludf.DUMMYFUNCTION("""COMPUTED_VALUE"""),43482.99861111111)</f>
        <v>43482.99861</v>
      </c>
      <c r="E3599" s="3">
        <f>IFERROR(__xludf.DUMMYFUNCTION("""COMPUTED_VALUE"""),4.6961)</f>
        <v>4.6961</v>
      </c>
    </row>
    <row r="3600">
      <c r="D3600" s="6">
        <f>IFERROR(__xludf.DUMMYFUNCTION("""COMPUTED_VALUE"""),43483.99861111111)</f>
        <v>43483.99861</v>
      </c>
      <c r="E3600" s="3">
        <f>IFERROR(__xludf.DUMMYFUNCTION("""COMPUTED_VALUE"""),4.7064)</f>
        <v>4.7064</v>
      </c>
    </row>
    <row r="3601">
      <c r="D3601" s="6">
        <f>IFERROR(__xludf.DUMMYFUNCTION("""COMPUTED_VALUE"""),43486.99861111111)</f>
        <v>43486.99861</v>
      </c>
      <c r="E3601" s="3">
        <f>IFERROR(__xludf.DUMMYFUNCTION("""COMPUTED_VALUE"""),4.7108)</f>
        <v>4.7108</v>
      </c>
    </row>
    <row r="3602">
      <c r="D3602" s="6">
        <f>IFERROR(__xludf.DUMMYFUNCTION("""COMPUTED_VALUE"""),43487.99861111111)</f>
        <v>43487.99861</v>
      </c>
      <c r="E3602" s="3">
        <f>IFERROR(__xludf.DUMMYFUNCTION("""COMPUTED_VALUE"""),4.7761)</f>
        <v>4.7761</v>
      </c>
    </row>
    <row r="3603">
      <c r="D3603" s="6">
        <f>IFERROR(__xludf.DUMMYFUNCTION("""COMPUTED_VALUE"""),43488.99861111111)</f>
        <v>43488.99861</v>
      </c>
      <c r="E3603" s="3">
        <f>IFERROR(__xludf.DUMMYFUNCTION("""COMPUTED_VALUE"""),4.7769)</f>
        <v>4.7769</v>
      </c>
    </row>
    <row r="3604">
      <c r="D3604" s="6">
        <f>IFERROR(__xludf.DUMMYFUNCTION("""COMPUTED_VALUE"""),43489.99861111111)</f>
        <v>43489.99861</v>
      </c>
      <c r="E3604" s="3">
        <f>IFERROR(__xludf.DUMMYFUNCTION("""COMPUTED_VALUE"""),4.7799)</f>
        <v>4.7799</v>
      </c>
    </row>
    <row r="3605">
      <c r="D3605" s="6">
        <f>IFERROR(__xludf.DUMMYFUNCTION("""COMPUTED_VALUE"""),43490.99861111111)</f>
        <v>43490.99861</v>
      </c>
      <c r="E3605" s="3">
        <f>IFERROR(__xludf.DUMMYFUNCTION("""COMPUTED_VALUE"""),4.7698)</f>
        <v>4.7698</v>
      </c>
    </row>
    <row r="3606">
      <c r="D3606" s="6">
        <f>IFERROR(__xludf.DUMMYFUNCTION("""COMPUTED_VALUE"""),43493.99861111111)</f>
        <v>43493.99861</v>
      </c>
      <c r="E3606" s="3">
        <f>IFERROR(__xludf.DUMMYFUNCTION("""COMPUTED_VALUE"""),4.7722)</f>
        <v>4.7722</v>
      </c>
    </row>
    <row r="3607">
      <c r="D3607" s="6">
        <f>IFERROR(__xludf.DUMMYFUNCTION("""COMPUTED_VALUE"""),43494.99861111111)</f>
        <v>43494.99861</v>
      </c>
      <c r="E3607" s="3">
        <f>IFERROR(__xludf.DUMMYFUNCTION("""COMPUTED_VALUE"""),4.7722)</f>
        <v>4.7722</v>
      </c>
    </row>
    <row r="3608">
      <c r="D3608" s="6">
        <f>IFERROR(__xludf.DUMMYFUNCTION("""COMPUTED_VALUE"""),43495.99861111111)</f>
        <v>43495.99861</v>
      </c>
      <c r="E3608" s="3">
        <f>IFERROR(__xludf.DUMMYFUNCTION("""COMPUTED_VALUE"""),4.7626)</f>
        <v>4.7626</v>
      </c>
    </row>
    <row r="3609">
      <c r="D3609" s="6">
        <f>IFERROR(__xludf.DUMMYFUNCTION("""COMPUTED_VALUE"""),43496.99861111111)</f>
        <v>43496.99861</v>
      </c>
      <c r="E3609" s="3">
        <f>IFERROR(__xludf.DUMMYFUNCTION("""COMPUTED_VALUE"""),4.77)</f>
        <v>4.77</v>
      </c>
    </row>
    <row r="3610">
      <c r="D3610" s="6">
        <f>IFERROR(__xludf.DUMMYFUNCTION("""COMPUTED_VALUE"""),43497.99861111111)</f>
        <v>43497.99861</v>
      </c>
      <c r="E3610" s="3">
        <f>IFERROR(__xludf.DUMMYFUNCTION("""COMPUTED_VALUE"""),4.76)</f>
        <v>4.76</v>
      </c>
    </row>
    <row r="3611">
      <c r="D3611" s="6">
        <f>IFERROR(__xludf.DUMMYFUNCTION("""COMPUTED_VALUE"""),43500.99861111111)</f>
        <v>43500.99861</v>
      </c>
      <c r="E3611" s="3">
        <f>IFERROR(__xludf.DUMMYFUNCTION("""COMPUTED_VALUE"""),4.7511)</f>
        <v>4.7511</v>
      </c>
    </row>
    <row r="3612">
      <c r="D3612" s="6">
        <f>IFERROR(__xludf.DUMMYFUNCTION("""COMPUTED_VALUE"""),43501.99861111111)</f>
        <v>43501.99861</v>
      </c>
      <c r="E3612" s="3">
        <f>IFERROR(__xludf.DUMMYFUNCTION("""COMPUTED_VALUE"""),4.7536)</f>
        <v>4.7536</v>
      </c>
    </row>
    <row r="3613">
      <c r="D3613" s="6">
        <f>IFERROR(__xludf.DUMMYFUNCTION("""COMPUTED_VALUE"""),43502.99861111111)</f>
        <v>43502.99861</v>
      </c>
      <c r="E3613" s="3">
        <f>IFERROR(__xludf.DUMMYFUNCTION("""COMPUTED_VALUE"""),4.7449)</f>
        <v>4.7449</v>
      </c>
    </row>
    <row r="3614">
      <c r="D3614" s="6">
        <f>IFERROR(__xludf.DUMMYFUNCTION("""COMPUTED_VALUE"""),43503.99861111111)</f>
        <v>43503.99861</v>
      </c>
      <c r="E3614" s="3">
        <f>IFERROR(__xludf.DUMMYFUNCTION("""COMPUTED_VALUE"""),4.746)</f>
        <v>4.746</v>
      </c>
    </row>
    <row r="3615">
      <c r="D3615" s="6">
        <f>IFERROR(__xludf.DUMMYFUNCTION("""COMPUTED_VALUE"""),43504.99861111111)</f>
        <v>43504.99861</v>
      </c>
      <c r="E3615" s="3">
        <f>IFERROR(__xludf.DUMMYFUNCTION("""COMPUTED_VALUE"""),4.7496)</f>
        <v>4.7496</v>
      </c>
    </row>
    <row r="3616">
      <c r="D3616" s="6">
        <f>IFERROR(__xludf.DUMMYFUNCTION("""COMPUTED_VALUE"""),43507.99861111111)</f>
        <v>43507.99861</v>
      </c>
      <c r="E3616" s="3">
        <f>IFERROR(__xludf.DUMMYFUNCTION("""COMPUTED_VALUE"""),4.7385)</f>
        <v>4.7385</v>
      </c>
    </row>
    <row r="3617">
      <c r="D3617" s="6">
        <f>IFERROR(__xludf.DUMMYFUNCTION("""COMPUTED_VALUE"""),43508.99861111111)</f>
        <v>43508.99861</v>
      </c>
      <c r="E3617" s="3">
        <f>IFERROR(__xludf.DUMMYFUNCTION("""COMPUTED_VALUE"""),4.7518)</f>
        <v>4.7518</v>
      </c>
    </row>
    <row r="3618">
      <c r="D3618" s="6">
        <f>IFERROR(__xludf.DUMMYFUNCTION("""COMPUTED_VALUE"""),43509.99861111111)</f>
        <v>43509.99861</v>
      </c>
      <c r="E3618" s="3">
        <f>IFERROR(__xludf.DUMMYFUNCTION("""COMPUTED_VALUE"""),4.7519)</f>
        <v>4.7519</v>
      </c>
    </row>
    <row r="3619">
      <c r="D3619" s="6">
        <f>IFERROR(__xludf.DUMMYFUNCTION("""COMPUTED_VALUE"""),43510.99861111111)</f>
        <v>43510.99861</v>
      </c>
      <c r="E3619" s="3">
        <f>IFERROR(__xludf.DUMMYFUNCTION("""COMPUTED_VALUE"""),4.7483)</f>
        <v>4.7483</v>
      </c>
    </row>
    <row r="3620">
      <c r="D3620" s="6">
        <f>IFERROR(__xludf.DUMMYFUNCTION("""COMPUTED_VALUE"""),43511.99861111111)</f>
        <v>43511.99861</v>
      </c>
      <c r="E3620" s="3">
        <f>IFERROR(__xludf.DUMMYFUNCTION("""COMPUTED_VALUE"""),4.7445)</f>
        <v>4.7445</v>
      </c>
    </row>
    <row r="3621">
      <c r="D3621" s="6">
        <f>IFERROR(__xludf.DUMMYFUNCTION("""COMPUTED_VALUE"""),43514.99861111111)</f>
        <v>43514.99861</v>
      </c>
      <c r="E3621" s="3">
        <f>IFERROR(__xludf.DUMMYFUNCTION("""COMPUTED_VALUE"""),4.7426)</f>
        <v>4.7426</v>
      </c>
    </row>
    <row r="3622">
      <c r="D3622" s="6">
        <f>IFERROR(__xludf.DUMMYFUNCTION("""COMPUTED_VALUE"""),43515.99861111111)</f>
        <v>43515.99861</v>
      </c>
      <c r="E3622" s="3">
        <f>IFERROR(__xludf.DUMMYFUNCTION("""COMPUTED_VALUE"""),4.7514)</f>
        <v>4.7514</v>
      </c>
    </row>
    <row r="3623">
      <c r="D3623" s="6">
        <f>IFERROR(__xludf.DUMMYFUNCTION("""COMPUTED_VALUE"""),43516.99861111111)</f>
        <v>43516.99861</v>
      </c>
      <c r="E3623" s="3">
        <f>IFERROR(__xludf.DUMMYFUNCTION("""COMPUTED_VALUE"""),4.7567)</f>
        <v>4.7567</v>
      </c>
    </row>
    <row r="3624">
      <c r="D3624" s="6">
        <f>IFERROR(__xludf.DUMMYFUNCTION("""COMPUTED_VALUE"""),43517.99861111111)</f>
        <v>43517.99861</v>
      </c>
      <c r="E3624" s="3">
        <f>IFERROR(__xludf.DUMMYFUNCTION("""COMPUTED_VALUE"""),4.7628)</f>
        <v>4.7628</v>
      </c>
    </row>
    <row r="3625">
      <c r="D3625" s="6">
        <f>IFERROR(__xludf.DUMMYFUNCTION("""COMPUTED_VALUE"""),43518.99861111111)</f>
        <v>43518.99861</v>
      </c>
      <c r="E3625" s="3">
        <f>IFERROR(__xludf.DUMMYFUNCTION("""COMPUTED_VALUE"""),4.762)</f>
        <v>4.762</v>
      </c>
    </row>
    <row r="3626">
      <c r="D3626" s="6">
        <f>IFERROR(__xludf.DUMMYFUNCTION("""COMPUTED_VALUE"""),43520.99861111111)</f>
        <v>43520.99861</v>
      </c>
      <c r="E3626" s="3">
        <f>IFERROR(__xludf.DUMMYFUNCTION("""COMPUTED_VALUE"""),4.762)</f>
        <v>4.762</v>
      </c>
    </row>
    <row r="3627">
      <c r="D3627" s="6">
        <f>IFERROR(__xludf.DUMMYFUNCTION("""COMPUTED_VALUE"""),43521.99861111111)</f>
        <v>43521.99861</v>
      </c>
      <c r="E3627" s="3">
        <f>IFERROR(__xludf.DUMMYFUNCTION("""COMPUTED_VALUE"""),4.764)</f>
        <v>4.764</v>
      </c>
    </row>
    <row r="3628">
      <c r="D3628" s="6">
        <f>IFERROR(__xludf.DUMMYFUNCTION("""COMPUTED_VALUE"""),43522.99861111111)</f>
        <v>43522.99861</v>
      </c>
      <c r="E3628" s="3">
        <f>IFERROR(__xludf.DUMMYFUNCTION("""COMPUTED_VALUE"""),4.7646)</f>
        <v>4.7646</v>
      </c>
    </row>
    <row r="3629">
      <c r="D3629" s="6">
        <f>IFERROR(__xludf.DUMMYFUNCTION("""COMPUTED_VALUE"""),43523.99861111111)</f>
        <v>43523.99861</v>
      </c>
      <c r="E3629" s="3">
        <f>IFERROR(__xludf.DUMMYFUNCTION("""COMPUTED_VALUE"""),4.7624)</f>
        <v>4.7624</v>
      </c>
    </row>
    <row r="3630">
      <c r="D3630" s="6">
        <f>IFERROR(__xludf.DUMMYFUNCTION("""COMPUTED_VALUE"""),43524.99861111111)</f>
        <v>43524.99861</v>
      </c>
      <c r="E3630" s="3">
        <f>IFERROR(__xludf.DUMMYFUNCTION("""COMPUTED_VALUE"""),4.7481)</f>
        <v>4.7481</v>
      </c>
    </row>
    <row r="3631">
      <c r="D3631" s="6">
        <f>IFERROR(__xludf.DUMMYFUNCTION("""COMPUTED_VALUE"""),43525.99861111111)</f>
        <v>43525.99861</v>
      </c>
      <c r="E3631" s="3">
        <f>IFERROR(__xludf.DUMMYFUNCTION("""COMPUTED_VALUE"""),4.75)</f>
        <v>4.75</v>
      </c>
    </row>
    <row r="3632">
      <c r="D3632" s="6">
        <f>IFERROR(__xludf.DUMMYFUNCTION("""COMPUTED_VALUE"""),43528.99861111111)</f>
        <v>43528.99861</v>
      </c>
      <c r="E3632" s="3">
        <f>IFERROR(__xludf.DUMMYFUNCTION("""COMPUTED_VALUE"""),4.7401)</f>
        <v>4.7401</v>
      </c>
    </row>
    <row r="3633">
      <c r="D3633" s="6">
        <f>IFERROR(__xludf.DUMMYFUNCTION("""COMPUTED_VALUE"""),43529.99861111111)</f>
        <v>43529.99861</v>
      </c>
      <c r="E3633" s="3">
        <f>IFERROR(__xludf.DUMMYFUNCTION("""COMPUTED_VALUE"""),4.7492)</f>
        <v>4.7492</v>
      </c>
    </row>
    <row r="3634">
      <c r="D3634" s="6">
        <f>IFERROR(__xludf.DUMMYFUNCTION("""COMPUTED_VALUE"""),43530.99861111111)</f>
        <v>43530.99861</v>
      </c>
      <c r="E3634" s="3">
        <f>IFERROR(__xludf.DUMMYFUNCTION("""COMPUTED_VALUE"""),4.7486)</f>
        <v>4.7486</v>
      </c>
    </row>
    <row r="3635">
      <c r="D3635" s="6">
        <f>IFERROR(__xludf.DUMMYFUNCTION("""COMPUTED_VALUE"""),43531.99861111111)</f>
        <v>43531.99861</v>
      </c>
      <c r="E3635" s="3">
        <f>IFERROR(__xludf.DUMMYFUNCTION("""COMPUTED_VALUE"""),4.745)</f>
        <v>4.745</v>
      </c>
    </row>
    <row r="3636">
      <c r="D3636" s="6">
        <f>IFERROR(__xludf.DUMMYFUNCTION("""COMPUTED_VALUE"""),43532.99861111111)</f>
        <v>43532.99861</v>
      </c>
      <c r="E3636" s="3">
        <f>IFERROR(__xludf.DUMMYFUNCTION("""COMPUTED_VALUE"""),4.7486)</f>
        <v>4.7486</v>
      </c>
    </row>
    <row r="3637">
      <c r="D3637" s="6">
        <f>IFERROR(__xludf.DUMMYFUNCTION("""COMPUTED_VALUE"""),43534.99861111111)</f>
        <v>43534.99861</v>
      </c>
      <c r="E3637" s="3">
        <f>IFERROR(__xludf.DUMMYFUNCTION("""COMPUTED_VALUE"""),4.7486)</f>
        <v>4.7486</v>
      </c>
    </row>
    <row r="3638">
      <c r="D3638" s="6">
        <f>IFERROR(__xludf.DUMMYFUNCTION("""COMPUTED_VALUE"""),43535.99861111111)</f>
        <v>43535.99861</v>
      </c>
      <c r="E3638" s="3">
        <f>IFERROR(__xludf.DUMMYFUNCTION("""COMPUTED_VALUE"""),4.7467)</f>
        <v>4.7467</v>
      </c>
    </row>
    <row r="3639">
      <c r="D3639" s="6">
        <f>IFERROR(__xludf.DUMMYFUNCTION("""COMPUTED_VALUE"""),43536.99861111111)</f>
        <v>43536.99861</v>
      </c>
      <c r="E3639" s="3">
        <f>IFERROR(__xludf.DUMMYFUNCTION("""COMPUTED_VALUE"""),4.7759)</f>
        <v>4.7759</v>
      </c>
    </row>
    <row r="3640">
      <c r="D3640" s="6">
        <f>IFERROR(__xludf.DUMMYFUNCTION("""COMPUTED_VALUE"""),43537.99861111111)</f>
        <v>43537.99861</v>
      </c>
      <c r="E3640" s="3">
        <f>IFERROR(__xludf.DUMMYFUNCTION("""COMPUTED_VALUE"""),4.7774)</f>
        <v>4.7774</v>
      </c>
    </row>
    <row r="3641">
      <c r="D3641" s="6">
        <f>IFERROR(__xludf.DUMMYFUNCTION("""COMPUTED_VALUE"""),43538.99861111111)</f>
        <v>43538.99861</v>
      </c>
      <c r="E3641" s="3">
        <f>IFERROR(__xludf.DUMMYFUNCTION("""COMPUTED_VALUE"""),4.7748)</f>
        <v>4.7748</v>
      </c>
    </row>
    <row r="3642">
      <c r="D3642" s="6">
        <f>IFERROR(__xludf.DUMMYFUNCTION("""COMPUTED_VALUE"""),43539.99861111111)</f>
        <v>43539.99861</v>
      </c>
      <c r="E3642" s="3">
        <f>IFERROR(__xludf.DUMMYFUNCTION("""COMPUTED_VALUE"""),4.7637)</f>
        <v>4.7637</v>
      </c>
    </row>
    <row r="3643">
      <c r="D3643" s="6">
        <f>IFERROR(__xludf.DUMMYFUNCTION("""COMPUTED_VALUE"""),43542.99861111111)</f>
        <v>43542.99861</v>
      </c>
      <c r="E3643" s="3">
        <f>IFERROR(__xludf.DUMMYFUNCTION("""COMPUTED_VALUE"""),4.7523)</f>
        <v>4.7523</v>
      </c>
    </row>
    <row r="3644">
      <c r="D3644" s="6">
        <f>IFERROR(__xludf.DUMMYFUNCTION("""COMPUTED_VALUE"""),43543.99861111111)</f>
        <v>43543.99861</v>
      </c>
      <c r="E3644" s="3">
        <f>IFERROR(__xludf.DUMMYFUNCTION("""COMPUTED_VALUE"""),4.7626)</f>
        <v>4.7626</v>
      </c>
    </row>
    <row r="3645">
      <c r="D3645" s="6">
        <f>IFERROR(__xludf.DUMMYFUNCTION("""COMPUTED_VALUE"""),43544.99861111111)</f>
        <v>43544.99861</v>
      </c>
      <c r="E3645" s="3">
        <f>IFERROR(__xludf.DUMMYFUNCTION("""COMPUTED_VALUE"""),4.763)</f>
        <v>4.763</v>
      </c>
    </row>
    <row r="3646">
      <c r="D3646" s="6">
        <f>IFERROR(__xludf.DUMMYFUNCTION("""COMPUTED_VALUE"""),43545.99861111111)</f>
        <v>43545.99861</v>
      </c>
      <c r="E3646" s="3">
        <f>IFERROR(__xludf.DUMMYFUNCTION("""COMPUTED_VALUE"""),4.7572)</f>
        <v>4.7572</v>
      </c>
    </row>
    <row r="3647">
      <c r="D3647" s="6">
        <f>IFERROR(__xludf.DUMMYFUNCTION("""COMPUTED_VALUE"""),43546.99861111111)</f>
        <v>43546.99861</v>
      </c>
      <c r="E3647" s="3">
        <f>IFERROR(__xludf.DUMMYFUNCTION("""COMPUTED_VALUE"""),4.7572)</f>
        <v>4.7572</v>
      </c>
    </row>
    <row r="3648">
      <c r="D3648" s="6">
        <f>IFERROR(__xludf.DUMMYFUNCTION("""COMPUTED_VALUE"""),43549.99861111111)</f>
        <v>43549.99861</v>
      </c>
      <c r="E3648" s="3">
        <f>IFERROR(__xludf.DUMMYFUNCTION("""COMPUTED_VALUE"""),4.7527)</f>
        <v>4.7527</v>
      </c>
    </row>
    <row r="3649">
      <c r="D3649" s="6">
        <f>IFERROR(__xludf.DUMMYFUNCTION("""COMPUTED_VALUE"""),43550.99861111111)</f>
        <v>43550.99861</v>
      </c>
      <c r="E3649" s="3">
        <f>IFERROR(__xludf.DUMMYFUNCTION("""COMPUTED_VALUE"""),4.7577)</f>
        <v>4.7577</v>
      </c>
    </row>
    <row r="3650">
      <c r="D3650" s="6">
        <f>IFERROR(__xludf.DUMMYFUNCTION("""COMPUTED_VALUE"""),43551.99861111111)</f>
        <v>43551.99861</v>
      </c>
      <c r="E3650" s="3">
        <f>IFERROR(__xludf.DUMMYFUNCTION("""COMPUTED_VALUE"""),4.7565)</f>
        <v>4.7565</v>
      </c>
    </row>
    <row r="3651">
      <c r="D3651" s="6">
        <f>IFERROR(__xludf.DUMMYFUNCTION("""COMPUTED_VALUE"""),43552.99861111111)</f>
        <v>43552.99861</v>
      </c>
      <c r="E3651" s="3">
        <f>IFERROR(__xludf.DUMMYFUNCTION("""COMPUTED_VALUE"""),4.7679)</f>
        <v>4.7679</v>
      </c>
    </row>
    <row r="3652">
      <c r="D3652" s="6">
        <f>IFERROR(__xludf.DUMMYFUNCTION("""COMPUTED_VALUE"""),43553.99861111111)</f>
        <v>43553.99861</v>
      </c>
      <c r="E3652" s="3">
        <f>IFERROR(__xludf.DUMMYFUNCTION("""COMPUTED_VALUE"""),4.7778)</f>
        <v>4.7778</v>
      </c>
    </row>
    <row r="3653">
      <c r="D3653" s="6">
        <f>IFERROR(__xludf.DUMMYFUNCTION("""COMPUTED_VALUE"""),43556.99861111111)</f>
        <v>43556.99861</v>
      </c>
      <c r="E3653" s="3">
        <f>IFERROR(__xludf.DUMMYFUNCTION("""COMPUTED_VALUE"""),4.7615)</f>
        <v>4.7615</v>
      </c>
    </row>
    <row r="3654">
      <c r="D3654" s="6">
        <f>IFERROR(__xludf.DUMMYFUNCTION("""COMPUTED_VALUE"""),43557.99861111111)</f>
        <v>43557.99861</v>
      </c>
      <c r="E3654" s="3">
        <f>IFERROR(__xludf.DUMMYFUNCTION("""COMPUTED_VALUE"""),4.7566)</f>
        <v>4.7566</v>
      </c>
    </row>
    <row r="3655">
      <c r="D3655" s="6">
        <f>IFERROR(__xludf.DUMMYFUNCTION("""COMPUTED_VALUE"""),43558.99861111111)</f>
        <v>43558.99861</v>
      </c>
      <c r="E3655" s="3">
        <f>IFERROR(__xludf.DUMMYFUNCTION("""COMPUTED_VALUE"""),4.752)</f>
        <v>4.752</v>
      </c>
    </row>
    <row r="3656">
      <c r="D3656" s="6">
        <f>IFERROR(__xludf.DUMMYFUNCTION("""COMPUTED_VALUE"""),43559.99861111111)</f>
        <v>43559.99861</v>
      </c>
      <c r="E3656" s="3">
        <f>IFERROR(__xludf.DUMMYFUNCTION("""COMPUTED_VALUE"""),4.7459)</f>
        <v>4.7459</v>
      </c>
    </row>
    <row r="3657">
      <c r="D3657" s="6">
        <f>IFERROR(__xludf.DUMMYFUNCTION("""COMPUTED_VALUE"""),43560.99861111111)</f>
        <v>43560.99861</v>
      </c>
      <c r="E3657" s="3">
        <f>IFERROR(__xludf.DUMMYFUNCTION("""COMPUTED_VALUE"""),4.7545)</f>
        <v>4.7545</v>
      </c>
    </row>
    <row r="3658">
      <c r="D3658" s="6">
        <f>IFERROR(__xludf.DUMMYFUNCTION("""COMPUTED_VALUE"""),43563.99861111111)</f>
        <v>43563.99861</v>
      </c>
      <c r="E3658" s="3">
        <f>IFERROR(__xludf.DUMMYFUNCTION("""COMPUTED_VALUE"""),4.7485)</f>
        <v>4.7485</v>
      </c>
    </row>
    <row r="3659">
      <c r="D3659" s="6">
        <f>IFERROR(__xludf.DUMMYFUNCTION("""COMPUTED_VALUE"""),43564.99861111111)</f>
        <v>43564.99861</v>
      </c>
      <c r="E3659" s="3">
        <f>IFERROR(__xludf.DUMMYFUNCTION("""COMPUTED_VALUE"""),4.7564)</f>
        <v>4.7564</v>
      </c>
    </row>
    <row r="3660">
      <c r="D3660" s="6">
        <f>IFERROR(__xludf.DUMMYFUNCTION("""COMPUTED_VALUE"""),43565.99861111111)</f>
        <v>43565.99861</v>
      </c>
      <c r="E3660" s="3">
        <f>IFERROR(__xludf.DUMMYFUNCTION("""COMPUTED_VALUE"""),4.7536)</f>
        <v>4.7536</v>
      </c>
    </row>
    <row r="3661">
      <c r="D3661" s="6">
        <f>IFERROR(__xludf.DUMMYFUNCTION("""COMPUTED_VALUE"""),43566.99861111111)</f>
        <v>43566.99861</v>
      </c>
      <c r="E3661" s="3">
        <f>IFERROR(__xludf.DUMMYFUNCTION("""COMPUTED_VALUE"""),4.7529)</f>
        <v>4.7529</v>
      </c>
    </row>
    <row r="3662">
      <c r="D3662" s="6">
        <f>IFERROR(__xludf.DUMMYFUNCTION("""COMPUTED_VALUE"""),43567.99861111111)</f>
        <v>43567.99861</v>
      </c>
      <c r="E3662" s="3">
        <f>IFERROR(__xludf.DUMMYFUNCTION("""COMPUTED_VALUE"""),4.7563)</f>
        <v>4.7563</v>
      </c>
    </row>
    <row r="3663">
      <c r="D3663" s="6">
        <f>IFERROR(__xludf.DUMMYFUNCTION("""COMPUTED_VALUE"""),43569.99861111111)</f>
        <v>43569.99861</v>
      </c>
      <c r="E3663" s="3">
        <f>IFERROR(__xludf.DUMMYFUNCTION("""COMPUTED_VALUE"""),4.7563)</f>
        <v>4.7563</v>
      </c>
    </row>
    <row r="3664">
      <c r="D3664" s="6">
        <f>IFERROR(__xludf.DUMMYFUNCTION("""COMPUTED_VALUE"""),43570.99861111111)</f>
        <v>43570.99861</v>
      </c>
      <c r="E3664" s="3">
        <f>IFERROR(__xludf.DUMMYFUNCTION("""COMPUTED_VALUE"""),4.7566)</f>
        <v>4.7566</v>
      </c>
    </row>
    <row r="3665">
      <c r="D3665" s="6">
        <f>IFERROR(__xludf.DUMMYFUNCTION("""COMPUTED_VALUE"""),43571.99861111111)</f>
        <v>43571.99861</v>
      </c>
      <c r="E3665" s="3">
        <f>IFERROR(__xludf.DUMMYFUNCTION("""COMPUTED_VALUE"""),4.757)</f>
        <v>4.757</v>
      </c>
    </row>
    <row r="3666">
      <c r="D3666" s="6">
        <f>IFERROR(__xludf.DUMMYFUNCTION("""COMPUTED_VALUE"""),43572.99861111111)</f>
        <v>43572.99861</v>
      </c>
      <c r="E3666" s="3">
        <f>IFERROR(__xludf.DUMMYFUNCTION("""COMPUTED_VALUE"""),4.7609)</f>
        <v>4.7609</v>
      </c>
    </row>
    <row r="3667">
      <c r="D3667" s="6">
        <f>IFERROR(__xludf.DUMMYFUNCTION("""COMPUTED_VALUE"""),43573.99861111111)</f>
        <v>43573.99861</v>
      </c>
      <c r="E3667" s="3">
        <f>IFERROR(__xludf.DUMMYFUNCTION("""COMPUTED_VALUE"""),4.7599)</f>
        <v>4.7599</v>
      </c>
    </row>
    <row r="3668">
      <c r="D3668" s="6">
        <f>IFERROR(__xludf.DUMMYFUNCTION("""COMPUTED_VALUE"""),43574.99861111111)</f>
        <v>43574.99861</v>
      </c>
      <c r="E3668" s="3">
        <f>IFERROR(__xludf.DUMMYFUNCTION("""COMPUTED_VALUE"""),4.7599)</f>
        <v>4.7599</v>
      </c>
    </row>
    <row r="3669">
      <c r="D3669" s="6">
        <f>IFERROR(__xludf.DUMMYFUNCTION("""COMPUTED_VALUE"""),43577.99861111111)</f>
        <v>43577.99861</v>
      </c>
      <c r="E3669" s="3">
        <f>IFERROR(__xludf.DUMMYFUNCTION("""COMPUTED_VALUE"""),4.7599)</f>
        <v>4.7599</v>
      </c>
    </row>
    <row r="3670">
      <c r="D3670" s="6">
        <f>IFERROR(__xludf.DUMMYFUNCTION("""COMPUTED_VALUE"""),43578.99861111111)</f>
        <v>43578.99861</v>
      </c>
      <c r="E3670" s="3">
        <f>IFERROR(__xludf.DUMMYFUNCTION("""COMPUTED_VALUE"""),4.757)</f>
        <v>4.757</v>
      </c>
    </row>
    <row r="3671">
      <c r="D3671" s="6">
        <f>IFERROR(__xludf.DUMMYFUNCTION("""COMPUTED_VALUE"""),43579.99861111111)</f>
        <v>43579.99861</v>
      </c>
      <c r="E3671" s="3">
        <f>IFERROR(__xludf.DUMMYFUNCTION("""COMPUTED_VALUE"""),4.7536)</f>
        <v>4.7536</v>
      </c>
    </row>
    <row r="3672">
      <c r="D3672" s="6">
        <f>IFERROR(__xludf.DUMMYFUNCTION("""COMPUTED_VALUE"""),43580.99861111111)</f>
        <v>43580.99861</v>
      </c>
      <c r="E3672" s="3">
        <f>IFERROR(__xludf.DUMMYFUNCTION("""COMPUTED_VALUE"""),4.754)</f>
        <v>4.754</v>
      </c>
    </row>
    <row r="3673">
      <c r="D3673" s="6">
        <f>IFERROR(__xludf.DUMMYFUNCTION("""COMPUTED_VALUE"""),43584.99861111111)</f>
        <v>43584.99861</v>
      </c>
      <c r="E3673" s="3">
        <f>IFERROR(__xludf.DUMMYFUNCTION("""COMPUTED_VALUE"""),4.7576)</f>
        <v>4.7576</v>
      </c>
    </row>
    <row r="3674">
      <c r="D3674" s="6">
        <f>IFERROR(__xludf.DUMMYFUNCTION("""COMPUTED_VALUE"""),43585.99861111111)</f>
        <v>43585.99861</v>
      </c>
      <c r="E3674" s="3">
        <f>IFERROR(__xludf.DUMMYFUNCTION("""COMPUTED_VALUE"""),4.7575)</f>
        <v>4.7575</v>
      </c>
    </row>
    <row r="3675">
      <c r="D3675" s="6">
        <f>IFERROR(__xludf.DUMMYFUNCTION("""COMPUTED_VALUE"""),43586.99861111111)</f>
        <v>43586.99861</v>
      </c>
      <c r="E3675" s="3">
        <f>IFERROR(__xludf.DUMMYFUNCTION("""COMPUTED_VALUE"""),4.7575)</f>
        <v>4.7575</v>
      </c>
    </row>
    <row r="3676">
      <c r="D3676" s="6">
        <f>IFERROR(__xludf.DUMMYFUNCTION("""COMPUTED_VALUE"""),43587.99861111111)</f>
        <v>43587.99861</v>
      </c>
      <c r="E3676" s="3">
        <f>IFERROR(__xludf.DUMMYFUNCTION("""COMPUTED_VALUE"""),4.7554)</f>
        <v>4.7554</v>
      </c>
    </row>
    <row r="3677">
      <c r="D3677" s="6">
        <f>IFERROR(__xludf.DUMMYFUNCTION("""COMPUTED_VALUE"""),43588.99861111111)</f>
        <v>43588.99861</v>
      </c>
      <c r="E3677" s="3">
        <f>IFERROR(__xludf.DUMMYFUNCTION("""COMPUTED_VALUE"""),4.7478)</f>
        <v>4.7478</v>
      </c>
    </row>
    <row r="3678">
      <c r="D3678" s="6">
        <f>IFERROR(__xludf.DUMMYFUNCTION("""COMPUTED_VALUE"""),43591.99861111111)</f>
        <v>43591.99861</v>
      </c>
      <c r="E3678" s="3">
        <f>IFERROR(__xludf.DUMMYFUNCTION("""COMPUTED_VALUE"""),4.7531)</f>
        <v>4.7531</v>
      </c>
    </row>
    <row r="3679">
      <c r="D3679" s="6">
        <f>IFERROR(__xludf.DUMMYFUNCTION("""COMPUTED_VALUE"""),43592.99861111111)</f>
        <v>43592.99861</v>
      </c>
      <c r="E3679" s="3">
        <f>IFERROR(__xludf.DUMMYFUNCTION("""COMPUTED_VALUE"""),4.7545)</f>
        <v>4.7545</v>
      </c>
    </row>
    <row r="3680">
      <c r="D3680" s="6">
        <f>IFERROR(__xludf.DUMMYFUNCTION("""COMPUTED_VALUE"""),43593.99861111111)</f>
        <v>43593.99861</v>
      </c>
      <c r="E3680" s="3">
        <f>IFERROR(__xludf.DUMMYFUNCTION("""COMPUTED_VALUE"""),4.7542)</f>
        <v>4.7542</v>
      </c>
    </row>
    <row r="3681">
      <c r="D3681" s="6">
        <f>IFERROR(__xludf.DUMMYFUNCTION("""COMPUTED_VALUE"""),43594.99861111111)</f>
        <v>43594.99861</v>
      </c>
      <c r="E3681" s="3">
        <f>IFERROR(__xludf.DUMMYFUNCTION("""COMPUTED_VALUE"""),4.7578)</f>
        <v>4.7578</v>
      </c>
    </row>
    <row r="3682">
      <c r="D3682" s="6">
        <f>IFERROR(__xludf.DUMMYFUNCTION("""COMPUTED_VALUE"""),43595.99861111111)</f>
        <v>43595.99861</v>
      </c>
      <c r="E3682" s="3">
        <f>IFERROR(__xludf.DUMMYFUNCTION("""COMPUTED_VALUE"""),4.7571)</f>
        <v>4.7571</v>
      </c>
    </row>
    <row r="3683">
      <c r="D3683" s="6">
        <f>IFERROR(__xludf.DUMMYFUNCTION("""COMPUTED_VALUE"""),43598.99861111111)</f>
        <v>43598.99861</v>
      </c>
      <c r="E3683" s="3">
        <f>IFERROR(__xludf.DUMMYFUNCTION("""COMPUTED_VALUE"""),4.7593)</f>
        <v>4.7593</v>
      </c>
    </row>
    <row r="3684">
      <c r="D3684" s="6">
        <f>IFERROR(__xludf.DUMMYFUNCTION("""COMPUTED_VALUE"""),43599.99861111111)</f>
        <v>43599.99861</v>
      </c>
      <c r="E3684" s="3">
        <f>IFERROR(__xludf.DUMMYFUNCTION("""COMPUTED_VALUE"""),4.7578)</f>
        <v>4.7578</v>
      </c>
    </row>
    <row r="3685">
      <c r="D3685" s="6">
        <f>IFERROR(__xludf.DUMMYFUNCTION("""COMPUTED_VALUE"""),43600.99861111111)</f>
        <v>43600.99861</v>
      </c>
      <c r="E3685" s="3">
        <f>IFERROR(__xludf.DUMMYFUNCTION("""COMPUTED_VALUE"""),4.7596)</f>
        <v>4.7596</v>
      </c>
    </row>
    <row r="3686">
      <c r="D3686" s="6">
        <f>IFERROR(__xludf.DUMMYFUNCTION("""COMPUTED_VALUE"""),43601.99861111111)</f>
        <v>43601.99861</v>
      </c>
      <c r="E3686" s="3">
        <f>IFERROR(__xludf.DUMMYFUNCTION("""COMPUTED_VALUE"""),4.7592)</f>
        <v>4.7592</v>
      </c>
    </row>
    <row r="3687">
      <c r="D3687" s="6">
        <f>IFERROR(__xludf.DUMMYFUNCTION("""COMPUTED_VALUE"""),43602.99861111111)</f>
        <v>43602.99861</v>
      </c>
      <c r="E3687" s="3">
        <f>IFERROR(__xludf.DUMMYFUNCTION("""COMPUTED_VALUE"""),4.7578)</f>
        <v>4.7578</v>
      </c>
    </row>
    <row r="3688">
      <c r="D3688" s="6">
        <f>IFERROR(__xludf.DUMMYFUNCTION("""COMPUTED_VALUE"""),43605.99861111111)</f>
        <v>43605.99861</v>
      </c>
      <c r="E3688" s="3">
        <f>IFERROR(__xludf.DUMMYFUNCTION("""COMPUTED_VALUE"""),4.7577)</f>
        <v>4.7577</v>
      </c>
    </row>
    <row r="3689">
      <c r="D3689" s="6">
        <f>IFERROR(__xludf.DUMMYFUNCTION("""COMPUTED_VALUE"""),43606.99861111111)</f>
        <v>43606.99861</v>
      </c>
      <c r="E3689" s="3">
        <f>IFERROR(__xludf.DUMMYFUNCTION("""COMPUTED_VALUE"""),4.7627)</f>
        <v>4.7627</v>
      </c>
    </row>
    <row r="3690">
      <c r="D3690" s="6">
        <f>IFERROR(__xludf.DUMMYFUNCTION("""COMPUTED_VALUE"""),43607.99861111111)</f>
        <v>43607.99861</v>
      </c>
      <c r="E3690" s="3">
        <f>IFERROR(__xludf.DUMMYFUNCTION("""COMPUTED_VALUE"""),4.7601)</f>
        <v>4.7601</v>
      </c>
    </row>
    <row r="3691">
      <c r="D3691" s="6">
        <f>IFERROR(__xludf.DUMMYFUNCTION("""COMPUTED_VALUE"""),43608.99861111111)</f>
        <v>43608.99861</v>
      </c>
      <c r="E3691" s="3">
        <f>IFERROR(__xludf.DUMMYFUNCTION("""COMPUTED_VALUE"""),4.7575)</f>
        <v>4.7575</v>
      </c>
    </row>
    <row r="3692">
      <c r="D3692" s="6">
        <f>IFERROR(__xludf.DUMMYFUNCTION("""COMPUTED_VALUE"""),43609.99861111111)</f>
        <v>43609.99861</v>
      </c>
      <c r="E3692" s="3">
        <f>IFERROR(__xludf.DUMMYFUNCTION("""COMPUTED_VALUE"""),4.7563)</f>
        <v>4.7563</v>
      </c>
    </row>
    <row r="3693">
      <c r="D3693" s="6">
        <f>IFERROR(__xludf.DUMMYFUNCTION("""COMPUTED_VALUE"""),43612.99861111111)</f>
        <v>43612.99861</v>
      </c>
      <c r="E3693" s="3">
        <f>IFERROR(__xludf.DUMMYFUNCTION("""COMPUTED_VALUE"""),4.7585)</f>
        <v>4.7585</v>
      </c>
    </row>
    <row r="3694">
      <c r="D3694" s="6">
        <f>IFERROR(__xludf.DUMMYFUNCTION("""COMPUTED_VALUE"""),43613.99861111111)</f>
        <v>43613.99861</v>
      </c>
      <c r="E3694" s="3">
        <f>IFERROR(__xludf.DUMMYFUNCTION("""COMPUTED_VALUE"""),4.7595)</f>
        <v>4.7595</v>
      </c>
    </row>
    <row r="3695">
      <c r="D3695" s="6">
        <f>IFERROR(__xludf.DUMMYFUNCTION("""COMPUTED_VALUE"""),43614.99861111111)</f>
        <v>43614.99861</v>
      </c>
      <c r="E3695" s="3">
        <f>IFERROR(__xludf.DUMMYFUNCTION("""COMPUTED_VALUE"""),4.7566)</f>
        <v>4.7566</v>
      </c>
    </row>
    <row r="3696">
      <c r="D3696" s="6">
        <f>IFERROR(__xludf.DUMMYFUNCTION("""COMPUTED_VALUE"""),43615.99861111111)</f>
        <v>43615.99861</v>
      </c>
      <c r="E3696" s="3">
        <f>IFERROR(__xludf.DUMMYFUNCTION("""COMPUTED_VALUE"""),4.7507)</f>
        <v>4.7507</v>
      </c>
    </row>
    <row r="3697">
      <c r="D3697" s="6">
        <f>IFERROR(__xludf.DUMMYFUNCTION("""COMPUTED_VALUE"""),43616.99861111111)</f>
        <v>43616.99861</v>
      </c>
      <c r="E3697" s="3">
        <f>IFERROR(__xludf.DUMMYFUNCTION("""COMPUTED_VALUE"""),4.7471)</f>
        <v>4.7471</v>
      </c>
    </row>
    <row r="3698">
      <c r="D3698" s="6">
        <f>IFERROR(__xludf.DUMMYFUNCTION("""COMPUTED_VALUE"""),43618.99861111111)</f>
        <v>43618.99861</v>
      </c>
      <c r="E3698" s="3">
        <f>IFERROR(__xludf.DUMMYFUNCTION("""COMPUTED_VALUE"""),4.7471)</f>
        <v>4.7471</v>
      </c>
    </row>
    <row r="3699">
      <c r="D3699" s="6">
        <f>IFERROR(__xludf.DUMMYFUNCTION("""COMPUTED_VALUE"""),43619.99861111111)</f>
        <v>43619.99861</v>
      </c>
      <c r="E3699" s="3">
        <f>IFERROR(__xludf.DUMMYFUNCTION("""COMPUTED_VALUE"""),4.7324)</f>
        <v>4.7324</v>
      </c>
    </row>
    <row r="3700">
      <c r="D3700" s="6">
        <f>IFERROR(__xludf.DUMMYFUNCTION("""COMPUTED_VALUE"""),43620.99861111111)</f>
        <v>43620.99861</v>
      </c>
      <c r="E3700" s="3">
        <f>IFERROR(__xludf.DUMMYFUNCTION("""COMPUTED_VALUE"""),4.7292)</f>
        <v>4.7292</v>
      </c>
    </row>
    <row r="3701">
      <c r="D3701" s="6">
        <f>IFERROR(__xludf.DUMMYFUNCTION("""COMPUTED_VALUE"""),43621.99861111111)</f>
        <v>43621.99861</v>
      </c>
      <c r="E3701" s="3">
        <f>IFERROR(__xludf.DUMMYFUNCTION("""COMPUTED_VALUE"""),4.7181)</f>
        <v>4.7181</v>
      </c>
    </row>
    <row r="3702">
      <c r="D3702" s="6">
        <f>IFERROR(__xludf.DUMMYFUNCTION("""COMPUTED_VALUE"""),43622.99861111111)</f>
        <v>43622.99861</v>
      </c>
      <c r="E3702" s="3">
        <f>IFERROR(__xludf.DUMMYFUNCTION("""COMPUTED_VALUE"""),4.7188)</f>
        <v>4.7188</v>
      </c>
    </row>
    <row r="3703">
      <c r="D3703" s="6">
        <f>IFERROR(__xludf.DUMMYFUNCTION("""COMPUTED_VALUE"""),43623.99861111111)</f>
        <v>43623.99861</v>
      </c>
      <c r="E3703" s="3">
        <f>IFERROR(__xludf.DUMMYFUNCTION("""COMPUTED_VALUE"""),4.7155)</f>
        <v>4.7155</v>
      </c>
    </row>
    <row r="3704">
      <c r="D3704" s="6">
        <f>IFERROR(__xludf.DUMMYFUNCTION("""COMPUTED_VALUE"""),43626.99861111111)</f>
        <v>43626.99861</v>
      </c>
      <c r="E3704" s="3">
        <f>IFERROR(__xludf.DUMMYFUNCTION("""COMPUTED_VALUE"""),4.7146)</f>
        <v>4.7146</v>
      </c>
    </row>
    <row r="3705">
      <c r="D3705" s="6">
        <f>IFERROR(__xludf.DUMMYFUNCTION("""COMPUTED_VALUE"""),43627.99861111111)</f>
        <v>43627.99861</v>
      </c>
      <c r="E3705" s="3">
        <f>IFERROR(__xludf.DUMMYFUNCTION("""COMPUTED_VALUE"""),4.7174)</f>
        <v>4.7174</v>
      </c>
    </row>
    <row r="3706">
      <c r="D3706" s="6">
        <f>IFERROR(__xludf.DUMMYFUNCTION("""COMPUTED_VALUE"""),43628.99861111111)</f>
        <v>43628.99861</v>
      </c>
      <c r="E3706" s="3">
        <f>IFERROR(__xludf.DUMMYFUNCTION("""COMPUTED_VALUE"""),4.7212)</f>
        <v>4.7212</v>
      </c>
    </row>
    <row r="3707">
      <c r="D3707" s="6">
        <f>IFERROR(__xludf.DUMMYFUNCTION("""COMPUTED_VALUE"""),43629.99861111111)</f>
        <v>43629.99861</v>
      </c>
      <c r="E3707" s="3">
        <f>IFERROR(__xludf.DUMMYFUNCTION("""COMPUTED_VALUE"""),4.7164)</f>
        <v>4.7164</v>
      </c>
    </row>
    <row r="3708">
      <c r="D3708" s="6">
        <f>IFERROR(__xludf.DUMMYFUNCTION("""COMPUTED_VALUE"""),43630.99861111111)</f>
        <v>43630.99861</v>
      </c>
      <c r="E3708" s="3">
        <f>IFERROR(__xludf.DUMMYFUNCTION("""COMPUTED_VALUE"""),4.7226)</f>
        <v>4.7226</v>
      </c>
    </row>
    <row r="3709">
      <c r="D3709" s="6">
        <f>IFERROR(__xludf.DUMMYFUNCTION("""COMPUTED_VALUE"""),43633.99861111111)</f>
        <v>43633.99861</v>
      </c>
      <c r="E3709" s="3">
        <f>IFERROR(__xludf.DUMMYFUNCTION("""COMPUTED_VALUE"""),4.7208)</f>
        <v>4.7208</v>
      </c>
    </row>
    <row r="3710">
      <c r="D3710" s="6">
        <f>IFERROR(__xludf.DUMMYFUNCTION("""COMPUTED_VALUE"""),43634.99861111111)</f>
        <v>43634.99861</v>
      </c>
      <c r="E3710" s="3">
        <f>IFERROR(__xludf.DUMMYFUNCTION("""COMPUTED_VALUE"""),4.7191)</f>
        <v>4.7191</v>
      </c>
    </row>
    <row r="3711">
      <c r="D3711" s="6">
        <f>IFERROR(__xludf.DUMMYFUNCTION("""COMPUTED_VALUE"""),43635.99861111111)</f>
        <v>43635.99861</v>
      </c>
      <c r="E3711" s="3">
        <f>IFERROR(__xludf.DUMMYFUNCTION("""COMPUTED_VALUE"""),4.7259)</f>
        <v>4.7259</v>
      </c>
    </row>
    <row r="3712">
      <c r="D3712" s="6">
        <f>IFERROR(__xludf.DUMMYFUNCTION("""COMPUTED_VALUE"""),43636.99861111111)</f>
        <v>43636.99861</v>
      </c>
      <c r="E3712" s="3">
        <f>IFERROR(__xludf.DUMMYFUNCTION("""COMPUTED_VALUE"""),4.7125)</f>
        <v>4.7125</v>
      </c>
    </row>
    <row r="3713">
      <c r="D3713" s="6">
        <f>IFERROR(__xludf.DUMMYFUNCTION("""COMPUTED_VALUE"""),43637.99861111111)</f>
        <v>43637.99861</v>
      </c>
      <c r="E3713" s="3">
        <f>IFERROR(__xludf.DUMMYFUNCTION("""COMPUTED_VALUE"""),4.7269)</f>
        <v>4.7269</v>
      </c>
    </row>
    <row r="3714">
      <c r="D3714" s="6">
        <f>IFERROR(__xludf.DUMMYFUNCTION("""COMPUTED_VALUE"""),43640.99861111111)</f>
        <v>43640.99861</v>
      </c>
      <c r="E3714" s="3">
        <f>IFERROR(__xludf.DUMMYFUNCTION("""COMPUTED_VALUE"""),4.7189)</f>
        <v>4.7189</v>
      </c>
    </row>
    <row r="3715">
      <c r="D3715" s="6">
        <f>IFERROR(__xludf.DUMMYFUNCTION("""COMPUTED_VALUE"""),43641.99861111111)</f>
        <v>43641.99861</v>
      </c>
      <c r="E3715" s="3">
        <f>IFERROR(__xludf.DUMMYFUNCTION("""COMPUTED_VALUE"""),4.7142)</f>
        <v>4.7142</v>
      </c>
    </row>
    <row r="3716">
      <c r="D3716" s="6">
        <f>IFERROR(__xludf.DUMMYFUNCTION("""COMPUTED_VALUE"""),43642.99861111111)</f>
        <v>43642.99861</v>
      </c>
      <c r="E3716" s="3">
        <f>IFERROR(__xludf.DUMMYFUNCTION("""COMPUTED_VALUE"""),4.715)</f>
        <v>4.715</v>
      </c>
    </row>
    <row r="3717">
      <c r="D3717" s="6">
        <f>IFERROR(__xludf.DUMMYFUNCTION("""COMPUTED_VALUE"""),43643.99861111111)</f>
        <v>43643.99861</v>
      </c>
      <c r="E3717" s="3">
        <f>IFERROR(__xludf.DUMMYFUNCTION("""COMPUTED_VALUE"""),4.7217)</f>
        <v>4.7217</v>
      </c>
    </row>
    <row r="3718">
      <c r="D3718" s="6">
        <f>IFERROR(__xludf.DUMMYFUNCTION("""COMPUTED_VALUE"""),43644.99861111111)</f>
        <v>43644.99861</v>
      </c>
      <c r="E3718" s="3">
        <f>IFERROR(__xludf.DUMMYFUNCTION("""COMPUTED_VALUE"""),4.722)</f>
        <v>4.722</v>
      </c>
    </row>
    <row r="3719">
      <c r="D3719" s="6">
        <f>IFERROR(__xludf.DUMMYFUNCTION("""COMPUTED_VALUE"""),43647.99861111111)</f>
        <v>43647.99861</v>
      </c>
      <c r="E3719" s="3">
        <f>IFERROR(__xludf.DUMMYFUNCTION("""COMPUTED_VALUE"""),4.7292)</f>
        <v>4.7292</v>
      </c>
    </row>
    <row r="3720">
      <c r="D3720" s="6">
        <f>IFERROR(__xludf.DUMMYFUNCTION("""COMPUTED_VALUE"""),43648.99861111111)</f>
        <v>43648.99861</v>
      </c>
      <c r="E3720" s="3">
        <f>IFERROR(__xludf.DUMMYFUNCTION("""COMPUTED_VALUE"""),4.7313)</f>
        <v>4.7313</v>
      </c>
    </row>
    <row r="3721">
      <c r="D3721" s="6">
        <f>IFERROR(__xludf.DUMMYFUNCTION("""COMPUTED_VALUE"""),43649.99861111111)</f>
        <v>43649.99861</v>
      </c>
      <c r="E3721" s="3">
        <f>IFERROR(__xludf.DUMMYFUNCTION("""COMPUTED_VALUE"""),4.707)</f>
        <v>4.707</v>
      </c>
    </row>
    <row r="3722">
      <c r="D3722" s="6">
        <f>IFERROR(__xludf.DUMMYFUNCTION("""COMPUTED_VALUE"""),43650.99861111111)</f>
        <v>43650.99861</v>
      </c>
      <c r="E3722" s="3">
        <f>IFERROR(__xludf.DUMMYFUNCTION("""COMPUTED_VALUE"""),4.7117)</f>
        <v>4.7117</v>
      </c>
    </row>
    <row r="3723">
      <c r="D3723" s="6">
        <f>IFERROR(__xludf.DUMMYFUNCTION("""COMPUTED_VALUE"""),43651.99861111111)</f>
        <v>43651.99861</v>
      </c>
      <c r="E3723" s="3">
        <f>IFERROR(__xludf.DUMMYFUNCTION("""COMPUTED_VALUE"""),4.7216)</f>
        <v>4.7216</v>
      </c>
    </row>
    <row r="3724">
      <c r="D3724" s="6">
        <f>IFERROR(__xludf.DUMMYFUNCTION("""COMPUTED_VALUE"""),43654.99861111111)</f>
        <v>43654.99861</v>
      </c>
      <c r="E3724" s="3">
        <f>IFERROR(__xludf.DUMMYFUNCTION("""COMPUTED_VALUE"""),4.7202)</f>
        <v>4.7202</v>
      </c>
    </row>
    <row r="3725">
      <c r="D3725" s="6">
        <f>IFERROR(__xludf.DUMMYFUNCTION("""COMPUTED_VALUE"""),43655.99861111111)</f>
        <v>43655.99861</v>
      </c>
      <c r="E3725" s="3">
        <f>IFERROR(__xludf.DUMMYFUNCTION("""COMPUTED_VALUE"""),4.7258)</f>
        <v>4.7258</v>
      </c>
    </row>
    <row r="3726">
      <c r="D3726" s="6">
        <f>IFERROR(__xludf.DUMMYFUNCTION("""COMPUTED_VALUE"""),43656.99861111111)</f>
        <v>43656.99861</v>
      </c>
      <c r="E3726" s="3">
        <f>IFERROR(__xludf.DUMMYFUNCTION("""COMPUTED_VALUE"""),4.7299)</f>
        <v>4.7299</v>
      </c>
    </row>
    <row r="3727">
      <c r="D3727" s="6">
        <f>IFERROR(__xludf.DUMMYFUNCTION("""COMPUTED_VALUE"""),43657.99861111111)</f>
        <v>43657.99861</v>
      </c>
      <c r="E3727" s="3">
        <f>IFERROR(__xludf.DUMMYFUNCTION("""COMPUTED_VALUE"""),4.7305)</f>
        <v>4.7305</v>
      </c>
    </row>
    <row r="3728">
      <c r="D3728" s="6">
        <f>IFERROR(__xludf.DUMMYFUNCTION("""COMPUTED_VALUE"""),43658.99861111111)</f>
        <v>43658.99861</v>
      </c>
      <c r="E3728" s="3">
        <f>IFERROR(__xludf.DUMMYFUNCTION("""COMPUTED_VALUE"""),4.7284)</f>
        <v>4.7284</v>
      </c>
    </row>
    <row r="3729">
      <c r="D3729" s="6">
        <f>IFERROR(__xludf.DUMMYFUNCTION("""COMPUTED_VALUE"""),43661.99861111111)</f>
        <v>43661.99861</v>
      </c>
      <c r="E3729" s="3">
        <f>IFERROR(__xludf.DUMMYFUNCTION("""COMPUTED_VALUE"""),4.7284)</f>
        <v>4.7284</v>
      </c>
    </row>
    <row r="3730">
      <c r="D3730" s="6">
        <f>IFERROR(__xludf.DUMMYFUNCTION("""COMPUTED_VALUE"""),43662.99861111111)</f>
        <v>43662.99861</v>
      </c>
      <c r="E3730" s="3">
        <f>IFERROR(__xludf.DUMMYFUNCTION("""COMPUTED_VALUE"""),4.7274)</f>
        <v>4.7274</v>
      </c>
    </row>
    <row r="3731">
      <c r="D3731" s="6">
        <f>IFERROR(__xludf.DUMMYFUNCTION("""COMPUTED_VALUE"""),43663.99861111111)</f>
        <v>43663.99861</v>
      </c>
      <c r="E3731" s="3">
        <f>IFERROR(__xludf.DUMMYFUNCTION("""COMPUTED_VALUE"""),4.728)</f>
        <v>4.728</v>
      </c>
    </row>
    <row r="3732">
      <c r="D3732" s="6">
        <f>IFERROR(__xludf.DUMMYFUNCTION("""COMPUTED_VALUE"""),43664.99861111111)</f>
        <v>43664.99861</v>
      </c>
      <c r="E3732" s="3">
        <f>IFERROR(__xludf.DUMMYFUNCTION("""COMPUTED_VALUE"""),4.7291)</f>
        <v>4.7291</v>
      </c>
    </row>
    <row r="3733">
      <c r="D3733" s="6">
        <f>IFERROR(__xludf.DUMMYFUNCTION("""COMPUTED_VALUE"""),43665.99861111111)</f>
        <v>43665.99861</v>
      </c>
      <c r="E3733" s="3">
        <f>IFERROR(__xludf.DUMMYFUNCTION("""COMPUTED_VALUE"""),4.7233)</f>
        <v>4.7233</v>
      </c>
    </row>
    <row r="3734">
      <c r="D3734" s="6">
        <f>IFERROR(__xludf.DUMMYFUNCTION("""COMPUTED_VALUE"""),43668.99861111111)</f>
        <v>43668.99861</v>
      </c>
      <c r="E3734" s="3">
        <f>IFERROR(__xludf.DUMMYFUNCTION("""COMPUTED_VALUE"""),4.7197)</f>
        <v>4.7197</v>
      </c>
    </row>
    <row r="3735">
      <c r="D3735" s="6">
        <f>IFERROR(__xludf.DUMMYFUNCTION("""COMPUTED_VALUE"""),43669.99861111111)</f>
        <v>43669.99861</v>
      </c>
      <c r="E3735" s="3">
        <f>IFERROR(__xludf.DUMMYFUNCTION("""COMPUTED_VALUE"""),4.7187)</f>
        <v>4.7187</v>
      </c>
    </row>
    <row r="3736">
      <c r="D3736" s="6">
        <f>IFERROR(__xludf.DUMMYFUNCTION("""COMPUTED_VALUE"""),43670.99861111111)</f>
        <v>43670.99861</v>
      </c>
      <c r="E3736" s="3">
        <f>IFERROR(__xludf.DUMMYFUNCTION("""COMPUTED_VALUE"""),4.7166)</f>
        <v>4.7166</v>
      </c>
    </row>
    <row r="3737">
      <c r="D3737" s="6">
        <f>IFERROR(__xludf.DUMMYFUNCTION("""COMPUTED_VALUE"""),43671.99861111111)</f>
        <v>43671.99861</v>
      </c>
      <c r="E3737" s="3">
        <f>IFERROR(__xludf.DUMMYFUNCTION("""COMPUTED_VALUE"""),4.7223)</f>
        <v>4.7223</v>
      </c>
    </row>
    <row r="3738">
      <c r="D3738" s="6">
        <f>IFERROR(__xludf.DUMMYFUNCTION("""COMPUTED_VALUE"""),43672.99861111111)</f>
        <v>43672.99861</v>
      </c>
      <c r="E3738" s="3">
        <f>IFERROR(__xludf.DUMMYFUNCTION("""COMPUTED_VALUE"""),4.7182)</f>
        <v>4.7182</v>
      </c>
    </row>
    <row r="3739">
      <c r="D3739" s="6">
        <f>IFERROR(__xludf.DUMMYFUNCTION("""COMPUTED_VALUE"""),43675.99861111111)</f>
        <v>43675.99861</v>
      </c>
      <c r="E3739" s="3">
        <f>IFERROR(__xludf.DUMMYFUNCTION("""COMPUTED_VALUE"""),4.7264)</f>
        <v>4.7264</v>
      </c>
    </row>
    <row r="3740">
      <c r="D3740" s="6">
        <f>IFERROR(__xludf.DUMMYFUNCTION("""COMPUTED_VALUE"""),43676.99861111111)</f>
        <v>43676.99861</v>
      </c>
      <c r="E3740" s="3">
        <f>IFERROR(__xludf.DUMMYFUNCTION("""COMPUTED_VALUE"""),4.7289)</f>
        <v>4.7289</v>
      </c>
    </row>
    <row r="3741">
      <c r="D3741" s="6">
        <f>IFERROR(__xludf.DUMMYFUNCTION("""COMPUTED_VALUE"""),43677.99861111111)</f>
        <v>43677.99861</v>
      </c>
      <c r="E3741" s="3">
        <f>IFERROR(__xludf.DUMMYFUNCTION("""COMPUTED_VALUE"""),4.7273)</f>
        <v>4.7273</v>
      </c>
    </row>
    <row r="3742">
      <c r="D3742" s="6">
        <f>IFERROR(__xludf.DUMMYFUNCTION("""COMPUTED_VALUE"""),43678.99861111111)</f>
        <v>43678.99861</v>
      </c>
      <c r="E3742" s="3">
        <f>IFERROR(__xludf.DUMMYFUNCTION("""COMPUTED_VALUE"""),4.7328)</f>
        <v>4.7328</v>
      </c>
    </row>
    <row r="3743">
      <c r="D3743" s="6">
        <f>IFERROR(__xludf.DUMMYFUNCTION("""COMPUTED_VALUE"""),43679.99861111111)</f>
        <v>43679.99861</v>
      </c>
      <c r="E3743" s="3">
        <f>IFERROR(__xludf.DUMMYFUNCTION("""COMPUTED_VALUE"""),4.7223)</f>
        <v>4.7223</v>
      </c>
    </row>
    <row r="3744">
      <c r="D3744" s="6">
        <f>IFERROR(__xludf.DUMMYFUNCTION("""COMPUTED_VALUE"""),43682.99861111111)</f>
        <v>43682.99861</v>
      </c>
      <c r="E3744" s="3">
        <f>IFERROR(__xludf.DUMMYFUNCTION("""COMPUTED_VALUE"""),4.7288)</f>
        <v>4.7288</v>
      </c>
    </row>
    <row r="3745">
      <c r="D3745" s="6">
        <f>IFERROR(__xludf.DUMMYFUNCTION("""COMPUTED_VALUE"""),43683.99861111111)</f>
        <v>43683.99861</v>
      </c>
      <c r="E3745" s="3">
        <f>IFERROR(__xludf.DUMMYFUNCTION("""COMPUTED_VALUE"""),4.7267)</f>
        <v>4.7267</v>
      </c>
    </row>
    <row r="3746">
      <c r="D3746" s="6">
        <f>IFERROR(__xludf.DUMMYFUNCTION("""COMPUTED_VALUE"""),43684.99861111111)</f>
        <v>43684.99861</v>
      </c>
      <c r="E3746" s="3">
        <f>IFERROR(__xludf.DUMMYFUNCTION("""COMPUTED_VALUE"""),4.7247)</f>
        <v>4.7247</v>
      </c>
    </row>
    <row r="3747">
      <c r="D3747" s="6">
        <f>IFERROR(__xludf.DUMMYFUNCTION("""COMPUTED_VALUE"""),43685.99861111111)</f>
        <v>43685.99861</v>
      </c>
      <c r="E3747" s="3">
        <f>IFERROR(__xludf.DUMMYFUNCTION("""COMPUTED_VALUE"""),4.7212)</f>
        <v>4.7212</v>
      </c>
    </row>
    <row r="3748">
      <c r="D3748" s="6">
        <f>IFERROR(__xludf.DUMMYFUNCTION("""COMPUTED_VALUE"""),43686.99861111111)</f>
        <v>43686.99861</v>
      </c>
      <c r="E3748" s="3">
        <f>IFERROR(__xludf.DUMMYFUNCTION("""COMPUTED_VALUE"""),4.7228)</f>
        <v>4.7228</v>
      </c>
    </row>
    <row r="3749">
      <c r="D3749" s="6">
        <f>IFERROR(__xludf.DUMMYFUNCTION("""COMPUTED_VALUE"""),43689.99861111111)</f>
        <v>43689.99861</v>
      </c>
      <c r="E3749" s="3">
        <f>IFERROR(__xludf.DUMMYFUNCTION("""COMPUTED_VALUE"""),4.7207)</f>
        <v>4.7207</v>
      </c>
    </row>
    <row r="3750">
      <c r="D3750" s="6">
        <f>IFERROR(__xludf.DUMMYFUNCTION("""COMPUTED_VALUE"""),43690.99861111111)</f>
        <v>43690.99861</v>
      </c>
      <c r="E3750" s="3">
        <f>IFERROR(__xludf.DUMMYFUNCTION("""COMPUTED_VALUE"""),4.7177)</f>
        <v>4.7177</v>
      </c>
    </row>
    <row r="3751">
      <c r="D3751" s="6">
        <f>IFERROR(__xludf.DUMMYFUNCTION("""COMPUTED_VALUE"""),43691.99861111111)</f>
        <v>43691.99861</v>
      </c>
      <c r="E3751" s="3">
        <f>IFERROR(__xludf.DUMMYFUNCTION("""COMPUTED_VALUE"""),4.7171)</f>
        <v>4.7171</v>
      </c>
    </row>
    <row r="3752">
      <c r="D3752" s="6">
        <f>IFERROR(__xludf.DUMMYFUNCTION("""COMPUTED_VALUE"""),43692.99861111111)</f>
        <v>43692.99861</v>
      </c>
      <c r="E3752" s="3">
        <f>IFERROR(__xludf.DUMMYFUNCTION("""COMPUTED_VALUE"""),4.7236)</f>
        <v>4.7236</v>
      </c>
    </row>
    <row r="3753">
      <c r="D3753" s="6">
        <f>IFERROR(__xludf.DUMMYFUNCTION("""COMPUTED_VALUE"""),43693.99861111111)</f>
        <v>43693.99861</v>
      </c>
      <c r="E3753" s="3">
        <f>IFERROR(__xludf.DUMMYFUNCTION("""COMPUTED_VALUE"""),4.7233)</f>
        <v>4.7233</v>
      </c>
    </row>
    <row r="3754">
      <c r="D3754" s="6">
        <f>IFERROR(__xludf.DUMMYFUNCTION("""COMPUTED_VALUE"""),43696.99861111111)</f>
        <v>43696.99861</v>
      </c>
      <c r="E3754" s="3">
        <f>IFERROR(__xludf.DUMMYFUNCTION("""COMPUTED_VALUE"""),4.7275)</f>
        <v>4.7275</v>
      </c>
    </row>
    <row r="3755">
      <c r="D3755" s="6">
        <f>IFERROR(__xludf.DUMMYFUNCTION("""COMPUTED_VALUE"""),43697.99861111111)</f>
        <v>43697.99861</v>
      </c>
      <c r="E3755" s="3">
        <f>IFERROR(__xludf.DUMMYFUNCTION("""COMPUTED_VALUE"""),4.726)</f>
        <v>4.726</v>
      </c>
    </row>
    <row r="3756">
      <c r="D3756" s="6">
        <f>IFERROR(__xludf.DUMMYFUNCTION("""COMPUTED_VALUE"""),43698.99861111111)</f>
        <v>43698.99861</v>
      </c>
      <c r="E3756" s="3">
        <f>IFERROR(__xludf.DUMMYFUNCTION("""COMPUTED_VALUE"""),4.7209)</f>
        <v>4.7209</v>
      </c>
    </row>
    <row r="3757">
      <c r="D3757" s="6">
        <f>IFERROR(__xludf.DUMMYFUNCTION("""COMPUTED_VALUE"""),43699.99861111111)</f>
        <v>43699.99861</v>
      </c>
      <c r="E3757" s="3">
        <f>IFERROR(__xludf.DUMMYFUNCTION("""COMPUTED_VALUE"""),4.7182)</f>
        <v>4.7182</v>
      </c>
    </row>
    <row r="3758">
      <c r="D3758" s="6">
        <f>IFERROR(__xludf.DUMMYFUNCTION("""COMPUTED_VALUE"""),43700.99861111111)</f>
        <v>43700.99861</v>
      </c>
      <c r="E3758" s="3">
        <f>IFERROR(__xludf.DUMMYFUNCTION("""COMPUTED_VALUE"""),4.7191)</f>
        <v>4.7191</v>
      </c>
    </row>
    <row r="3759">
      <c r="D3759" s="6">
        <f>IFERROR(__xludf.DUMMYFUNCTION("""COMPUTED_VALUE"""),43703.99861111111)</f>
        <v>43703.99861</v>
      </c>
      <c r="E3759" s="3">
        <f>IFERROR(__xludf.DUMMYFUNCTION("""COMPUTED_VALUE"""),4.7252)</f>
        <v>4.7252</v>
      </c>
    </row>
    <row r="3760">
      <c r="D3760" s="6">
        <f>IFERROR(__xludf.DUMMYFUNCTION("""COMPUTED_VALUE"""),43704.99861111111)</f>
        <v>43704.99861</v>
      </c>
      <c r="E3760" s="3">
        <f>IFERROR(__xludf.DUMMYFUNCTION("""COMPUTED_VALUE"""),4.7307)</f>
        <v>4.7307</v>
      </c>
    </row>
    <row r="3761">
      <c r="D3761" s="6">
        <f>IFERROR(__xludf.DUMMYFUNCTION("""COMPUTED_VALUE"""),43705.99861111111)</f>
        <v>43705.99861</v>
      </c>
      <c r="E3761" s="3">
        <f>IFERROR(__xludf.DUMMYFUNCTION("""COMPUTED_VALUE"""),4.725)</f>
        <v>4.725</v>
      </c>
    </row>
    <row r="3762">
      <c r="D3762" s="6">
        <f>IFERROR(__xludf.DUMMYFUNCTION("""COMPUTED_VALUE"""),43706.99861111111)</f>
        <v>43706.99861</v>
      </c>
      <c r="E3762" s="3">
        <f>IFERROR(__xludf.DUMMYFUNCTION("""COMPUTED_VALUE"""),4.7247)</f>
        <v>4.7247</v>
      </c>
    </row>
    <row r="3763">
      <c r="D3763" s="6">
        <f>IFERROR(__xludf.DUMMYFUNCTION("""COMPUTED_VALUE"""),43707.99861111111)</f>
        <v>43707.99861</v>
      </c>
      <c r="E3763" s="3">
        <f>IFERROR(__xludf.DUMMYFUNCTION("""COMPUTED_VALUE"""),4.7248)</f>
        <v>4.7248</v>
      </c>
    </row>
    <row r="3764">
      <c r="D3764" s="6">
        <f>IFERROR(__xludf.DUMMYFUNCTION("""COMPUTED_VALUE"""),43710.99861111111)</f>
        <v>43710.99861</v>
      </c>
      <c r="E3764" s="3">
        <f>IFERROR(__xludf.DUMMYFUNCTION("""COMPUTED_VALUE"""),4.7215)</f>
        <v>4.7215</v>
      </c>
    </row>
    <row r="3765">
      <c r="D3765" s="6">
        <f>IFERROR(__xludf.DUMMYFUNCTION("""COMPUTED_VALUE"""),43711.99861111111)</f>
        <v>43711.99861</v>
      </c>
      <c r="E3765" s="3">
        <f>IFERROR(__xludf.DUMMYFUNCTION("""COMPUTED_VALUE"""),4.7255)</f>
        <v>4.7255</v>
      </c>
    </row>
    <row r="3766">
      <c r="D3766" s="6">
        <f>IFERROR(__xludf.DUMMYFUNCTION("""COMPUTED_VALUE"""),43712.99861111111)</f>
        <v>43712.99861</v>
      </c>
      <c r="E3766" s="3">
        <f>IFERROR(__xludf.DUMMYFUNCTION("""COMPUTED_VALUE"""),4.7249)</f>
        <v>4.7249</v>
      </c>
    </row>
    <row r="3767">
      <c r="D3767" s="6">
        <f>IFERROR(__xludf.DUMMYFUNCTION("""COMPUTED_VALUE"""),43713.99861111111)</f>
        <v>43713.99861</v>
      </c>
      <c r="E3767" s="3">
        <f>IFERROR(__xludf.DUMMYFUNCTION("""COMPUTED_VALUE"""),4.7275)</f>
        <v>4.7275</v>
      </c>
    </row>
    <row r="3768">
      <c r="D3768" s="6">
        <f>IFERROR(__xludf.DUMMYFUNCTION("""COMPUTED_VALUE"""),43714.99861111111)</f>
        <v>43714.99861</v>
      </c>
      <c r="E3768" s="3">
        <f>IFERROR(__xludf.DUMMYFUNCTION("""COMPUTED_VALUE"""),4.7296)</f>
        <v>4.7296</v>
      </c>
    </row>
    <row r="3769">
      <c r="D3769" s="6">
        <f>IFERROR(__xludf.DUMMYFUNCTION("""COMPUTED_VALUE"""),43717.99861111111)</f>
        <v>43717.99861</v>
      </c>
      <c r="E3769" s="3">
        <f>IFERROR(__xludf.DUMMYFUNCTION("""COMPUTED_VALUE"""),4.728)</f>
        <v>4.728</v>
      </c>
    </row>
    <row r="3770">
      <c r="D3770" s="6">
        <f>IFERROR(__xludf.DUMMYFUNCTION("""COMPUTED_VALUE"""),43718.99861111111)</f>
        <v>43718.99861</v>
      </c>
      <c r="E3770" s="3">
        <f>IFERROR(__xludf.DUMMYFUNCTION("""COMPUTED_VALUE"""),4.7287)</f>
        <v>4.7287</v>
      </c>
    </row>
    <row r="3771">
      <c r="D3771" s="6">
        <f>IFERROR(__xludf.DUMMYFUNCTION("""COMPUTED_VALUE"""),43719.99861111111)</f>
        <v>43719.99861</v>
      </c>
      <c r="E3771" s="3">
        <f>IFERROR(__xludf.DUMMYFUNCTION("""COMPUTED_VALUE"""),4.7342)</f>
        <v>4.7342</v>
      </c>
    </row>
    <row r="3772">
      <c r="D3772" s="6">
        <f>IFERROR(__xludf.DUMMYFUNCTION("""COMPUTED_VALUE"""),43720.99861111111)</f>
        <v>43720.99861</v>
      </c>
      <c r="E3772" s="3">
        <f>IFERROR(__xludf.DUMMYFUNCTION("""COMPUTED_VALUE"""),4.7332)</f>
        <v>4.7332</v>
      </c>
    </row>
    <row r="3773">
      <c r="D3773" s="6">
        <f>IFERROR(__xludf.DUMMYFUNCTION("""COMPUTED_VALUE"""),43721.99861111111)</f>
        <v>43721.99861</v>
      </c>
      <c r="E3773" s="3">
        <f>IFERROR(__xludf.DUMMYFUNCTION("""COMPUTED_VALUE"""),4.7317)</f>
        <v>4.7317</v>
      </c>
    </row>
    <row r="3774">
      <c r="D3774" s="6">
        <f>IFERROR(__xludf.DUMMYFUNCTION("""COMPUTED_VALUE"""),43724.99861111111)</f>
        <v>43724.99861</v>
      </c>
      <c r="E3774" s="3">
        <f>IFERROR(__xludf.DUMMYFUNCTION("""COMPUTED_VALUE"""),4.7303)</f>
        <v>4.7303</v>
      </c>
    </row>
    <row r="3775">
      <c r="D3775" s="6">
        <f>IFERROR(__xludf.DUMMYFUNCTION("""COMPUTED_VALUE"""),43725.99861111111)</f>
        <v>43725.99861</v>
      </c>
      <c r="E3775" s="3">
        <f>IFERROR(__xludf.DUMMYFUNCTION("""COMPUTED_VALUE"""),4.7302)</f>
        <v>4.7302</v>
      </c>
    </row>
    <row r="3776">
      <c r="D3776" s="6">
        <f>IFERROR(__xludf.DUMMYFUNCTION("""COMPUTED_VALUE"""),43726.99861111111)</f>
        <v>43726.99861</v>
      </c>
      <c r="E3776" s="3">
        <f>IFERROR(__xludf.DUMMYFUNCTION("""COMPUTED_VALUE"""),4.7407)</f>
        <v>4.7407</v>
      </c>
    </row>
    <row r="3777">
      <c r="D3777" s="6">
        <f>IFERROR(__xludf.DUMMYFUNCTION("""COMPUTED_VALUE"""),43727.99861111111)</f>
        <v>43727.99861</v>
      </c>
      <c r="E3777" s="3">
        <f>IFERROR(__xludf.DUMMYFUNCTION("""COMPUTED_VALUE"""),4.7424)</f>
        <v>4.7424</v>
      </c>
    </row>
    <row r="3778">
      <c r="D3778" s="6">
        <f>IFERROR(__xludf.DUMMYFUNCTION("""COMPUTED_VALUE"""),43728.99861111111)</f>
        <v>43728.99861</v>
      </c>
      <c r="E3778" s="3">
        <f>IFERROR(__xludf.DUMMYFUNCTION("""COMPUTED_VALUE"""),4.7495)</f>
        <v>4.7495</v>
      </c>
    </row>
    <row r="3779">
      <c r="D3779" s="6">
        <f>IFERROR(__xludf.DUMMYFUNCTION("""COMPUTED_VALUE"""),43731.99861111111)</f>
        <v>43731.99861</v>
      </c>
      <c r="E3779" s="3">
        <f>IFERROR(__xludf.DUMMYFUNCTION("""COMPUTED_VALUE"""),4.7481)</f>
        <v>4.7481</v>
      </c>
    </row>
    <row r="3780">
      <c r="D3780" s="6">
        <f>IFERROR(__xludf.DUMMYFUNCTION("""COMPUTED_VALUE"""),43732.99861111111)</f>
        <v>43732.99861</v>
      </c>
      <c r="E3780" s="3">
        <f>IFERROR(__xludf.DUMMYFUNCTION("""COMPUTED_VALUE"""),4.7473)</f>
        <v>4.7473</v>
      </c>
    </row>
    <row r="3781">
      <c r="D3781" s="6">
        <f>IFERROR(__xludf.DUMMYFUNCTION("""COMPUTED_VALUE"""),43733.99861111111)</f>
        <v>43733.99861</v>
      </c>
      <c r="E3781" s="3">
        <f>IFERROR(__xludf.DUMMYFUNCTION("""COMPUTED_VALUE"""),4.7445)</f>
        <v>4.7445</v>
      </c>
    </row>
    <row r="3782">
      <c r="D3782" s="6">
        <f>IFERROR(__xludf.DUMMYFUNCTION("""COMPUTED_VALUE"""),43734.99861111111)</f>
        <v>43734.99861</v>
      </c>
      <c r="E3782" s="3">
        <f>IFERROR(__xludf.DUMMYFUNCTION("""COMPUTED_VALUE"""),4.7474)</f>
        <v>4.7474</v>
      </c>
    </row>
    <row r="3783">
      <c r="D3783" s="6">
        <f>IFERROR(__xludf.DUMMYFUNCTION("""COMPUTED_VALUE"""),43735.99861111111)</f>
        <v>43735.99861</v>
      </c>
      <c r="E3783" s="3">
        <f>IFERROR(__xludf.DUMMYFUNCTION("""COMPUTED_VALUE"""),4.7543)</f>
        <v>4.7543</v>
      </c>
    </row>
    <row r="3784">
      <c r="D3784" s="6">
        <f>IFERROR(__xludf.DUMMYFUNCTION("""COMPUTED_VALUE"""),43738.99861111111)</f>
        <v>43738.99861</v>
      </c>
      <c r="E3784" s="3">
        <f>IFERROR(__xludf.DUMMYFUNCTION("""COMPUTED_VALUE"""),4.7424)</f>
        <v>4.7424</v>
      </c>
    </row>
    <row r="3785">
      <c r="D3785" s="6">
        <f>IFERROR(__xludf.DUMMYFUNCTION("""COMPUTED_VALUE"""),43739.99861111111)</f>
        <v>43739.99861</v>
      </c>
      <c r="E3785" s="3">
        <f>IFERROR(__xludf.DUMMYFUNCTION("""COMPUTED_VALUE"""),4.7454)</f>
        <v>4.7454</v>
      </c>
    </row>
    <row r="3786">
      <c r="D3786" s="6">
        <f>IFERROR(__xludf.DUMMYFUNCTION("""COMPUTED_VALUE"""),43740.99861111111)</f>
        <v>43740.99861</v>
      </c>
      <c r="E3786" s="3">
        <f>IFERROR(__xludf.DUMMYFUNCTION("""COMPUTED_VALUE"""),4.7438)</f>
        <v>4.7438</v>
      </c>
    </row>
    <row r="3787">
      <c r="D3787" s="6">
        <f>IFERROR(__xludf.DUMMYFUNCTION("""COMPUTED_VALUE"""),43741.99861111111)</f>
        <v>43741.99861</v>
      </c>
      <c r="E3787" s="3">
        <f>IFERROR(__xludf.DUMMYFUNCTION("""COMPUTED_VALUE"""),4.7445)</f>
        <v>4.7445</v>
      </c>
    </row>
    <row r="3788">
      <c r="D3788" s="6">
        <f>IFERROR(__xludf.DUMMYFUNCTION("""COMPUTED_VALUE"""),43742.99861111111)</f>
        <v>43742.99861</v>
      </c>
      <c r="E3788" s="3">
        <f>IFERROR(__xludf.DUMMYFUNCTION("""COMPUTED_VALUE"""),4.7442)</f>
        <v>4.7442</v>
      </c>
    </row>
    <row r="3789">
      <c r="D3789" s="6">
        <f>IFERROR(__xludf.DUMMYFUNCTION("""COMPUTED_VALUE"""),43745.99861111111)</f>
        <v>43745.99861</v>
      </c>
      <c r="E3789" s="3">
        <f>IFERROR(__xludf.DUMMYFUNCTION("""COMPUTED_VALUE"""),4.7432)</f>
        <v>4.7432</v>
      </c>
    </row>
    <row r="3790">
      <c r="D3790" s="6">
        <f>IFERROR(__xludf.DUMMYFUNCTION("""COMPUTED_VALUE"""),43746.99861111111)</f>
        <v>43746.99861</v>
      </c>
      <c r="E3790" s="3">
        <f>IFERROR(__xludf.DUMMYFUNCTION("""COMPUTED_VALUE"""),4.7478)</f>
        <v>4.7478</v>
      </c>
    </row>
    <row r="3791">
      <c r="D3791" s="6">
        <f>IFERROR(__xludf.DUMMYFUNCTION("""COMPUTED_VALUE"""),43747.99861111111)</f>
        <v>43747.99861</v>
      </c>
      <c r="E3791" s="3">
        <f>IFERROR(__xludf.DUMMYFUNCTION("""COMPUTED_VALUE"""),4.7473)</f>
        <v>4.7473</v>
      </c>
    </row>
    <row r="3792">
      <c r="D3792" s="6">
        <f>IFERROR(__xludf.DUMMYFUNCTION("""COMPUTED_VALUE"""),43748.99861111111)</f>
        <v>43748.99861</v>
      </c>
      <c r="E3792" s="3">
        <f>IFERROR(__xludf.DUMMYFUNCTION("""COMPUTED_VALUE"""),4.7579)</f>
        <v>4.7579</v>
      </c>
    </row>
    <row r="3793">
      <c r="D3793" s="6">
        <f>IFERROR(__xludf.DUMMYFUNCTION("""COMPUTED_VALUE"""),43749.99861111111)</f>
        <v>43749.99861</v>
      </c>
      <c r="E3793" s="3">
        <f>IFERROR(__xludf.DUMMYFUNCTION("""COMPUTED_VALUE"""),4.7551)</f>
        <v>4.7551</v>
      </c>
    </row>
    <row r="3794">
      <c r="D3794" s="6">
        <f>IFERROR(__xludf.DUMMYFUNCTION("""COMPUTED_VALUE"""),43753.99861111111)</f>
        <v>43753.99861</v>
      </c>
      <c r="E3794" s="3">
        <f>IFERROR(__xludf.DUMMYFUNCTION("""COMPUTED_VALUE"""),4.7525)</f>
        <v>4.7525</v>
      </c>
    </row>
    <row r="3795">
      <c r="D3795" s="6">
        <f>IFERROR(__xludf.DUMMYFUNCTION("""COMPUTED_VALUE"""),43754.99861111111)</f>
        <v>43754.99861</v>
      </c>
      <c r="E3795" s="3">
        <f>IFERROR(__xludf.DUMMYFUNCTION("""COMPUTED_VALUE"""),4.7518)</f>
        <v>4.7518</v>
      </c>
    </row>
    <row r="3796">
      <c r="D3796" s="6">
        <f>IFERROR(__xludf.DUMMYFUNCTION("""COMPUTED_VALUE"""),43755.99861111111)</f>
        <v>43755.99861</v>
      </c>
      <c r="E3796" s="3">
        <f>IFERROR(__xludf.DUMMYFUNCTION("""COMPUTED_VALUE"""),4.7513)</f>
        <v>4.7513</v>
      </c>
    </row>
    <row r="3797">
      <c r="D3797" s="6">
        <f>IFERROR(__xludf.DUMMYFUNCTION("""COMPUTED_VALUE"""),43756.99861111111)</f>
        <v>43756.99861</v>
      </c>
      <c r="E3797" s="3">
        <f>IFERROR(__xludf.DUMMYFUNCTION("""COMPUTED_VALUE"""),4.7544)</f>
        <v>4.7544</v>
      </c>
    </row>
    <row r="3798">
      <c r="D3798" s="6">
        <f>IFERROR(__xludf.DUMMYFUNCTION("""COMPUTED_VALUE"""),43759.99861111111)</f>
        <v>43759.99861</v>
      </c>
      <c r="E3798" s="3">
        <f>IFERROR(__xludf.DUMMYFUNCTION("""COMPUTED_VALUE"""),4.7557)</f>
        <v>4.7557</v>
      </c>
    </row>
    <row r="3799">
      <c r="D3799" s="6">
        <f>IFERROR(__xludf.DUMMYFUNCTION("""COMPUTED_VALUE"""),43760.99861111111)</f>
        <v>43760.99861</v>
      </c>
      <c r="E3799" s="3">
        <f>IFERROR(__xludf.DUMMYFUNCTION("""COMPUTED_VALUE"""),4.7585)</f>
        <v>4.7585</v>
      </c>
    </row>
    <row r="3800">
      <c r="D3800" s="6">
        <f>IFERROR(__xludf.DUMMYFUNCTION("""COMPUTED_VALUE"""),43761.99861111111)</f>
        <v>43761.99861</v>
      </c>
      <c r="E3800" s="3">
        <f>IFERROR(__xludf.DUMMYFUNCTION("""COMPUTED_VALUE"""),4.753)</f>
        <v>4.753</v>
      </c>
    </row>
    <row r="3801">
      <c r="D3801" s="6">
        <f>IFERROR(__xludf.DUMMYFUNCTION("""COMPUTED_VALUE"""),43762.99861111111)</f>
        <v>43762.99861</v>
      </c>
      <c r="E3801" s="3">
        <f>IFERROR(__xludf.DUMMYFUNCTION("""COMPUTED_VALUE"""),4.7544)</f>
        <v>4.7544</v>
      </c>
    </row>
    <row r="3802">
      <c r="D3802" s="6">
        <f>IFERROR(__xludf.DUMMYFUNCTION("""COMPUTED_VALUE"""),43763.99861111111)</f>
        <v>43763.99861</v>
      </c>
      <c r="E3802" s="3">
        <f>IFERROR(__xludf.DUMMYFUNCTION("""COMPUTED_VALUE"""),4.7503)</f>
        <v>4.7503</v>
      </c>
    </row>
    <row r="3803">
      <c r="D3803" s="6">
        <f>IFERROR(__xludf.DUMMYFUNCTION("""COMPUTED_VALUE"""),43766.99861111111)</f>
        <v>43766.99861</v>
      </c>
      <c r="E3803" s="3">
        <f>IFERROR(__xludf.DUMMYFUNCTION("""COMPUTED_VALUE"""),4.7523)</f>
        <v>4.7523</v>
      </c>
    </row>
    <row r="3804">
      <c r="D3804" s="6">
        <f>IFERROR(__xludf.DUMMYFUNCTION("""COMPUTED_VALUE"""),43767.99861111111)</f>
        <v>43767.99861</v>
      </c>
      <c r="E3804" s="3">
        <f>IFERROR(__xludf.DUMMYFUNCTION("""COMPUTED_VALUE"""),4.757)</f>
        <v>4.757</v>
      </c>
    </row>
    <row r="3805">
      <c r="D3805" s="6">
        <f>IFERROR(__xludf.DUMMYFUNCTION("""COMPUTED_VALUE"""),43768.99861111111)</f>
        <v>43768.99861</v>
      </c>
      <c r="E3805" s="3">
        <f>IFERROR(__xludf.DUMMYFUNCTION("""COMPUTED_VALUE"""),4.7583)</f>
        <v>4.7583</v>
      </c>
    </row>
    <row r="3806">
      <c r="D3806" s="6">
        <f>IFERROR(__xludf.DUMMYFUNCTION("""COMPUTED_VALUE"""),43769.99861111111)</f>
        <v>43769.99861</v>
      </c>
      <c r="E3806" s="3">
        <f>IFERROR(__xludf.DUMMYFUNCTION("""COMPUTED_VALUE"""),4.7575)</f>
        <v>4.7575</v>
      </c>
    </row>
    <row r="3807">
      <c r="D3807" s="6">
        <f>IFERROR(__xludf.DUMMYFUNCTION("""COMPUTED_VALUE"""),43770.99861111111)</f>
        <v>43770.99861</v>
      </c>
      <c r="E3807" s="3">
        <f>IFERROR(__xludf.DUMMYFUNCTION("""COMPUTED_VALUE"""),4.757)</f>
        <v>4.757</v>
      </c>
    </row>
    <row r="3808">
      <c r="D3808" s="6">
        <f>IFERROR(__xludf.DUMMYFUNCTION("""COMPUTED_VALUE"""),43773.99861111111)</f>
        <v>43773.99861</v>
      </c>
      <c r="E3808" s="3">
        <f>IFERROR(__xludf.DUMMYFUNCTION("""COMPUTED_VALUE"""),4.7513)</f>
        <v>4.7513</v>
      </c>
    </row>
    <row r="3809">
      <c r="D3809" s="6">
        <f>IFERROR(__xludf.DUMMYFUNCTION("""COMPUTED_VALUE"""),43774.99861111111)</f>
        <v>43774.99861</v>
      </c>
      <c r="E3809" s="3">
        <f>IFERROR(__xludf.DUMMYFUNCTION("""COMPUTED_VALUE"""),4.7559)</f>
        <v>4.7559</v>
      </c>
    </row>
    <row r="3810">
      <c r="D3810" s="6">
        <f>IFERROR(__xludf.DUMMYFUNCTION("""COMPUTED_VALUE"""),43775.99861111111)</f>
        <v>43775.99861</v>
      </c>
      <c r="E3810" s="3">
        <f>IFERROR(__xludf.DUMMYFUNCTION("""COMPUTED_VALUE"""),4.7622)</f>
        <v>4.7622</v>
      </c>
    </row>
    <row r="3811">
      <c r="D3811" s="6">
        <f>IFERROR(__xludf.DUMMYFUNCTION("""COMPUTED_VALUE"""),43776.99861111111)</f>
        <v>43776.99861</v>
      </c>
      <c r="E3811" s="3">
        <f>IFERROR(__xludf.DUMMYFUNCTION("""COMPUTED_VALUE"""),4.7623)</f>
        <v>4.7623</v>
      </c>
    </row>
    <row r="3812">
      <c r="D3812" s="6">
        <f>IFERROR(__xludf.DUMMYFUNCTION("""COMPUTED_VALUE"""),43777.99861111111)</f>
        <v>43777.99861</v>
      </c>
      <c r="E3812" s="3">
        <f>IFERROR(__xludf.DUMMYFUNCTION("""COMPUTED_VALUE"""),4.763)</f>
        <v>4.763</v>
      </c>
    </row>
    <row r="3813">
      <c r="D3813" s="6">
        <f>IFERROR(__xludf.DUMMYFUNCTION("""COMPUTED_VALUE"""),43780.99861111111)</f>
        <v>43780.99861</v>
      </c>
      <c r="E3813" s="3">
        <f>IFERROR(__xludf.DUMMYFUNCTION("""COMPUTED_VALUE"""),4.7606)</f>
        <v>4.7606</v>
      </c>
    </row>
    <row r="3814">
      <c r="D3814" s="6">
        <f>IFERROR(__xludf.DUMMYFUNCTION("""COMPUTED_VALUE"""),43781.99861111111)</f>
        <v>43781.99861</v>
      </c>
      <c r="E3814" s="3">
        <f>IFERROR(__xludf.DUMMYFUNCTION("""COMPUTED_VALUE"""),4.7623)</f>
        <v>4.7623</v>
      </c>
    </row>
    <row r="3815">
      <c r="D3815" s="6">
        <f>IFERROR(__xludf.DUMMYFUNCTION("""COMPUTED_VALUE"""),43782.99861111111)</f>
        <v>43782.99861</v>
      </c>
      <c r="E3815" s="3">
        <f>IFERROR(__xludf.DUMMYFUNCTION("""COMPUTED_VALUE"""),4.7651)</f>
        <v>4.7651</v>
      </c>
    </row>
    <row r="3816">
      <c r="D3816" s="6">
        <f>IFERROR(__xludf.DUMMYFUNCTION("""COMPUTED_VALUE"""),43783.99861111111)</f>
        <v>43783.99861</v>
      </c>
      <c r="E3816" s="3">
        <f>IFERROR(__xludf.DUMMYFUNCTION("""COMPUTED_VALUE"""),4.7674)</f>
        <v>4.7674</v>
      </c>
    </row>
    <row r="3817">
      <c r="D3817" s="6">
        <f>IFERROR(__xludf.DUMMYFUNCTION("""COMPUTED_VALUE"""),43784.99861111111)</f>
        <v>43784.99861</v>
      </c>
      <c r="E3817" s="3">
        <f>IFERROR(__xludf.DUMMYFUNCTION("""COMPUTED_VALUE"""),4.7685)</f>
        <v>4.7685</v>
      </c>
    </row>
    <row r="3818">
      <c r="D3818" s="6">
        <f>IFERROR(__xludf.DUMMYFUNCTION("""COMPUTED_VALUE"""),43787.99861111111)</f>
        <v>43787.99861</v>
      </c>
      <c r="E3818" s="3">
        <f>IFERROR(__xludf.DUMMYFUNCTION("""COMPUTED_VALUE"""),4.7742)</f>
        <v>4.7742</v>
      </c>
    </row>
    <row r="3819">
      <c r="D3819" s="6">
        <f>IFERROR(__xludf.DUMMYFUNCTION("""COMPUTED_VALUE"""),43788.99861111111)</f>
        <v>43788.99861</v>
      </c>
      <c r="E3819" s="3">
        <f>IFERROR(__xludf.DUMMYFUNCTION("""COMPUTED_VALUE"""),4.7759)</f>
        <v>4.7759</v>
      </c>
    </row>
    <row r="3820">
      <c r="D3820" s="6">
        <f>IFERROR(__xludf.DUMMYFUNCTION("""COMPUTED_VALUE"""),43789.99861111111)</f>
        <v>43789.99861</v>
      </c>
      <c r="E3820" s="3">
        <f>IFERROR(__xludf.DUMMYFUNCTION("""COMPUTED_VALUE"""),4.7815)</f>
        <v>4.7815</v>
      </c>
    </row>
    <row r="3821">
      <c r="D3821" s="6">
        <f>IFERROR(__xludf.DUMMYFUNCTION("""COMPUTED_VALUE"""),43790.99861111111)</f>
        <v>43790.99861</v>
      </c>
      <c r="E3821" s="3">
        <f>IFERROR(__xludf.DUMMYFUNCTION("""COMPUTED_VALUE"""),4.7813)</f>
        <v>4.7813</v>
      </c>
    </row>
    <row r="3822">
      <c r="D3822" s="6">
        <f>IFERROR(__xludf.DUMMYFUNCTION("""COMPUTED_VALUE"""),43791.99861111111)</f>
        <v>43791.99861</v>
      </c>
      <c r="E3822" s="3">
        <f>IFERROR(__xludf.DUMMYFUNCTION("""COMPUTED_VALUE"""),4.7792)</f>
        <v>4.7792</v>
      </c>
    </row>
    <row r="3823">
      <c r="D3823" s="6">
        <f>IFERROR(__xludf.DUMMYFUNCTION("""COMPUTED_VALUE"""),43794.99861111111)</f>
        <v>43794.99861</v>
      </c>
      <c r="E3823" s="3">
        <f>IFERROR(__xludf.DUMMYFUNCTION("""COMPUTED_VALUE"""),4.7706)</f>
        <v>4.7706</v>
      </c>
    </row>
    <row r="3824">
      <c r="D3824" s="6">
        <f>IFERROR(__xludf.DUMMYFUNCTION("""COMPUTED_VALUE"""),43795.99861111111)</f>
        <v>43795.99861</v>
      </c>
      <c r="E3824" s="3">
        <f>IFERROR(__xludf.DUMMYFUNCTION("""COMPUTED_VALUE"""),4.7808)</f>
        <v>4.7808</v>
      </c>
    </row>
    <row r="3825">
      <c r="D3825" s="6">
        <f>IFERROR(__xludf.DUMMYFUNCTION("""COMPUTED_VALUE"""),43796.99861111111)</f>
        <v>43796.99861</v>
      </c>
      <c r="E3825" s="3">
        <f>IFERROR(__xludf.DUMMYFUNCTION("""COMPUTED_VALUE"""),4.8063)</f>
        <v>4.8063</v>
      </c>
    </row>
    <row r="3826">
      <c r="D3826" s="6">
        <f>IFERROR(__xludf.DUMMYFUNCTION("""COMPUTED_VALUE"""),43797.99861111111)</f>
        <v>43797.99861</v>
      </c>
      <c r="E3826" s="3">
        <f>IFERROR(__xludf.DUMMYFUNCTION("""COMPUTED_VALUE"""),4.8033)</f>
        <v>4.8033</v>
      </c>
    </row>
    <row r="3827">
      <c r="D3827" s="6">
        <f>IFERROR(__xludf.DUMMYFUNCTION("""COMPUTED_VALUE"""),43798.99861111111)</f>
        <v>43798.99861</v>
      </c>
      <c r="E3827" s="3">
        <f>IFERROR(__xludf.DUMMYFUNCTION("""COMPUTED_VALUE"""),4.7907)</f>
        <v>4.7907</v>
      </c>
    </row>
    <row r="3828">
      <c r="D3828" s="6">
        <f>IFERROR(__xludf.DUMMYFUNCTION("""COMPUTED_VALUE"""),43800.99861111111)</f>
        <v>43800.99861</v>
      </c>
      <c r="E3828" s="3">
        <f>IFERROR(__xludf.DUMMYFUNCTION("""COMPUTED_VALUE"""),4.78)</f>
        <v>4.78</v>
      </c>
    </row>
    <row r="3829">
      <c r="D3829" s="6">
        <f>IFERROR(__xludf.DUMMYFUNCTION("""COMPUTED_VALUE"""),43801.99861111111)</f>
        <v>43801.99861</v>
      </c>
      <c r="E3829" s="3">
        <f>IFERROR(__xludf.DUMMYFUNCTION("""COMPUTED_VALUE"""),4.7748)</f>
        <v>4.7748</v>
      </c>
    </row>
    <row r="3830">
      <c r="D3830" s="6">
        <f>IFERROR(__xludf.DUMMYFUNCTION("""COMPUTED_VALUE"""),43802.99861111111)</f>
        <v>43802.99861</v>
      </c>
      <c r="E3830" s="3">
        <f>IFERROR(__xludf.DUMMYFUNCTION("""COMPUTED_VALUE"""),4.7799)</f>
        <v>4.7799</v>
      </c>
    </row>
    <row r="3831">
      <c r="D3831" s="6">
        <f>IFERROR(__xludf.DUMMYFUNCTION("""COMPUTED_VALUE"""),43803.99861111111)</f>
        <v>43803.99861</v>
      </c>
      <c r="E3831" s="3">
        <f>IFERROR(__xludf.DUMMYFUNCTION("""COMPUTED_VALUE"""),4.7793)</f>
        <v>4.7793</v>
      </c>
    </row>
    <row r="3832">
      <c r="D3832" s="6">
        <f>IFERROR(__xludf.DUMMYFUNCTION("""COMPUTED_VALUE"""),43804.99861111111)</f>
        <v>43804.99861</v>
      </c>
      <c r="E3832" s="3">
        <f>IFERROR(__xludf.DUMMYFUNCTION("""COMPUTED_VALUE"""),4.7771)</f>
        <v>4.7771</v>
      </c>
    </row>
    <row r="3833">
      <c r="D3833" s="6">
        <f>IFERROR(__xludf.DUMMYFUNCTION("""COMPUTED_VALUE"""),43805.99861111111)</f>
        <v>43805.99861</v>
      </c>
      <c r="E3833" s="3">
        <f>IFERROR(__xludf.DUMMYFUNCTION("""COMPUTED_VALUE"""),4.7788)</f>
        <v>4.7788</v>
      </c>
    </row>
    <row r="3834">
      <c r="D3834" s="6">
        <f>IFERROR(__xludf.DUMMYFUNCTION("""COMPUTED_VALUE"""),43808.99861111111)</f>
        <v>43808.99861</v>
      </c>
      <c r="E3834" s="3">
        <f>IFERROR(__xludf.DUMMYFUNCTION("""COMPUTED_VALUE"""),4.7768)</f>
        <v>4.7768</v>
      </c>
    </row>
    <row r="3835">
      <c r="D3835" s="6">
        <f>IFERROR(__xludf.DUMMYFUNCTION("""COMPUTED_VALUE"""),43809.99861111111)</f>
        <v>43809.99861</v>
      </c>
      <c r="E3835" s="3">
        <f>IFERROR(__xludf.DUMMYFUNCTION("""COMPUTED_VALUE"""),4.7796)</f>
        <v>4.7796</v>
      </c>
    </row>
    <row r="3836">
      <c r="D3836" s="6">
        <f>IFERROR(__xludf.DUMMYFUNCTION("""COMPUTED_VALUE"""),43810.99861111111)</f>
        <v>43810.99861</v>
      </c>
      <c r="E3836" s="3">
        <f>IFERROR(__xludf.DUMMYFUNCTION("""COMPUTED_VALUE"""),4.7824)</f>
        <v>4.7824</v>
      </c>
    </row>
    <row r="3837">
      <c r="D3837" s="6">
        <f>IFERROR(__xludf.DUMMYFUNCTION("""COMPUTED_VALUE"""),43811.99861111111)</f>
        <v>43811.99861</v>
      </c>
      <c r="E3837" s="3">
        <f>IFERROR(__xludf.DUMMYFUNCTION("""COMPUTED_VALUE"""),4.7889)</f>
        <v>4.7889</v>
      </c>
    </row>
    <row r="3838">
      <c r="D3838" s="6">
        <f>IFERROR(__xludf.DUMMYFUNCTION("""COMPUTED_VALUE"""),43812.99861111111)</f>
        <v>43812.99861</v>
      </c>
      <c r="E3838" s="3">
        <f>IFERROR(__xludf.DUMMYFUNCTION("""COMPUTED_VALUE"""),4.7812)</f>
        <v>4.7812</v>
      </c>
    </row>
    <row r="3839">
      <c r="D3839" s="6">
        <f>IFERROR(__xludf.DUMMYFUNCTION("""COMPUTED_VALUE"""),43815.99861111111)</f>
        <v>43815.99861</v>
      </c>
      <c r="E3839" s="3">
        <f>IFERROR(__xludf.DUMMYFUNCTION("""COMPUTED_VALUE"""),4.7729)</f>
        <v>4.7729</v>
      </c>
    </row>
    <row r="3840">
      <c r="D3840" s="6">
        <f>IFERROR(__xludf.DUMMYFUNCTION("""COMPUTED_VALUE"""),43816.99861111111)</f>
        <v>43816.99861</v>
      </c>
      <c r="E3840" s="3">
        <f>IFERROR(__xludf.DUMMYFUNCTION("""COMPUTED_VALUE"""),4.7776)</f>
        <v>4.7776</v>
      </c>
    </row>
    <row r="3841">
      <c r="D3841" s="6">
        <f>IFERROR(__xludf.DUMMYFUNCTION("""COMPUTED_VALUE"""),43817.99861111111)</f>
        <v>43817.99861</v>
      </c>
      <c r="E3841" s="3">
        <f>IFERROR(__xludf.DUMMYFUNCTION("""COMPUTED_VALUE"""),4.778)</f>
        <v>4.778</v>
      </c>
    </row>
    <row r="3842">
      <c r="D3842" s="6">
        <f>IFERROR(__xludf.DUMMYFUNCTION("""COMPUTED_VALUE"""),43818.99861111111)</f>
        <v>43818.99861</v>
      </c>
      <c r="E3842" s="3">
        <f>IFERROR(__xludf.DUMMYFUNCTION("""COMPUTED_VALUE"""),4.773)</f>
        <v>4.773</v>
      </c>
    </row>
    <row r="3843">
      <c r="D3843" s="6">
        <f>IFERROR(__xludf.DUMMYFUNCTION("""COMPUTED_VALUE"""),43819.99861111111)</f>
        <v>43819.99861</v>
      </c>
      <c r="E3843" s="3">
        <f>IFERROR(__xludf.DUMMYFUNCTION("""COMPUTED_VALUE"""),4.7729)</f>
        <v>4.7729</v>
      </c>
    </row>
    <row r="3844">
      <c r="D3844" s="6">
        <f>IFERROR(__xludf.DUMMYFUNCTION("""COMPUTED_VALUE"""),43822.99861111111)</f>
        <v>43822.99861</v>
      </c>
      <c r="E3844" s="3">
        <f>IFERROR(__xludf.DUMMYFUNCTION("""COMPUTED_VALUE"""),4.7782)</f>
        <v>4.7782</v>
      </c>
    </row>
    <row r="3845">
      <c r="D3845" s="6">
        <f>IFERROR(__xludf.DUMMYFUNCTION("""COMPUTED_VALUE"""),43823.99861111111)</f>
        <v>43823.99861</v>
      </c>
      <c r="E3845" s="3">
        <f>IFERROR(__xludf.DUMMYFUNCTION("""COMPUTED_VALUE"""),4.7786)</f>
        <v>4.7786</v>
      </c>
    </row>
    <row r="3846">
      <c r="D3846" s="6">
        <f>IFERROR(__xludf.DUMMYFUNCTION("""COMPUTED_VALUE"""),43824.99861111111)</f>
        <v>43824.99861</v>
      </c>
      <c r="E3846" s="3">
        <f>IFERROR(__xludf.DUMMYFUNCTION("""COMPUTED_VALUE"""),4.7776)</f>
        <v>4.7776</v>
      </c>
    </row>
    <row r="3847">
      <c r="D3847" s="6">
        <f>IFERROR(__xludf.DUMMYFUNCTION("""COMPUTED_VALUE"""),43825.99861111111)</f>
        <v>43825.99861</v>
      </c>
      <c r="E3847" s="3">
        <f>IFERROR(__xludf.DUMMYFUNCTION("""COMPUTED_VALUE"""),4.7776)</f>
        <v>4.7776</v>
      </c>
    </row>
    <row r="3848">
      <c r="D3848" s="6">
        <f>IFERROR(__xludf.DUMMYFUNCTION("""COMPUTED_VALUE"""),43826.99861111111)</f>
        <v>43826.99861</v>
      </c>
      <c r="E3848" s="3">
        <f>IFERROR(__xludf.DUMMYFUNCTION("""COMPUTED_VALUE"""),4.7823)</f>
        <v>4.7823</v>
      </c>
    </row>
    <row r="3849">
      <c r="D3849" s="6">
        <f>IFERROR(__xludf.DUMMYFUNCTION("""COMPUTED_VALUE"""),43829.99861111111)</f>
        <v>43829.99861</v>
      </c>
      <c r="E3849" s="3">
        <f>IFERROR(__xludf.DUMMYFUNCTION("""COMPUTED_VALUE"""),4.783)</f>
        <v>4.783</v>
      </c>
    </row>
    <row r="3850">
      <c r="D3850" s="6">
        <f>IFERROR(__xludf.DUMMYFUNCTION("""COMPUTED_VALUE"""),43830.99861111111)</f>
        <v>43830.99861</v>
      </c>
      <c r="E3850" s="3">
        <f>IFERROR(__xludf.DUMMYFUNCTION("""COMPUTED_VALUE"""),4.7861)</f>
        <v>4.7861</v>
      </c>
    </row>
    <row r="3851">
      <c r="D3851" s="6">
        <f>IFERROR(__xludf.DUMMYFUNCTION("""COMPUTED_VALUE"""),43831.99861111111)</f>
        <v>43831.99861</v>
      </c>
      <c r="E3851" s="3">
        <f>IFERROR(__xludf.DUMMYFUNCTION("""COMPUTED_VALUE"""),4.7858)</f>
        <v>4.7858</v>
      </c>
    </row>
    <row r="3852">
      <c r="D3852" s="6">
        <f>IFERROR(__xludf.DUMMYFUNCTION("""COMPUTED_VALUE"""),43832.99861111111)</f>
        <v>43832.99861</v>
      </c>
      <c r="E3852" s="3">
        <f>IFERROR(__xludf.DUMMYFUNCTION("""COMPUTED_VALUE"""),4.7769)</f>
        <v>4.7769</v>
      </c>
    </row>
    <row r="3853">
      <c r="D3853" s="6">
        <f>IFERROR(__xludf.DUMMYFUNCTION("""COMPUTED_VALUE"""),43833.99861111111)</f>
        <v>43833.99861</v>
      </c>
      <c r="E3853" s="3">
        <f>IFERROR(__xludf.DUMMYFUNCTION("""COMPUTED_VALUE"""),4.7809)</f>
        <v>4.7809</v>
      </c>
    </row>
    <row r="3854">
      <c r="D3854" s="6">
        <f>IFERROR(__xludf.DUMMYFUNCTION("""COMPUTED_VALUE"""),43836.99861111111)</f>
        <v>43836.99861</v>
      </c>
      <c r="E3854" s="3">
        <f>IFERROR(__xludf.DUMMYFUNCTION("""COMPUTED_VALUE"""),4.7734)</f>
        <v>4.7734</v>
      </c>
    </row>
    <row r="3855">
      <c r="D3855" s="6">
        <f>IFERROR(__xludf.DUMMYFUNCTION("""COMPUTED_VALUE"""),43837.99861111111)</f>
        <v>43837.99861</v>
      </c>
      <c r="E3855" s="3">
        <f>IFERROR(__xludf.DUMMYFUNCTION("""COMPUTED_VALUE"""),4.7759)</f>
        <v>4.7759</v>
      </c>
    </row>
    <row r="3856">
      <c r="D3856" s="6">
        <f>IFERROR(__xludf.DUMMYFUNCTION("""COMPUTED_VALUE"""),43838.99861111111)</f>
        <v>43838.99861</v>
      </c>
      <c r="E3856" s="3">
        <f>IFERROR(__xludf.DUMMYFUNCTION("""COMPUTED_VALUE"""),4.7776)</f>
        <v>4.7776</v>
      </c>
    </row>
    <row r="3857">
      <c r="D3857" s="6">
        <f>IFERROR(__xludf.DUMMYFUNCTION("""COMPUTED_VALUE"""),43839.99861111111)</f>
        <v>43839.99861</v>
      </c>
      <c r="E3857" s="3">
        <f>IFERROR(__xludf.DUMMYFUNCTION("""COMPUTED_VALUE"""),4.7794)</f>
        <v>4.7794</v>
      </c>
    </row>
    <row r="3858">
      <c r="D3858" s="6">
        <f>IFERROR(__xludf.DUMMYFUNCTION("""COMPUTED_VALUE"""),43840.99861111111)</f>
        <v>43840.99861</v>
      </c>
      <c r="E3858" s="3">
        <f>IFERROR(__xludf.DUMMYFUNCTION("""COMPUTED_VALUE"""),4.7767)</f>
        <v>4.7767</v>
      </c>
    </row>
    <row r="3859">
      <c r="D3859" s="6">
        <f>IFERROR(__xludf.DUMMYFUNCTION("""COMPUTED_VALUE"""),43842.99861111111)</f>
        <v>43842.99861</v>
      </c>
      <c r="E3859" s="3">
        <f>IFERROR(__xludf.DUMMYFUNCTION("""COMPUTED_VALUE"""),4.7767)</f>
        <v>4.7767</v>
      </c>
    </row>
    <row r="3860">
      <c r="D3860" s="6">
        <f>IFERROR(__xludf.DUMMYFUNCTION("""COMPUTED_VALUE"""),43843.99861111111)</f>
        <v>43843.99861</v>
      </c>
      <c r="E3860" s="3">
        <f>IFERROR(__xludf.DUMMYFUNCTION("""COMPUTED_VALUE"""),4.7757)</f>
        <v>4.7757</v>
      </c>
    </row>
    <row r="3861">
      <c r="D3861" s="6">
        <f>IFERROR(__xludf.DUMMYFUNCTION("""COMPUTED_VALUE"""),43844.99861111111)</f>
        <v>43844.99861</v>
      </c>
      <c r="E3861" s="3">
        <f>IFERROR(__xludf.DUMMYFUNCTION("""COMPUTED_VALUE"""),4.7809)</f>
        <v>4.7809</v>
      </c>
    </row>
    <row r="3862">
      <c r="D3862" s="6">
        <f>IFERROR(__xludf.DUMMYFUNCTION("""COMPUTED_VALUE"""),43845.99861111111)</f>
        <v>43845.99861</v>
      </c>
      <c r="E3862" s="3">
        <f>IFERROR(__xludf.DUMMYFUNCTION("""COMPUTED_VALUE"""),4.7808)</f>
        <v>4.7808</v>
      </c>
    </row>
    <row r="3863">
      <c r="D3863" s="6">
        <f>IFERROR(__xludf.DUMMYFUNCTION("""COMPUTED_VALUE"""),43846.99861111111)</f>
        <v>43846.99861</v>
      </c>
      <c r="E3863" s="3">
        <f>IFERROR(__xludf.DUMMYFUNCTION("""COMPUTED_VALUE"""),4.7805)</f>
        <v>4.7805</v>
      </c>
    </row>
    <row r="3864">
      <c r="D3864" s="6">
        <f>IFERROR(__xludf.DUMMYFUNCTION("""COMPUTED_VALUE"""),43847.99861111111)</f>
        <v>43847.99861</v>
      </c>
      <c r="E3864" s="3">
        <f>IFERROR(__xludf.DUMMYFUNCTION("""COMPUTED_VALUE"""),4.7796)</f>
        <v>4.7796</v>
      </c>
    </row>
    <row r="3865">
      <c r="D3865" s="6">
        <f>IFERROR(__xludf.DUMMYFUNCTION("""COMPUTED_VALUE"""),43850.99861111111)</f>
        <v>43850.99861</v>
      </c>
      <c r="E3865" s="3">
        <f>IFERROR(__xludf.DUMMYFUNCTION("""COMPUTED_VALUE"""),4.7757)</f>
        <v>4.7757</v>
      </c>
    </row>
    <row r="3866">
      <c r="D3866" s="6">
        <f>IFERROR(__xludf.DUMMYFUNCTION("""COMPUTED_VALUE"""),43851.99861111111)</f>
        <v>43851.99861</v>
      </c>
      <c r="E3866" s="3">
        <f>IFERROR(__xludf.DUMMYFUNCTION("""COMPUTED_VALUE"""),4.7794)</f>
        <v>4.7794</v>
      </c>
    </row>
    <row r="3867">
      <c r="D3867" s="6">
        <f>IFERROR(__xludf.DUMMYFUNCTION("""COMPUTED_VALUE"""),43852.99861111111)</f>
        <v>43852.99861</v>
      </c>
      <c r="E3867" s="3">
        <f>IFERROR(__xludf.DUMMYFUNCTION("""COMPUTED_VALUE"""),4.7795)</f>
        <v>4.7795</v>
      </c>
    </row>
    <row r="3868">
      <c r="D3868" s="6">
        <f>IFERROR(__xludf.DUMMYFUNCTION("""COMPUTED_VALUE"""),43853.99861111111)</f>
        <v>43853.99861</v>
      </c>
      <c r="E3868" s="3">
        <f>IFERROR(__xludf.DUMMYFUNCTION("""COMPUTED_VALUE"""),4.7875)</f>
        <v>4.7875</v>
      </c>
    </row>
    <row r="3869">
      <c r="D3869" s="6">
        <f>IFERROR(__xludf.DUMMYFUNCTION("""COMPUTED_VALUE"""),43854.99861111111)</f>
        <v>43854.99861</v>
      </c>
      <c r="E3869" s="3">
        <f>IFERROR(__xludf.DUMMYFUNCTION("""COMPUTED_VALUE"""),4.7823)</f>
        <v>4.7823</v>
      </c>
    </row>
    <row r="3870">
      <c r="D3870" s="6">
        <f>IFERROR(__xludf.DUMMYFUNCTION("""COMPUTED_VALUE"""),43857.99861111111)</f>
        <v>43857.99861</v>
      </c>
      <c r="E3870" s="3">
        <f>IFERROR(__xludf.DUMMYFUNCTION("""COMPUTED_VALUE"""),4.7783)</f>
        <v>4.7783</v>
      </c>
    </row>
    <row r="3871">
      <c r="D3871" s="6">
        <f>IFERROR(__xludf.DUMMYFUNCTION("""COMPUTED_VALUE"""),43858.99861111111)</f>
        <v>43858.99861</v>
      </c>
      <c r="E3871" s="3">
        <f>IFERROR(__xludf.DUMMYFUNCTION("""COMPUTED_VALUE"""),4.7798)</f>
        <v>4.7798</v>
      </c>
    </row>
    <row r="3872">
      <c r="D3872" s="6">
        <f>IFERROR(__xludf.DUMMYFUNCTION("""COMPUTED_VALUE"""),43859.99861111111)</f>
        <v>43859.99861</v>
      </c>
      <c r="E3872" s="3">
        <f>IFERROR(__xludf.DUMMYFUNCTION("""COMPUTED_VALUE"""),4.7798)</f>
        <v>4.7798</v>
      </c>
    </row>
    <row r="3873">
      <c r="D3873" s="6">
        <f>IFERROR(__xludf.DUMMYFUNCTION("""COMPUTED_VALUE"""),43860.99861111111)</f>
        <v>43860.99861</v>
      </c>
      <c r="E3873" s="3">
        <f>IFERROR(__xludf.DUMMYFUNCTION("""COMPUTED_VALUE"""),4.7798)</f>
        <v>4.7798</v>
      </c>
    </row>
    <row r="3874">
      <c r="D3874" s="6">
        <f>IFERROR(__xludf.DUMMYFUNCTION("""COMPUTED_VALUE"""),43861.99861111111)</f>
        <v>43861.99861</v>
      </c>
      <c r="E3874" s="3">
        <f>IFERROR(__xludf.DUMMYFUNCTION("""COMPUTED_VALUE"""),4.7802)</f>
        <v>4.7802</v>
      </c>
    </row>
    <row r="3875">
      <c r="D3875" s="6">
        <f>IFERROR(__xludf.DUMMYFUNCTION("""COMPUTED_VALUE"""),43864.99861111111)</f>
        <v>43864.99861</v>
      </c>
      <c r="E3875" s="3">
        <f>IFERROR(__xludf.DUMMYFUNCTION("""COMPUTED_VALUE"""),4.7714)</f>
        <v>4.7714</v>
      </c>
    </row>
    <row r="3876">
      <c r="D3876" s="6">
        <f>IFERROR(__xludf.DUMMYFUNCTION("""COMPUTED_VALUE"""),43865.99861111111)</f>
        <v>43865.99861</v>
      </c>
      <c r="E3876" s="3">
        <f>IFERROR(__xludf.DUMMYFUNCTION("""COMPUTED_VALUE"""),4.7772)</f>
        <v>4.7772</v>
      </c>
    </row>
    <row r="3877">
      <c r="D3877" s="6">
        <f>IFERROR(__xludf.DUMMYFUNCTION("""COMPUTED_VALUE"""),43866.99861111111)</f>
        <v>43866.99861</v>
      </c>
      <c r="E3877" s="3">
        <f>IFERROR(__xludf.DUMMYFUNCTION("""COMPUTED_VALUE"""),4.7762)</f>
        <v>4.7762</v>
      </c>
    </row>
    <row r="3878">
      <c r="D3878" s="6">
        <f>IFERROR(__xludf.DUMMYFUNCTION("""COMPUTED_VALUE"""),43867.99861111111)</f>
        <v>43867.99861</v>
      </c>
      <c r="E3878" s="3">
        <f>IFERROR(__xludf.DUMMYFUNCTION("""COMPUTED_VALUE"""),4.7672)</f>
        <v>4.7672</v>
      </c>
    </row>
    <row r="3879">
      <c r="D3879" s="6">
        <f>IFERROR(__xludf.DUMMYFUNCTION("""COMPUTED_VALUE"""),43868.99861111111)</f>
        <v>43868.99861</v>
      </c>
      <c r="E3879" s="3">
        <f>IFERROR(__xludf.DUMMYFUNCTION("""COMPUTED_VALUE"""),4.7638)</f>
        <v>4.7638</v>
      </c>
    </row>
    <row r="3880">
      <c r="D3880" s="6">
        <f>IFERROR(__xludf.DUMMYFUNCTION("""COMPUTED_VALUE"""),43871.99861111111)</f>
        <v>43871.99861</v>
      </c>
      <c r="E3880" s="3">
        <f>IFERROR(__xludf.DUMMYFUNCTION("""COMPUTED_VALUE"""),4.7643)</f>
        <v>4.7643</v>
      </c>
    </row>
    <row r="3881">
      <c r="D3881" s="6">
        <f>IFERROR(__xludf.DUMMYFUNCTION("""COMPUTED_VALUE"""),43872.99861111111)</f>
        <v>43872.99861</v>
      </c>
      <c r="E3881" s="3">
        <f>IFERROR(__xludf.DUMMYFUNCTION("""COMPUTED_VALUE"""),4.7694)</f>
        <v>4.7694</v>
      </c>
    </row>
    <row r="3882">
      <c r="D3882" s="6">
        <f>IFERROR(__xludf.DUMMYFUNCTION("""COMPUTED_VALUE"""),43873.99861111111)</f>
        <v>43873.99861</v>
      </c>
      <c r="E3882" s="3">
        <f>IFERROR(__xludf.DUMMYFUNCTION("""COMPUTED_VALUE"""),4.7686)</f>
        <v>4.7686</v>
      </c>
    </row>
    <row r="3883">
      <c r="D3883" s="6">
        <f>IFERROR(__xludf.DUMMYFUNCTION("""COMPUTED_VALUE"""),43874.99861111111)</f>
        <v>43874.99861</v>
      </c>
      <c r="E3883" s="3">
        <f>IFERROR(__xludf.DUMMYFUNCTION("""COMPUTED_VALUE"""),4.7683)</f>
        <v>4.7683</v>
      </c>
    </row>
    <row r="3884">
      <c r="D3884" s="6">
        <f>IFERROR(__xludf.DUMMYFUNCTION("""COMPUTED_VALUE"""),43875.99861111111)</f>
        <v>43875.99861</v>
      </c>
      <c r="E3884" s="3">
        <f>IFERROR(__xludf.DUMMYFUNCTION("""COMPUTED_VALUE"""),4.769)</f>
        <v>4.769</v>
      </c>
    </row>
    <row r="3885">
      <c r="D3885" s="6">
        <f>IFERROR(__xludf.DUMMYFUNCTION("""COMPUTED_VALUE"""),43878.99861111111)</f>
        <v>43878.99861</v>
      </c>
      <c r="E3885" s="3">
        <f>IFERROR(__xludf.DUMMYFUNCTION("""COMPUTED_VALUE"""),4.7757)</f>
        <v>4.7757</v>
      </c>
    </row>
    <row r="3886">
      <c r="D3886" s="6">
        <f>IFERROR(__xludf.DUMMYFUNCTION("""COMPUTED_VALUE"""),43879.99861111111)</f>
        <v>43879.99861</v>
      </c>
      <c r="E3886" s="3">
        <f>IFERROR(__xludf.DUMMYFUNCTION("""COMPUTED_VALUE"""),4.7812)</f>
        <v>4.7812</v>
      </c>
    </row>
    <row r="3887">
      <c r="D3887" s="6">
        <f>IFERROR(__xludf.DUMMYFUNCTION("""COMPUTED_VALUE"""),43880.99861111111)</f>
        <v>43880.99861</v>
      </c>
      <c r="E3887" s="3">
        <f>IFERROR(__xludf.DUMMYFUNCTION("""COMPUTED_VALUE"""),4.7787)</f>
        <v>4.7787</v>
      </c>
    </row>
    <row r="3888">
      <c r="D3888" s="6">
        <f>IFERROR(__xludf.DUMMYFUNCTION("""COMPUTED_VALUE"""),43881.99861111111)</f>
        <v>43881.99861</v>
      </c>
      <c r="E3888" s="3">
        <f>IFERROR(__xludf.DUMMYFUNCTION("""COMPUTED_VALUE"""),4.7976)</f>
        <v>4.7976</v>
      </c>
    </row>
    <row r="3889">
      <c r="D3889" s="6">
        <f>IFERROR(__xludf.DUMMYFUNCTION("""COMPUTED_VALUE"""),43882.99861111111)</f>
        <v>43882.99861</v>
      </c>
      <c r="E3889" s="3">
        <f>IFERROR(__xludf.DUMMYFUNCTION("""COMPUTED_VALUE"""),4.8045)</f>
        <v>4.8045</v>
      </c>
    </row>
    <row r="3890">
      <c r="D3890" s="6">
        <f>IFERROR(__xludf.DUMMYFUNCTION("""COMPUTED_VALUE"""),43885.99861111111)</f>
        <v>43885.99861</v>
      </c>
      <c r="E3890" s="3">
        <f>IFERROR(__xludf.DUMMYFUNCTION("""COMPUTED_VALUE"""),4.8026)</f>
        <v>4.8026</v>
      </c>
    </row>
    <row r="3891">
      <c r="D3891" s="6">
        <f>IFERROR(__xludf.DUMMYFUNCTION("""COMPUTED_VALUE"""),43886.99861111111)</f>
        <v>43886.99861</v>
      </c>
      <c r="E3891" s="3">
        <f>IFERROR(__xludf.DUMMYFUNCTION("""COMPUTED_VALUE"""),4.8091)</f>
        <v>4.8091</v>
      </c>
    </row>
    <row r="3892">
      <c r="D3892" s="6">
        <f>IFERROR(__xludf.DUMMYFUNCTION("""COMPUTED_VALUE"""),43887.99861111111)</f>
        <v>43887.99861</v>
      </c>
      <c r="E3892" s="3">
        <f>IFERROR(__xludf.DUMMYFUNCTION("""COMPUTED_VALUE"""),4.8114)</f>
        <v>4.8114</v>
      </c>
    </row>
    <row r="3893">
      <c r="D3893" s="6">
        <f>IFERROR(__xludf.DUMMYFUNCTION("""COMPUTED_VALUE"""),43888.99861111111)</f>
        <v>43888.99861</v>
      </c>
      <c r="E3893" s="3">
        <f>IFERROR(__xludf.DUMMYFUNCTION("""COMPUTED_VALUE"""),4.8124)</f>
        <v>4.8124</v>
      </c>
    </row>
    <row r="3894">
      <c r="D3894" s="6">
        <f>IFERROR(__xludf.DUMMYFUNCTION("""COMPUTED_VALUE"""),43889.99861111111)</f>
        <v>43889.99861</v>
      </c>
      <c r="E3894" s="3">
        <f>IFERROR(__xludf.DUMMYFUNCTION("""COMPUTED_VALUE"""),4.8174)</f>
        <v>4.8174</v>
      </c>
    </row>
    <row r="3895">
      <c r="D3895" s="6">
        <f>IFERROR(__xludf.DUMMYFUNCTION("""COMPUTED_VALUE"""),43892.99861111111)</f>
        <v>43892.99861</v>
      </c>
      <c r="E3895" s="3">
        <f>IFERROR(__xludf.DUMMYFUNCTION("""COMPUTED_VALUE"""),4.807)</f>
        <v>4.807</v>
      </c>
    </row>
    <row r="3896">
      <c r="D3896" s="6">
        <f>IFERROR(__xludf.DUMMYFUNCTION("""COMPUTED_VALUE"""),43893.99861111111)</f>
        <v>43893.99861</v>
      </c>
      <c r="E3896" s="3">
        <f>IFERROR(__xludf.DUMMYFUNCTION("""COMPUTED_VALUE"""),4.8181)</f>
        <v>4.8181</v>
      </c>
    </row>
    <row r="3897">
      <c r="D3897" s="6">
        <f>IFERROR(__xludf.DUMMYFUNCTION("""COMPUTED_VALUE"""),43894.99861111111)</f>
        <v>43894.99861</v>
      </c>
      <c r="E3897" s="3">
        <f>IFERROR(__xludf.DUMMYFUNCTION("""COMPUTED_VALUE"""),4.8083)</f>
        <v>4.8083</v>
      </c>
    </row>
    <row r="3898">
      <c r="D3898" s="6">
        <f>IFERROR(__xludf.DUMMYFUNCTION("""COMPUTED_VALUE"""),43895.99861111111)</f>
        <v>43895.99861</v>
      </c>
      <c r="E3898" s="3">
        <f>IFERROR(__xludf.DUMMYFUNCTION("""COMPUTED_VALUE"""),4.812)</f>
        <v>4.812</v>
      </c>
    </row>
    <row r="3899">
      <c r="D3899" s="6">
        <f>IFERROR(__xludf.DUMMYFUNCTION("""COMPUTED_VALUE"""),43896.99861111111)</f>
        <v>43896.99861</v>
      </c>
      <c r="E3899" s="3">
        <f>IFERROR(__xludf.DUMMYFUNCTION("""COMPUTED_VALUE"""),4.8152)</f>
        <v>4.8152</v>
      </c>
    </row>
    <row r="3900">
      <c r="D3900" s="6">
        <f>IFERROR(__xludf.DUMMYFUNCTION("""COMPUTED_VALUE"""),43899.99861111111)</f>
        <v>43899.99861</v>
      </c>
      <c r="E3900" s="3">
        <f>IFERROR(__xludf.DUMMYFUNCTION("""COMPUTED_VALUE"""),4.8188)</f>
        <v>4.8188</v>
      </c>
    </row>
    <row r="3901">
      <c r="D3901" s="6">
        <f>IFERROR(__xludf.DUMMYFUNCTION("""COMPUTED_VALUE"""),43900.99861111111)</f>
        <v>43900.99861</v>
      </c>
      <c r="E3901" s="3">
        <f>IFERROR(__xludf.DUMMYFUNCTION("""COMPUTED_VALUE"""),4.8228)</f>
        <v>4.8228</v>
      </c>
    </row>
    <row r="3902">
      <c r="D3902" s="6">
        <f>IFERROR(__xludf.DUMMYFUNCTION("""COMPUTED_VALUE"""),43901.99861111111)</f>
        <v>43901.99861</v>
      </c>
      <c r="E3902" s="3">
        <f>IFERROR(__xludf.DUMMYFUNCTION("""COMPUTED_VALUE"""),4.8222)</f>
        <v>4.8222</v>
      </c>
    </row>
    <row r="3903">
      <c r="D3903" s="6">
        <f>IFERROR(__xludf.DUMMYFUNCTION("""COMPUTED_VALUE"""),43902.99861111111)</f>
        <v>43902.99861</v>
      </c>
      <c r="E3903" s="3">
        <f>IFERROR(__xludf.DUMMYFUNCTION("""COMPUTED_VALUE"""),4.8416)</f>
        <v>4.8416</v>
      </c>
    </row>
    <row r="3904">
      <c r="D3904" s="6">
        <f>IFERROR(__xludf.DUMMYFUNCTION("""COMPUTED_VALUE"""),43903.99861111111)</f>
        <v>43903.99861</v>
      </c>
      <c r="E3904" s="3">
        <f>IFERROR(__xludf.DUMMYFUNCTION("""COMPUTED_VALUE"""),4.8284)</f>
        <v>4.8284</v>
      </c>
    </row>
    <row r="3905">
      <c r="D3905" s="6">
        <f>IFERROR(__xludf.DUMMYFUNCTION("""COMPUTED_VALUE"""),43906.99861111111)</f>
        <v>43906.99861</v>
      </c>
      <c r="E3905" s="3">
        <f>IFERROR(__xludf.DUMMYFUNCTION("""COMPUTED_VALUE"""),4.838)</f>
        <v>4.838</v>
      </c>
    </row>
    <row r="3906">
      <c r="D3906" s="6">
        <f>IFERROR(__xludf.DUMMYFUNCTION("""COMPUTED_VALUE"""),43907.99861111111)</f>
        <v>43907.99861</v>
      </c>
      <c r="E3906" s="3">
        <f>IFERROR(__xludf.DUMMYFUNCTION("""COMPUTED_VALUE"""),4.8517)</f>
        <v>4.8517</v>
      </c>
    </row>
    <row r="3907">
      <c r="D3907" s="6">
        <f>IFERROR(__xludf.DUMMYFUNCTION("""COMPUTED_VALUE"""),43908.99861111111)</f>
        <v>43908.99861</v>
      </c>
      <c r="E3907" s="3">
        <f>IFERROR(__xludf.DUMMYFUNCTION("""COMPUTED_VALUE"""),4.8906)</f>
        <v>4.8906</v>
      </c>
    </row>
    <row r="3908">
      <c r="D3908" s="6">
        <f>IFERROR(__xludf.DUMMYFUNCTION("""COMPUTED_VALUE"""),43909.99861111111)</f>
        <v>43909.99861</v>
      </c>
      <c r="E3908" s="3">
        <f>IFERROR(__xludf.DUMMYFUNCTION("""COMPUTED_VALUE"""),4.8764)</f>
        <v>4.8764</v>
      </c>
    </row>
    <row r="3909">
      <c r="D3909" s="6">
        <f>IFERROR(__xludf.DUMMYFUNCTION("""COMPUTED_VALUE"""),43910.99861111111)</f>
        <v>43910.99861</v>
      </c>
      <c r="E3909" s="3">
        <f>IFERROR(__xludf.DUMMYFUNCTION("""COMPUTED_VALUE"""),4.8576)</f>
        <v>4.8576</v>
      </c>
    </row>
    <row r="3910">
      <c r="D3910" s="6">
        <f>IFERROR(__xludf.DUMMYFUNCTION("""COMPUTED_VALUE"""),43913.99861111111)</f>
        <v>43913.99861</v>
      </c>
      <c r="E3910" s="3">
        <f>IFERROR(__xludf.DUMMYFUNCTION("""COMPUTED_VALUE"""),4.8472)</f>
        <v>4.8472</v>
      </c>
    </row>
    <row r="3911">
      <c r="D3911" s="6">
        <f>IFERROR(__xludf.DUMMYFUNCTION("""COMPUTED_VALUE"""),43914.99861111111)</f>
        <v>43914.99861</v>
      </c>
      <c r="E3911" s="3">
        <f>IFERROR(__xludf.DUMMYFUNCTION("""COMPUTED_VALUE"""),4.8531)</f>
        <v>4.8531</v>
      </c>
    </row>
    <row r="3912">
      <c r="D3912" s="6">
        <f>IFERROR(__xludf.DUMMYFUNCTION("""COMPUTED_VALUE"""),43915.99861111111)</f>
        <v>43915.99861</v>
      </c>
      <c r="E3912" s="3">
        <f>IFERROR(__xludf.DUMMYFUNCTION("""COMPUTED_VALUE"""),4.846)</f>
        <v>4.846</v>
      </c>
    </row>
    <row r="3913">
      <c r="D3913" s="6">
        <f>IFERROR(__xludf.DUMMYFUNCTION("""COMPUTED_VALUE"""),43916.99861111111)</f>
        <v>43916.99861</v>
      </c>
      <c r="E3913" s="3">
        <f>IFERROR(__xludf.DUMMYFUNCTION("""COMPUTED_VALUE"""),4.8453)</f>
        <v>4.8453</v>
      </c>
    </row>
    <row r="3914">
      <c r="D3914" s="6">
        <f>IFERROR(__xludf.DUMMYFUNCTION("""COMPUTED_VALUE"""),43917.99861111111)</f>
        <v>43917.99861</v>
      </c>
      <c r="E3914" s="3">
        <f>IFERROR(__xludf.DUMMYFUNCTION("""COMPUTED_VALUE"""),4.8413)</f>
        <v>4.8413</v>
      </c>
    </row>
    <row r="3915">
      <c r="D3915" s="6">
        <f>IFERROR(__xludf.DUMMYFUNCTION("""COMPUTED_VALUE"""),43919.99861111111)</f>
        <v>43919.99861</v>
      </c>
      <c r="E3915" s="3">
        <f>IFERROR(__xludf.DUMMYFUNCTION("""COMPUTED_VALUE"""),4.8413)</f>
        <v>4.8413</v>
      </c>
    </row>
    <row r="3916">
      <c r="D3916" s="6">
        <f>IFERROR(__xludf.DUMMYFUNCTION("""COMPUTED_VALUE"""),43920.99861111111)</f>
        <v>43920.99861</v>
      </c>
      <c r="E3916" s="3">
        <f>IFERROR(__xludf.DUMMYFUNCTION("""COMPUTED_VALUE"""),4.8274)</f>
        <v>4.8274</v>
      </c>
    </row>
    <row r="3917">
      <c r="D3917" s="6">
        <f>IFERROR(__xludf.DUMMYFUNCTION("""COMPUTED_VALUE"""),43921.99861111111)</f>
        <v>43921.99861</v>
      </c>
      <c r="E3917" s="3">
        <f>IFERROR(__xludf.DUMMYFUNCTION("""COMPUTED_VALUE"""),4.8364)</f>
        <v>4.8364</v>
      </c>
    </row>
    <row r="3918">
      <c r="D3918" s="6">
        <f>IFERROR(__xludf.DUMMYFUNCTION("""COMPUTED_VALUE"""),43922.99861111111)</f>
        <v>43922.99861</v>
      </c>
      <c r="E3918" s="3">
        <f>IFERROR(__xludf.DUMMYFUNCTION("""COMPUTED_VALUE"""),4.8353)</f>
        <v>4.8353</v>
      </c>
    </row>
    <row r="3919">
      <c r="D3919" s="6">
        <f>IFERROR(__xludf.DUMMYFUNCTION("""COMPUTED_VALUE"""),43923.99861111111)</f>
        <v>43923.99861</v>
      </c>
      <c r="E3919" s="3">
        <f>IFERROR(__xludf.DUMMYFUNCTION("""COMPUTED_VALUE"""),4.8358)</f>
        <v>4.8358</v>
      </c>
    </row>
    <row r="3920">
      <c r="D3920" s="6">
        <f>IFERROR(__xludf.DUMMYFUNCTION("""COMPUTED_VALUE"""),43924.99861111111)</f>
        <v>43924.99861</v>
      </c>
      <c r="E3920" s="3">
        <f>IFERROR(__xludf.DUMMYFUNCTION("""COMPUTED_VALUE"""),4.8341)</f>
        <v>4.8341</v>
      </c>
    </row>
    <row r="3921">
      <c r="D3921" s="6">
        <f>IFERROR(__xludf.DUMMYFUNCTION("""COMPUTED_VALUE"""),43927.99861111111)</f>
        <v>43927.99861</v>
      </c>
      <c r="E3921" s="3">
        <f>IFERROR(__xludf.DUMMYFUNCTION("""COMPUTED_VALUE"""),4.8291)</f>
        <v>4.8291</v>
      </c>
    </row>
    <row r="3922">
      <c r="D3922" s="6">
        <f>IFERROR(__xludf.DUMMYFUNCTION("""COMPUTED_VALUE"""),43928.99861111111)</f>
        <v>43928.99861</v>
      </c>
      <c r="E3922" s="3">
        <f>IFERROR(__xludf.DUMMYFUNCTION("""COMPUTED_VALUE"""),4.8343)</f>
        <v>4.8343</v>
      </c>
    </row>
    <row r="3923">
      <c r="D3923" s="6">
        <f>IFERROR(__xludf.DUMMYFUNCTION("""COMPUTED_VALUE"""),43929.99861111111)</f>
        <v>43929.99861</v>
      </c>
      <c r="E3923" s="3">
        <f>IFERROR(__xludf.DUMMYFUNCTION("""COMPUTED_VALUE"""),4.8358)</f>
        <v>4.8358</v>
      </c>
    </row>
    <row r="3924">
      <c r="D3924" s="6">
        <f>IFERROR(__xludf.DUMMYFUNCTION("""COMPUTED_VALUE"""),43930.99861111111)</f>
        <v>43930.99861</v>
      </c>
      <c r="E3924" s="3">
        <f>IFERROR(__xludf.DUMMYFUNCTION("""COMPUTED_VALUE"""),4.8342)</f>
        <v>4.8342</v>
      </c>
    </row>
    <row r="3925">
      <c r="D3925" s="6">
        <f>IFERROR(__xludf.DUMMYFUNCTION("""COMPUTED_VALUE"""),43931.99861111111)</f>
        <v>43931.99861</v>
      </c>
      <c r="E3925" s="3">
        <f>IFERROR(__xludf.DUMMYFUNCTION("""COMPUTED_VALUE"""),4.8291)</f>
        <v>4.8291</v>
      </c>
    </row>
    <row r="3926">
      <c r="D3926" s="6">
        <f>IFERROR(__xludf.DUMMYFUNCTION("""COMPUTED_VALUE"""),43934.99861111111)</f>
        <v>43934.99861</v>
      </c>
      <c r="E3926" s="3">
        <f>IFERROR(__xludf.DUMMYFUNCTION("""COMPUTED_VALUE"""),4.8291)</f>
        <v>4.8291</v>
      </c>
    </row>
    <row r="3927">
      <c r="D3927" s="6">
        <f>IFERROR(__xludf.DUMMYFUNCTION("""COMPUTED_VALUE"""),43935.99861111111)</f>
        <v>43935.99861</v>
      </c>
      <c r="E3927" s="3">
        <f>IFERROR(__xludf.DUMMYFUNCTION("""COMPUTED_VALUE"""),4.8289)</f>
        <v>4.8289</v>
      </c>
    </row>
    <row r="3928">
      <c r="D3928" s="6">
        <f>IFERROR(__xludf.DUMMYFUNCTION("""COMPUTED_VALUE"""),43936.99861111111)</f>
        <v>43936.99861</v>
      </c>
      <c r="E3928" s="3">
        <f>IFERROR(__xludf.DUMMYFUNCTION("""COMPUTED_VALUE"""),4.8365)</f>
        <v>4.8365</v>
      </c>
    </row>
    <row r="3929">
      <c r="D3929" s="6">
        <f>IFERROR(__xludf.DUMMYFUNCTION("""COMPUTED_VALUE"""),43937.99861111111)</f>
        <v>43937.99861</v>
      </c>
      <c r="E3929" s="3">
        <f>IFERROR(__xludf.DUMMYFUNCTION("""COMPUTED_VALUE"""),4.8393)</f>
        <v>4.8393</v>
      </c>
    </row>
    <row r="3930">
      <c r="D3930" s="6">
        <f>IFERROR(__xludf.DUMMYFUNCTION("""COMPUTED_VALUE"""),43938.99861111111)</f>
        <v>43938.99861</v>
      </c>
      <c r="E3930" s="3">
        <f>IFERROR(__xludf.DUMMYFUNCTION("""COMPUTED_VALUE"""),4.8372)</f>
        <v>4.8372</v>
      </c>
    </row>
    <row r="3931">
      <c r="D3931" s="6">
        <f>IFERROR(__xludf.DUMMYFUNCTION("""COMPUTED_VALUE"""),43941.99861111111)</f>
        <v>43941.99861</v>
      </c>
      <c r="E3931" s="3">
        <f>IFERROR(__xludf.DUMMYFUNCTION("""COMPUTED_VALUE"""),4.8314)</f>
        <v>4.8314</v>
      </c>
    </row>
    <row r="3932">
      <c r="D3932" s="6">
        <f>IFERROR(__xludf.DUMMYFUNCTION("""COMPUTED_VALUE"""),43942.99861111111)</f>
        <v>43942.99861</v>
      </c>
      <c r="E3932" s="3">
        <f>IFERROR(__xludf.DUMMYFUNCTION("""COMPUTED_VALUE"""),4.8397)</f>
        <v>4.8397</v>
      </c>
    </row>
    <row r="3933">
      <c r="D3933" s="6">
        <f>IFERROR(__xludf.DUMMYFUNCTION("""COMPUTED_VALUE"""),43943.99861111111)</f>
        <v>43943.99861</v>
      </c>
      <c r="E3933" s="3">
        <f>IFERROR(__xludf.DUMMYFUNCTION("""COMPUTED_VALUE"""),4.8416)</f>
        <v>4.8416</v>
      </c>
    </row>
    <row r="3934">
      <c r="D3934" s="6">
        <f>IFERROR(__xludf.DUMMYFUNCTION("""COMPUTED_VALUE"""),43944.99861111111)</f>
        <v>43944.99861</v>
      </c>
      <c r="E3934" s="3">
        <f>IFERROR(__xludf.DUMMYFUNCTION("""COMPUTED_VALUE"""),4.8461)</f>
        <v>4.8461</v>
      </c>
    </row>
    <row r="3935">
      <c r="D3935" s="6">
        <f>IFERROR(__xludf.DUMMYFUNCTION("""COMPUTED_VALUE"""),43945.99861111111)</f>
        <v>43945.99861</v>
      </c>
      <c r="E3935" s="3">
        <f>IFERROR(__xludf.DUMMYFUNCTION("""COMPUTED_VALUE"""),4.8441)</f>
        <v>4.8441</v>
      </c>
    </row>
    <row r="3936">
      <c r="D3936" s="6">
        <f>IFERROR(__xludf.DUMMYFUNCTION("""COMPUTED_VALUE"""),43948.99861111111)</f>
        <v>43948.99861</v>
      </c>
      <c r="E3936" s="3">
        <f>IFERROR(__xludf.DUMMYFUNCTION("""COMPUTED_VALUE"""),4.8395)</f>
        <v>4.8395</v>
      </c>
    </row>
    <row r="3937">
      <c r="D3937" s="6">
        <f>IFERROR(__xludf.DUMMYFUNCTION("""COMPUTED_VALUE"""),43949.99861111111)</f>
        <v>43949.99861</v>
      </c>
      <c r="E3937" s="3">
        <f>IFERROR(__xludf.DUMMYFUNCTION("""COMPUTED_VALUE"""),4.846)</f>
        <v>4.846</v>
      </c>
    </row>
    <row r="3938">
      <c r="D3938" s="6">
        <f>IFERROR(__xludf.DUMMYFUNCTION("""COMPUTED_VALUE"""),43950.99861111111)</f>
        <v>43950.99861</v>
      </c>
      <c r="E3938" s="3">
        <f>IFERROR(__xludf.DUMMYFUNCTION("""COMPUTED_VALUE"""),4.8461)</f>
        <v>4.8461</v>
      </c>
    </row>
    <row r="3939">
      <c r="D3939" s="6">
        <f>IFERROR(__xludf.DUMMYFUNCTION("""COMPUTED_VALUE"""),43951.99861111111)</f>
        <v>43951.99861</v>
      </c>
      <c r="E3939" s="3">
        <f>IFERROR(__xludf.DUMMYFUNCTION("""COMPUTED_VALUE"""),4.8441)</f>
        <v>4.8441</v>
      </c>
    </row>
    <row r="3940">
      <c r="D3940" s="6">
        <f>IFERROR(__xludf.DUMMYFUNCTION("""COMPUTED_VALUE"""),43952.99861111111)</f>
        <v>43952.99861</v>
      </c>
      <c r="E3940" s="3">
        <f>IFERROR(__xludf.DUMMYFUNCTION("""COMPUTED_VALUE"""),4.838)</f>
        <v>4.838</v>
      </c>
    </row>
    <row r="3941">
      <c r="D3941" s="6">
        <f>IFERROR(__xludf.DUMMYFUNCTION("""COMPUTED_VALUE"""),43955.99861111111)</f>
        <v>43955.99861</v>
      </c>
      <c r="E3941" s="3">
        <f>IFERROR(__xludf.DUMMYFUNCTION("""COMPUTED_VALUE"""),4.8246)</f>
        <v>4.8246</v>
      </c>
    </row>
    <row r="3942">
      <c r="D3942" s="6">
        <f>IFERROR(__xludf.DUMMYFUNCTION("""COMPUTED_VALUE"""),43956.99861111111)</f>
        <v>43956.99861</v>
      </c>
      <c r="E3942" s="3">
        <f>IFERROR(__xludf.DUMMYFUNCTION("""COMPUTED_VALUE"""),4.8296)</f>
        <v>4.8296</v>
      </c>
    </row>
    <row r="3943">
      <c r="D3943" s="6">
        <f>IFERROR(__xludf.DUMMYFUNCTION("""COMPUTED_VALUE"""),43957.99861111111)</f>
        <v>43957.99861</v>
      </c>
      <c r="E3943" s="3">
        <f>IFERROR(__xludf.DUMMYFUNCTION("""COMPUTED_VALUE"""),4.8274)</f>
        <v>4.8274</v>
      </c>
    </row>
    <row r="3944">
      <c r="D3944" s="6">
        <f>IFERROR(__xludf.DUMMYFUNCTION("""COMPUTED_VALUE"""),43958.99861111111)</f>
        <v>43958.99861</v>
      </c>
      <c r="E3944" s="3">
        <f>IFERROR(__xludf.DUMMYFUNCTION("""COMPUTED_VALUE"""),4.8292)</f>
        <v>4.8292</v>
      </c>
    </row>
    <row r="3945">
      <c r="D3945" s="6">
        <f>IFERROR(__xludf.DUMMYFUNCTION("""COMPUTED_VALUE"""),43959.99861111111)</f>
        <v>43959.99861</v>
      </c>
      <c r="E3945" s="3">
        <f>IFERROR(__xludf.DUMMYFUNCTION("""COMPUTED_VALUE"""),4.8302)</f>
        <v>4.8302</v>
      </c>
    </row>
    <row r="3946">
      <c r="D3946" s="6">
        <f>IFERROR(__xludf.DUMMYFUNCTION("""COMPUTED_VALUE"""),43962.99861111111)</f>
        <v>43962.99861</v>
      </c>
      <c r="E3946" s="3">
        <f>IFERROR(__xludf.DUMMYFUNCTION("""COMPUTED_VALUE"""),4.8224)</f>
        <v>4.8224</v>
      </c>
    </row>
    <row r="3947">
      <c r="D3947" s="6">
        <f>IFERROR(__xludf.DUMMYFUNCTION("""COMPUTED_VALUE"""),43963.99861111111)</f>
        <v>43963.99861</v>
      </c>
      <c r="E3947" s="3">
        <f>IFERROR(__xludf.DUMMYFUNCTION("""COMPUTED_VALUE"""),4.8327)</f>
        <v>4.8327</v>
      </c>
    </row>
    <row r="3948">
      <c r="D3948" s="6">
        <f>IFERROR(__xludf.DUMMYFUNCTION("""COMPUTED_VALUE"""),43964.99861111111)</f>
        <v>43964.99861</v>
      </c>
      <c r="E3948" s="3">
        <f>IFERROR(__xludf.DUMMYFUNCTION("""COMPUTED_VALUE"""),4.8357)</f>
        <v>4.8357</v>
      </c>
    </row>
    <row r="3949">
      <c r="D3949" s="6">
        <f>IFERROR(__xludf.DUMMYFUNCTION("""COMPUTED_VALUE"""),43965.99861111111)</f>
        <v>43965.99861</v>
      </c>
      <c r="E3949" s="3">
        <f>IFERROR(__xludf.DUMMYFUNCTION("""COMPUTED_VALUE"""),4.8407)</f>
        <v>4.8407</v>
      </c>
    </row>
    <row r="3950">
      <c r="D3950" s="6">
        <f>IFERROR(__xludf.DUMMYFUNCTION("""COMPUTED_VALUE"""),43966.99861111111)</f>
        <v>43966.99861</v>
      </c>
      <c r="E3950" s="3">
        <f>IFERROR(__xludf.DUMMYFUNCTION("""COMPUTED_VALUE"""),4.8413)</f>
        <v>4.8413</v>
      </c>
    </row>
    <row r="3951">
      <c r="D3951" s="6">
        <f>IFERROR(__xludf.DUMMYFUNCTION("""COMPUTED_VALUE"""),43969.99861111111)</f>
        <v>43969.99861</v>
      </c>
      <c r="E3951" s="3">
        <f>IFERROR(__xludf.DUMMYFUNCTION("""COMPUTED_VALUE"""),4.8367)</f>
        <v>4.8367</v>
      </c>
    </row>
    <row r="3952">
      <c r="D3952" s="6">
        <f>IFERROR(__xludf.DUMMYFUNCTION("""COMPUTED_VALUE"""),43970.99861111111)</f>
        <v>43970.99861</v>
      </c>
      <c r="E3952" s="3">
        <f>IFERROR(__xludf.DUMMYFUNCTION("""COMPUTED_VALUE"""),4.8429)</f>
        <v>4.8429</v>
      </c>
    </row>
    <row r="3953">
      <c r="D3953" s="6">
        <f>IFERROR(__xludf.DUMMYFUNCTION("""COMPUTED_VALUE"""),43971.99861111111)</f>
        <v>43971.99861</v>
      </c>
      <c r="E3953" s="3">
        <f>IFERROR(__xludf.DUMMYFUNCTION("""COMPUTED_VALUE"""),4.8438)</f>
        <v>4.8438</v>
      </c>
    </row>
    <row r="3954">
      <c r="D3954" s="6">
        <f>IFERROR(__xludf.DUMMYFUNCTION("""COMPUTED_VALUE"""),43972.99861111111)</f>
        <v>43972.99861</v>
      </c>
      <c r="E3954" s="3">
        <f>IFERROR(__xludf.DUMMYFUNCTION("""COMPUTED_VALUE"""),4.8437)</f>
        <v>4.8437</v>
      </c>
    </row>
    <row r="3955">
      <c r="D3955" s="6">
        <f>IFERROR(__xludf.DUMMYFUNCTION("""COMPUTED_VALUE"""),43973.99861111111)</f>
        <v>43973.99861</v>
      </c>
      <c r="E3955" s="3">
        <f>IFERROR(__xludf.DUMMYFUNCTION("""COMPUTED_VALUE"""),4.844)</f>
        <v>4.844</v>
      </c>
    </row>
    <row r="3956">
      <c r="D3956" s="6">
        <f>IFERROR(__xludf.DUMMYFUNCTION("""COMPUTED_VALUE"""),43976.99861111111)</f>
        <v>43976.99861</v>
      </c>
      <c r="E3956" s="3">
        <f>IFERROR(__xludf.DUMMYFUNCTION("""COMPUTED_VALUE"""),4.8389)</f>
        <v>4.8389</v>
      </c>
    </row>
    <row r="3957">
      <c r="D3957" s="6">
        <f>IFERROR(__xludf.DUMMYFUNCTION("""COMPUTED_VALUE"""),43977.99861111111)</f>
        <v>43977.99861</v>
      </c>
      <c r="E3957" s="3">
        <f>IFERROR(__xludf.DUMMYFUNCTION("""COMPUTED_VALUE"""),4.8452)</f>
        <v>4.8452</v>
      </c>
    </row>
    <row r="3958">
      <c r="D3958" s="6">
        <f>IFERROR(__xludf.DUMMYFUNCTION("""COMPUTED_VALUE"""),43978.99861111111)</f>
        <v>43978.99861</v>
      </c>
      <c r="E3958" s="3">
        <f>IFERROR(__xludf.DUMMYFUNCTION("""COMPUTED_VALUE"""),4.8448)</f>
        <v>4.8448</v>
      </c>
    </row>
    <row r="3959">
      <c r="D3959" s="6">
        <f>IFERROR(__xludf.DUMMYFUNCTION("""COMPUTED_VALUE"""),43979.99861111111)</f>
        <v>43979.99861</v>
      </c>
      <c r="E3959" s="3">
        <f>IFERROR(__xludf.DUMMYFUNCTION("""COMPUTED_VALUE"""),4.8446)</f>
        <v>4.8446</v>
      </c>
    </row>
    <row r="3960">
      <c r="D3960" s="6">
        <f>IFERROR(__xludf.DUMMYFUNCTION("""COMPUTED_VALUE"""),43980.99861111111)</f>
        <v>43980.99861</v>
      </c>
      <c r="E3960" s="3">
        <f>IFERROR(__xludf.DUMMYFUNCTION("""COMPUTED_VALUE"""),4.8491)</f>
        <v>4.8491</v>
      </c>
    </row>
    <row r="3961">
      <c r="D3961" s="6">
        <f>IFERROR(__xludf.DUMMYFUNCTION("""COMPUTED_VALUE"""),43983.99861111111)</f>
        <v>43983.99861</v>
      </c>
      <c r="E3961" s="3">
        <f>IFERROR(__xludf.DUMMYFUNCTION("""COMPUTED_VALUE"""),4.8528)</f>
        <v>4.8528</v>
      </c>
    </row>
    <row r="3962">
      <c r="D3962" s="6">
        <f>IFERROR(__xludf.DUMMYFUNCTION("""COMPUTED_VALUE"""),43984.99861111111)</f>
        <v>43984.99861</v>
      </c>
      <c r="E3962" s="3">
        <f>IFERROR(__xludf.DUMMYFUNCTION("""COMPUTED_VALUE"""),4.8587)</f>
        <v>4.8587</v>
      </c>
    </row>
    <row r="3963">
      <c r="D3963" s="6">
        <f>IFERROR(__xludf.DUMMYFUNCTION("""COMPUTED_VALUE"""),43985.99861111111)</f>
        <v>43985.99861</v>
      </c>
      <c r="E3963" s="3">
        <f>IFERROR(__xludf.DUMMYFUNCTION("""COMPUTED_VALUE"""),4.839)</f>
        <v>4.839</v>
      </c>
    </row>
    <row r="3964">
      <c r="D3964" s="6">
        <f>IFERROR(__xludf.DUMMYFUNCTION("""COMPUTED_VALUE"""),43986.99861111111)</f>
        <v>43986.99861</v>
      </c>
      <c r="E3964" s="3">
        <f>IFERROR(__xludf.DUMMYFUNCTION("""COMPUTED_VALUE"""),4.8357)</f>
        <v>4.8357</v>
      </c>
    </row>
    <row r="3965">
      <c r="D3965" s="6">
        <f>IFERROR(__xludf.DUMMYFUNCTION("""COMPUTED_VALUE"""),43987.99861111111)</f>
        <v>43987.99861</v>
      </c>
      <c r="E3965" s="3">
        <f>IFERROR(__xludf.DUMMYFUNCTION("""COMPUTED_VALUE"""),4.8332)</f>
        <v>4.8332</v>
      </c>
    </row>
    <row r="3966">
      <c r="D3966" s="6">
        <f>IFERROR(__xludf.DUMMYFUNCTION("""COMPUTED_VALUE"""),43990.99861111111)</f>
        <v>43990.99861</v>
      </c>
      <c r="E3966" s="3">
        <f>IFERROR(__xludf.DUMMYFUNCTION("""COMPUTED_VALUE"""),4.836)</f>
        <v>4.836</v>
      </c>
    </row>
    <row r="3967">
      <c r="D3967" s="6">
        <f>IFERROR(__xludf.DUMMYFUNCTION("""COMPUTED_VALUE"""),43991.99861111111)</f>
        <v>43991.99861</v>
      </c>
      <c r="E3967" s="3">
        <f>IFERROR(__xludf.DUMMYFUNCTION("""COMPUTED_VALUE"""),4.8303)</f>
        <v>4.8303</v>
      </c>
    </row>
    <row r="3968">
      <c r="D3968" s="6">
        <f>IFERROR(__xludf.DUMMYFUNCTION("""COMPUTED_VALUE"""),43992.99861111111)</f>
        <v>43992.99861</v>
      </c>
      <c r="E3968" s="3">
        <f>IFERROR(__xludf.DUMMYFUNCTION("""COMPUTED_VALUE"""),4.8279)</f>
        <v>4.8279</v>
      </c>
    </row>
    <row r="3969">
      <c r="D3969" s="6">
        <f>IFERROR(__xludf.DUMMYFUNCTION("""COMPUTED_VALUE"""),43993.99861111111)</f>
        <v>43993.99861</v>
      </c>
      <c r="E3969" s="3">
        <f>IFERROR(__xludf.DUMMYFUNCTION("""COMPUTED_VALUE"""),4.8322)</f>
        <v>4.8322</v>
      </c>
    </row>
    <row r="3970">
      <c r="D3970" s="6">
        <f>IFERROR(__xludf.DUMMYFUNCTION("""COMPUTED_VALUE"""),43994.99861111111)</f>
        <v>43994.99861</v>
      </c>
      <c r="E3970" s="3">
        <f>IFERROR(__xludf.DUMMYFUNCTION("""COMPUTED_VALUE"""),4.832)</f>
        <v>4.832</v>
      </c>
    </row>
    <row r="3971">
      <c r="D3971" s="6">
        <f>IFERROR(__xludf.DUMMYFUNCTION("""COMPUTED_VALUE"""),43997.99861111111)</f>
        <v>43997.99861</v>
      </c>
      <c r="E3971" s="3">
        <f>IFERROR(__xludf.DUMMYFUNCTION("""COMPUTED_VALUE"""),4.8327)</f>
        <v>4.8327</v>
      </c>
    </row>
    <row r="3972">
      <c r="D3972" s="6">
        <f>IFERROR(__xludf.DUMMYFUNCTION("""COMPUTED_VALUE"""),43998.99861111111)</f>
        <v>43998.99861</v>
      </c>
      <c r="E3972" s="3">
        <f>IFERROR(__xludf.DUMMYFUNCTION("""COMPUTED_VALUE"""),4.8323)</f>
        <v>4.8323</v>
      </c>
    </row>
    <row r="3973">
      <c r="D3973" s="6">
        <f>IFERROR(__xludf.DUMMYFUNCTION("""COMPUTED_VALUE"""),43999.99861111111)</f>
        <v>43999.99861</v>
      </c>
      <c r="E3973" s="3">
        <f>IFERROR(__xludf.DUMMYFUNCTION("""COMPUTED_VALUE"""),4.8335)</f>
        <v>4.8335</v>
      </c>
    </row>
    <row r="3974">
      <c r="D3974" s="6">
        <f>IFERROR(__xludf.DUMMYFUNCTION("""COMPUTED_VALUE"""),44000.99861111111)</f>
        <v>44000.99861</v>
      </c>
      <c r="E3974" s="3">
        <f>IFERROR(__xludf.DUMMYFUNCTION("""COMPUTED_VALUE"""),4.8386)</f>
        <v>4.8386</v>
      </c>
    </row>
    <row r="3975">
      <c r="D3975" s="6">
        <f>IFERROR(__xludf.DUMMYFUNCTION("""COMPUTED_VALUE"""),44001.99861111111)</f>
        <v>44001.99861</v>
      </c>
      <c r="E3975" s="3">
        <f>IFERROR(__xludf.DUMMYFUNCTION("""COMPUTED_VALUE"""),4.8388)</f>
        <v>4.8388</v>
      </c>
    </row>
    <row r="3976">
      <c r="D3976" s="6">
        <f>IFERROR(__xludf.DUMMYFUNCTION("""COMPUTED_VALUE"""),44004.99861111111)</f>
        <v>44004.99861</v>
      </c>
      <c r="E3976" s="3">
        <f>IFERROR(__xludf.DUMMYFUNCTION("""COMPUTED_VALUE"""),4.8395)</f>
        <v>4.8395</v>
      </c>
    </row>
    <row r="3977">
      <c r="D3977" s="6">
        <f>IFERROR(__xludf.DUMMYFUNCTION("""COMPUTED_VALUE"""),44005.99861111111)</f>
        <v>44005.99861</v>
      </c>
      <c r="E3977" s="3">
        <f>IFERROR(__xludf.DUMMYFUNCTION("""COMPUTED_VALUE"""),4.8401)</f>
        <v>4.8401</v>
      </c>
    </row>
    <row r="3978">
      <c r="D3978" s="6">
        <f>IFERROR(__xludf.DUMMYFUNCTION("""COMPUTED_VALUE"""),44006.99861111111)</f>
        <v>44006.99861</v>
      </c>
      <c r="E3978" s="3">
        <f>IFERROR(__xludf.DUMMYFUNCTION("""COMPUTED_VALUE"""),4.8372)</f>
        <v>4.8372</v>
      </c>
    </row>
    <row r="3979">
      <c r="D3979" s="6">
        <f>IFERROR(__xludf.DUMMYFUNCTION("""COMPUTED_VALUE"""),44007.99861111111)</f>
        <v>44007.99861</v>
      </c>
      <c r="E3979" s="3">
        <f>IFERROR(__xludf.DUMMYFUNCTION("""COMPUTED_VALUE"""),4.8376)</f>
        <v>4.8376</v>
      </c>
    </row>
    <row r="3980">
      <c r="D3980" s="6">
        <f>IFERROR(__xludf.DUMMYFUNCTION("""COMPUTED_VALUE"""),44008.99861111111)</f>
        <v>44008.99861</v>
      </c>
      <c r="E3980" s="3">
        <f>IFERROR(__xludf.DUMMYFUNCTION("""COMPUTED_VALUE"""),4.8401)</f>
        <v>4.8401</v>
      </c>
    </row>
    <row r="3981">
      <c r="D3981" s="6">
        <f>IFERROR(__xludf.DUMMYFUNCTION("""COMPUTED_VALUE"""),44011.99861111111)</f>
        <v>44011.99861</v>
      </c>
      <c r="E3981" s="3">
        <f>IFERROR(__xludf.DUMMYFUNCTION("""COMPUTED_VALUE"""),4.8401)</f>
        <v>4.8401</v>
      </c>
    </row>
    <row r="3982">
      <c r="D3982" s="6">
        <f>IFERROR(__xludf.DUMMYFUNCTION("""COMPUTED_VALUE"""),44012.99861111111)</f>
        <v>44012.99861</v>
      </c>
      <c r="E3982" s="3">
        <f>IFERROR(__xludf.DUMMYFUNCTION("""COMPUTED_VALUE"""),4.8338)</f>
        <v>4.8338</v>
      </c>
    </row>
    <row r="3983">
      <c r="D3983" s="6">
        <f>IFERROR(__xludf.DUMMYFUNCTION("""COMPUTED_VALUE"""),44013.99861111111)</f>
        <v>44013.99861</v>
      </c>
      <c r="E3983" s="3">
        <f>IFERROR(__xludf.DUMMYFUNCTION("""COMPUTED_VALUE"""),4.8445)</f>
        <v>4.8445</v>
      </c>
    </row>
    <row r="3984">
      <c r="D3984" s="6">
        <f>IFERROR(__xludf.DUMMYFUNCTION("""COMPUTED_VALUE"""),44014.99861111111)</f>
        <v>44014.99861</v>
      </c>
      <c r="E3984" s="3">
        <f>IFERROR(__xludf.DUMMYFUNCTION("""COMPUTED_VALUE"""),4.8337)</f>
        <v>4.8337</v>
      </c>
    </row>
    <row r="3985">
      <c r="D3985" s="6">
        <f>IFERROR(__xludf.DUMMYFUNCTION("""COMPUTED_VALUE"""),44015.99861111111)</f>
        <v>44015.99861</v>
      </c>
      <c r="E3985" s="3">
        <f>IFERROR(__xludf.DUMMYFUNCTION("""COMPUTED_VALUE"""),4.8357)</f>
        <v>4.8357</v>
      </c>
    </row>
    <row r="3986">
      <c r="D3986" s="6">
        <f>IFERROR(__xludf.DUMMYFUNCTION("""COMPUTED_VALUE"""),44018.99861111111)</f>
        <v>44018.99861</v>
      </c>
      <c r="E3986" s="3">
        <f>IFERROR(__xludf.DUMMYFUNCTION("""COMPUTED_VALUE"""),4.8363)</f>
        <v>4.8363</v>
      </c>
    </row>
    <row r="3987">
      <c r="D3987" s="6">
        <f>IFERROR(__xludf.DUMMYFUNCTION("""COMPUTED_VALUE"""),44019.99861111111)</f>
        <v>44019.99861</v>
      </c>
      <c r="E3987" s="3">
        <f>IFERROR(__xludf.DUMMYFUNCTION("""COMPUTED_VALUE"""),4.8368)</f>
        <v>4.8368</v>
      </c>
    </row>
    <row r="3988">
      <c r="D3988" s="6">
        <f>IFERROR(__xludf.DUMMYFUNCTION("""COMPUTED_VALUE"""),44020.99861111111)</f>
        <v>44020.99861</v>
      </c>
      <c r="E3988" s="3">
        <f>IFERROR(__xludf.DUMMYFUNCTION("""COMPUTED_VALUE"""),4.836)</f>
        <v>4.836</v>
      </c>
    </row>
    <row r="3989">
      <c r="D3989" s="6">
        <f>IFERROR(__xludf.DUMMYFUNCTION("""COMPUTED_VALUE"""),44021.99861111111)</f>
        <v>44021.99861</v>
      </c>
      <c r="E3989" s="3">
        <f>IFERROR(__xludf.DUMMYFUNCTION("""COMPUTED_VALUE"""),4.836)</f>
        <v>4.836</v>
      </c>
    </row>
    <row r="3990">
      <c r="D3990" s="6">
        <f>IFERROR(__xludf.DUMMYFUNCTION("""COMPUTED_VALUE"""),44022.99861111111)</f>
        <v>44022.99861</v>
      </c>
      <c r="E3990" s="3">
        <f>IFERROR(__xludf.DUMMYFUNCTION("""COMPUTED_VALUE"""),4.8394)</f>
        <v>4.8394</v>
      </c>
    </row>
    <row r="3991">
      <c r="D3991" s="6">
        <f>IFERROR(__xludf.DUMMYFUNCTION("""COMPUTED_VALUE"""),44024.99861111111)</f>
        <v>44024.99861</v>
      </c>
      <c r="E3991" s="3">
        <f>IFERROR(__xludf.DUMMYFUNCTION("""COMPUTED_VALUE"""),4.8394)</f>
        <v>4.8394</v>
      </c>
    </row>
    <row r="3992">
      <c r="D3992" s="6">
        <f>IFERROR(__xludf.DUMMYFUNCTION("""COMPUTED_VALUE"""),44025.99861111111)</f>
        <v>44025.99861</v>
      </c>
      <c r="E3992" s="3">
        <f>IFERROR(__xludf.DUMMYFUNCTION("""COMPUTED_VALUE"""),4.8402)</f>
        <v>4.8402</v>
      </c>
    </row>
    <row r="3993">
      <c r="D3993" s="6">
        <f>IFERROR(__xludf.DUMMYFUNCTION("""COMPUTED_VALUE"""),44026.99861111111)</f>
        <v>44026.99861</v>
      </c>
      <c r="E3993" s="3">
        <f>IFERROR(__xludf.DUMMYFUNCTION("""COMPUTED_VALUE"""),4.841)</f>
        <v>4.841</v>
      </c>
    </row>
    <row r="3994">
      <c r="D3994" s="6">
        <f>IFERROR(__xludf.DUMMYFUNCTION("""COMPUTED_VALUE"""),44027.99861111111)</f>
        <v>44027.99861</v>
      </c>
      <c r="E3994" s="3">
        <f>IFERROR(__xludf.DUMMYFUNCTION("""COMPUTED_VALUE"""),4.841)</f>
        <v>4.841</v>
      </c>
    </row>
    <row r="3995">
      <c r="D3995" s="6">
        <f>IFERROR(__xludf.DUMMYFUNCTION("""COMPUTED_VALUE"""),44028.99861111111)</f>
        <v>44028.99861</v>
      </c>
      <c r="E3995" s="3">
        <f>IFERROR(__xludf.DUMMYFUNCTION("""COMPUTED_VALUE"""),4.8401)</f>
        <v>4.8401</v>
      </c>
    </row>
    <row r="3996">
      <c r="D3996" s="6">
        <f>IFERROR(__xludf.DUMMYFUNCTION("""COMPUTED_VALUE"""),44029.99861111111)</f>
        <v>44029.99861</v>
      </c>
      <c r="E3996" s="3">
        <f>IFERROR(__xludf.DUMMYFUNCTION("""COMPUTED_VALUE"""),4.8338)</f>
        <v>4.8338</v>
      </c>
    </row>
    <row r="3997">
      <c r="D3997" s="6">
        <f>IFERROR(__xludf.DUMMYFUNCTION("""COMPUTED_VALUE"""),44032.99861111111)</f>
        <v>44032.99861</v>
      </c>
      <c r="E3997" s="3">
        <f>IFERROR(__xludf.DUMMYFUNCTION("""COMPUTED_VALUE"""),4.8382)</f>
        <v>4.8382</v>
      </c>
    </row>
    <row r="3998">
      <c r="D3998" s="6">
        <f>IFERROR(__xludf.DUMMYFUNCTION("""COMPUTED_VALUE"""),44033.99861111111)</f>
        <v>44033.99861</v>
      </c>
      <c r="E3998" s="3">
        <f>IFERROR(__xludf.DUMMYFUNCTION("""COMPUTED_VALUE"""),4.8385)</f>
        <v>4.8385</v>
      </c>
    </row>
    <row r="3999">
      <c r="D3999" s="6">
        <f>IFERROR(__xludf.DUMMYFUNCTION("""COMPUTED_VALUE"""),44034.99861111111)</f>
        <v>44034.99861</v>
      </c>
      <c r="E3999" s="3">
        <f>IFERROR(__xludf.DUMMYFUNCTION("""COMPUTED_VALUE"""),4.8322)</f>
        <v>4.8322</v>
      </c>
    </row>
    <row r="4000">
      <c r="D4000" s="6">
        <f>IFERROR(__xludf.DUMMYFUNCTION("""COMPUTED_VALUE"""),44035.99861111111)</f>
        <v>44035.99861</v>
      </c>
      <c r="E4000" s="3">
        <f>IFERROR(__xludf.DUMMYFUNCTION("""COMPUTED_VALUE"""),4.8301)</f>
        <v>4.8301</v>
      </c>
    </row>
    <row r="4001">
      <c r="D4001" s="6">
        <f>IFERROR(__xludf.DUMMYFUNCTION("""COMPUTED_VALUE"""),44036.99861111111)</f>
        <v>44036.99861</v>
      </c>
      <c r="E4001" s="3">
        <f>IFERROR(__xludf.DUMMYFUNCTION("""COMPUTED_VALUE"""),4.8279)</f>
        <v>4.8279</v>
      </c>
    </row>
    <row r="4002">
      <c r="D4002" s="6">
        <f>IFERROR(__xludf.DUMMYFUNCTION("""COMPUTED_VALUE"""),44039.99861111111)</f>
        <v>44039.99861</v>
      </c>
      <c r="E4002" s="3">
        <f>IFERROR(__xludf.DUMMYFUNCTION("""COMPUTED_VALUE"""),4.8257)</f>
        <v>4.8257</v>
      </c>
    </row>
    <row r="4003">
      <c r="D4003" s="6">
        <f>IFERROR(__xludf.DUMMYFUNCTION("""COMPUTED_VALUE"""),44040.99861111111)</f>
        <v>44040.99861</v>
      </c>
      <c r="E4003" s="3">
        <f>IFERROR(__xludf.DUMMYFUNCTION("""COMPUTED_VALUE"""),4.8311)</f>
        <v>4.8311</v>
      </c>
    </row>
    <row r="4004">
      <c r="D4004" s="6">
        <f>IFERROR(__xludf.DUMMYFUNCTION("""COMPUTED_VALUE"""),44041.99861111111)</f>
        <v>44041.99861</v>
      </c>
      <c r="E4004" s="3">
        <f>IFERROR(__xludf.DUMMYFUNCTION("""COMPUTED_VALUE"""),4.8328)</f>
        <v>4.8328</v>
      </c>
    </row>
    <row r="4005">
      <c r="D4005" s="6">
        <f>IFERROR(__xludf.DUMMYFUNCTION("""COMPUTED_VALUE"""),44042.99861111111)</f>
        <v>44042.99861</v>
      </c>
      <c r="E4005" s="3">
        <f>IFERROR(__xludf.DUMMYFUNCTION("""COMPUTED_VALUE"""),4.8301)</f>
        <v>4.8301</v>
      </c>
    </row>
    <row r="4006">
      <c r="D4006" s="6">
        <f>IFERROR(__xludf.DUMMYFUNCTION("""COMPUTED_VALUE"""),44043.99861111111)</f>
        <v>44043.99861</v>
      </c>
      <c r="E4006" s="3">
        <f>IFERROR(__xludf.DUMMYFUNCTION("""COMPUTED_VALUE"""),4.8294)</f>
        <v>4.8294</v>
      </c>
    </row>
    <row r="4007">
      <c r="D4007" s="6">
        <f>IFERROR(__xludf.DUMMYFUNCTION("""COMPUTED_VALUE"""),44046.99861111111)</f>
        <v>44046.99861</v>
      </c>
      <c r="E4007" s="3">
        <f>IFERROR(__xludf.DUMMYFUNCTION("""COMPUTED_VALUE"""),4.8312)</f>
        <v>4.8312</v>
      </c>
    </row>
    <row r="4008">
      <c r="D4008" s="6">
        <f>IFERROR(__xludf.DUMMYFUNCTION("""COMPUTED_VALUE"""),44047.99861111111)</f>
        <v>44047.99861</v>
      </c>
      <c r="E4008" s="3">
        <f>IFERROR(__xludf.DUMMYFUNCTION("""COMPUTED_VALUE"""),4.8306)</f>
        <v>4.8306</v>
      </c>
    </row>
    <row r="4009">
      <c r="D4009" s="6">
        <f>IFERROR(__xludf.DUMMYFUNCTION("""COMPUTED_VALUE"""),44048.99861111111)</f>
        <v>44048.99861</v>
      </c>
      <c r="E4009" s="3">
        <f>IFERROR(__xludf.DUMMYFUNCTION("""COMPUTED_VALUE"""),4.83)</f>
        <v>4.83</v>
      </c>
    </row>
    <row r="4010">
      <c r="D4010" s="6">
        <f>IFERROR(__xludf.DUMMYFUNCTION("""COMPUTED_VALUE"""),44049.99861111111)</f>
        <v>44049.99861</v>
      </c>
      <c r="E4010" s="3">
        <f>IFERROR(__xludf.DUMMYFUNCTION("""COMPUTED_VALUE"""),4.8352)</f>
        <v>4.8352</v>
      </c>
    </row>
    <row r="4011">
      <c r="D4011" s="6">
        <f>IFERROR(__xludf.DUMMYFUNCTION("""COMPUTED_VALUE"""),44050.99861111111)</f>
        <v>44050.99861</v>
      </c>
      <c r="E4011" s="3">
        <f>IFERROR(__xludf.DUMMYFUNCTION("""COMPUTED_VALUE"""),4.8371)</f>
        <v>4.8371</v>
      </c>
    </row>
    <row r="4012">
      <c r="D4012" s="6">
        <f>IFERROR(__xludf.DUMMYFUNCTION("""COMPUTED_VALUE"""),44053.99861111111)</f>
        <v>44053.99861</v>
      </c>
      <c r="E4012" s="3">
        <f>IFERROR(__xludf.DUMMYFUNCTION("""COMPUTED_VALUE"""),4.8301)</f>
        <v>4.8301</v>
      </c>
    </row>
    <row r="4013">
      <c r="D4013" s="6">
        <f>IFERROR(__xludf.DUMMYFUNCTION("""COMPUTED_VALUE"""),44054.99861111111)</f>
        <v>44054.99861</v>
      </c>
      <c r="E4013" s="3">
        <f>IFERROR(__xludf.DUMMYFUNCTION("""COMPUTED_VALUE"""),4.8311)</f>
        <v>4.8311</v>
      </c>
    </row>
    <row r="4014">
      <c r="D4014" s="6">
        <f>IFERROR(__xludf.DUMMYFUNCTION("""COMPUTED_VALUE"""),44055.99861111111)</f>
        <v>44055.99861</v>
      </c>
      <c r="E4014" s="3">
        <f>IFERROR(__xludf.DUMMYFUNCTION("""COMPUTED_VALUE"""),4.831)</f>
        <v>4.831</v>
      </c>
    </row>
    <row r="4015">
      <c r="D4015" s="6">
        <f>IFERROR(__xludf.DUMMYFUNCTION("""COMPUTED_VALUE"""),44056.99861111111)</f>
        <v>44056.99861</v>
      </c>
      <c r="E4015" s="3">
        <f>IFERROR(__xludf.DUMMYFUNCTION("""COMPUTED_VALUE"""),4.8309)</f>
        <v>4.8309</v>
      </c>
    </row>
    <row r="4016">
      <c r="D4016" s="6">
        <f>IFERROR(__xludf.DUMMYFUNCTION("""COMPUTED_VALUE"""),44057.99861111111)</f>
        <v>44057.99861</v>
      </c>
      <c r="E4016" s="3">
        <f>IFERROR(__xludf.DUMMYFUNCTION("""COMPUTED_VALUE"""),4.8328)</f>
        <v>4.8328</v>
      </c>
    </row>
    <row r="4017">
      <c r="D4017" s="6">
        <f>IFERROR(__xludf.DUMMYFUNCTION("""COMPUTED_VALUE"""),44060.99861111111)</f>
        <v>44060.99861</v>
      </c>
      <c r="E4017" s="3">
        <f>IFERROR(__xludf.DUMMYFUNCTION("""COMPUTED_VALUE"""),4.8306)</f>
        <v>4.8306</v>
      </c>
    </row>
    <row r="4018">
      <c r="D4018" s="6">
        <f>IFERROR(__xludf.DUMMYFUNCTION("""COMPUTED_VALUE"""),44061.99861111111)</f>
        <v>44061.99861</v>
      </c>
      <c r="E4018" s="3">
        <f>IFERROR(__xludf.DUMMYFUNCTION("""COMPUTED_VALUE"""),4.8346)</f>
        <v>4.8346</v>
      </c>
    </row>
    <row r="4019">
      <c r="D4019" s="6">
        <f>IFERROR(__xludf.DUMMYFUNCTION("""COMPUTED_VALUE"""),44062.99861111111)</f>
        <v>44062.99861</v>
      </c>
      <c r="E4019" s="3">
        <f>IFERROR(__xludf.DUMMYFUNCTION("""COMPUTED_VALUE"""),4.839)</f>
        <v>4.839</v>
      </c>
    </row>
    <row r="4020">
      <c r="D4020" s="6">
        <f>IFERROR(__xludf.DUMMYFUNCTION("""COMPUTED_VALUE"""),44063.99861111111)</f>
        <v>44063.99861</v>
      </c>
      <c r="E4020" s="3">
        <f>IFERROR(__xludf.DUMMYFUNCTION("""COMPUTED_VALUE"""),4.8362)</f>
        <v>4.8362</v>
      </c>
    </row>
    <row r="4021">
      <c r="D4021" s="6">
        <f>IFERROR(__xludf.DUMMYFUNCTION("""COMPUTED_VALUE"""),44064.99861111111)</f>
        <v>44064.99861</v>
      </c>
      <c r="E4021" s="3">
        <f>IFERROR(__xludf.DUMMYFUNCTION("""COMPUTED_VALUE"""),4.839)</f>
        <v>4.839</v>
      </c>
    </row>
    <row r="4022">
      <c r="D4022" s="6">
        <f>IFERROR(__xludf.DUMMYFUNCTION("""COMPUTED_VALUE"""),44067.99861111111)</f>
        <v>44067.99861</v>
      </c>
      <c r="E4022" s="3">
        <f>IFERROR(__xludf.DUMMYFUNCTION("""COMPUTED_VALUE"""),4.837)</f>
        <v>4.837</v>
      </c>
    </row>
    <row r="4023">
      <c r="D4023" s="6">
        <f>IFERROR(__xludf.DUMMYFUNCTION("""COMPUTED_VALUE"""),44068.99861111111)</f>
        <v>44068.99861</v>
      </c>
      <c r="E4023" s="3">
        <f>IFERROR(__xludf.DUMMYFUNCTION("""COMPUTED_VALUE"""),4.8383)</f>
        <v>4.8383</v>
      </c>
    </row>
    <row r="4024">
      <c r="D4024" s="6">
        <f>IFERROR(__xludf.DUMMYFUNCTION("""COMPUTED_VALUE"""),44069.99861111111)</f>
        <v>44069.99861</v>
      </c>
      <c r="E4024" s="3">
        <f>IFERROR(__xludf.DUMMYFUNCTION("""COMPUTED_VALUE"""),4.8351)</f>
        <v>4.8351</v>
      </c>
    </row>
    <row r="4025">
      <c r="D4025" s="6">
        <f>IFERROR(__xludf.DUMMYFUNCTION("""COMPUTED_VALUE"""),44070.99861111111)</f>
        <v>44070.99861</v>
      </c>
      <c r="E4025" s="3">
        <f>IFERROR(__xludf.DUMMYFUNCTION("""COMPUTED_VALUE"""),4.8382)</f>
        <v>4.8382</v>
      </c>
    </row>
    <row r="4026">
      <c r="D4026" s="6">
        <f>IFERROR(__xludf.DUMMYFUNCTION("""COMPUTED_VALUE"""),44071.99861111111)</f>
        <v>44071.99861</v>
      </c>
      <c r="E4026" s="3">
        <f>IFERROR(__xludf.DUMMYFUNCTION("""COMPUTED_VALUE"""),4.837)</f>
        <v>4.837</v>
      </c>
    </row>
    <row r="4027">
      <c r="D4027" s="6">
        <f>IFERROR(__xludf.DUMMYFUNCTION("""COMPUTED_VALUE"""),44074.99861111111)</f>
        <v>44074.99861</v>
      </c>
      <c r="E4027" s="3">
        <f>IFERROR(__xludf.DUMMYFUNCTION("""COMPUTED_VALUE"""),4.8364)</f>
        <v>4.8364</v>
      </c>
    </row>
    <row r="4028">
      <c r="D4028" s="6">
        <f>IFERROR(__xludf.DUMMYFUNCTION("""COMPUTED_VALUE"""),44075.99861111111)</f>
        <v>44075.99861</v>
      </c>
      <c r="E4028" s="3">
        <f>IFERROR(__xludf.DUMMYFUNCTION("""COMPUTED_VALUE"""),4.8378)</f>
        <v>4.8378</v>
      </c>
    </row>
    <row r="4029">
      <c r="D4029" s="6">
        <f>IFERROR(__xludf.DUMMYFUNCTION("""COMPUTED_VALUE"""),44076.99861111111)</f>
        <v>44076.99861</v>
      </c>
      <c r="E4029" s="3">
        <f>IFERROR(__xludf.DUMMYFUNCTION("""COMPUTED_VALUE"""),4.841)</f>
        <v>4.841</v>
      </c>
    </row>
    <row r="4030">
      <c r="D4030" s="6">
        <f>IFERROR(__xludf.DUMMYFUNCTION("""COMPUTED_VALUE"""),44077.99861111111)</f>
        <v>44077.99861</v>
      </c>
      <c r="E4030" s="3">
        <f>IFERROR(__xludf.DUMMYFUNCTION("""COMPUTED_VALUE"""),4.848)</f>
        <v>4.848</v>
      </c>
    </row>
    <row r="4031">
      <c r="D4031" s="6">
        <f>IFERROR(__xludf.DUMMYFUNCTION("""COMPUTED_VALUE"""),44078.99861111111)</f>
        <v>44078.99861</v>
      </c>
      <c r="E4031" s="3">
        <f>IFERROR(__xludf.DUMMYFUNCTION("""COMPUTED_VALUE"""),4.8523)</f>
        <v>4.8523</v>
      </c>
    </row>
    <row r="4032">
      <c r="D4032" s="6">
        <f>IFERROR(__xludf.DUMMYFUNCTION("""COMPUTED_VALUE"""),44081.99861111111)</f>
        <v>44081.99861</v>
      </c>
      <c r="E4032" s="3">
        <f>IFERROR(__xludf.DUMMYFUNCTION("""COMPUTED_VALUE"""),4.8492)</f>
        <v>4.8492</v>
      </c>
    </row>
    <row r="4033">
      <c r="D4033" s="6">
        <f>IFERROR(__xludf.DUMMYFUNCTION("""COMPUTED_VALUE"""),44082.99861111111)</f>
        <v>44082.99861</v>
      </c>
      <c r="E4033" s="3">
        <f>IFERROR(__xludf.DUMMYFUNCTION("""COMPUTED_VALUE"""),4.8573)</f>
        <v>4.8573</v>
      </c>
    </row>
    <row r="4034">
      <c r="D4034" s="6">
        <f>IFERROR(__xludf.DUMMYFUNCTION("""COMPUTED_VALUE"""),44083.99861111111)</f>
        <v>44083.99861</v>
      </c>
      <c r="E4034" s="3">
        <f>IFERROR(__xludf.DUMMYFUNCTION("""COMPUTED_VALUE"""),4.8543)</f>
        <v>4.8543</v>
      </c>
    </row>
    <row r="4035">
      <c r="D4035" s="6">
        <f>IFERROR(__xludf.DUMMYFUNCTION("""COMPUTED_VALUE"""),44084.99861111111)</f>
        <v>44084.99861</v>
      </c>
      <c r="E4035" s="3">
        <f>IFERROR(__xludf.DUMMYFUNCTION("""COMPUTED_VALUE"""),4.8541)</f>
        <v>4.8541</v>
      </c>
    </row>
    <row r="4036">
      <c r="D4036" s="6">
        <f>IFERROR(__xludf.DUMMYFUNCTION("""COMPUTED_VALUE"""),44085.99861111111)</f>
        <v>44085.99861</v>
      </c>
      <c r="E4036" s="3">
        <f>IFERROR(__xludf.DUMMYFUNCTION("""COMPUTED_VALUE"""),4.8547)</f>
        <v>4.8547</v>
      </c>
    </row>
    <row r="4037">
      <c r="D4037" s="6">
        <f>IFERROR(__xludf.DUMMYFUNCTION("""COMPUTED_VALUE"""),44088.99861111111)</f>
        <v>44088.99861</v>
      </c>
      <c r="E4037" s="3">
        <f>IFERROR(__xludf.DUMMYFUNCTION("""COMPUTED_VALUE"""),4.854)</f>
        <v>4.854</v>
      </c>
    </row>
    <row r="4038">
      <c r="D4038" s="6">
        <f>IFERROR(__xludf.DUMMYFUNCTION("""COMPUTED_VALUE"""),44089.99861111111)</f>
        <v>44089.99861</v>
      </c>
      <c r="E4038" s="3">
        <f>IFERROR(__xludf.DUMMYFUNCTION("""COMPUTED_VALUE"""),4.8552)</f>
        <v>4.8552</v>
      </c>
    </row>
    <row r="4039">
      <c r="D4039" s="6">
        <f>IFERROR(__xludf.DUMMYFUNCTION("""COMPUTED_VALUE"""),44090.99861111111)</f>
        <v>44090.99861</v>
      </c>
      <c r="E4039" s="3">
        <f>IFERROR(__xludf.DUMMYFUNCTION("""COMPUTED_VALUE"""),4.8547)</f>
        <v>4.8547</v>
      </c>
    </row>
    <row r="4040">
      <c r="D4040" s="6">
        <f>IFERROR(__xludf.DUMMYFUNCTION("""COMPUTED_VALUE"""),44091.99861111111)</f>
        <v>44091.99861</v>
      </c>
      <c r="E4040" s="3">
        <f>IFERROR(__xludf.DUMMYFUNCTION("""COMPUTED_VALUE"""),4.856)</f>
        <v>4.856</v>
      </c>
    </row>
    <row r="4041">
      <c r="D4041" s="6">
        <f>IFERROR(__xludf.DUMMYFUNCTION("""COMPUTED_VALUE"""),44092.99861111111)</f>
        <v>44092.99861</v>
      </c>
      <c r="E4041" s="3">
        <f>IFERROR(__xludf.DUMMYFUNCTION("""COMPUTED_VALUE"""),4.8541)</f>
        <v>4.8541</v>
      </c>
    </row>
    <row r="4042">
      <c r="D4042" s="6">
        <f>IFERROR(__xludf.DUMMYFUNCTION("""COMPUTED_VALUE"""),44095.99861111111)</f>
        <v>44095.99861</v>
      </c>
      <c r="E4042" s="3">
        <f>IFERROR(__xludf.DUMMYFUNCTION("""COMPUTED_VALUE"""),4.8559)</f>
        <v>4.8559</v>
      </c>
    </row>
    <row r="4043">
      <c r="D4043" s="6">
        <f>IFERROR(__xludf.DUMMYFUNCTION("""COMPUTED_VALUE"""),44096.99861111111)</f>
        <v>44096.99861</v>
      </c>
      <c r="E4043" s="3">
        <f>IFERROR(__xludf.DUMMYFUNCTION("""COMPUTED_VALUE"""),4.8586)</f>
        <v>4.8586</v>
      </c>
    </row>
    <row r="4044">
      <c r="D4044" s="6">
        <f>IFERROR(__xludf.DUMMYFUNCTION("""COMPUTED_VALUE"""),44097.99861111111)</f>
        <v>44097.99861</v>
      </c>
      <c r="E4044" s="3">
        <f>IFERROR(__xludf.DUMMYFUNCTION("""COMPUTED_VALUE"""),4.8686)</f>
        <v>4.8686</v>
      </c>
    </row>
    <row r="4045">
      <c r="D4045" s="6">
        <f>IFERROR(__xludf.DUMMYFUNCTION("""COMPUTED_VALUE"""),44098.99861111111)</f>
        <v>44098.99861</v>
      </c>
      <c r="E4045" s="3">
        <f>IFERROR(__xludf.DUMMYFUNCTION("""COMPUTED_VALUE"""),4.8749)</f>
        <v>4.8749</v>
      </c>
    </row>
    <row r="4046">
      <c r="D4046" s="6">
        <f>IFERROR(__xludf.DUMMYFUNCTION("""COMPUTED_VALUE"""),44099.99861111111)</f>
        <v>44099.99861</v>
      </c>
      <c r="E4046" s="3">
        <f>IFERROR(__xludf.DUMMYFUNCTION("""COMPUTED_VALUE"""),4.8664)</f>
        <v>4.8664</v>
      </c>
    </row>
    <row r="4047">
      <c r="D4047" s="6">
        <f>IFERROR(__xludf.DUMMYFUNCTION("""COMPUTED_VALUE"""),44102.99861111111)</f>
        <v>44102.99861</v>
      </c>
      <c r="E4047" s="3">
        <f>IFERROR(__xludf.DUMMYFUNCTION("""COMPUTED_VALUE"""),4.8712)</f>
        <v>4.8712</v>
      </c>
    </row>
    <row r="4048">
      <c r="D4048" s="6">
        <f>IFERROR(__xludf.DUMMYFUNCTION("""COMPUTED_VALUE"""),44103.99861111111)</f>
        <v>44103.99861</v>
      </c>
      <c r="E4048" s="3">
        <f>IFERROR(__xludf.DUMMYFUNCTION("""COMPUTED_VALUE"""),4.8682)</f>
        <v>4.8682</v>
      </c>
    </row>
    <row r="4049">
      <c r="D4049" s="6">
        <f>IFERROR(__xludf.DUMMYFUNCTION("""COMPUTED_VALUE"""),44104.99861111111)</f>
        <v>44104.99861</v>
      </c>
      <c r="E4049" s="3">
        <f>IFERROR(__xludf.DUMMYFUNCTION("""COMPUTED_VALUE"""),4.8711)</f>
        <v>4.8711</v>
      </c>
    </row>
    <row r="4050">
      <c r="D4050" s="6">
        <f>IFERROR(__xludf.DUMMYFUNCTION("""COMPUTED_VALUE"""),44105.99861111111)</f>
        <v>44105.99861</v>
      </c>
      <c r="E4050" s="3">
        <f>IFERROR(__xludf.DUMMYFUNCTION("""COMPUTED_VALUE"""),4.8721)</f>
        <v>4.8721</v>
      </c>
    </row>
    <row r="4051">
      <c r="D4051" s="6">
        <f>IFERROR(__xludf.DUMMYFUNCTION("""COMPUTED_VALUE"""),44106.99861111111)</f>
        <v>44106.99861</v>
      </c>
      <c r="E4051" s="3">
        <f>IFERROR(__xludf.DUMMYFUNCTION("""COMPUTED_VALUE"""),4.8665)</f>
        <v>4.8665</v>
      </c>
    </row>
    <row r="4052">
      <c r="D4052" s="6">
        <f>IFERROR(__xludf.DUMMYFUNCTION("""COMPUTED_VALUE"""),44109.99861111111)</f>
        <v>44109.99861</v>
      </c>
      <c r="E4052" s="3">
        <f>IFERROR(__xludf.DUMMYFUNCTION("""COMPUTED_VALUE"""),4.8729)</f>
        <v>4.8729</v>
      </c>
    </row>
    <row r="4053">
      <c r="D4053" s="6">
        <f>IFERROR(__xludf.DUMMYFUNCTION("""COMPUTED_VALUE"""),44110.99861111111)</f>
        <v>44110.99861</v>
      </c>
      <c r="E4053" s="3">
        <f>IFERROR(__xludf.DUMMYFUNCTION("""COMPUTED_VALUE"""),4.872)</f>
        <v>4.872</v>
      </c>
    </row>
    <row r="4054">
      <c r="D4054" s="6">
        <f>IFERROR(__xludf.DUMMYFUNCTION("""COMPUTED_VALUE"""),44111.99861111111)</f>
        <v>44111.99861</v>
      </c>
      <c r="E4054" s="3">
        <f>IFERROR(__xludf.DUMMYFUNCTION("""COMPUTED_VALUE"""),4.8717)</f>
        <v>4.8717</v>
      </c>
    </row>
    <row r="4055">
      <c r="D4055" s="6">
        <f>IFERROR(__xludf.DUMMYFUNCTION("""COMPUTED_VALUE"""),44112.99861111111)</f>
        <v>44112.99861</v>
      </c>
      <c r="E4055" s="3">
        <f>IFERROR(__xludf.DUMMYFUNCTION("""COMPUTED_VALUE"""),4.8692)</f>
        <v>4.8692</v>
      </c>
    </row>
    <row r="4056">
      <c r="D4056" s="6">
        <f>IFERROR(__xludf.DUMMYFUNCTION("""COMPUTED_VALUE"""),44113.99861111111)</f>
        <v>44113.99861</v>
      </c>
      <c r="E4056" s="3">
        <f>IFERROR(__xludf.DUMMYFUNCTION("""COMPUTED_VALUE"""),4.8674)</f>
        <v>4.8674</v>
      </c>
    </row>
    <row r="4057">
      <c r="D4057" s="6">
        <f>IFERROR(__xludf.DUMMYFUNCTION("""COMPUTED_VALUE"""),44116.99861111111)</f>
        <v>44116.99861</v>
      </c>
      <c r="E4057" s="3">
        <f>IFERROR(__xludf.DUMMYFUNCTION("""COMPUTED_VALUE"""),4.8697)</f>
        <v>4.8697</v>
      </c>
    </row>
    <row r="4058">
      <c r="D4058" s="6">
        <f>IFERROR(__xludf.DUMMYFUNCTION("""COMPUTED_VALUE"""),44117.99861111111)</f>
        <v>44117.99861</v>
      </c>
      <c r="E4058" s="3">
        <f>IFERROR(__xludf.DUMMYFUNCTION("""COMPUTED_VALUE"""),4.8732)</f>
        <v>4.8732</v>
      </c>
    </row>
    <row r="4059">
      <c r="D4059" s="6">
        <f>IFERROR(__xludf.DUMMYFUNCTION("""COMPUTED_VALUE"""),44118.99861111111)</f>
        <v>44118.99861</v>
      </c>
      <c r="E4059" s="3">
        <f>IFERROR(__xludf.DUMMYFUNCTION("""COMPUTED_VALUE"""),4.8731)</f>
        <v>4.8731</v>
      </c>
    </row>
    <row r="4060">
      <c r="D4060" s="6">
        <f>IFERROR(__xludf.DUMMYFUNCTION("""COMPUTED_VALUE"""),44119.99861111111)</f>
        <v>44119.99861</v>
      </c>
      <c r="E4060" s="3">
        <f>IFERROR(__xludf.DUMMYFUNCTION("""COMPUTED_VALUE"""),4.8734)</f>
        <v>4.8734</v>
      </c>
    </row>
    <row r="4061">
      <c r="D4061" s="6">
        <f>IFERROR(__xludf.DUMMYFUNCTION("""COMPUTED_VALUE"""),44120.99861111111)</f>
        <v>44120.99861</v>
      </c>
      <c r="E4061" s="3">
        <f>IFERROR(__xludf.DUMMYFUNCTION("""COMPUTED_VALUE"""),4.8746)</f>
        <v>4.8746</v>
      </c>
    </row>
    <row r="4062">
      <c r="D4062" s="6">
        <f>IFERROR(__xludf.DUMMYFUNCTION("""COMPUTED_VALUE"""),44123.99861111111)</f>
        <v>44123.99861</v>
      </c>
      <c r="E4062" s="3">
        <f>IFERROR(__xludf.DUMMYFUNCTION("""COMPUTED_VALUE"""),4.8735)</f>
        <v>4.8735</v>
      </c>
    </row>
    <row r="4063">
      <c r="D4063" s="6">
        <f>IFERROR(__xludf.DUMMYFUNCTION("""COMPUTED_VALUE"""),44124.99861111111)</f>
        <v>44124.99861</v>
      </c>
      <c r="E4063" s="3">
        <f>IFERROR(__xludf.DUMMYFUNCTION("""COMPUTED_VALUE"""),4.8725)</f>
        <v>4.8725</v>
      </c>
    </row>
    <row r="4064">
      <c r="D4064" s="6">
        <f>IFERROR(__xludf.DUMMYFUNCTION("""COMPUTED_VALUE"""),44125.99861111111)</f>
        <v>44125.99861</v>
      </c>
      <c r="E4064" s="3">
        <f>IFERROR(__xludf.DUMMYFUNCTION("""COMPUTED_VALUE"""),4.872)</f>
        <v>4.872</v>
      </c>
    </row>
    <row r="4065">
      <c r="D4065" s="6">
        <f>IFERROR(__xludf.DUMMYFUNCTION("""COMPUTED_VALUE"""),44126.99861111111)</f>
        <v>44126.99861</v>
      </c>
      <c r="E4065" s="3">
        <f>IFERROR(__xludf.DUMMYFUNCTION("""COMPUTED_VALUE"""),4.8713)</f>
        <v>4.8713</v>
      </c>
    </row>
    <row r="4066">
      <c r="D4066" s="6">
        <f>IFERROR(__xludf.DUMMYFUNCTION("""COMPUTED_VALUE"""),44127.99861111111)</f>
        <v>44127.99861</v>
      </c>
      <c r="E4066" s="3">
        <f>IFERROR(__xludf.DUMMYFUNCTION("""COMPUTED_VALUE"""),4.8677)</f>
        <v>4.8677</v>
      </c>
    </row>
    <row r="4067">
      <c r="D4067" s="6">
        <f>IFERROR(__xludf.DUMMYFUNCTION("""COMPUTED_VALUE"""),44130.99861111111)</f>
        <v>44130.99861</v>
      </c>
      <c r="E4067" s="3">
        <f>IFERROR(__xludf.DUMMYFUNCTION("""COMPUTED_VALUE"""),4.8707)</f>
        <v>4.8707</v>
      </c>
    </row>
    <row r="4068">
      <c r="D4068" s="6">
        <f>IFERROR(__xludf.DUMMYFUNCTION("""COMPUTED_VALUE"""),44131.99861111111)</f>
        <v>44131.99861</v>
      </c>
      <c r="E4068" s="3">
        <f>IFERROR(__xludf.DUMMYFUNCTION("""COMPUTED_VALUE"""),4.8729)</f>
        <v>4.8729</v>
      </c>
    </row>
    <row r="4069">
      <c r="D4069" s="6">
        <f>IFERROR(__xludf.DUMMYFUNCTION("""COMPUTED_VALUE"""),44132.99861111111)</f>
        <v>44132.99861</v>
      </c>
      <c r="E4069" s="3">
        <f>IFERROR(__xludf.DUMMYFUNCTION("""COMPUTED_VALUE"""),4.8734)</f>
        <v>4.8734</v>
      </c>
    </row>
    <row r="4070">
      <c r="D4070" s="6">
        <f>IFERROR(__xludf.DUMMYFUNCTION("""COMPUTED_VALUE"""),44133.99861111111)</f>
        <v>44133.99861</v>
      </c>
      <c r="E4070" s="3">
        <f>IFERROR(__xludf.DUMMYFUNCTION("""COMPUTED_VALUE"""),4.8719)</f>
        <v>4.8719</v>
      </c>
    </row>
    <row r="4071">
      <c r="D4071" s="6">
        <f>IFERROR(__xludf.DUMMYFUNCTION("""COMPUTED_VALUE"""),44134.99861111111)</f>
        <v>44134.99861</v>
      </c>
      <c r="E4071" s="3">
        <f>IFERROR(__xludf.DUMMYFUNCTION("""COMPUTED_VALUE"""),4.8605)</f>
        <v>4.8605</v>
      </c>
    </row>
    <row r="4072">
      <c r="D4072" s="6">
        <f>IFERROR(__xludf.DUMMYFUNCTION("""COMPUTED_VALUE"""),44137.99861111111)</f>
        <v>44137.99861</v>
      </c>
      <c r="E4072" s="3">
        <f>IFERROR(__xludf.DUMMYFUNCTION("""COMPUTED_VALUE"""),4.862)</f>
        <v>4.862</v>
      </c>
    </row>
    <row r="4073">
      <c r="D4073" s="6">
        <f>IFERROR(__xludf.DUMMYFUNCTION("""COMPUTED_VALUE"""),44138.99861111111)</f>
        <v>44138.99861</v>
      </c>
      <c r="E4073" s="3">
        <f>IFERROR(__xludf.DUMMYFUNCTION("""COMPUTED_VALUE"""),4.8623)</f>
        <v>4.8623</v>
      </c>
    </row>
    <row r="4074">
      <c r="D4074" s="6">
        <f>IFERROR(__xludf.DUMMYFUNCTION("""COMPUTED_VALUE"""),44139.99861111111)</f>
        <v>44139.99861</v>
      </c>
      <c r="E4074" s="3">
        <f>IFERROR(__xludf.DUMMYFUNCTION("""COMPUTED_VALUE"""),4.8635)</f>
        <v>4.8635</v>
      </c>
    </row>
    <row r="4075">
      <c r="D4075" s="6">
        <f>IFERROR(__xludf.DUMMYFUNCTION("""COMPUTED_VALUE"""),44140.99861111111)</f>
        <v>44140.99861</v>
      </c>
      <c r="E4075" s="3">
        <f>IFERROR(__xludf.DUMMYFUNCTION("""COMPUTED_VALUE"""),4.8626)</f>
        <v>4.8626</v>
      </c>
    </row>
    <row r="4076">
      <c r="D4076" s="6">
        <f>IFERROR(__xludf.DUMMYFUNCTION("""COMPUTED_VALUE"""),44141.99861111111)</f>
        <v>44141.99861</v>
      </c>
      <c r="E4076" s="3">
        <f>IFERROR(__xludf.DUMMYFUNCTION("""COMPUTED_VALUE"""),4.8647)</f>
        <v>4.8647</v>
      </c>
    </row>
    <row r="4077">
      <c r="D4077" s="6">
        <f>IFERROR(__xludf.DUMMYFUNCTION("""COMPUTED_VALUE"""),44144.99861111111)</f>
        <v>44144.99861</v>
      </c>
      <c r="E4077" s="3">
        <f>IFERROR(__xludf.DUMMYFUNCTION("""COMPUTED_VALUE"""),4.8599)</f>
        <v>4.8599</v>
      </c>
    </row>
    <row r="4078">
      <c r="D4078" s="6">
        <f>IFERROR(__xludf.DUMMYFUNCTION("""COMPUTED_VALUE"""),44145.99861111111)</f>
        <v>44145.99861</v>
      </c>
      <c r="E4078" s="3">
        <f>IFERROR(__xludf.DUMMYFUNCTION("""COMPUTED_VALUE"""),4.8641)</f>
        <v>4.8641</v>
      </c>
    </row>
    <row r="4079">
      <c r="D4079" s="6">
        <f>IFERROR(__xludf.DUMMYFUNCTION("""COMPUTED_VALUE"""),44146.99861111111)</f>
        <v>44146.99861</v>
      </c>
      <c r="E4079" s="3">
        <f>IFERROR(__xludf.DUMMYFUNCTION("""COMPUTED_VALUE"""),4.864)</f>
        <v>4.864</v>
      </c>
    </row>
    <row r="4080">
      <c r="D4080" s="6">
        <f>IFERROR(__xludf.DUMMYFUNCTION("""COMPUTED_VALUE"""),44147.99861111111)</f>
        <v>44147.99861</v>
      </c>
      <c r="E4080" s="3">
        <f>IFERROR(__xludf.DUMMYFUNCTION("""COMPUTED_VALUE"""),4.8647)</f>
        <v>4.8647</v>
      </c>
    </row>
    <row r="4081">
      <c r="D4081" s="6">
        <f>IFERROR(__xludf.DUMMYFUNCTION("""COMPUTED_VALUE"""),44148.99861111111)</f>
        <v>44148.99861</v>
      </c>
      <c r="E4081" s="3">
        <f>IFERROR(__xludf.DUMMYFUNCTION("""COMPUTED_VALUE"""),4.867)</f>
        <v>4.867</v>
      </c>
    </row>
    <row r="4082">
      <c r="D4082" s="6">
        <f>IFERROR(__xludf.DUMMYFUNCTION("""COMPUTED_VALUE"""),44151.99861111111)</f>
        <v>44151.99861</v>
      </c>
      <c r="E4082" s="3">
        <f>IFERROR(__xludf.DUMMYFUNCTION("""COMPUTED_VALUE"""),4.869)</f>
        <v>4.869</v>
      </c>
    </row>
    <row r="4083">
      <c r="D4083" s="6">
        <f>IFERROR(__xludf.DUMMYFUNCTION("""COMPUTED_VALUE"""),44152.99861111111)</f>
        <v>44152.99861</v>
      </c>
      <c r="E4083" s="3">
        <f>IFERROR(__xludf.DUMMYFUNCTION("""COMPUTED_VALUE"""),4.87)</f>
        <v>4.87</v>
      </c>
    </row>
    <row r="4084">
      <c r="D4084" s="6">
        <f>IFERROR(__xludf.DUMMYFUNCTION("""COMPUTED_VALUE"""),44153.99861111111)</f>
        <v>44153.99861</v>
      </c>
      <c r="E4084" s="3">
        <f>IFERROR(__xludf.DUMMYFUNCTION("""COMPUTED_VALUE"""),4.8705)</f>
        <v>4.8705</v>
      </c>
    </row>
    <row r="4085">
      <c r="D4085" s="6">
        <f>IFERROR(__xludf.DUMMYFUNCTION("""COMPUTED_VALUE"""),44154.99861111111)</f>
        <v>44154.99861</v>
      </c>
      <c r="E4085" s="3">
        <f>IFERROR(__xludf.DUMMYFUNCTION("""COMPUTED_VALUE"""),4.8711)</f>
        <v>4.8711</v>
      </c>
    </row>
    <row r="4086">
      <c r="D4086" s="6">
        <f>IFERROR(__xludf.DUMMYFUNCTION("""COMPUTED_VALUE"""),44155.99861111111)</f>
        <v>44155.99861</v>
      </c>
      <c r="E4086" s="3">
        <f>IFERROR(__xludf.DUMMYFUNCTION("""COMPUTED_VALUE"""),4.8655)</f>
        <v>4.8655</v>
      </c>
    </row>
    <row r="4087">
      <c r="D4087" s="6">
        <f>IFERROR(__xludf.DUMMYFUNCTION("""COMPUTED_VALUE"""),44158.99861111111)</f>
        <v>44158.99861</v>
      </c>
      <c r="E4087" s="3">
        <f>IFERROR(__xludf.DUMMYFUNCTION("""COMPUTED_VALUE"""),4.8713)</f>
        <v>4.8713</v>
      </c>
    </row>
    <row r="4088">
      <c r="D4088" s="6">
        <f>IFERROR(__xludf.DUMMYFUNCTION("""COMPUTED_VALUE"""),44159.99861111111)</f>
        <v>44159.99861</v>
      </c>
      <c r="E4088" s="3">
        <f>IFERROR(__xludf.DUMMYFUNCTION("""COMPUTED_VALUE"""),4.8694)</f>
        <v>4.8694</v>
      </c>
    </row>
    <row r="4089">
      <c r="D4089" s="6">
        <f>IFERROR(__xludf.DUMMYFUNCTION("""COMPUTED_VALUE"""),44160.99861111111)</f>
        <v>44160.99861</v>
      </c>
      <c r="E4089" s="3">
        <f>IFERROR(__xludf.DUMMYFUNCTION("""COMPUTED_VALUE"""),4.8692)</f>
        <v>4.8692</v>
      </c>
    </row>
    <row r="4090">
      <c r="D4090" s="6">
        <f>IFERROR(__xludf.DUMMYFUNCTION("""COMPUTED_VALUE"""),44161.99861111111)</f>
        <v>44161.99861</v>
      </c>
      <c r="E4090" s="3">
        <f>IFERROR(__xludf.DUMMYFUNCTION("""COMPUTED_VALUE"""),4.8705)</f>
        <v>4.8705</v>
      </c>
    </row>
    <row r="4091">
      <c r="D4091" s="6">
        <f>IFERROR(__xludf.DUMMYFUNCTION("""COMPUTED_VALUE"""),44162.99861111111)</f>
        <v>44162.99861</v>
      </c>
      <c r="E4091" s="3">
        <f>IFERROR(__xludf.DUMMYFUNCTION("""COMPUTED_VALUE"""),4.871)</f>
        <v>4.871</v>
      </c>
    </row>
    <row r="4092">
      <c r="D4092" s="6">
        <f>IFERROR(__xludf.DUMMYFUNCTION("""COMPUTED_VALUE"""),44165.99861111111)</f>
        <v>44165.99861</v>
      </c>
      <c r="E4092" s="3">
        <f>IFERROR(__xludf.DUMMYFUNCTION("""COMPUTED_VALUE"""),4.8722)</f>
        <v>4.8722</v>
      </c>
    </row>
    <row r="4093">
      <c r="D4093" s="6">
        <f>IFERROR(__xludf.DUMMYFUNCTION("""COMPUTED_VALUE"""),44166.99861111111)</f>
        <v>44166.99861</v>
      </c>
      <c r="E4093" s="3">
        <f>IFERROR(__xludf.DUMMYFUNCTION("""COMPUTED_VALUE"""),4.8677)</f>
        <v>4.8677</v>
      </c>
    </row>
    <row r="4094">
      <c r="D4094" s="6">
        <f>IFERROR(__xludf.DUMMYFUNCTION("""COMPUTED_VALUE"""),44167.99861111111)</f>
        <v>44167.99861</v>
      </c>
      <c r="E4094" s="3">
        <f>IFERROR(__xludf.DUMMYFUNCTION("""COMPUTED_VALUE"""),4.8691)</f>
        <v>4.8691</v>
      </c>
    </row>
    <row r="4095">
      <c r="D4095" s="6">
        <f>IFERROR(__xludf.DUMMYFUNCTION("""COMPUTED_VALUE"""),44168.99861111111)</f>
        <v>44168.99861</v>
      </c>
      <c r="E4095" s="3">
        <f>IFERROR(__xludf.DUMMYFUNCTION("""COMPUTED_VALUE"""),4.8698)</f>
        <v>4.8698</v>
      </c>
    </row>
    <row r="4096">
      <c r="D4096" s="6">
        <f>IFERROR(__xludf.DUMMYFUNCTION("""COMPUTED_VALUE"""),44169.99861111111)</f>
        <v>44169.99861</v>
      </c>
      <c r="E4096" s="3">
        <f>IFERROR(__xludf.DUMMYFUNCTION("""COMPUTED_VALUE"""),4.8683)</f>
        <v>4.8683</v>
      </c>
    </row>
    <row r="4097">
      <c r="D4097" s="6">
        <f>IFERROR(__xludf.DUMMYFUNCTION("""COMPUTED_VALUE"""),44172.99861111111)</f>
        <v>44172.99861</v>
      </c>
      <c r="E4097" s="3">
        <f>IFERROR(__xludf.DUMMYFUNCTION("""COMPUTED_VALUE"""),4.8696)</f>
        <v>4.8696</v>
      </c>
    </row>
    <row r="4098">
      <c r="D4098" s="6">
        <f>IFERROR(__xludf.DUMMYFUNCTION("""COMPUTED_VALUE"""),44173.99861111111)</f>
        <v>44173.99861</v>
      </c>
      <c r="E4098" s="3">
        <f>IFERROR(__xludf.DUMMYFUNCTION("""COMPUTED_VALUE"""),4.8683)</f>
        <v>4.8683</v>
      </c>
    </row>
    <row r="4099">
      <c r="D4099" s="6">
        <f>IFERROR(__xludf.DUMMYFUNCTION("""COMPUTED_VALUE"""),44174.99861111111)</f>
        <v>44174.99861</v>
      </c>
      <c r="E4099" s="3">
        <f>IFERROR(__xludf.DUMMYFUNCTION("""COMPUTED_VALUE"""),4.864)</f>
        <v>4.864</v>
      </c>
    </row>
    <row r="4100">
      <c r="D4100" s="6">
        <f>IFERROR(__xludf.DUMMYFUNCTION("""COMPUTED_VALUE"""),44175.99861111111)</f>
        <v>44175.99861</v>
      </c>
      <c r="E4100" s="3">
        <f>IFERROR(__xludf.DUMMYFUNCTION("""COMPUTED_VALUE"""),4.8673)</f>
        <v>4.8673</v>
      </c>
    </row>
    <row r="4101">
      <c r="D4101" s="6">
        <f>IFERROR(__xludf.DUMMYFUNCTION("""COMPUTED_VALUE"""),44176.99861111111)</f>
        <v>44176.99861</v>
      </c>
      <c r="E4101" s="3">
        <f>IFERROR(__xludf.DUMMYFUNCTION("""COMPUTED_VALUE"""),4.8677)</f>
        <v>4.8677</v>
      </c>
    </row>
    <row r="4102">
      <c r="D4102" s="6">
        <f>IFERROR(__xludf.DUMMYFUNCTION("""COMPUTED_VALUE"""),44179.99861111111)</f>
        <v>44179.99861</v>
      </c>
      <c r="E4102" s="3">
        <f>IFERROR(__xludf.DUMMYFUNCTION("""COMPUTED_VALUE"""),4.864)</f>
        <v>4.864</v>
      </c>
    </row>
    <row r="4103">
      <c r="D4103" s="6">
        <f>IFERROR(__xludf.DUMMYFUNCTION("""COMPUTED_VALUE"""),44180.99861111111)</f>
        <v>44180.99861</v>
      </c>
      <c r="E4103" s="3">
        <f>IFERROR(__xludf.DUMMYFUNCTION("""COMPUTED_VALUE"""),4.8653)</f>
        <v>4.8653</v>
      </c>
    </row>
    <row r="4104">
      <c r="D4104" s="6">
        <f>IFERROR(__xludf.DUMMYFUNCTION("""COMPUTED_VALUE"""),44181.99861111111)</f>
        <v>44181.99861</v>
      </c>
      <c r="E4104" s="3">
        <f>IFERROR(__xludf.DUMMYFUNCTION("""COMPUTED_VALUE"""),4.8653)</f>
        <v>4.8653</v>
      </c>
    </row>
    <row r="4105">
      <c r="D4105" s="6">
        <f>IFERROR(__xludf.DUMMYFUNCTION("""COMPUTED_VALUE"""),44182.99861111111)</f>
        <v>44182.99861</v>
      </c>
      <c r="E4105" s="3">
        <f>IFERROR(__xludf.DUMMYFUNCTION("""COMPUTED_VALUE"""),4.8658)</f>
        <v>4.8658</v>
      </c>
    </row>
    <row r="4106">
      <c r="D4106" s="6">
        <f>IFERROR(__xludf.DUMMYFUNCTION("""COMPUTED_VALUE"""),44183.99861111111)</f>
        <v>44183.99861</v>
      </c>
      <c r="E4106" s="3">
        <f>IFERROR(__xludf.DUMMYFUNCTION("""COMPUTED_VALUE"""),4.8674)</f>
        <v>4.8674</v>
      </c>
    </row>
    <row r="4107">
      <c r="D4107" s="6">
        <f>IFERROR(__xludf.DUMMYFUNCTION("""COMPUTED_VALUE"""),44186.99861111111)</f>
        <v>44186.99861</v>
      </c>
      <c r="E4107" s="3">
        <f>IFERROR(__xludf.DUMMYFUNCTION("""COMPUTED_VALUE"""),4.8615)</f>
        <v>4.8615</v>
      </c>
    </row>
    <row r="4108">
      <c r="D4108" s="6">
        <f>IFERROR(__xludf.DUMMYFUNCTION("""COMPUTED_VALUE"""),44187.99861111111)</f>
        <v>44187.99861</v>
      </c>
      <c r="E4108" s="3">
        <f>IFERROR(__xludf.DUMMYFUNCTION("""COMPUTED_VALUE"""),4.8662)</f>
        <v>4.8662</v>
      </c>
    </row>
    <row r="4109">
      <c r="D4109" s="6">
        <f>IFERROR(__xludf.DUMMYFUNCTION("""COMPUTED_VALUE"""),44188.99861111111)</f>
        <v>44188.99861</v>
      </c>
      <c r="E4109" s="3">
        <f>IFERROR(__xludf.DUMMYFUNCTION("""COMPUTED_VALUE"""),4.8688)</f>
        <v>4.8688</v>
      </c>
    </row>
    <row r="4110">
      <c r="D4110" s="6">
        <f>IFERROR(__xludf.DUMMYFUNCTION("""COMPUTED_VALUE"""),44189.99861111111)</f>
        <v>44189.99861</v>
      </c>
      <c r="E4110" s="3">
        <f>IFERROR(__xludf.DUMMYFUNCTION("""COMPUTED_VALUE"""),4.8705)</f>
        <v>4.8705</v>
      </c>
    </row>
    <row r="4111">
      <c r="D4111" s="6">
        <f>IFERROR(__xludf.DUMMYFUNCTION("""COMPUTED_VALUE"""),44190.99861111111)</f>
        <v>44190.99861</v>
      </c>
      <c r="E4111" s="3">
        <f>IFERROR(__xludf.DUMMYFUNCTION("""COMPUTED_VALUE"""),4.8705)</f>
        <v>4.8705</v>
      </c>
    </row>
    <row r="4112">
      <c r="D4112" s="6">
        <f>IFERROR(__xludf.DUMMYFUNCTION("""COMPUTED_VALUE"""),44193.99861111111)</f>
        <v>44193.99861</v>
      </c>
      <c r="E4112" s="3">
        <f>IFERROR(__xludf.DUMMYFUNCTION("""COMPUTED_VALUE"""),4.8726)</f>
        <v>4.8726</v>
      </c>
    </row>
    <row r="4113">
      <c r="D4113" s="6">
        <f>IFERROR(__xludf.DUMMYFUNCTION("""COMPUTED_VALUE"""),44194.99861111111)</f>
        <v>44194.99861</v>
      </c>
      <c r="E4113" s="3">
        <f>IFERROR(__xludf.DUMMYFUNCTION("""COMPUTED_VALUE"""),4.8711)</f>
        <v>4.8711</v>
      </c>
    </row>
    <row r="4114">
      <c r="D4114" s="6">
        <f>IFERROR(__xludf.DUMMYFUNCTION("""COMPUTED_VALUE"""),44195.99861111111)</f>
        <v>44195.99861</v>
      </c>
      <c r="E4114" s="3">
        <f>IFERROR(__xludf.DUMMYFUNCTION("""COMPUTED_VALUE"""),4.866)</f>
        <v>4.866</v>
      </c>
    </row>
    <row r="4115">
      <c r="D4115" s="6">
        <f>IFERROR(__xludf.DUMMYFUNCTION("""COMPUTED_VALUE"""),44196.99861111111)</f>
        <v>44196.99861</v>
      </c>
      <c r="E4115" s="3">
        <f>IFERROR(__xludf.DUMMYFUNCTION("""COMPUTED_VALUE"""),4.8617)</f>
        <v>4.8617</v>
      </c>
    </row>
    <row r="4116">
      <c r="D4116" s="6">
        <f>IFERROR(__xludf.DUMMYFUNCTION("""COMPUTED_VALUE"""),44197.99861111111)</f>
        <v>44197.99861</v>
      </c>
      <c r="E4116" s="3">
        <f>IFERROR(__xludf.DUMMYFUNCTION("""COMPUTED_VALUE"""),4.8617)</f>
        <v>4.8617</v>
      </c>
    </row>
    <row r="4117">
      <c r="D4117" s="6">
        <f>IFERROR(__xludf.DUMMYFUNCTION("""COMPUTED_VALUE"""),44200.99861111111)</f>
        <v>44200.99861</v>
      </c>
      <c r="E4117" s="3">
        <f>IFERROR(__xludf.DUMMYFUNCTION("""COMPUTED_VALUE"""),4.8676)</f>
        <v>4.8676</v>
      </c>
    </row>
    <row r="4118">
      <c r="D4118" s="6">
        <f>IFERROR(__xludf.DUMMYFUNCTION("""COMPUTED_VALUE"""),44201.99861111111)</f>
        <v>44201.99861</v>
      </c>
      <c r="E4118" s="3">
        <f>IFERROR(__xludf.DUMMYFUNCTION("""COMPUTED_VALUE"""),4.8686)</f>
        <v>4.8686</v>
      </c>
    </row>
    <row r="4119">
      <c r="D4119" s="6">
        <f>IFERROR(__xludf.DUMMYFUNCTION("""COMPUTED_VALUE"""),44202.99861111111)</f>
        <v>44202.99861</v>
      </c>
      <c r="E4119" s="3">
        <f>IFERROR(__xludf.DUMMYFUNCTION("""COMPUTED_VALUE"""),4.8689)</f>
        <v>4.8689</v>
      </c>
    </row>
    <row r="4120">
      <c r="D4120" s="6">
        <f>IFERROR(__xludf.DUMMYFUNCTION("""COMPUTED_VALUE"""),44203.99861111111)</f>
        <v>44203.99861</v>
      </c>
      <c r="E4120" s="3">
        <f>IFERROR(__xludf.DUMMYFUNCTION("""COMPUTED_VALUE"""),4.8548)</f>
        <v>4.8548</v>
      </c>
    </row>
    <row r="4121">
      <c r="D4121" s="6">
        <f>IFERROR(__xludf.DUMMYFUNCTION("""COMPUTED_VALUE"""),44204.99861111111)</f>
        <v>44204.99861</v>
      </c>
      <c r="E4121" s="3">
        <f>IFERROR(__xludf.DUMMYFUNCTION("""COMPUTED_VALUE"""),4.8675)</f>
        <v>4.8675</v>
      </c>
    </row>
    <row r="4122">
      <c r="D4122" s="6">
        <f>IFERROR(__xludf.DUMMYFUNCTION("""COMPUTED_VALUE"""),44207.99861111111)</f>
        <v>44207.99861</v>
      </c>
      <c r="E4122" s="3">
        <f>IFERROR(__xludf.DUMMYFUNCTION("""COMPUTED_VALUE"""),4.8689)</f>
        <v>4.8689</v>
      </c>
    </row>
    <row r="4123">
      <c r="D4123" s="6">
        <f>IFERROR(__xludf.DUMMYFUNCTION("""COMPUTED_VALUE"""),44208.99861111111)</f>
        <v>44208.99861</v>
      </c>
      <c r="E4123" s="3">
        <f>IFERROR(__xludf.DUMMYFUNCTION("""COMPUTED_VALUE"""),4.8702)</f>
        <v>4.8702</v>
      </c>
    </row>
    <row r="4124">
      <c r="D4124" s="6">
        <f>IFERROR(__xludf.DUMMYFUNCTION("""COMPUTED_VALUE"""),44209.99861111111)</f>
        <v>44209.99861</v>
      </c>
      <c r="E4124" s="3">
        <f>IFERROR(__xludf.DUMMYFUNCTION("""COMPUTED_VALUE"""),4.8697)</f>
        <v>4.8697</v>
      </c>
    </row>
    <row r="4125">
      <c r="D4125" s="6">
        <f>IFERROR(__xludf.DUMMYFUNCTION("""COMPUTED_VALUE"""),44210.99861111111)</f>
        <v>44210.99861</v>
      </c>
      <c r="E4125" s="3">
        <f>IFERROR(__xludf.DUMMYFUNCTION("""COMPUTED_VALUE"""),4.8708)</f>
        <v>4.8708</v>
      </c>
    </row>
    <row r="4126">
      <c r="D4126" s="6">
        <f>IFERROR(__xludf.DUMMYFUNCTION("""COMPUTED_VALUE"""),44211.99861111111)</f>
        <v>44211.99861</v>
      </c>
      <c r="E4126" s="3">
        <f>IFERROR(__xludf.DUMMYFUNCTION("""COMPUTED_VALUE"""),4.8737)</f>
        <v>4.8737</v>
      </c>
    </row>
    <row r="4127">
      <c r="D4127" s="6">
        <f>IFERROR(__xludf.DUMMYFUNCTION("""COMPUTED_VALUE"""),44214.99861111111)</f>
        <v>44214.99861</v>
      </c>
      <c r="E4127" s="3">
        <f>IFERROR(__xludf.DUMMYFUNCTION("""COMPUTED_VALUE"""),4.8712)</f>
        <v>4.8712</v>
      </c>
    </row>
    <row r="4128">
      <c r="D4128" s="6">
        <f>IFERROR(__xludf.DUMMYFUNCTION("""COMPUTED_VALUE"""),44215.99861111111)</f>
        <v>44215.99861</v>
      </c>
      <c r="E4128" s="3">
        <f>IFERROR(__xludf.DUMMYFUNCTION("""COMPUTED_VALUE"""),4.8718)</f>
        <v>4.8718</v>
      </c>
    </row>
    <row r="4129">
      <c r="D4129" s="6">
        <f>IFERROR(__xludf.DUMMYFUNCTION("""COMPUTED_VALUE"""),44216.99861111111)</f>
        <v>44216.99861</v>
      </c>
      <c r="E4129" s="3">
        <f>IFERROR(__xludf.DUMMYFUNCTION("""COMPUTED_VALUE"""),4.8718)</f>
        <v>4.8718</v>
      </c>
    </row>
    <row r="4130">
      <c r="D4130" s="6">
        <f>IFERROR(__xludf.DUMMYFUNCTION("""COMPUTED_VALUE"""),44217.99861111111)</f>
        <v>44217.99861</v>
      </c>
      <c r="E4130" s="3">
        <f>IFERROR(__xludf.DUMMYFUNCTION("""COMPUTED_VALUE"""),4.872)</f>
        <v>4.872</v>
      </c>
    </row>
    <row r="4131">
      <c r="D4131" s="6">
        <f>IFERROR(__xludf.DUMMYFUNCTION("""COMPUTED_VALUE"""),44218.99861111111)</f>
        <v>44218.99861</v>
      </c>
      <c r="E4131" s="3">
        <f>IFERROR(__xludf.DUMMYFUNCTION("""COMPUTED_VALUE"""),4.8713)</f>
        <v>4.8713</v>
      </c>
    </row>
    <row r="4132">
      <c r="D4132" s="6">
        <f>IFERROR(__xludf.DUMMYFUNCTION("""COMPUTED_VALUE"""),44221.99861111111)</f>
        <v>44221.99861</v>
      </c>
      <c r="E4132" s="3">
        <f>IFERROR(__xludf.DUMMYFUNCTION("""COMPUTED_VALUE"""),4.8718)</f>
        <v>4.8718</v>
      </c>
    </row>
    <row r="4133">
      <c r="D4133" s="6">
        <f>IFERROR(__xludf.DUMMYFUNCTION("""COMPUTED_VALUE"""),44222.99861111111)</f>
        <v>44222.99861</v>
      </c>
      <c r="E4133" s="3">
        <f>IFERROR(__xludf.DUMMYFUNCTION("""COMPUTED_VALUE"""),4.873)</f>
        <v>4.873</v>
      </c>
    </row>
    <row r="4134">
      <c r="D4134" s="6">
        <f>IFERROR(__xludf.DUMMYFUNCTION("""COMPUTED_VALUE"""),44223.99861111111)</f>
        <v>44223.99861</v>
      </c>
      <c r="E4134" s="3">
        <f>IFERROR(__xludf.DUMMYFUNCTION("""COMPUTED_VALUE"""),4.8756)</f>
        <v>4.8756</v>
      </c>
    </row>
    <row r="4135">
      <c r="D4135" s="6">
        <f>IFERROR(__xludf.DUMMYFUNCTION("""COMPUTED_VALUE"""),44224.99861111111)</f>
        <v>44224.99861</v>
      </c>
      <c r="E4135" s="3">
        <f>IFERROR(__xludf.DUMMYFUNCTION("""COMPUTED_VALUE"""),4.8749)</f>
        <v>4.8749</v>
      </c>
    </row>
    <row r="4136">
      <c r="D4136" s="6">
        <f>IFERROR(__xludf.DUMMYFUNCTION("""COMPUTED_VALUE"""),44225.99861111111)</f>
        <v>44225.99861</v>
      </c>
      <c r="E4136" s="3">
        <f>IFERROR(__xludf.DUMMYFUNCTION("""COMPUTED_VALUE"""),4.871)</f>
        <v>4.871</v>
      </c>
    </row>
    <row r="4137">
      <c r="D4137" s="6">
        <f>IFERROR(__xludf.DUMMYFUNCTION("""COMPUTED_VALUE"""),44228.99861111111)</f>
        <v>44228.99861</v>
      </c>
      <c r="E4137" s="3">
        <f>IFERROR(__xludf.DUMMYFUNCTION("""COMPUTED_VALUE"""),4.875)</f>
        <v>4.875</v>
      </c>
    </row>
    <row r="4138">
      <c r="D4138" s="6">
        <f>IFERROR(__xludf.DUMMYFUNCTION("""COMPUTED_VALUE"""),44229.99861111111)</f>
        <v>44229.99861</v>
      </c>
      <c r="E4138" s="3">
        <f>IFERROR(__xludf.DUMMYFUNCTION("""COMPUTED_VALUE"""),4.867)</f>
        <v>4.867</v>
      </c>
    </row>
    <row r="4139">
      <c r="D4139" s="6">
        <f>IFERROR(__xludf.DUMMYFUNCTION("""COMPUTED_VALUE"""),44230.99861111111)</f>
        <v>44230.99861</v>
      </c>
      <c r="E4139" s="3">
        <f>IFERROR(__xludf.DUMMYFUNCTION("""COMPUTED_VALUE"""),4.8714)</f>
        <v>4.8714</v>
      </c>
    </row>
    <row r="4140">
      <c r="D4140" s="6">
        <f>IFERROR(__xludf.DUMMYFUNCTION("""COMPUTED_VALUE"""),44231.99861111111)</f>
        <v>44231.99861</v>
      </c>
      <c r="E4140" s="3">
        <f>IFERROR(__xludf.DUMMYFUNCTION("""COMPUTED_VALUE"""),4.8725)</f>
        <v>4.8725</v>
      </c>
    </row>
    <row r="4141">
      <c r="D4141" s="6">
        <f>IFERROR(__xludf.DUMMYFUNCTION("""COMPUTED_VALUE"""),44232.99861111111)</f>
        <v>44232.99861</v>
      </c>
      <c r="E4141" s="3">
        <f>IFERROR(__xludf.DUMMYFUNCTION("""COMPUTED_VALUE"""),4.8723)</f>
        <v>4.8723</v>
      </c>
    </row>
    <row r="4142">
      <c r="D4142" s="6">
        <f>IFERROR(__xludf.DUMMYFUNCTION("""COMPUTED_VALUE"""),44235.99861111111)</f>
        <v>44235.99861</v>
      </c>
      <c r="E4142" s="3">
        <f>IFERROR(__xludf.DUMMYFUNCTION("""COMPUTED_VALUE"""),4.8726)</f>
        <v>4.8726</v>
      </c>
    </row>
    <row r="4143">
      <c r="D4143" s="6">
        <f>IFERROR(__xludf.DUMMYFUNCTION("""COMPUTED_VALUE"""),44236.99861111111)</f>
        <v>44236.99861</v>
      </c>
      <c r="E4143" s="3">
        <f>IFERROR(__xludf.DUMMYFUNCTION("""COMPUTED_VALUE"""),4.872)</f>
        <v>4.872</v>
      </c>
    </row>
    <row r="4144">
      <c r="D4144" s="6">
        <f>IFERROR(__xludf.DUMMYFUNCTION("""COMPUTED_VALUE"""),44237.99861111111)</f>
        <v>44237.99861</v>
      </c>
      <c r="E4144" s="3">
        <f>IFERROR(__xludf.DUMMYFUNCTION("""COMPUTED_VALUE"""),4.8727)</f>
        <v>4.8727</v>
      </c>
    </row>
    <row r="4145">
      <c r="D4145" s="6">
        <f>IFERROR(__xludf.DUMMYFUNCTION("""COMPUTED_VALUE"""),44238.99861111111)</f>
        <v>44238.99861</v>
      </c>
      <c r="E4145" s="3">
        <f>IFERROR(__xludf.DUMMYFUNCTION("""COMPUTED_VALUE"""),4.8732)</f>
        <v>4.8732</v>
      </c>
    </row>
    <row r="4146">
      <c r="D4146" s="6">
        <f>IFERROR(__xludf.DUMMYFUNCTION("""COMPUTED_VALUE"""),44239.99861111111)</f>
        <v>44239.99861</v>
      </c>
      <c r="E4146" s="3">
        <f>IFERROR(__xludf.DUMMYFUNCTION("""COMPUTED_VALUE"""),4.872)</f>
        <v>4.872</v>
      </c>
    </row>
    <row r="4147">
      <c r="D4147" s="6">
        <f>IFERROR(__xludf.DUMMYFUNCTION("""COMPUTED_VALUE"""),44242.99861111111)</f>
        <v>44242.99861</v>
      </c>
      <c r="E4147" s="3">
        <f>IFERROR(__xludf.DUMMYFUNCTION("""COMPUTED_VALUE"""),4.8717)</f>
        <v>4.8717</v>
      </c>
    </row>
    <row r="4148">
      <c r="D4148" s="6">
        <f>IFERROR(__xludf.DUMMYFUNCTION("""COMPUTED_VALUE"""),44243.99861111111)</f>
        <v>44243.99861</v>
      </c>
      <c r="E4148" s="3">
        <f>IFERROR(__xludf.DUMMYFUNCTION("""COMPUTED_VALUE"""),4.8727)</f>
        <v>4.8727</v>
      </c>
    </row>
    <row r="4149">
      <c r="D4149" s="6">
        <f>IFERROR(__xludf.DUMMYFUNCTION("""COMPUTED_VALUE"""),44244.99861111111)</f>
        <v>44244.99861</v>
      </c>
      <c r="E4149" s="3">
        <f>IFERROR(__xludf.DUMMYFUNCTION("""COMPUTED_VALUE"""),4.8723)</f>
        <v>4.8723</v>
      </c>
    </row>
    <row r="4150">
      <c r="D4150" s="6">
        <f>IFERROR(__xludf.DUMMYFUNCTION("""COMPUTED_VALUE"""),44245.99861111111)</f>
        <v>44245.99861</v>
      </c>
      <c r="E4150" s="3">
        <f>IFERROR(__xludf.DUMMYFUNCTION("""COMPUTED_VALUE"""),4.8735)</f>
        <v>4.8735</v>
      </c>
    </row>
    <row r="4151">
      <c r="D4151" s="6">
        <f>IFERROR(__xludf.DUMMYFUNCTION("""COMPUTED_VALUE"""),44246.99861111111)</f>
        <v>44246.99861</v>
      </c>
      <c r="E4151" s="3">
        <f>IFERROR(__xludf.DUMMYFUNCTION("""COMPUTED_VALUE"""),4.8741)</f>
        <v>4.8741</v>
      </c>
    </row>
    <row r="4152">
      <c r="D4152" s="6">
        <f>IFERROR(__xludf.DUMMYFUNCTION("""COMPUTED_VALUE"""),44249.99861111111)</f>
        <v>44249.99861</v>
      </c>
      <c r="E4152" s="3">
        <f>IFERROR(__xludf.DUMMYFUNCTION("""COMPUTED_VALUE"""),4.8735)</f>
        <v>4.8735</v>
      </c>
    </row>
    <row r="4153">
      <c r="D4153" s="6">
        <f>IFERROR(__xludf.DUMMYFUNCTION("""COMPUTED_VALUE"""),44250.99861111111)</f>
        <v>44250.99861</v>
      </c>
      <c r="E4153" s="3">
        <f>IFERROR(__xludf.DUMMYFUNCTION("""COMPUTED_VALUE"""),4.873)</f>
        <v>4.873</v>
      </c>
    </row>
    <row r="4154">
      <c r="D4154" s="6">
        <f>IFERROR(__xludf.DUMMYFUNCTION("""COMPUTED_VALUE"""),44251.99861111111)</f>
        <v>44251.99861</v>
      </c>
      <c r="E4154" s="3">
        <f>IFERROR(__xludf.DUMMYFUNCTION("""COMPUTED_VALUE"""),4.8707)</f>
        <v>4.8707</v>
      </c>
    </row>
    <row r="4155">
      <c r="D4155" s="6">
        <f>IFERROR(__xludf.DUMMYFUNCTION("""COMPUTED_VALUE"""),44252.99861111111)</f>
        <v>44252.99861</v>
      </c>
      <c r="E4155" s="3">
        <f>IFERROR(__xludf.DUMMYFUNCTION("""COMPUTED_VALUE"""),4.8723)</f>
        <v>4.8723</v>
      </c>
    </row>
    <row r="4156">
      <c r="D4156" s="6">
        <f>IFERROR(__xludf.DUMMYFUNCTION("""COMPUTED_VALUE"""),44253.99861111111)</f>
        <v>44253.99861</v>
      </c>
      <c r="E4156" s="3">
        <f>IFERROR(__xludf.DUMMYFUNCTION("""COMPUTED_VALUE"""),4.8742)</f>
        <v>4.8742</v>
      </c>
    </row>
    <row r="4157">
      <c r="D4157" s="6">
        <f>IFERROR(__xludf.DUMMYFUNCTION("""COMPUTED_VALUE"""),44256.99861111111)</f>
        <v>44256.99861</v>
      </c>
      <c r="E4157" s="3">
        <f>IFERROR(__xludf.DUMMYFUNCTION("""COMPUTED_VALUE"""),4.8761)</f>
        <v>4.8761</v>
      </c>
    </row>
    <row r="4158">
      <c r="D4158" s="6">
        <f>IFERROR(__xludf.DUMMYFUNCTION("""COMPUTED_VALUE"""),44257.99861111111)</f>
        <v>44257.99861</v>
      </c>
      <c r="E4158" s="3">
        <f>IFERROR(__xludf.DUMMYFUNCTION("""COMPUTED_VALUE"""),4.8732)</f>
        <v>4.8732</v>
      </c>
    </row>
    <row r="4159">
      <c r="D4159" s="6">
        <f>IFERROR(__xludf.DUMMYFUNCTION("""COMPUTED_VALUE"""),44258.99861111111)</f>
        <v>44258.99861</v>
      </c>
      <c r="E4159" s="3">
        <f>IFERROR(__xludf.DUMMYFUNCTION("""COMPUTED_VALUE"""),4.8741)</f>
        <v>4.8741</v>
      </c>
    </row>
    <row r="4160">
      <c r="D4160" s="6">
        <f>IFERROR(__xludf.DUMMYFUNCTION("""COMPUTED_VALUE"""),44259.99861111111)</f>
        <v>44259.99861</v>
      </c>
      <c r="E4160" s="3">
        <f>IFERROR(__xludf.DUMMYFUNCTION("""COMPUTED_VALUE"""),4.8784)</f>
        <v>4.8784</v>
      </c>
    </row>
    <row r="4161">
      <c r="D4161" s="6">
        <f>IFERROR(__xludf.DUMMYFUNCTION("""COMPUTED_VALUE"""),44260.99861111111)</f>
        <v>44260.99861</v>
      </c>
      <c r="E4161" s="3">
        <f>IFERROR(__xludf.DUMMYFUNCTION("""COMPUTED_VALUE"""),4.8819)</f>
        <v>4.8819</v>
      </c>
    </row>
    <row r="4162">
      <c r="D4162" s="6">
        <f>IFERROR(__xludf.DUMMYFUNCTION("""COMPUTED_VALUE"""),44263.99861111111)</f>
        <v>44263.99861</v>
      </c>
      <c r="E4162" s="3">
        <f>IFERROR(__xludf.DUMMYFUNCTION("""COMPUTED_VALUE"""),4.8845)</f>
        <v>4.8845</v>
      </c>
    </row>
    <row r="4163">
      <c r="D4163" s="6">
        <f>IFERROR(__xludf.DUMMYFUNCTION("""COMPUTED_VALUE"""),44264.99861111111)</f>
        <v>44264.99861</v>
      </c>
      <c r="E4163" s="3">
        <f>IFERROR(__xludf.DUMMYFUNCTION("""COMPUTED_VALUE"""),4.8842)</f>
        <v>4.8842</v>
      </c>
    </row>
    <row r="4164">
      <c r="D4164" s="6">
        <f>IFERROR(__xludf.DUMMYFUNCTION("""COMPUTED_VALUE"""),44265.99861111111)</f>
        <v>44265.99861</v>
      </c>
      <c r="E4164" s="3">
        <f>IFERROR(__xludf.DUMMYFUNCTION("""COMPUTED_VALUE"""),4.8852)</f>
        <v>4.8852</v>
      </c>
    </row>
    <row r="4165">
      <c r="D4165" s="6">
        <f>IFERROR(__xludf.DUMMYFUNCTION("""COMPUTED_VALUE"""),44266.99861111111)</f>
        <v>44266.99861</v>
      </c>
      <c r="E4165" s="3">
        <f>IFERROR(__xludf.DUMMYFUNCTION("""COMPUTED_VALUE"""),4.881)</f>
        <v>4.881</v>
      </c>
    </row>
    <row r="4166">
      <c r="D4166" s="6">
        <f>IFERROR(__xludf.DUMMYFUNCTION("""COMPUTED_VALUE"""),44267.99861111111)</f>
        <v>44267.99861</v>
      </c>
      <c r="E4166" s="3">
        <f>IFERROR(__xludf.DUMMYFUNCTION("""COMPUTED_VALUE"""),4.882)</f>
        <v>4.882</v>
      </c>
    </row>
    <row r="4167">
      <c r="D4167" s="6">
        <f>IFERROR(__xludf.DUMMYFUNCTION("""COMPUTED_VALUE"""),44269.99861111111)</f>
        <v>44269.99861</v>
      </c>
      <c r="E4167" s="3">
        <f>IFERROR(__xludf.DUMMYFUNCTION("""COMPUTED_VALUE"""),4.882)</f>
        <v>4.882</v>
      </c>
    </row>
    <row r="4168">
      <c r="D4168" s="6">
        <f>IFERROR(__xludf.DUMMYFUNCTION("""COMPUTED_VALUE"""),44270.99861111111)</f>
        <v>44270.99861</v>
      </c>
      <c r="E4168" s="3">
        <f>IFERROR(__xludf.DUMMYFUNCTION("""COMPUTED_VALUE"""),4.8823)</f>
        <v>4.8823</v>
      </c>
    </row>
    <row r="4169">
      <c r="D4169" s="6">
        <f>IFERROR(__xludf.DUMMYFUNCTION("""COMPUTED_VALUE"""),44271.99861111111)</f>
        <v>44271.99861</v>
      </c>
      <c r="E4169" s="3">
        <f>IFERROR(__xludf.DUMMYFUNCTION("""COMPUTED_VALUE"""),4.8835)</f>
        <v>4.8835</v>
      </c>
    </row>
    <row r="4170">
      <c r="D4170" s="6">
        <f>IFERROR(__xludf.DUMMYFUNCTION("""COMPUTED_VALUE"""),44272.99861111111)</f>
        <v>44272.99861</v>
      </c>
      <c r="E4170" s="3">
        <f>IFERROR(__xludf.DUMMYFUNCTION("""COMPUTED_VALUE"""),4.884)</f>
        <v>4.884</v>
      </c>
    </row>
    <row r="4171">
      <c r="D4171" s="6">
        <f>IFERROR(__xludf.DUMMYFUNCTION("""COMPUTED_VALUE"""),44273.99861111111)</f>
        <v>44273.99861</v>
      </c>
      <c r="E4171" s="3">
        <f>IFERROR(__xludf.DUMMYFUNCTION("""COMPUTED_VALUE"""),4.8828)</f>
        <v>4.8828</v>
      </c>
    </row>
    <row r="4172">
      <c r="D4172" s="6">
        <f>IFERROR(__xludf.DUMMYFUNCTION("""COMPUTED_VALUE"""),44274.99861111111)</f>
        <v>44274.99861</v>
      </c>
      <c r="E4172" s="3">
        <f>IFERROR(__xludf.DUMMYFUNCTION("""COMPUTED_VALUE"""),4.8814)</f>
        <v>4.8814</v>
      </c>
    </row>
    <row r="4173">
      <c r="D4173" s="6">
        <f>IFERROR(__xludf.DUMMYFUNCTION("""COMPUTED_VALUE"""),44276.99861111111)</f>
        <v>44276.99861</v>
      </c>
      <c r="E4173" s="3">
        <f>IFERROR(__xludf.DUMMYFUNCTION("""COMPUTED_VALUE"""),4.8834)</f>
        <v>4.8834</v>
      </c>
    </row>
    <row r="4174">
      <c r="D4174" s="6">
        <f>IFERROR(__xludf.DUMMYFUNCTION("""COMPUTED_VALUE"""),44277.99861111111)</f>
        <v>44277.99861</v>
      </c>
      <c r="E4174" s="3">
        <f>IFERROR(__xludf.DUMMYFUNCTION("""COMPUTED_VALUE"""),4.8869)</f>
        <v>4.8869</v>
      </c>
    </row>
    <row r="4175">
      <c r="D4175" s="6">
        <f>IFERROR(__xludf.DUMMYFUNCTION("""COMPUTED_VALUE"""),44278.99861111111)</f>
        <v>44278.99861</v>
      </c>
      <c r="E4175" s="3">
        <f>IFERROR(__xludf.DUMMYFUNCTION("""COMPUTED_VALUE"""),4.8868)</f>
        <v>4.8868</v>
      </c>
    </row>
    <row r="4176">
      <c r="D4176" s="6">
        <f>IFERROR(__xludf.DUMMYFUNCTION("""COMPUTED_VALUE"""),44279.99861111111)</f>
        <v>44279.99861</v>
      </c>
      <c r="E4176" s="3">
        <f>IFERROR(__xludf.DUMMYFUNCTION("""COMPUTED_VALUE"""),4.8848)</f>
        <v>4.8848</v>
      </c>
    </row>
    <row r="4177">
      <c r="D4177" s="6">
        <f>IFERROR(__xludf.DUMMYFUNCTION("""COMPUTED_VALUE"""),44280.99861111111)</f>
        <v>44280.99861</v>
      </c>
      <c r="E4177" s="3">
        <f>IFERROR(__xludf.DUMMYFUNCTION("""COMPUTED_VALUE"""),4.8819)</f>
        <v>4.8819</v>
      </c>
    </row>
    <row r="4178">
      <c r="D4178" s="6">
        <f>IFERROR(__xludf.DUMMYFUNCTION("""COMPUTED_VALUE"""),44281.99861111111)</f>
        <v>44281.99861</v>
      </c>
      <c r="E4178" s="3">
        <f>IFERROR(__xludf.DUMMYFUNCTION("""COMPUTED_VALUE"""),4.8834)</f>
        <v>4.8834</v>
      </c>
    </row>
    <row r="4179">
      <c r="D4179" s="6">
        <f>IFERROR(__xludf.DUMMYFUNCTION("""COMPUTED_VALUE"""),44284.99861111111)</f>
        <v>44284.99861</v>
      </c>
      <c r="E4179" s="3">
        <f>IFERROR(__xludf.DUMMYFUNCTION("""COMPUTED_VALUE"""),4.9104)</f>
        <v>4.9104</v>
      </c>
    </row>
    <row r="4180">
      <c r="D4180" s="6">
        <f>IFERROR(__xludf.DUMMYFUNCTION("""COMPUTED_VALUE"""),44285.99861111111)</f>
        <v>44285.99861</v>
      </c>
      <c r="E4180" s="3">
        <f>IFERROR(__xludf.DUMMYFUNCTION("""COMPUTED_VALUE"""),4.9186)</f>
        <v>4.9186</v>
      </c>
    </row>
    <row r="4181">
      <c r="D4181" s="6">
        <f>IFERROR(__xludf.DUMMYFUNCTION("""COMPUTED_VALUE"""),44286.99861111111)</f>
        <v>44286.99861</v>
      </c>
      <c r="E4181" s="3">
        <f>IFERROR(__xludf.DUMMYFUNCTION("""COMPUTED_VALUE"""),4.9177)</f>
        <v>4.9177</v>
      </c>
    </row>
    <row r="4182">
      <c r="D4182" s="6">
        <f>IFERROR(__xludf.DUMMYFUNCTION("""COMPUTED_VALUE"""),44287.99861111111)</f>
        <v>44287.99861</v>
      </c>
      <c r="E4182" s="3">
        <f>IFERROR(__xludf.DUMMYFUNCTION("""COMPUTED_VALUE"""),4.9091)</f>
        <v>4.9091</v>
      </c>
    </row>
    <row r="4183">
      <c r="D4183" s="6">
        <f>IFERROR(__xludf.DUMMYFUNCTION("""COMPUTED_VALUE"""),44288.99861111111)</f>
        <v>44288.99861</v>
      </c>
      <c r="E4183" s="3">
        <f>IFERROR(__xludf.DUMMYFUNCTION("""COMPUTED_VALUE"""),4.9091)</f>
        <v>4.9091</v>
      </c>
    </row>
    <row r="4184">
      <c r="D4184" s="6">
        <f>IFERROR(__xludf.DUMMYFUNCTION("""COMPUTED_VALUE"""),44291.99861111111)</f>
        <v>44291.99861</v>
      </c>
      <c r="E4184" s="3">
        <f>IFERROR(__xludf.DUMMYFUNCTION("""COMPUTED_VALUE"""),4.9121)</f>
        <v>4.9121</v>
      </c>
    </row>
    <row r="4185">
      <c r="D4185" s="6">
        <f>IFERROR(__xludf.DUMMYFUNCTION("""COMPUTED_VALUE"""),44292.99861111111)</f>
        <v>44292.99861</v>
      </c>
      <c r="E4185" s="3">
        <f>IFERROR(__xludf.DUMMYFUNCTION("""COMPUTED_VALUE"""),4.9088)</f>
        <v>4.9088</v>
      </c>
    </row>
    <row r="4186">
      <c r="D4186" s="6">
        <f>IFERROR(__xludf.DUMMYFUNCTION("""COMPUTED_VALUE"""),44293.99861111111)</f>
        <v>44293.99861</v>
      </c>
      <c r="E4186" s="3">
        <f>IFERROR(__xludf.DUMMYFUNCTION("""COMPUTED_VALUE"""),4.9163)</f>
        <v>4.9163</v>
      </c>
    </row>
    <row r="4187">
      <c r="D4187" s="6">
        <f>IFERROR(__xludf.DUMMYFUNCTION("""COMPUTED_VALUE"""),44294.99861111111)</f>
        <v>44294.99861</v>
      </c>
      <c r="E4187" s="3">
        <f>IFERROR(__xludf.DUMMYFUNCTION("""COMPUTED_VALUE"""),4.9177)</f>
        <v>4.9177</v>
      </c>
    </row>
    <row r="4188">
      <c r="D4188" s="6">
        <f>IFERROR(__xludf.DUMMYFUNCTION("""COMPUTED_VALUE"""),44295.99861111111)</f>
        <v>44295.99861</v>
      </c>
      <c r="E4188" s="3">
        <f>IFERROR(__xludf.DUMMYFUNCTION("""COMPUTED_VALUE"""),4.9177)</f>
        <v>4.9177</v>
      </c>
    </row>
    <row r="4189">
      <c r="D4189" s="6">
        <f>IFERROR(__xludf.DUMMYFUNCTION("""COMPUTED_VALUE"""),44298.99861111111)</f>
        <v>44298.99861</v>
      </c>
      <c r="E4189" s="3">
        <f>IFERROR(__xludf.DUMMYFUNCTION("""COMPUTED_VALUE"""),4.9176)</f>
        <v>4.9176</v>
      </c>
    </row>
    <row r="4190">
      <c r="D4190" s="6">
        <f>IFERROR(__xludf.DUMMYFUNCTION("""COMPUTED_VALUE"""),44299.99861111111)</f>
        <v>44299.99861</v>
      </c>
      <c r="E4190" s="3">
        <f>IFERROR(__xludf.DUMMYFUNCTION("""COMPUTED_VALUE"""),4.9194)</f>
        <v>4.9194</v>
      </c>
    </row>
    <row r="4191">
      <c r="D4191" s="6">
        <f>IFERROR(__xludf.DUMMYFUNCTION("""COMPUTED_VALUE"""),44300.99861111111)</f>
        <v>44300.99861</v>
      </c>
      <c r="E4191" s="3">
        <f>IFERROR(__xludf.DUMMYFUNCTION("""COMPUTED_VALUE"""),4.924)</f>
        <v>4.924</v>
      </c>
    </row>
    <row r="4192">
      <c r="D4192" s="6">
        <f>IFERROR(__xludf.DUMMYFUNCTION("""COMPUTED_VALUE"""),44301.99861111111)</f>
        <v>44301.99861</v>
      </c>
      <c r="E4192" s="3">
        <f>IFERROR(__xludf.DUMMYFUNCTION("""COMPUTED_VALUE"""),4.9242)</f>
        <v>4.9242</v>
      </c>
    </row>
    <row r="4193">
      <c r="D4193" s="6">
        <f>IFERROR(__xludf.DUMMYFUNCTION("""COMPUTED_VALUE"""),44302.99861111111)</f>
        <v>44302.99861</v>
      </c>
      <c r="E4193" s="3">
        <f>IFERROR(__xludf.DUMMYFUNCTION("""COMPUTED_VALUE"""),4.9245)</f>
        <v>4.9245</v>
      </c>
    </row>
    <row r="4194">
      <c r="D4194" s="6">
        <f>IFERROR(__xludf.DUMMYFUNCTION("""COMPUTED_VALUE"""),44304.99861111111)</f>
        <v>44304.99861</v>
      </c>
      <c r="E4194" s="3">
        <f>IFERROR(__xludf.DUMMYFUNCTION("""COMPUTED_VALUE"""),4.9245)</f>
        <v>4.9245</v>
      </c>
    </row>
    <row r="4195">
      <c r="D4195" s="6">
        <f>IFERROR(__xludf.DUMMYFUNCTION("""COMPUTED_VALUE"""),44305.99861111111)</f>
        <v>44305.99861</v>
      </c>
      <c r="E4195" s="3">
        <f>IFERROR(__xludf.DUMMYFUNCTION("""COMPUTED_VALUE"""),4.9231)</f>
        <v>4.9231</v>
      </c>
    </row>
    <row r="4196">
      <c r="D4196" s="6">
        <f>IFERROR(__xludf.DUMMYFUNCTION("""COMPUTED_VALUE"""),44306.99861111111)</f>
        <v>44306.99861</v>
      </c>
      <c r="E4196" s="3">
        <f>IFERROR(__xludf.DUMMYFUNCTION("""COMPUTED_VALUE"""),4.9254)</f>
        <v>4.9254</v>
      </c>
    </row>
    <row r="4197">
      <c r="D4197" s="6">
        <f>IFERROR(__xludf.DUMMYFUNCTION("""COMPUTED_VALUE"""),44307.99861111111)</f>
        <v>44307.99861</v>
      </c>
      <c r="E4197" s="3">
        <f>IFERROR(__xludf.DUMMYFUNCTION("""COMPUTED_VALUE"""),4.9232)</f>
        <v>4.9232</v>
      </c>
    </row>
    <row r="4198">
      <c r="D4198" s="6">
        <f>IFERROR(__xludf.DUMMYFUNCTION("""COMPUTED_VALUE"""),44308.99861111111)</f>
        <v>44308.99861</v>
      </c>
      <c r="E4198" s="3">
        <f>IFERROR(__xludf.DUMMYFUNCTION("""COMPUTED_VALUE"""),4.9248)</f>
        <v>4.9248</v>
      </c>
    </row>
    <row r="4199">
      <c r="D4199" s="6">
        <f>IFERROR(__xludf.DUMMYFUNCTION("""COMPUTED_VALUE"""),44309.99861111111)</f>
        <v>44309.99861</v>
      </c>
      <c r="E4199" s="3">
        <f>IFERROR(__xludf.DUMMYFUNCTION("""COMPUTED_VALUE"""),4.92)</f>
        <v>4.92</v>
      </c>
    </row>
    <row r="4200">
      <c r="D4200" s="6">
        <f>IFERROR(__xludf.DUMMYFUNCTION("""COMPUTED_VALUE"""),44312.99861111111)</f>
        <v>44312.99861</v>
      </c>
      <c r="E4200" s="3">
        <f>IFERROR(__xludf.DUMMYFUNCTION("""COMPUTED_VALUE"""),4.9211)</f>
        <v>4.9211</v>
      </c>
    </row>
    <row r="4201">
      <c r="D4201" s="6">
        <f>IFERROR(__xludf.DUMMYFUNCTION("""COMPUTED_VALUE"""),44313.99861111111)</f>
        <v>44313.99861</v>
      </c>
      <c r="E4201" s="3">
        <f>IFERROR(__xludf.DUMMYFUNCTION("""COMPUTED_VALUE"""),4.9265)</f>
        <v>4.9265</v>
      </c>
    </row>
    <row r="4202">
      <c r="D4202" s="6">
        <f>IFERROR(__xludf.DUMMYFUNCTION("""COMPUTED_VALUE"""),44314.99861111111)</f>
        <v>44314.99861</v>
      </c>
      <c r="E4202" s="3">
        <f>IFERROR(__xludf.DUMMYFUNCTION("""COMPUTED_VALUE"""),4.9248)</f>
        <v>4.9248</v>
      </c>
    </row>
    <row r="4203">
      <c r="D4203" s="6">
        <f>IFERROR(__xludf.DUMMYFUNCTION("""COMPUTED_VALUE"""),44315.99861111111)</f>
        <v>44315.99861</v>
      </c>
      <c r="E4203" s="3">
        <f>IFERROR(__xludf.DUMMYFUNCTION("""COMPUTED_VALUE"""),4.924)</f>
        <v>4.924</v>
      </c>
    </row>
    <row r="4204">
      <c r="D4204" s="6">
        <f>IFERROR(__xludf.DUMMYFUNCTION("""COMPUTED_VALUE"""),44316.99861111111)</f>
        <v>44316.99861</v>
      </c>
      <c r="E4204" s="3">
        <f>IFERROR(__xludf.DUMMYFUNCTION("""COMPUTED_VALUE"""),4.923)</f>
        <v>4.923</v>
      </c>
    </row>
    <row r="4205">
      <c r="D4205" s="6">
        <f>IFERROR(__xludf.DUMMYFUNCTION("""COMPUTED_VALUE"""),44319.99861111111)</f>
        <v>44319.99861</v>
      </c>
      <c r="E4205" s="3">
        <f>IFERROR(__xludf.DUMMYFUNCTION("""COMPUTED_VALUE"""),4.9241)</f>
        <v>4.9241</v>
      </c>
    </row>
    <row r="4206">
      <c r="D4206" s="6">
        <f>IFERROR(__xludf.DUMMYFUNCTION("""COMPUTED_VALUE"""),44320.99861111111)</f>
        <v>44320.99861</v>
      </c>
      <c r="E4206" s="3">
        <f>IFERROR(__xludf.DUMMYFUNCTION("""COMPUTED_VALUE"""),4.9257)</f>
        <v>4.9257</v>
      </c>
    </row>
    <row r="4207">
      <c r="D4207" s="6">
        <f>IFERROR(__xludf.DUMMYFUNCTION("""COMPUTED_VALUE"""),44321.99861111111)</f>
        <v>44321.99861</v>
      </c>
      <c r="E4207" s="3">
        <f>IFERROR(__xludf.DUMMYFUNCTION("""COMPUTED_VALUE"""),4.9243)</f>
        <v>4.9243</v>
      </c>
    </row>
    <row r="4208">
      <c r="D4208" s="6">
        <f>IFERROR(__xludf.DUMMYFUNCTION("""COMPUTED_VALUE"""),44322.99861111111)</f>
        <v>44322.99861</v>
      </c>
      <c r="E4208" s="3">
        <f>IFERROR(__xludf.DUMMYFUNCTION("""COMPUTED_VALUE"""),4.9236)</f>
        <v>4.9236</v>
      </c>
    </row>
    <row r="4209">
      <c r="D4209" s="6">
        <f>IFERROR(__xludf.DUMMYFUNCTION("""COMPUTED_VALUE"""),44323.99861111111)</f>
        <v>44323.99861</v>
      </c>
      <c r="E4209" s="3">
        <f>IFERROR(__xludf.DUMMYFUNCTION("""COMPUTED_VALUE"""),4.9243)</f>
        <v>4.9243</v>
      </c>
    </row>
    <row r="4210">
      <c r="D4210" s="6">
        <f>IFERROR(__xludf.DUMMYFUNCTION("""COMPUTED_VALUE"""),44326.99861111111)</f>
        <v>44326.99861</v>
      </c>
      <c r="E4210" s="3">
        <f>IFERROR(__xludf.DUMMYFUNCTION("""COMPUTED_VALUE"""),4.9243)</f>
        <v>4.9243</v>
      </c>
    </row>
    <row r="4211">
      <c r="D4211" s="6">
        <f>IFERROR(__xludf.DUMMYFUNCTION("""COMPUTED_VALUE"""),44327.99861111111)</f>
        <v>44327.99861</v>
      </c>
      <c r="E4211" s="3">
        <f>IFERROR(__xludf.DUMMYFUNCTION("""COMPUTED_VALUE"""),4.9247)</f>
        <v>4.9247</v>
      </c>
    </row>
    <row r="4212">
      <c r="D4212" s="6">
        <f>IFERROR(__xludf.DUMMYFUNCTION("""COMPUTED_VALUE"""),44328.99861111111)</f>
        <v>44328.99861</v>
      </c>
      <c r="E4212" s="3">
        <f>IFERROR(__xludf.DUMMYFUNCTION("""COMPUTED_VALUE"""),4.9257)</f>
        <v>4.9257</v>
      </c>
    </row>
    <row r="4213">
      <c r="D4213" s="6">
        <f>IFERROR(__xludf.DUMMYFUNCTION("""COMPUTED_VALUE"""),44329.99861111111)</f>
        <v>44329.99861</v>
      </c>
      <c r="E4213" s="3">
        <f>IFERROR(__xludf.DUMMYFUNCTION("""COMPUTED_VALUE"""),4.925)</f>
        <v>4.925</v>
      </c>
    </row>
    <row r="4214">
      <c r="D4214" s="6">
        <f>IFERROR(__xludf.DUMMYFUNCTION("""COMPUTED_VALUE"""),44330.99861111111)</f>
        <v>44330.99861</v>
      </c>
      <c r="E4214" s="3">
        <f>IFERROR(__xludf.DUMMYFUNCTION("""COMPUTED_VALUE"""),4.921)</f>
        <v>4.921</v>
      </c>
    </row>
    <row r="4215">
      <c r="D4215" s="6">
        <f>IFERROR(__xludf.DUMMYFUNCTION("""COMPUTED_VALUE"""),44333.99861111111)</f>
        <v>44333.99861</v>
      </c>
      <c r="E4215" s="3">
        <f>IFERROR(__xludf.DUMMYFUNCTION("""COMPUTED_VALUE"""),4.9234)</f>
        <v>4.9234</v>
      </c>
    </row>
    <row r="4216">
      <c r="D4216" s="6">
        <f>IFERROR(__xludf.DUMMYFUNCTION("""COMPUTED_VALUE"""),44334.99861111111)</f>
        <v>44334.99861</v>
      </c>
      <c r="E4216" s="3">
        <f>IFERROR(__xludf.DUMMYFUNCTION("""COMPUTED_VALUE"""),4.9245)</f>
        <v>4.9245</v>
      </c>
    </row>
    <row r="4217">
      <c r="D4217" s="6">
        <f>IFERROR(__xludf.DUMMYFUNCTION("""COMPUTED_VALUE"""),44335.99861111111)</f>
        <v>44335.99861</v>
      </c>
      <c r="E4217" s="3">
        <f>IFERROR(__xludf.DUMMYFUNCTION("""COMPUTED_VALUE"""),4.9252)</f>
        <v>4.9252</v>
      </c>
    </row>
    <row r="4218">
      <c r="D4218" s="6">
        <f>IFERROR(__xludf.DUMMYFUNCTION("""COMPUTED_VALUE"""),44336.99861111111)</f>
        <v>44336.99861</v>
      </c>
      <c r="E4218" s="3">
        <f>IFERROR(__xludf.DUMMYFUNCTION("""COMPUTED_VALUE"""),4.9251)</f>
        <v>4.9251</v>
      </c>
    </row>
    <row r="4219">
      <c r="D4219" s="6">
        <f>IFERROR(__xludf.DUMMYFUNCTION("""COMPUTED_VALUE"""),44337.99861111111)</f>
        <v>44337.99861</v>
      </c>
      <c r="E4219" s="3">
        <f>IFERROR(__xludf.DUMMYFUNCTION("""COMPUTED_VALUE"""),4.9253)</f>
        <v>4.9253</v>
      </c>
    </row>
    <row r="4220">
      <c r="D4220" s="6">
        <f>IFERROR(__xludf.DUMMYFUNCTION("""COMPUTED_VALUE"""),44340.99861111111)</f>
        <v>44340.99861</v>
      </c>
      <c r="E4220" s="3">
        <f>IFERROR(__xludf.DUMMYFUNCTION("""COMPUTED_VALUE"""),4.9235)</f>
        <v>4.9235</v>
      </c>
    </row>
    <row r="4221">
      <c r="D4221" s="6">
        <f>IFERROR(__xludf.DUMMYFUNCTION("""COMPUTED_VALUE"""),44341.99861111111)</f>
        <v>44341.99861</v>
      </c>
      <c r="E4221" s="3">
        <f>IFERROR(__xludf.DUMMYFUNCTION("""COMPUTED_VALUE"""),4.9212)</f>
        <v>4.9212</v>
      </c>
    </row>
    <row r="4222">
      <c r="D4222" s="6">
        <f>IFERROR(__xludf.DUMMYFUNCTION("""COMPUTED_VALUE"""),44342.99861111111)</f>
        <v>44342.99861</v>
      </c>
      <c r="E4222" s="3">
        <f>IFERROR(__xludf.DUMMYFUNCTION("""COMPUTED_VALUE"""),4.9147)</f>
        <v>4.9147</v>
      </c>
    </row>
    <row r="4223">
      <c r="D4223" s="6">
        <f>IFERROR(__xludf.DUMMYFUNCTION("""COMPUTED_VALUE"""),44343.99861111111)</f>
        <v>44343.99861</v>
      </c>
      <c r="E4223" s="3">
        <f>IFERROR(__xludf.DUMMYFUNCTION("""COMPUTED_VALUE"""),4.9142)</f>
        <v>4.9142</v>
      </c>
    </row>
    <row r="4224">
      <c r="D4224" s="6">
        <f>IFERROR(__xludf.DUMMYFUNCTION("""COMPUTED_VALUE"""),44344.99861111111)</f>
        <v>44344.99861</v>
      </c>
      <c r="E4224" s="3">
        <f>IFERROR(__xludf.DUMMYFUNCTION("""COMPUTED_VALUE"""),4.9158)</f>
        <v>4.9158</v>
      </c>
    </row>
    <row r="4225">
      <c r="D4225" s="6">
        <f>IFERROR(__xludf.DUMMYFUNCTION("""COMPUTED_VALUE"""),44347.99861111111)</f>
        <v>44347.99861</v>
      </c>
      <c r="E4225" s="3">
        <f>IFERROR(__xludf.DUMMYFUNCTION("""COMPUTED_VALUE"""),4.915)</f>
        <v>4.915</v>
      </c>
    </row>
    <row r="4226">
      <c r="D4226" s="6">
        <f>IFERROR(__xludf.DUMMYFUNCTION("""COMPUTED_VALUE"""),44348.99861111111)</f>
        <v>44348.99861</v>
      </c>
      <c r="E4226" s="3">
        <f>IFERROR(__xludf.DUMMYFUNCTION("""COMPUTED_VALUE"""),4.9167)</f>
        <v>4.9167</v>
      </c>
    </row>
    <row r="4227">
      <c r="D4227" s="6">
        <f>IFERROR(__xludf.DUMMYFUNCTION("""COMPUTED_VALUE"""),44349.99861111111)</f>
        <v>44349.99861</v>
      </c>
      <c r="E4227" s="3">
        <f>IFERROR(__xludf.DUMMYFUNCTION("""COMPUTED_VALUE"""),4.9189)</f>
        <v>4.9189</v>
      </c>
    </row>
    <row r="4228">
      <c r="D4228" s="6">
        <f>IFERROR(__xludf.DUMMYFUNCTION("""COMPUTED_VALUE"""),44350.99861111111)</f>
        <v>44350.99861</v>
      </c>
      <c r="E4228" s="3">
        <f>IFERROR(__xludf.DUMMYFUNCTION("""COMPUTED_VALUE"""),4.92)</f>
        <v>4.92</v>
      </c>
    </row>
    <row r="4229">
      <c r="D4229" s="6">
        <f>IFERROR(__xludf.DUMMYFUNCTION("""COMPUTED_VALUE"""),44351.99861111111)</f>
        <v>44351.99861</v>
      </c>
      <c r="E4229" s="3">
        <f>IFERROR(__xludf.DUMMYFUNCTION("""COMPUTED_VALUE"""),4.92)</f>
        <v>4.92</v>
      </c>
    </row>
    <row r="4230">
      <c r="D4230" s="6">
        <f>IFERROR(__xludf.DUMMYFUNCTION("""COMPUTED_VALUE"""),44354.99861111111)</f>
        <v>44354.99861</v>
      </c>
      <c r="E4230" s="3">
        <f>IFERROR(__xludf.DUMMYFUNCTION("""COMPUTED_VALUE"""),4.9204)</f>
        <v>4.9204</v>
      </c>
    </row>
    <row r="4231">
      <c r="D4231" s="6">
        <f>IFERROR(__xludf.DUMMYFUNCTION("""COMPUTED_VALUE"""),44355.99861111111)</f>
        <v>44355.99861</v>
      </c>
      <c r="E4231" s="3">
        <f>IFERROR(__xludf.DUMMYFUNCTION("""COMPUTED_VALUE"""),4.9207)</f>
        <v>4.9207</v>
      </c>
    </row>
    <row r="4232">
      <c r="D4232" s="6">
        <f>IFERROR(__xludf.DUMMYFUNCTION("""COMPUTED_VALUE"""),44356.99861111111)</f>
        <v>44356.99861</v>
      </c>
      <c r="E4232" s="3">
        <f>IFERROR(__xludf.DUMMYFUNCTION("""COMPUTED_VALUE"""),4.9196)</f>
        <v>4.9196</v>
      </c>
    </row>
    <row r="4233">
      <c r="D4233" s="6">
        <f>IFERROR(__xludf.DUMMYFUNCTION("""COMPUTED_VALUE"""),44357.99861111111)</f>
        <v>44357.99861</v>
      </c>
      <c r="E4233" s="3">
        <f>IFERROR(__xludf.DUMMYFUNCTION("""COMPUTED_VALUE"""),4.9192)</f>
        <v>4.9192</v>
      </c>
    </row>
    <row r="4234">
      <c r="D4234" s="6">
        <f>IFERROR(__xludf.DUMMYFUNCTION("""COMPUTED_VALUE"""),44358.99861111111)</f>
        <v>44358.99861</v>
      </c>
      <c r="E4234" s="3">
        <f>IFERROR(__xludf.DUMMYFUNCTION("""COMPUTED_VALUE"""),4.916)</f>
        <v>4.916</v>
      </c>
    </row>
    <row r="4235">
      <c r="D4235" s="6">
        <f>IFERROR(__xludf.DUMMYFUNCTION("""COMPUTED_VALUE"""),44361.99861111111)</f>
        <v>44361.99861</v>
      </c>
      <c r="E4235" s="3">
        <f>IFERROR(__xludf.DUMMYFUNCTION("""COMPUTED_VALUE"""),4.9195)</f>
        <v>4.9195</v>
      </c>
    </row>
    <row r="4236">
      <c r="D4236" s="6">
        <f>IFERROR(__xludf.DUMMYFUNCTION("""COMPUTED_VALUE"""),44362.99861111111)</f>
        <v>44362.99861</v>
      </c>
      <c r="E4236" s="3">
        <f>IFERROR(__xludf.DUMMYFUNCTION("""COMPUTED_VALUE"""),4.921)</f>
        <v>4.921</v>
      </c>
    </row>
    <row r="4237">
      <c r="D4237" s="6">
        <f>IFERROR(__xludf.DUMMYFUNCTION("""COMPUTED_VALUE"""),44363.99861111111)</f>
        <v>44363.99861</v>
      </c>
      <c r="E4237" s="3">
        <f>IFERROR(__xludf.DUMMYFUNCTION("""COMPUTED_VALUE"""),4.9216)</f>
        <v>4.9216</v>
      </c>
    </row>
    <row r="4238">
      <c r="D4238" s="6">
        <f>IFERROR(__xludf.DUMMYFUNCTION("""COMPUTED_VALUE"""),44364.99861111111)</f>
        <v>44364.99861</v>
      </c>
      <c r="E4238" s="3">
        <f>IFERROR(__xludf.DUMMYFUNCTION("""COMPUTED_VALUE"""),4.9221)</f>
        <v>4.9221</v>
      </c>
    </row>
    <row r="4239">
      <c r="D4239" s="6">
        <f>IFERROR(__xludf.DUMMYFUNCTION("""COMPUTED_VALUE"""),44365.99861111111)</f>
        <v>44365.99861</v>
      </c>
      <c r="E4239" s="3">
        <f>IFERROR(__xludf.DUMMYFUNCTION("""COMPUTED_VALUE"""),4.924)</f>
        <v>4.924</v>
      </c>
    </row>
    <row r="4240">
      <c r="D4240" s="6">
        <f>IFERROR(__xludf.DUMMYFUNCTION("""COMPUTED_VALUE"""),44368.99861111111)</f>
        <v>44368.99861</v>
      </c>
      <c r="E4240" s="3">
        <f>IFERROR(__xludf.DUMMYFUNCTION("""COMPUTED_VALUE"""),4.9253)</f>
        <v>4.9253</v>
      </c>
    </row>
    <row r="4241">
      <c r="D4241" s="6">
        <f>IFERROR(__xludf.DUMMYFUNCTION("""COMPUTED_VALUE"""),44369.99861111111)</f>
        <v>44369.99861</v>
      </c>
      <c r="E4241" s="3">
        <f>IFERROR(__xludf.DUMMYFUNCTION("""COMPUTED_VALUE"""),4.9228)</f>
        <v>4.9228</v>
      </c>
    </row>
    <row r="4242">
      <c r="D4242" s="6">
        <f>IFERROR(__xludf.DUMMYFUNCTION("""COMPUTED_VALUE"""),44370.99861111111)</f>
        <v>44370.99861</v>
      </c>
      <c r="E4242" s="3">
        <f>IFERROR(__xludf.DUMMYFUNCTION("""COMPUTED_VALUE"""),4.9222)</f>
        <v>4.9222</v>
      </c>
    </row>
    <row r="4243">
      <c r="D4243" s="6">
        <f>IFERROR(__xludf.DUMMYFUNCTION("""COMPUTED_VALUE"""),44371.99861111111)</f>
        <v>44371.99861</v>
      </c>
      <c r="E4243" s="3">
        <f>IFERROR(__xludf.DUMMYFUNCTION("""COMPUTED_VALUE"""),4.9219)</f>
        <v>4.9219</v>
      </c>
    </row>
    <row r="4244">
      <c r="D4244" s="6">
        <f>IFERROR(__xludf.DUMMYFUNCTION("""COMPUTED_VALUE"""),44372.99861111111)</f>
        <v>44372.99861</v>
      </c>
      <c r="E4244" s="3">
        <f>IFERROR(__xludf.DUMMYFUNCTION("""COMPUTED_VALUE"""),4.9258)</f>
        <v>4.9258</v>
      </c>
    </row>
    <row r="4245">
      <c r="D4245" s="6">
        <f>IFERROR(__xludf.DUMMYFUNCTION("""COMPUTED_VALUE"""),44374.99861111111)</f>
        <v>44374.99861</v>
      </c>
      <c r="E4245" s="3">
        <f>IFERROR(__xludf.DUMMYFUNCTION("""COMPUTED_VALUE"""),4.9258)</f>
        <v>4.9258</v>
      </c>
    </row>
    <row r="4246">
      <c r="D4246" s="6">
        <f>IFERROR(__xludf.DUMMYFUNCTION("""COMPUTED_VALUE"""),44375.99861111111)</f>
        <v>44375.99861</v>
      </c>
      <c r="E4246" s="3">
        <f>IFERROR(__xludf.DUMMYFUNCTION("""COMPUTED_VALUE"""),4.9244)</f>
        <v>4.9244</v>
      </c>
    </row>
    <row r="4247">
      <c r="D4247" s="6">
        <f>IFERROR(__xludf.DUMMYFUNCTION("""COMPUTED_VALUE"""),44376.99861111111)</f>
        <v>44376.99861</v>
      </c>
      <c r="E4247" s="3">
        <f>IFERROR(__xludf.DUMMYFUNCTION("""COMPUTED_VALUE"""),4.9247)</f>
        <v>4.9247</v>
      </c>
    </row>
    <row r="4248">
      <c r="D4248" s="6">
        <f>IFERROR(__xludf.DUMMYFUNCTION("""COMPUTED_VALUE"""),44377.99861111111)</f>
        <v>44377.99861</v>
      </c>
      <c r="E4248" s="3">
        <f>IFERROR(__xludf.DUMMYFUNCTION("""COMPUTED_VALUE"""),4.9243)</f>
        <v>4.9243</v>
      </c>
    </row>
    <row r="4249">
      <c r="D4249" s="6">
        <f>IFERROR(__xludf.DUMMYFUNCTION("""COMPUTED_VALUE"""),44378.99861111111)</f>
        <v>44378.99861</v>
      </c>
      <c r="E4249" s="3">
        <f>IFERROR(__xludf.DUMMYFUNCTION("""COMPUTED_VALUE"""),4.9244)</f>
        <v>4.9244</v>
      </c>
    </row>
    <row r="4250">
      <c r="D4250" s="6">
        <f>IFERROR(__xludf.DUMMYFUNCTION("""COMPUTED_VALUE"""),44379.99861111111)</f>
        <v>44379.99861</v>
      </c>
      <c r="E4250" s="3">
        <f>IFERROR(__xludf.DUMMYFUNCTION("""COMPUTED_VALUE"""),4.9256)</f>
        <v>4.9256</v>
      </c>
    </row>
    <row r="4251">
      <c r="D4251" s="6">
        <f>IFERROR(__xludf.DUMMYFUNCTION("""COMPUTED_VALUE"""),44382.99861111111)</f>
        <v>44382.99861</v>
      </c>
      <c r="E4251" s="3">
        <f>IFERROR(__xludf.DUMMYFUNCTION("""COMPUTED_VALUE"""),4.9233)</f>
        <v>4.9233</v>
      </c>
    </row>
    <row r="4252">
      <c r="D4252" s="6">
        <f>IFERROR(__xludf.DUMMYFUNCTION("""COMPUTED_VALUE"""),44383.99861111111)</f>
        <v>44383.99861</v>
      </c>
      <c r="E4252" s="3">
        <f>IFERROR(__xludf.DUMMYFUNCTION("""COMPUTED_VALUE"""),4.9238)</f>
        <v>4.9238</v>
      </c>
    </row>
    <row r="4253">
      <c r="D4253" s="6">
        <f>IFERROR(__xludf.DUMMYFUNCTION("""COMPUTED_VALUE"""),44384.99861111111)</f>
        <v>44384.99861</v>
      </c>
      <c r="E4253" s="3">
        <f>IFERROR(__xludf.DUMMYFUNCTION("""COMPUTED_VALUE"""),4.9237)</f>
        <v>4.9237</v>
      </c>
    </row>
    <row r="4254">
      <c r="D4254" s="6">
        <f>IFERROR(__xludf.DUMMYFUNCTION("""COMPUTED_VALUE"""),44385.99861111111)</f>
        <v>44385.99861</v>
      </c>
      <c r="E4254" s="3">
        <f>IFERROR(__xludf.DUMMYFUNCTION("""COMPUTED_VALUE"""),4.9257)</f>
        <v>4.9257</v>
      </c>
    </row>
    <row r="4255">
      <c r="D4255" s="6">
        <f>IFERROR(__xludf.DUMMYFUNCTION("""COMPUTED_VALUE"""),44386.99861111111)</f>
        <v>44386.99861</v>
      </c>
      <c r="E4255" s="3">
        <f>IFERROR(__xludf.DUMMYFUNCTION("""COMPUTED_VALUE"""),4.9247)</f>
        <v>4.9247</v>
      </c>
    </row>
    <row r="4256">
      <c r="D4256" s="6">
        <f>IFERROR(__xludf.DUMMYFUNCTION("""COMPUTED_VALUE"""),44389.99861111111)</f>
        <v>44389.99861</v>
      </c>
      <c r="E4256" s="3">
        <f>IFERROR(__xludf.DUMMYFUNCTION("""COMPUTED_VALUE"""),4.925)</f>
        <v>4.925</v>
      </c>
    </row>
    <row r="4257">
      <c r="D4257" s="6">
        <f>IFERROR(__xludf.DUMMYFUNCTION("""COMPUTED_VALUE"""),44390.99861111111)</f>
        <v>44390.99861</v>
      </c>
      <c r="E4257" s="3">
        <f>IFERROR(__xludf.DUMMYFUNCTION("""COMPUTED_VALUE"""),4.926)</f>
        <v>4.926</v>
      </c>
    </row>
    <row r="4258">
      <c r="D4258" s="6">
        <f>IFERROR(__xludf.DUMMYFUNCTION("""COMPUTED_VALUE"""),44391.99861111111)</f>
        <v>44391.99861</v>
      </c>
      <c r="E4258" s="3">
        <f>IFERROR(__xludf.DUMMYFUNCTION("""COMPUTED_VALUE"""),4.9263)</f>
        <v>4.9263</v>
      </c>
    </row>
    <row r="4259">
      <c r="D4259" s="6">
        <f>IFERROR(__xludf.DUMMYFUNCTION("""COMPUTED_VALUE"""),44392.99861111111)</f>
        <v>44392.99861</v>
      </c>
      <c r="E4259" s="3">
        <f>IFERROR(__xludf.DUMMYFUNCTION("""COMPUTED_VALUE"""),4.9265)</f>
        <v>4.9265</v>
      </c>
    </row>
    <row r="4260">
      <c r="D4260" s="6">
        <f>IFERROR(__xludf.DUMMYFUNCTION("""COMPUTED_VALUE"""),44393.99861111111)</f>
        <v>44393.99861</v>
      </c>
      <c r="E4260" s="3">
        <f>IFERROR(__xludf.DUMMYFUNCTION("""COMPUTED_VALUE"""),4.9258)</f>
        <v>4.9258</v>
      </c>
    </row>
    <row r="4261">
      <c r="D4261" s="6">
        <f>IFERROR(__xludf.DUMMYFUNCTION("""COMPUTED_VALUE"""),44396.99861111111)</f>
        <v>44396.99861</v>
      </c>
      <c r="E4261" s="3">
        <f>IFERROR(__xludf.DUMMYFUNCTION("""COMPUTED_VALUE"""),4.9239)</f>
        <v>4.9239</v>
      </c>
    </row>
    <row r="4262">
      <c r="D4262" s="6">
        <f>IFERROR(__xludf.DUMMYFUNCTION("""COMPUTED_VALUE"""),44397.99861111111)</f>
        <v>44397.99861</v>
      </c>
      <c r="E4262" s="3">
        <f>IFERROR(__xludf.DUMMYFUNCTION("""COMPUTED_VALUE"""),4.923)</f>
        <v>4.923</v>
      </c>
    </row>
    <row r="4263">
      <c r="D4263" s="6">
        <f>IFERROR(__xludf.DUMMYFUNCTION("""COMPUTED_VALUE"""),44398.99861111111)</f>
        <v>44398.99861</v>
      </c>
      <c r="E4263" s="3">
        <f>IFERROR(__xludf.DUMMYFUNCTION("""COMPUTED_VALUE"""),4.9223)</f>
        <v>4.9223</v>
      </c>
    </row>
    <row r="4264">
      <c r="D4264" s="6">
        <f>IFERROR(__xludf.DUMMYFUNCTION("""COMPUTED_VALUE"""),44399.99861111111)</f>
        <v>44399.99861</v>
      </c>
      <c r="E4264" s="3">
        <f>IFERROR(__xludf.DUMMYFUNCTION("""COMPUTED_VALUE"""),4.9205)</f>
        <v>4.9205</v>
      </c>
    </row>
    <row r="4265">
      <c r="D4265" s="6">
        <f>IFERROR(__xludf.DUMMYFUNCTION("""COMPUTED_VALUE"""),44400.99861111111)</f>
        <v>44400.99861</v>
      </c>
      <c r="E4265" s="3">
        <f>IFERROR(__xludf.DUMMYFUNCTION("""COMPUTED_VALUE"""),4.9204)</f>
        <v>4.9204</v>
      </c>
    </row>
    <row r="4266">
      <c r="D4266" s="6">
        <f>IFERROR(__xludf.DUMMYFUNCTION("""COMPUTED_VALUE"""),44403.99861111111)</f>
        <v>44403.99861</v>
      </c>
      <c r="E4266" s="3">
        <f>IFERROR(__xludf.DUMMYFUNCTION("""COMPUTED_VALUE"""),4.9155)</f>
        <v>4.9155</v>
      </c>
    </row>
    <row r="4267">
      <c r="D4267" s="6">
        <f>IFERROR(__xludf.DUMMYFUNCTION("""COMPUTED_VALUE"""),44404.99861111111)</f>
        <v>44404.99861</v>
      </c>
      <c r="E4267" s="3">
        <f>IFERROR(__xludf.DUMMYFUNCTION("""COMPUTED_VALUE"""),4.9155)</f>
        <v>4.9155</v>
      </c>
    </row>
    <row r="4268">
      <c r="D4268" s="6">
        <f>IFERROR(__xludf.DUMMYFUNCTION("""COMPUTED_VALUE"""),44405.99861111111)</f>
        <v>44405.99861</v>
      </c>
      <c r="E4268" s="3">
        <f>IFERROR(__xludf.DUMMYFUNCTION("""COMPUTED_VALUE"""),4.9188)</f>
        <v>4.9188</v>
      </c>
    </row>
    <row r="4269">
      <c r="D4269" s="6">
        <f>IFERROR(__xludf.DUMMYFUNCTION("""COMPUTED_VALUE"""),44406.99861111111)</f>
        <v>44406.99861</v>
      </c>
      <c r="E4269" s="3">
        <f>IFERROR(__xludf.DUMMYFUNCTION("""COMPUTED_VALUE"""),4.9165)</f>
        <v>4.9165</v>
      </c>
    </row>
    <row r="4270">
      <c r="D4270" s="6">
        <f>IFERROR(__xludf.DUMMYFUNCTION("""COMPUTED_VALUE"""),44407.99861111111)</f>
        <v>44407.99861</v>
      </c>
      <c r="E4270" s="3">
        <f>IFERROR(__xludf.DUMMYFUNCTION("""COMPUTED_VALUE"""),4.9141)</f>
        <v>4.9141</v>
      </c>
    </row>
    <row r="4271">
      <c r="D4271" s="6">
        <f>IFERROR(__xludf.DUMMYFUNCTION("""COMPUTED_VALUE"""),44410.99861111111)</f>
        <v>44410.99861</v>
      </c>
      <c r="E4271" s="3">
        <f>IFERROR(__xludf.DUMMYFUNCTION("""COMPUTED_VALUE"""),4.9156)</f>
        <v>4.9156</v>
      </c>
    </row>
    <row r="4272">
      <c r="D4272" s="6">
        <f>IFERROR(__xludf.DUMMYFUNCTION("""COMPUTED_VALUE"""),44411.99861111111)</f>
        <v>44411.99861</v>
      </c>
      <c r="E4272" s="3">
        <f>IFERROR(__xludf.DUMMYFUNCTION("""COMPUTED_VALUE"""),4.9156)</f>
        <v>4.9156</v>
      </c>
    </row>
    <row r="4273">
      <c r="D4273" s="6">
        <f>IFERROR(__xludf.DUMMYFUNCTION("""COMPUTED_VALUE"""),44412.99861111111)</f>
        <v>44412.99861</v>
      </c>
      <c r="E4273" s="3">
        <f>IFERROR(__xludf.DUMMYFUNCTION("""COMPUTED_VALUE"""),4.9154)</f>
        <v>4.9154</v>
      </c>
    </row>
    <row r="4274">
      <c r="D4274" s="6">
        <f>IFERROR(__xludf.DUMMYFUNCTION("""COMPUTED_VALUE"""),44413.99861111111)</f>
        <v>44413.99861</v>
      </c>
      <c r="E4274" s="3">
        <f>IFERROR(__xludf.DUMMYFUNCTION("""COMPUTED_VALUE"""),4.9112)</f>
        <v>4.9112</v>
      </c>
    </row>
    <row r="4275">
      <c r="D4275" s="6">
        <f>IFERROR(__xludf.DUMMYFUNCTION("""COMPUTED_VALUE"""),44414.99861111111)</f>
        <v>44414.99861</v>
      </c>
      <c r="E4275" s="3">
        <f>IFERROR(__xludf.DUMMYFUNCTION("""COMPUTED_VALUE"""),4.9101)</f>
        <v>4.9101</v>
      </c>
    </row>
    <row r="4276">
      <c r="D4276" s="6">
        <f>IFERROR(__xludf.DUMMYFUNCTION("""COMPUTED_VALUE"""),44416.99861111111)</f>
        <v>44416.99861</v>
      </c>
      <c r="E4276" s="3">
        <f>IFERROR(__xludf.DUMMYFUNCTION("""COMPUTED_VALUE"""),4.911)</f>
        <v>4.911</v>
      </c>
    </row>
    <row r="4277">
      <c r="D4277" s="6">
        <f>IFERROR(__xludf.DUMMYFUNCTION("""COMPUTED_VALUE"""),44417.99861111111)</f>
        <v>44417.99861</v>
      </c>
      <c r="E4277" s="3">
        <f>IFERROR(__xludf.DUMMYFUNCTION("""COMPUTED_VALUE"""),4.911)</f>
        <v>4.911</v>
      </c>
    </row>
    <row r="4278">
      <c r="D4278" s="6">
        <f>IFERROR(__xludf.DUMMYFUNCTION("""COMPUTED_VALUE"""),44418.99861111111)</f>
        <v>44418.99861</v>
      </c>
      <c r="E4278" s="3">
        <f>IFERROR(__xludf.DUMMYFUNCTION("""COMPUTED_VALUE"""),4.913)</f>
        <v>4.913</v>
      </c>
    </row>
    <row r="4279">
      <c r="D4279" s="6">
        <f>IFERROR(__xludf.DUMMYFUNCTION("""COMPUTED_VALUE"""),44419.99861111111)</f>
        <v>44419.99861</v>
      </c>
      <c r="E4279" s="3">
        <f>IFERROR(__xludf.DUMMYFUNCTION("""COMPUTED_VALUE"""),4.9138)</f>
        <v>4.9138</v>
      </c>
    </row>
    <row r="4280">
      <c r="D4280" s="6">
        <f>IFERROR(__xludf.DUMMYFUNCTION("""COMPUTED_VALUE"""),44420.99861111111)</f>
        <v>44420.99861</v>
      </c>
      <c r="E4280" s="3">
        <f>IFERROR(__xludf.DUMMYFUNCTION("""COMPUTED_VALUE"""),4.9035)</f>
        <v>4.9035</v>
      </c>
    </row>
    <row r="4281">
      <c r="D4281" s="6">
        <f>IFERROR(__xludf.DUMMYFUNCTION("""COMPUTED_VALUE"""),44421.99861111111)</f>
        <v>44421.99861</v>
      </c>
      <c r="E4281" s="3">
        <f>IFERROR(__xludf.DUMMYFUNCTION("""COMPUTED_VALUE"""),4.9078)</f>
        <v>4.9078</v>
      </c>
    </row>
    <row r="4282">
      <c r="D4282" s="6">
        <f>IFERROR(__xludf.DUMMYFUNCTION("""COMPUTED_VALUE"""),44424.99861111111)</f>
        <v>44424.99861</v>
      </c>
      <c r="E4282" s="3">
        <f>IFERROR(__xludf.DUMMYFUNCTION("""COMPUTED_VALUE"""),4.9146)</f>
        <v>4.9146</v>
      </c>
    </row>
    <row r="4283">
      <c r="D4283" s="6">
        <f>IFERROR(__xludf.DUMMYFUNCTION("""COMPUTED_VALUE"""),44425.99861111111)</f>
        <v>44425.99861</v>
      </c>
      <c r="E4283" s="3">
        <f>IFERROR(__xludf.DUMMYFUNCTION("""COMPUTED_VALUE"""),4.922)</f>
        <v>4.922</v>
      </c>
    </row>
    <row r="4284">
      <c r="D4284" s="6">
        <f>IFERROR(__xludf.DUMMYFUNCTION("""COMPUTED_VALUE"""),44426.99861111111)</f>
        <v>44426.99861</v>
      </c>
      <c r="E4284" s="3">
        <f>IFERROR(__xludf.DUMMYFUNCTION("""COMPUTED_VALUE"""),4.9228)</f>
        <v>4.9228</v>
      </c>
    </row>
    <row r="4285">
      <c r="D4285" s="6">
        <f>IFERROR(__xludf.DUMMYFUNCTION("""COMPUTED_VALUE"""),44427.99861111111)</f>
        <v>44427.99861</v>
      </c>
      <c r="E4285" s="3">
        <f>IFERROR(__xludf.DUMMYFUNCTION("""COMPUTED_VALUE"""),4.9292)</f>
        <v>4.9292</v>
      </c>
    </row>
    <row r="4286">
      <c r="D4286" s="6">
        <f>IFERROR(__xludf.DUMMYFUNCTION("""COMPUTED_VALUE"""),44428.99861111111)</f>
        <v>44428.99861</v>
      </c>
      <c r="E4286" s="3">
        <f>IFERROR(__xludf.DUMMYFUNCTION("""COMPUTED_VALUE"""),4.9317)</f>
        <v>4.9317</v>
      </c>
    </row>
    <row r="4287">
      <c r="D4287" s="6">
        <f>IFERROR(__xludf.DUMMYFUNCTION("""COMPUTED_VALUE"""),44430.99861111111)</f>
        <v>44430.99861</v>
      </c>
      <c r="E4287" s="3">
        <f>IFERROR(__xludf.DUMMYFUNCTION("""COMPUTED_VALUE"""),4.9317)</f>
        <v>4.9317</v>
      </c>
    </row>
    <row r="4288">
      <c r="D4288" s="6">
        <f>IFERROR(__xludf.DUMMYFUNCTION("""COMPUTED_VALUE"""),44431.99861111111)</f>
        <v>44431.99861</v>
      </c>
      <c r="E4288" s="3">
        <f>IFERROR(__xludf.DUMMYFUNCTION("""COMPUTED_VALUE"""),4.9279)</f>
        <v>4.9279</v>
      </c>
    </row>
    <row r="4289">
      <c r="D4289" s="6">
        <f>IFERROR(__xludf.DUMMYFUNCTION("""COMPUTED_VALUE"""),44432.99861111111)</f>
        <v>44432.99861</v>
      </c>
      <c r="E4289" s="3">
        <f>IFERROR(__xludf.DUMMYFUNCTION("""COMPUTED_VALUE"""),4.9285)</f>
        <v>4.9285</v>
      </c>
    </row>
    <row r="4290">
      <c r="D4290" s="6">
        <f>IFERROR(__xludf.DUMMYFUNCTION("""COMPUTED_VALUE"""),44433.99861111111)</f>
        <v>44433.99861</v>
      </c>
      <c r="E4290" s="3">
        <f>IFERROR(__xludf.DUMMYFUNCTION("""COMPUTED_VALUE"""),4.9263)</f>
        <v>4.9263</v>
      </c>
    </row>
    <row r="4291">
      <c r="D4291" s="6">
        <f>IFERROR(__xludf.DUMMYFUNCTION("""COMPUTED_VALUE"""),44434.99861111111)</f>
        <v>44434.99861</v>
      </c>
      <c r="E4291" s="3">
        <f>IFERROR(__xludf.DUMMYFUNCTION("""COMPUTED_VALUE"""),4.9314)</f>
        <v>4.9314</v>
      </c>
    </row>
    <row r="4292">
      <c r="D4292" s="6">
        <f>IFERROR(__xludf.DUMMYFUNCTION("""COMPUTED_VALUE"""),44435.99861111111)</f>
        <v>44435.99861</v>
      </c>
      <c r="E4292" s="3">
        <f>IFERROR(__xludf.DUMMYFUNCTION("""COMPUTED_VALUE"""),4.9329)</f>
        <v>4.9329</v>
      </c>
    </row>
    <row r="4293">
      <c r="D4293" s="6">
        <f>IFERROR(__xludf.DUMMYFUNCTION("""COMPUTED_VALUE"""),44438.99861111111)</f>
        <v>44438.99861</v>
      </c>
      <c r="E4293" s="3">
        <f>IFERROR(__xludf.DUMMYFUNCTION("""COMPUTED_VALUE"""),4.9335)</f>
        <v>4.9335</v>
      </c>
    </row>
    <row r="4294">
      <c r="D4294" s="6">
        <f>IFERROR(__xludf.DUMMYFUNCTION("""COMPUTED_VALUE"""),44439.99861111111)</f>
        <v>44439.99861</v>
      </c>
      <c r="E4294" s="3">
        <f>IFERROR(__xludf.DUMMYFUNCTION("""COMPUTED_VALUE"""),4.9318)</f>
        <v>4.9318</v>
      </c>
    </row>
    <row r="4295">
      <c r="D4295" s="6">
        <f>IFERROR(__xludf.DUMMYFUNCTION("""COMPUTED_VALUE"""),44440.99861111111)</f>
        <v>44440.99861</v>
      </c>
      <c r="E4295" s="3">
        <f>IFERROR(__xludf.DUMMYFUNCTION("""COMPUTED_VALUE"""),4.9324)</f>
        <v>4.9324</v>
      </c>
    </row>
    <row r="4296">
      <c r="D4296" s="6">
        <f>IFERROR(__xludf.DUMMYFUNCTION("""COMPUTED_VALUE"""),44441.99861111111)</f>
        <v>44441.99861</v>
      </c>
      <c r="E4296" s="3">
        <f>IFERROR(__xludf.DUMMYFUNCTION("""COMPUTED_VALUE"""),4.9368)</f>
        <v>4.9368</v>
      </c>
    </row>
    <row r="4297">
      <c r="D4297" s="6">
        <f>IFERROR(__xludf.DUMMYFUNCTION("""COMPUTED_VALUE"""),44442.99861111111)</f>
        <v>44442.99861</v>
      </c>
      <c r="E4297" s="3">
        <f>IFERROR(__xludf.DUMMYFUNCTION("""COMPUTED_VALUE"""),4.9434)</f>
        <v>4.9434</v>
      </c>
    </row>
    <row r="4298">
      <c r="D4298" s="6">
        <f>IFERROR(__xludf.DUMMYFUNCTION("""COMPUTED_VALUE"""),44445.99861111111)</f>
        <v>44445.99861</v>
      </c>
      <c r="E4298" s="3">
        <f>IFERROR(__xludf.DUMMYFUNCTION("""COMPUTED_VALUE"""),4.9436)</f>
        <v>4.9436</v>
      </c>
    </row>
    <row r="4299">
      <c r="D4299" s="6">
        <f>IFERROR(__xludf.DUMMYFUNCTION("""COMPUTED_VALUE"""),44446.99861111111)</f>
        <v>44446.99861</v>
      </c>
      <c r="E4299" s="3">
        <f>IFERROR(__xludf.DUMMYFUNCTION("""COMPUTED_VALUE"""),4.9477)</f>
        <v>4.9477</v>
      </c>
    </row>
    <row r="4300">
      <c r="D4300" s="6">
        <f>IFERROR(__xludf.DUMMYFUNCTION("""COMPUTED_VALUE"""),44447.99861111111)</f>
        <v>44447.99861</v>
      </c>
      <c r="E4300" s="3">
        <f>IFERROR(__xludf.DUMMYFUNCTION("""COMPUTED_VALUE"""),4.9443)</f>
        <v>4.9443</v>
      </c>
    </row>
    <row r="4301">
      <c r="D4301" s="6">
        <f>IFERROR(__xludf.DUMMYFUNCTION("""COMPUTED_VALUE"""),44448.99861111111)</f>
        <v>44448.99861</v>
      </c>
      <c r="E4301" s="3">
        <f>IFERROR(__xludf.DUMMYFUNCTION("""COMPUTED_VALUE"""),4.9428)</f>
        <v>4.9428</v>
      </c>
    </row>
    <row r="4302">
      <c r="D4302" s="6">
        <f>IFERROR(__xludf.DUMMYFUNCTION("""COMPUTED_VALUE"""),44449.99861111111)</f>
        <v>44449.99861</v>
      </c>
      <c r="E4302" s="3">
        <f>IFERROR(__xludf.DUMMYFUNCTION("""COMPUTED_VALUE"""),4.9429)</f>
        <v>4.9429</v>
      </c>
    </row>
    <row r="4303">
      <c r="D4303" s="6">
        <f>IFERROR(__xludf.DUMMYFUNCTION("""COMPUTED_VALUE"""),44452.99861111111)</f>
        <v>44452.99861</v>
      </c>
      <c r="E4303" s="3">
        <f>IFERROR(__xludf.DUMMYFUNCTION("""COMPUTED_VALUE"""),4.9455)</f>
        <v>4.9455</v>
      </c>
    </row>
    <row r="4304">
      <c r="D4304" s="6">
        <f>IFERROR(__xludf.DUMMYFUNCTION("""COMPUTED_VALUE"""),44453.99861111111)</f>
        <v>44453.99861</v>
      </c>
      <c r="E4304" s="3">
        <f>IFERROR(__xludf.DUMMYFUNCTION("""COMPUTED_VALUE"""),4.9459)</f>
        <v>4.9459</v>
      </c>
    </row>
    <row r="4305">
      <c r="D4305" s="6">
        <f>IFERROR(__xludf.DUMMYFUNCTION("""COMPUTED_VALUE"""),44454.99861111111)</f>
        <v>44454.99861</v>
      </c>
      <c r="E4305" s="3">
        <f>IFERROR(__xludf.DUMMYFUNCTION("""COMPUTED_VALUE"""),4.9459)</f>
        <v>4.9459</v>
      </c>
    </row>
    <row r="4306">
      <c r="D4306" s="6">
        <f>IFERROR(__xludf.DUMMYFUNCTION("""COMPUTED_VALUE"""),44455.99861111111)</f>
        <v>44455.99861</v>
      </c>
      <c r="E4306" s="3">
        <f>IFERROR(__xludf.DUMMYFUNCTION("""COMPUTED_VALUE"""),4.9459)</f>
        <v>4.9459</v>
      </c>
    </row>
    <row r="4307">
      <c r="D4307" s="6">
        <f>IFERROR(__xludf.DUMMYFUNCTION("""COMPUTED_VALUE"""),44456.99861111111)</f>
        <v>44456.99861</v>
      </c>
      <c r="E4307" s="3">
        <f>IFERROR(__xludf.DUMMYFUNCTION("""COMPUTED_VALUE"""),4.9439)</f>
        <v>4.9439</v>
      </c>
    </row>
    <row r="4308">
      <c r="D4308" s="6">
        <f>IFERROR(__xludf.DUMMYFUNCTION("""COMPUTED_VALUE"""),44459.99861111111)</f>
        <v>44459.99861</v>
      </c>
      <c r="E4308" s="3">
        <f>IFERROR(__xludf.DUMMYFUNCTION("""COMPUTED_VALUE"""),4.9466)</f>
        <v>4.9466</v>
      </c>
    </row>
    <row r="4309">
      <c r="D4309" s="6">
        <f>IFERROR(__xludf.DUMMYFUNCTION("""COMPUTED_VALUE"""),44460.99861111111)</f>
        <v>44460.99861</v>
      </c>
      <c r="E4309" s="3">
        <f>IFERROR(__xludf.DUMMYFUNCTION("""COMPUTED_VALUE"""),4.946)</f>
        <v>4.946</v>
      </c>
    </row>
    <row r="4310">
      <c r="D4310" s="6">
        <f>IFERROR(__xludf.DUMMYFUNCTION("""COMPUTED_VALUE"""),44461.99861111111)</f>
        <v>44461.99861</v>
      </c>
      <c r="E4310" s="3">
        <f>IFERROR(__xludf.DUMMYFUNCTION("""COMPUTED_VALUE"""),4.9476)</f>
        <v>4.9476</v>
      </c>
    </row>
    <row r="4311">
      <c r="D4311" s="6">
        <f>IFERROR(__xludf.DUMMYFUNCTION("""COMPUTED_VALUE"""),44462.99861111111)</f>
        <v>44462.99861</v>
      </c>
      <c r="E4311" s="3">
        <f>IFERROR(__xludf.DUMMYFUNCTION("""COMPUTED_VALUE"""),4.9476)</f>
        <v>4.9476</v>
      </c>
    </row>
    <row r="4312">
      <c r="D4312" s="6">
        <f>IFERROR(__xludf.DUMMYFUNCTION("""COMPUTED_VALUE"""),44463.99861111111)</f>
        <v>44463.99861</v>
      </c>
      <c r="E4312" s="3">
        <f>IFERROR(__xludf.DUMMYFUNCTION("""COMPUTED_VALUE"""),4.9459)</f>
        <v>4.9459</v>
      </c>
    </row>
    <row r="4313">
      <c r="D4313" s="6">
        <f>IFERROR(__xludf.DUMMYFUNCTION("""COMPUTED_VALUE"""),44466.99861111111)</f>
        <v>44466.99861</v>
      </c>
      <c r="E4313" s="3">
        <f>IFERROR(__xludf.DUMMYFUNCTION("""COMPUTED_VALUE"""),4.9458)</f>
        <v>4.9458</v>
      </c>
    </row>
    <row r="4314">
      <c r="D4314" s="6">
        <f>IFERROR(__xludf.DUMMYFUNCTION("""COMPUTED_VALUE"""),44467.99861111111)</f>
        <v>44467.99861</v>
      </c>
      <c r="E4314" s="3">
        <f>IFERROR(__xludf.DUMMYFUNCTION("""COMPUTED_VALUE"""),4.947)</f>
        <v>4.947</v>
      </c>
    </row>
    <row r="4315">
      <c r="D4315" s="6">
        <f>IFERROR(__xludf.DUMMYFUNCTION("""COMPUTED_VALUE"""),44468.99861111111)</f>
        <v>44468.99861</v>
      </c>
      <c r="E4315" s="3">
        <f>IFERROR(__xludf.DUMMYFUNCTION("""COMPUTED_VALUE"""),4.9442)</f>
        <v>4.9442</v>
      </c>
    </row>
    <row r="4316">
      <c r="D4316" s="6">
        <f>IFERROR(__xludf.DUMMYFUNCTION("""COMPUTED_VALUE"""),44469.99861111111)</f>
        <v>44469.99861</v>
      </c>
      <c r="E4316" s="3">
        <f>IFERROR(__xludf.DUMMYFUNCTION("""COMPUTED_VALUE"""),4.9462)</f>
        <v>4.9462</v>
      </c>
    </row>
    <row r="4317">
      <c r="D4317" s="6">
        <f>IFERROR(__xludf.DUMMYFUNCTION("""COMPUTED_VALUE"""),44470.99861111111)</f>
        <v>44470.99861</v>
      </c>
      <c r="E4317" s="3">
        <f>IFERROR(__xludf.DUMMYFUNCTION("""COMPUTED_VALUE"""),4.9437)</f>
        <v>4.9437</v>
      </c>
    </row>
    <row r="4318">
      <c r="D4318" s="6">
        <f>IFERROR(__xludf.DUMMYFUNCTION("""COMPUTED_VALUE"""),44473.99861111111)</f>
        <v>44473.99861</v>
      </c>
      <c r="E4318" s="3">
        <f>IFERROR(__xludf.DUMMYFUNCTION("""COMPUTED_VALUE"""),4.9501)</f>
        <v>4.9501</v>
      </c>
    </row>
    <row r="4319">
      <c r="D4319" s="6">
        <f>IFERROR(__xludf.DUMMYFUNCTION("""COMPUTED_VALUE"""),44474.99861111111)</f>
        <v>44474.99861</v>
      </c>
      <c r="E4319" s="3">
        <f>IFERROR(__xludf.DUMMYFUNCTION("""COMPUTED_VALUE"""),4.9422)</f>
        <v>4.9422</v>
      </c>
    </row>
    <row r="4320">
      <c r="D4320" s="6">
        <f>IFERROR(__xludf.DUMMYFUNCTION("""COMPUTED_VALUE"""),44475.99861111111)</f>
        <v>44475.99861</v>
      </c>
      <c r="E4320" s="3">
        <f>IFERROR(__xludf.DUMMYFUNCTION("""COMPUTED_VALUE"""),4.943)</f>
        <v>4.943</v>
      </c>
    </row>
    <row r="4321">
      <c r="D4321" s="6">
        <f>IFERROR(__xludf.DUMMYFUNCTION("""COMPUTED_VALUE"""),44476.99861111111)</f>
        <v>44476.99861</v>
      </c>
      <c r="E4321" s="3">
        <f>IFERROR(__xludf.DUMMYFUNCTION("""COMPUTED_VALUE"""),4.9451)</f>
        <v>4.9451</v>
      </c>
    </row>
    <row r="4322">
      <c r="D4322" s="6">
        <f>IFERROR(__xludf.DUMMYFUNCTION("""COMPUTED_VALUE"""),44477.99861111111)</f>
        <v>44477.99861</v>
      </c>
      <c r="E4322" s="3">
        <f>IFERROR(__xludf.DUMMYFUNCTION("""COMPUTED_VALUE"""),4.945)</f>
        <v>4.945</v>
      </c>
    </row>
    <row r="4323">
      <c r="D4323" s="6">
        <f>IFERROR(__xludf.DUMMYFUNCTION("""COMPUTED_VALUE"""),44480.99861111111)</f>
        <v>44480.99861</v>
      </c>
      <c r="E4323" s="3">
        <f>IFERROR(__xludf.DUMMYFUNCTION("""COMPUTED_VALUE"""),4.947)</f>
        <v>4.947</v>
      </c>
    </row>
    <row r="4324">
      <c r="D4324" s="6">
        <f>IFERROR(__xludf.DUMMYFUNCTION("""COMPUTED_VALUE"""),44481.99861111111)</f>
        <v>44481.99861</v>
      </c>
      <c r="E4324" s="3">
        <f>IFERROR(__xludf.DUMMYFUNCTION("""COMPUTED_VALUE"""),4.9478)</f>
        <v>4.9478</v>
      </c>
    </row>
    <row r="4325">
      <c r="D4325" s="6">
        <f>IFERROR(__xludf.DUMMYFUNCTION("""COMPUTED_VALUE"""),44482.99861111111)</f>
        <v>44482.99861</v>
      </c>
      <c r="E4325" s="3">
        <f>IFERROR(__xludf.DUMMYFUNCTION("""COMPUTED_VALUE"""),4.9471)</f>
        <v>4.9471</v>
      </c>
    </row>
    <row r="4326">
      <c r="D4326" s="6">
        <f>IFERROR(__xludf.DUMMYFUNCTION("""COMPUTED_VALUE"""),44483.99861111111)</f>
        <v>44483.99861</v>
      </c>
      <c r="E4326" s="3">
        <f>IFERROR(__xludf.DUMMYFUNCTION("""COMPUTED_VALUE"""),4.947)</f>
        <v>4.947</v>
      </c>
    </row>
    <row r="4327">
      <c r="D4327" s="6">
        <f>IFERROR(__xludf.DUMMYFUNCTION("""COMPUTED_VALUE"""),44484.99861111111)</f>
        <v>44484.99861</v>
      </c>
      <c r="E4327" s="3">
        <f>IFERROR(__xludf.DUMMYFUNCTION("""COMPUTED_VALUE"""),4.948)</f>
        <v>4.948</v>
      </c>
    </row>
    <row r="4328">
      <c r="D4328" s="6">
        <f>IFERROR(__xludf.DUMMYFUNCTION("""COMPUTED_VALUE"""),44487.99861111111)</f>
        <v>44487.99861</v>
      </c>
      <c r="E4328" s="3">
        <f>IFERROR(__xludf.DUMMYFUNCTION("""COMPUTED_VALUE"""),4.9455)</f>
        <v>4.9455</v>
      </c>
    </row>
    <row r="4329">
      <c r="D4329" s="6">
        <f>IFERROR(__xludf.DUMMYFUNCTION("""COMPUTED_VALUE"""),44488.99861111111)</f>
        <v>44488.99861</v>
      </c>
      <c r="E4329" s="3">
        <f>IFERROR(__xludf.DUMMYFUNCTION("""COMPUTED_VALUE"""),4.9463)</f>
        <v>4.9463</v>
      </c>
    </row>
    <row r="4330">
      <c r="D4330" s="6">
        <f>IFERROR(__xludf.DUMMYFUNCTION("""COMPUTED_VALUE"""),44489.99861111111)</f>
        <v>44489.99861</v>
      </c>
      <c r="E4330" s="3">
        <f>IFERROR(__xludf.DUMMYFUNCTION("""COMPUTED_VALUE"""),4.9425)</f>
        <v>4.9425</v>
      </c>
    </row>
    <row r="4331">
      <c r="D4331" s="6">
        <f>IFERROR(__xludf.DUMMYFUNCTION("""COMPUTED_VALUE"""),44490.99861111111)</f>
        <v>44490.99861</v>
      </c>
      <c r="E4331" s="3">
        <f>IFERROR(__xludf.DUMMYFUNCTION("""COMPUTED_VALUE"""),4.944)</f>
        <v>4.944</v>
      </c>
    </row>
    <row r="4332">
      <c r="D4332" s="6">
        <f>IFERROR(__xludf.DUMMYFUNCTION("""COMPUTED_VALUE"""),44491.99861111111)</f>
        <v>44491.99861</v>
      </c>
      <c r="E4332" s="3">
        <f>IFERROR(__xludf.DUMMYFUNCTION("""COMPUTED_VALUE"""),4.9453)</f>
        <v>4.9453</v>
      </c>
    </row>
    <row r="4333">
      <c r="D4333" s="6">
        <f>IFERROR(__xludf.DUMMYFUNCTION("""COMPUTED_VALUE"""),44494.99861111111)</f>
        <v>44494.99861</v>
      </c>
      <c r="E4333" s="3">
        <f>IFERROR(__xludf.DUMMYFUNCTION("""COMPUTED_VALUE"""),4.9452)</f>
        <v>4.9452</v>
      </c>
    </row>
    <row r="4334">
      <c r="D4334" s="6">
        <f>IFERROR(__xludf.DUMMYFUNCTION("""COMPUTED_VALUE"""),44495.99861111111)</f>
        <v>44495.99861</v>
      </c>
      <c r="E4334" s="3">
        <f>IFERROR(__xludf.DUMMYFUNCTION("""COMPUTED_VALUE"""),4.9447)</f>
        <v>4.9447</v>
      </c>
    </row>
    <row r="4335">
      <c r="D4335" s="6">
        <f>IFERROR(__xludf.DUMMYFUNCTION("""COMPUTED_VALUE"""),44496.99861111111)</f>
        <v>44496.99861</v>
      </c>
      <c r="E4335" s="3">
        <f>IFERROR(__xludf.DUMMYFUNCTION("""COMPUTED_VALUE"""),4.9463)</f>
        <v>4.9463</v>
      </c>
    </row>
    <row r="4336">
      <c r="D4336" s="6">
        <f>IFERROR(__xludf.DUMMYFUNCTION("""COMPUTED_VALUE"""),44497.99861111111)</f>
        <v>44497.99861</v>
      </c>
      <c r="E4336" s="3">
        <f>IFERROR(__xludf.DUMMYFUNCTION("""COMPUTED_VALUE"""),4.946)</f>
        <v>4.946</v>
      </c>
    </row>
    <row r="4337">
      <c r="D4337" s="6">
        <f>IFERROR(__xludf.DUMMYFUNCTION("""COMPUTED_VALUE"""),44498.99861111111)</f>
        <v>44498.99861</v>
      </c>
      <c r="E4337" s="3">
        <f>IFERROR(__xludf.DUMMYFUNCTION("""COMPUTED_VALUE"""),4.9459)</f>
        <v>4.9459</v>
      </c>
    </row>
    <row r="4338">
      <c r="D4338" s="6">
        <f>IFERROR(__xludf.DUMMYFUNCTION("""COMPUTED_VALUE"""),44501.99861111111)</f>
        <v>44501.99861</v>
      </c>
      <c r="E4338" s="3">
        <f>IFERROR(__xludf.DUMMYFUNCTION("""COMPUTED_VALUE"""),4.9469)</f>
        <v>4.9469</v>
      </c>
    </row>
    <row r="4339">
      <c r="D4339" s="6">
        <f>IFERROR(__xludf.DUMMYFUNCTION("""COMPUTED_VALUE"""),44502.99861111111)</f>
        <v>44502.99861</v>
      </c>
      <c r="E4339" s="3">
        <f>IFERROR(__xludf.DUMMYFUNCTION("""COMPUTED_VALUE"""),4.948)</f>
        <v>4.948</v>
      </c>
    </row>
    <row r="4340">
      <c r="D4340" s="6">
        <f>IFERROR(__xludf.DUMMYFUNCTION("""COMPUTED_VALUE"""),44503.99861111111)</f>
        <v>44503.99861</v>
      </c>
      <c r="E4340" s="3">
        <f>IFERROR(__xludf.DUMMYFUNCTION("""COMPUTED_VALUE"""),4.946)</f>
        <v>4.946</v>
      </c>
    </row>
    <row r="4341">
      <c r="D4341" s="6">
        <f>IFERROR(__xludf.DUMMYFUNCTION("""COMPUTED_VALUE"""),44504.99861111111)</f>
        <v>44504.99861</v>
      </c>
      <c r="E4341" s="3">
        <f>IFERROR(__xludf.DUMMYFUNCTION("""COMPUTED_VALUE"""),4.947)</f>
        <v>4.947</v>
      </c>
    </row>
    <row r="4342">
      <c r="D4342" s="6">
        <f>IFERROR(__xludf.DUMMYFUNCTION("""COMPUTED_VALUE"""),44505.99861111111)</f>
        <v>44505.99861</v>
      </c>
      <c r="E4342" s="3">
        <f>IFERROR(__xludf.DUMMYFUNCTION("""COMPUTED_VALUE"""),4.9469)</f>
        <v>4.9469</v>
      </c>
    </row>
    <row r="4343">
      <c r="D4343" s="6">
        <f>IFERROR(__xludf.DUMMYFUNCTION("""COMPUTED_VALUE"""),44508.99861111111)</f>
        <v>44508.99861</v>
      </c>
      <c r="E4343" s="3">
        <f>IFERROR(__xludf.DUMMYFUNCTION("""COMPUTED_VALUE"""),4.9458)</f>
        <v>4.9458</v>
      </c>
    </row>
    <row r="4344">
      <c r="D4344" s="6">
        <f>IFERROR(__xludf.DUMMYFUNCTION("""COMPUTED_VALUE"""),44509.99861111111)</f>
        <v>44509.99861</v>
      </c>
      <c r="E4344" s="3">
        <f>IFERROR(__xludf.DUMMYFUNCTION("""COMPUTED_VALUE"""),4.947)</f>
        <v>4.947</v>
      </c>
    </row>
    <row r="4345">
      <c r="D4345" s="6">
        <f>IFERROR(__xludf.DUMMYFUNCTION("""COMPUTED_VALUE"""),44510.99861111111)</f>
        <v>44510.99861</v>
      </c>
      <c r="E4345" s="3">
        <f>IFERROR(__xludf.DUMMYFUNCTION("""COMPUTED_VALUE"""),4.9472)</f>
        <v>4.9472</v>
      </c>
    </row>
    <row r="4346">
      <c r="D4346" s="6">
        <f>IFERROR(__xludf.DUMMYFUNCTION("""COMPUTED_VALUE"""),44511.99861111111)</f>
        <v>44511.99861</v>
      </c>
      <c r="E4346" s="3">
        <f>IFERROR(__xludf.DUMMYFUNCTION("""COMPUTED_VALUE"""),4.9418)</f>
        <v>4.9418</v>
      </c>
    </row>
    <row r="4347">
      <c r="D4347" s="6">
        <f>IFERROR(__xludf.DUMMYFUNCTION("""COMPUTED_VALUE"""),44512.99861111111)</f>
        <v>44512.99861</v>
      </c>
      <c r="E4347" s="3">
        <f>IFERROR(__xludf.DUMMYFUNCTION("""COMPUTED_VALUE"""),4.9486)</f>
        <v>4.9486</v>
      </c>
    </row>
    <row r="4348">
      <c r="D4348" s="6">
        <f>IFERROR(__xludf.DUMMYFUNCTION("""COMPUTED_VALUE"""),44515.99861111111)</f>
        <v>44515.99861</v>
      </c>
      <c r="E4348" s="3">
        <f>IFERROR(__xludf.DUMMYFUNCTION("""COMPUTED_VALUE"""),4.9471)</f>
        <v>4.9471</v>
      </c>
    </row>
    <row r="4349">
      <c r="D4349" s="6">
        <f>IFERROR(__xludf.DUMMYFUNCTION("""COMPUTED_VALUE"""),44516.99861111111)</f>
        <v>44516.99861</v>
      </c>
      <c r="E4349" s="3">
        <f>IFERROR(__xludf.DUMMYFUNCTION("""COMPUTED_VALUE"""),4.9465)</f>
        <v>4.9465</v>
      </c>
    </row>
    <row r="4350">
      <c r="D4350" s="6">
        <f>IFERROR(__xludf.DUMMYFUNCTION("""COMPUTED_VALUE"""),44517.99861111111)</f>
        <v>44517.99861</v>
      </c>
      <c r="E4350" s="3">
        <f>IFERROR(__xludf.DUMMYFUNCTION("""COMPUTED_VALUE"""),4.9468)</f>
        <v>4.9468</v>
      </c>
    </row>
    <row r="4351">
      <c r="D4351" s="6">
        <f>IFERROR(__xludf.DUMMYFUNCTION("""COMPUTED_VALUE"""),44518.99861111111)</f>
        <v>44518.99861</v>
      </c>
      <c r="E4351" s="3">
        <f>IFERROR(__xludf.DUMMYFUNCTION("""COMPUTED_VALUE"""),4.947)</f>
        <v>4.947</v>
      </c>
    </row>
    <row r="4352">
      <c r="D4352" s="6">
        <f>IFERROR(__xludf.DUMMYFUNCTION("""COMPUTED_VALUE"""),44519.99861111111)</f>
        <v>44519.99861</v>
      </c>
      <c r="E4352" s="3">
        <f>IFERROR(__xludf.DUMMYFUNCTION("""COMPUTED_VALUE"""),4.9512)</f>
        <v>4.9512</v>
      </c>
    </row>
    <row r="4353">
      <c r="D4353" s="6">
        <f>IFERROR(__xludf.DUMMYFUNCTION("""COMPUTED_VALUE"""),44521.99861111111)</f>
        <v>44521.99861</v>
      </c>
      <c r="E4353" s="3">
        <f>IFERROR(__xludf.DUMMYFUNCTION("""COMPUTED_VALUE"""),4.9471)</f>
        <v>4.9471</v>
      </c>
    </row>
    <row r="4354">
      <c r="D4354" s="6">
        <f>IFERROR(__xludf.DUMMYFUNCTION("""COMPUTED_VALUE"""),44522.99861111111)</f>
        <v>44522.99861</v>
      </c>
      <c r="E4354" s="3">
        <f>IFERROR(__xludf.DUMMYFUNCTION("""COMPUTED_VALUE"""),4.9468)</f>
        <v>4.9468</v>
      </c>
    </row>
    <row r="4355">
      <c r="D4355" s="6">
        <f>IFERROR(__xludf.DUMMYFUNCTION("""COMPUTED_VALUE"""),44523.99861111111)</f>
        <v>44523.99861</v>
      </c>
      <c r="E4355" s="3">
        <f>IFERROR(__xludf.DUMMYFUNCTION("""COMPUTED_VALUE"""),4.9469)</f>
        <v>4.9469</v>
      </c>
    </row>
    <row r="4356">
      <c r="D4356" s="6">
        <f>IFERROR(__xludf.DUMMYFUNCTION("""COMPUTED_VALUE"""),44524.99861111111)</f>
        <v>44524.99861</v>
      </c>
      <c r="E4356" s="3">
        <f>IFERROR(__xludf.DUMMYFUNCTION("""COMPUTED_VALUE"""),4.947)</f>
        <v>4.947</v>
      </c>
    </row>
    <row r="4357">
      <c r="D4357" s="6">
        <f>IFERROR(__xludf.DUMMYFUNCTION("""COMPUTED_VALUE"""),44525.99861111111)</f>
        <v>44525.99861</v>
      </c>
      <c r="E4357" s="3">
        <f>IFERROR(__xludf.DUMMYFUNCTION("""COMPUTED_VALUE"""),4.9458)</f>
        <v>4.9458</v>
      </c>
    </row>
    <row r="4358">
      <c r="D4358" s="6">
        <f>IFERROR(__xludf.DUMMYFUNCTION("""COMPUTED_VALUE"""),44526.99861111111)</f>
        <v>44526.99861</v>
      </c>
      <c r="E4358" s="3">
        <f>IFERROR(__xludf.DUMMYFUNCTION("""COMPUTED_VALUE"""),4.946)</f>
        <v>4.946</v>
      </c>
    </row>
    <row r="4359">
      <c r="D4359" s="6">
        <f>IFERROR(__xludf.DUMMYFUNCTION("""COMPUTED_VALUE"""),44528.99861111111)</f>
        <v>44528.99861</v>
      </c>
      <c r="E4359" s="3">
        <f>IFERROR(__xludf.DUMMYFUNCTION("""COMPUTED_VALUE"""),4.9477)</f>
        <v>4.9477</v>
      </c>
    </row>
    <row r="4360">
      <c r="D4360" s="6">
        <f>IFERROR(__xludf.DUMMYFUNCTION("""COMPUTED_VALUE"""),44529.99861111111)</f>
        <v>44529.99861</v>
      </c>
      <c r="E4360" s="3">
        <f>IFERROR(__xludf.DUMMYFUNCTION("""COMPUTED_VALUE"""),4.9471)</f>
        <v>4.9471</v>
      </c>
    </row>
    <row r="4361">
      <c r="D4361" s="6">
        <f>IFERROR(__xludf.DUMMYFUNCTION("""COMPUTED_VALUE"""),44530.99861111111)</f>
        <v>44530.99861</v>
      </c>
      <c r="E4361" s="3">
        <f>IFERROR(__xludf.DUMMYFUNCTION("""COMPUTED_VALUE"""),4.9471)</f>
        <v>4.9471</v>
      </c>
    </row>
    <row r="4362">
      <c r="D4362" s="6">
        <f>IFERROR(__xludf.DUMMYFUNCTION("""COMPUTED_VALUE"""),44531.99861111111)</f>
        <v>44531.99861</v>
      </c>
      <c r="E4362" s="3">
        <f>IFERROR(__xludf.DUMMYFUNCTION("""COMPUTED_VALUE"""),4.945)</f>
        <v>4.945</v>
      </c>
    </row>
    <row r="4363">
      <c r="D4363" s="6">
        <f>IFERROR(__xludf.DUMMYFUNCTION("""COMPUTED_VALUE"""),44532.99861111111)</f>
        <v>44532.99861</v>
      </c>
      <c r="E4363" s="3">
        <f>IFERROR(__xludf.DUMMYFUNCTION("""COMPUTED_VALUE"""),4.947)</f>
        <v>4.947</v>
      </c>
    </row>
    <row r="4364">
      <c r="D4364" s="6">
        <f>IFERROR(__xludf.DUMMYFUNCTION("""COMPUTED_VALUE"""),44533.99861111111)</f>
        <v>44533.99861</v>
      </c>
      <c r="E4364" s="3">
        <f>IFERROR(__xludf.DUMMYFUNCTION("""COMPUTED_VALUE"""),4.946)</f>
        <v>4.946</v>
      </c>
    </row>
    <row r="4365">
      <c r="D4365" s="6">
        <f>IFERROR(__xludf.DUMMYFUNCTION("""COMPUTED_VALUE"""),44535.99861111111)</f>
        <v>44535.99861</v>
      </c>
      <c r="E4365" s="3">
        <f>IFERROR(__xludf.DUMMYFUNCTION("""COMPUTED_VALUE"""),4.9466)</f>
        <v>4.9466</v>
      </c>
    </row>
    <row r="4366">
      <c r="D4366" s="6">
        <f>IFERROR(__xludf.DUMMYFUNCTION("""COMPUTED_VALUE"""),44536.99861111111)</f>
        <v>44536.99861</v>
      </c>
      <c r="E4366" s="3">
        <f>IFERROR(__xludf.DUMMYFUNCTION("""COMPUTED_VALUE"""),4.945)</f>
        <v>4.945</v>
      </c>
    </row>
    <row r="4367">
      <c r="D4367" s="6">
        <f>IFERROR(__xludf.DUMMYFUNCTION("""COMPUTED_VALUE"""),44537.99861111111)</f>
        <v>44537.99861</v>
      </c>
      <c r="E4367" s="3">
        <f>IFERROR(__xludf.DUMMYFUNCTION("""COMPUTED_VALUE"""),4.945)</f>
        <v>4.945</v>
      </c>
    </row>
    <row r="4368">
      <c r="D4368" s="6">
        <f>IFERROR(__xludf.DUMMYFUNCTION("""COMPUTED_VALUE"""),44538.99861111111)</f>
        <v>44538.99861</v>
      </c>
      <c r="E4368" s="3">
        <f>IFERROR(__xludf.DUMMYFUNCTION("""COMPUTED_VALUE"""),4.945)</f>
        <v>4.945</v>
      </c>
    </row>
    <row r="4369">
      <c r="D4369" s="6">
        <f>IFERROR(__xludf.DUMMYFUNCTION("""COMPUTED_VALUE"""),44539.99861111111)</f>
        <v>44539.99861</v>
      </c>
      <c r="E4369" s="3">
        <f>IFERROR(__xludf.DUMMYFUNCTION("""COMPUTED_VALUE"""),4.941)</f>
        <v>4.941</v>
      </c>
    </row>
    <row r="4370">
      <c r="D4370" s="6">
        <f>IFERROR(__xludf.DUMMYFUNCTION("""COMPUTED_VALUE"""),44540.99861111111)</f>
        <v>44540.99861</v>
      </c>
      <c r="E4370" s="3">
        <f>IFERROR(__xludf.DUMMYFUNCTION("""COMPUTED_VALUE"""),4.9464)</f>
        <v>4.9464</v>
      </c>
    </row>
    <row r="4371">
      <c r="D4371" s="6">
        <f>IFERROR(__xludf.DUMMYFUNCTION("""COMPUTED_VALUE"""),44542.99861111111)</f>
        <v>44542.99861</v>
      </c>
      <c r="E4371" s="3">
        <f>IFERROR(__xludf.DUMMYFUNCTION("""COMPUTED_VALUE"""),4.9469)</f>
        <v>4.9469</v>
      </c>
    </row>
    <row r="4372">
      <c r="D4372" s="6">
        <f>IFERROR(__xludf.DUMMYFUNCTION("""COMPUTED_VALUE"""),44543.99861111111)</f>
        <v>44543.99861</v>
      </c>
      <c r="E4372" s="3">
        <f>IFERROR(__xludf.DUMMYFUNCTION("""COMPUTED_VALUE"""),4.9465)</f>
        <v>4.9465</v>
      </c>
    </row>
    <row r="4373">
      <c r="D4373" s="6">
        <f>IFERROR(__xludf.DUMMYFUNCTION("""COMPUTED_VALUE"""),44544.99861111111)</f>
        <v>44544.99861</v>
      </c>
      <c r="E4373" s="3">
        <f>IFERROR(__xludf.DUMMYFUNCTION("""COMPUTED_VALUE"""),4.946)</f>
        <v>4.946</v>
      </c>
    </row>
    <row r="4374">
      <c r="D4374" s="6">
        <f>IFERROR(__xludf.DUMMYFUNCTION("""COMPUTED_VALUE"""),44545.99861111111)</f>
        <v>44545.99861</v>
      </c>
      <c r="E4374" s="3">
        <f>IFERROR(__xludf.DUMMYFUNCTION("""COMPUTED_VALUE"""),4.9465)</f>
        <v>4.9465</v>
      </c>
    </row>
    <row r="4375">
      <c r="D4375" s="6">
        <f>IFERROR(__xludf.DUMMYFUNCTION("""COMPUTED_VALUE"""),44546.99861111111)</f>
        <v>44546.99861</v>
      </c>
      <c r="E4375" s="3">
        <f>IFERROR(__xludf.DUMMYFUNCTION("""COMPUTED_VALUE"""),4.9465)</f>
        <v>4.9465</v>
      </c>
    </row>
    <row r="4376">
      <c r="D4376" s="6">
        <f>IFERROR(__xludf.DUMMYFUNCTION("""COMPUTED_VALUE"""),44547.99861111111)</f>
        <v>44547.99861</v>
      </c>
      <c r="E4376" s="3">
        <f>IFERROR(__xludf.DUMMYFUNCTION("""COMPUTED_VALUE"""),4.9474)</f>
        <v>4.9474</v>
      </c>
    </row>
    <row r="4377">
      <c r="D4377" s="6">
        <f>IFERROR(__xludf.DUMMYFUNCTION("""COMPUTED_VALUE"""),44549.99861111111)</f>
        <v>44549.99861</v>
      </c>
      <c r="E4377" s="3">
        <f>IFERROR(__xludf.DUMMYFUNCTION("""COMPUTED_VALUE"""),4.9474)</f>
        <v>4.9474</v>
      </c>
    </row>
    <row r="4378">
      <c r="D4378" s="6">
        <f>IFERROR(__xludf.DUMMYFUNCTION("""COMPUTED_VALUE"""),44550.99861111111)</f>
        <v>44550.99861</v>
      </c>
      <c r="E4378" s="3">
        <f>IFERROR(__xludf.DUMMYFUNCTION("""COMPUTED_VALUE"""),4.9462)</f>
        <v>4.9462</v>
      </c>
    </row>
    <row r="4379">
      <c r="D4379" s="6">
        <f>IFERROR(__xludf.DUMMYFUNCTION("""COMPUTED_VALUE"""),44551.99861111111)</f>
        <v>44551.99861</v>
      </c>
      <c r="E4379" s="3">
        <f>IFERROR(__xludf.DUMMYFUNCTION("""COMPUTED_VALUE"""),4.94)</f>
        <v>4.94</v>
      </c>
    </row>
    <row r="4380">
      <c r="D4380" s="6">
        <f>IFERROR(__xludf.DUMMYFUNCTION("""COMPUTED_VALUE"""),44552.99861111111)</f>
        <v>44552.99861</v>
      </c>
      <c r="E4380" s="3">
        <f>IFERROR(__xludf.DUMMYFUNCTION("""COMPUTED_VALUE"""),4.94)</f>
        <v>4.94</v>
      </c>
    </row>
    <row r="4381">
      <c r="D4381" s="6">
        <f>IFERROR(__xludf.DUMMYFUNCTION("""COMPUTED_VALUE"""),44553.99861111111)</f>
        <v>44553.99861</v>
      </c>
      <c r="E4381" s="3">
        <f>IFERROR(__xludf.DUMMYFUNCTION("""COMPUTED_VALUE"""),4.9469)</f>
        <v>4.9469</v>
      </c>
    </row>
    <row r="4382">
      <c r="D4382" s="6">
        <f>IFERROR(__xludf.DUMMYFUNCTION("""COMPUTED_VALUE"""),44554.99861111111)</f>
        <v>44554.99861</v>
      </c>
      <c r="E4382" s="3">
        <f>IFERROR(__xludf.DUMMYFUNCTION("""COMPUTED_VALUE"""),4.946)</f>
        <v>4.946</v>
      </c>
    </row>
    <row r="4383">
      <c r="D4383" s="6">
        <f>IFERROR(__xludf.DUMMYFUNCTION("""COMPUTED_VALUE"""),44556.99861111111)</f>
        <v>44556.99861</v>
      </c>
      <c r="E4383" s="3">
        <f>IFERROR(__xludf.DUMMYFUNCTION("""COMPUTED_VALUE"""),4.9473)</f>
        <v>4.9473</v>
      </c>
    </row>
    <row r="4384">
      <c r="D4384" s="6">
        <f>IFERROR(__xludf.DUMMYFUNCTION("""COMPUTED_VALUE"""),44557.99861111111)</f>
        <v>44557.99861</v>
      </c>
      <c r="E4384" s="3">
        <f>IFERROR(__xludf.DUMMYFUNCTION("""COMPUTED_VALUE"""),4.948)</f>
        <v>4.948</v>
      </c>
    </row>
    <row r="4385">
      <c r="D4385" s="6">
        <f>IFERROR(__xludf.DUMMYFUNCTION("""COMPUTED_VALUE"""),44558.99861111111)</f>
        <v>44558.99861</v>
      </c>
      <c r="E4385" s="3">
        <f>IFERROR(__xludf.DUMMYFUNCTION("""COMPUTED_VALUE"""),4.9465)</f>
        <v>4.9465</v>
      </c>
    </row>
    <row r="4386">
      <c r="D4386" s="6">
        <f>IFERROR(__xludf.DUMMYFUNCTION("""COMPUTED_VALUE"""),44559.99861111111)</f>
        <v>44559.99861</v>
      </c>
      <c r="E4386" s="3">
        <f>IFERROR(__xludf.DUMMYFUNCTION("""COMPUTED_VALUE"""),4.9479)</f>
        <v>4.9479</v>
      </c>
    </row>
    <row r="4387">
      <c r="D4387" s="6">
        <f>IFERROR(__xludf.DUMMYFUNCTION("""COMPUTED_VALUE"""),44560.99861111111)</f>
        <v>44560.99861</v>
      </c>
      <c r="E4387" s="3">
        <f>IFERROR(__xludf.DUMMYFUNCTION("""COMPUTED_VALUE"""),4.945)</f>
        <v>4.945</v>
      </c>
    </row>
    <row r="4388">
      <c r="D4388" s="6">
        <f>IFERROR(__xludf.DUMMYFUNCTION("""COMPUTED_VALUE"""),44561.99861111111)</f>
        <v>44561.99861</v>
      </c>
      <c r="E4388" s="3">
        <f>IFERROR(__xludf.DUMMYFUNCTION("""COMPUTED_VALUE"""),4.9461)</f>
        <v>4.9461</v>
      </c>
    </row>
    <row r="4389">
      <c r="D4389" s="6">
        <f>IFERROR(__xludf.DUMMYFUNCTION("""COMPUTED_VALUE"""),44563.99861111111)</f>
        <v>44563.99861</v>
      </c>
      <c r="E4389" s="3">
        <f>IFERROR(__xludf.DUMMYFUNCTION("""COMPUTED_VALUE"""),4.9461)</f>
        <v>4.9461</v>
      </c>
    </row>
    <row r="4390">
      <c r="D4390" s="6">
        <f>IFERROR(__xludf.DUMMYFUNCTION("""COMPUTED_VALUE"""),44564.99861111111)</f>
        <v>44564.99861</v>
      </c>
      <c r="E4390" s="3">
        <f>IFERROR(__xludf.DUMMYFUNCTION("""COMPUTED_VALUE"""),4.944)</f>
        <v>4.944</v>
      </c>
    </row>
    <row r="4391">
      <c r="D4391" s="6">
        <f>IFERROR(__xludf.DUMMYFUNCTION("""COMPUTED_VALUE"""),44565.99861111111)</f>
        <v>44565.99861</v>
      </c>
      <c r="E4391" s="3">
        <f>IFERROR(__xludf.DUMMYFUNCTION("""COMPUTED_VALUE"""),4.944)</f>
        <v>4.944</v>
      </c>
    </row>
    <row r="4392">
      <c r="D4392" s="6">
        <f>IFERROR(__xludf.DUMMYFUNCTION("""COMPUTED_VALUE"""),44566.99861111111)</f>
        <v>44566.99861</v>
      </c>
      <c r="E4392" s="3">
        <f>IFERROR(__xludf.DUMMYFUNCTION("""COMPUTED_VALUE"""),4.9435)</f>
        <v>4.9435</v>
      </c>
    </row>
    <row r="4393">
      <c r="D4393" s="6">
        <f>IFERROR(__xludf.DUMMYFUNCTION("""COMPUTED_VALUE"""),44567.99861111111)</f>
        <v>44567.99861</v>
      </c>
      <c r="E4393" s="3">
        <f>IFERROR(__xludf.DUMMYFUNCTION("""COMPUTED_VALUE"""),4.9362)</f>
        <v>4.9362</v>
      </c>
    </row>
    <row r="4394">
      <c r="D4394" s="6">
        <f>IFERROR(__xludf.DUMMYFUNCTION("""COMPUTED_VALUE"""),44568.99861111111)</f>
        <v>44568.99861</v>
      </c>
      <c r="E4394" s="3">
        <f>IFERROR(__xludf.DUMMYFUNCTION("""COMPUTED_VALUE"""),4.9421)</f>
        <v>4.9421</v>
      </c>
    </row>
    <row r="4395">
      <c r="D4395" s="6">
        <f>IFERROR(__xludf.DUMMYFUNCTION("""COMPUTED_VALUE"""),44570.99861111111)</f>
        <v>44570.99861</v>
      </c>
      <c r="E4395" s="3">
        <f>IFERROR(__xludf.DUMMYFUNCTION("""COMPUTED_VALUE"""),4.9421)</f>
        <v>4.9421</v>
      </c>
    </row>
    <row r="4396">
      <c r="D4396" s="6">
        <f>IFERROR(__xludf.DUMMYFUNCTION("""COMPUTED_VALUE"""),44571.99861111111)</f>
        <v>44571.99861</v>
      </c>
      <c r="E4396" s="3">
        <f>IFERROR(__xludf.DUMMYFUNCTION("""COMPUTED_VALUE"""),4.942)</f>
        <v>4.942</v>
      </c>
    </row>
    <row r="4397">
      <c r="D4397" s="6">
        <f>IFERROR(__xludf.DUMMYFUNCTION("""COMPUTED_VALUE"""),44572.99861111111)</f>
        <v>44572.99861</v>
      </c>
      <c r="E4397" s="3">
        <f>IFERROR(__xludf.DUMMYFUNCTION("""COMPUTED_VALUE"""),4.9422)</f>
        <v>4.9422</v>
      </c>
    </row>
    <row r="4398">
      <c r="D4398" s="6">
        <f>IFERROR(__xludf.DUMMYFUNCTION("""COMPUTED_VALUE"""),44573.99861111111)</f>
        <v>44573.99861</v>
      </c>
      <c r="E4398" s="3">
        <f>IFERROR(__xludf.DUMMYFUNCTION("""COMPUTED_VALUE"""),4.943)</f>
        <v>4.943</v>
      </c>
    </row>
    <row r="4399">
      <c r="D4399" s="6">
        <f>IFERROR(__xludf.DUMMYFUNCTION("""COMPUTED_VALUE"""),44574.99861111111)</f>
        <v>44574.99861</v>
      </c>
      <c r="E4399" s="3">
        <f>IFERROR(__xludf.DUMMYFUNCTION("""COMPUTED_VALUE"""),4.94)</f>
        <v>4.94</v>
      </c>
    </row>
    <row r="4400">
      <c r="D4400" s="6">
        <f>IFERROR(__xludf.DUMMYFUNCTION("""COMPUTED_VALUE"""),44575.99861111111)</f>
        <v>44575.99861</v>
      </c>
      <c r="E4400" s="3">
        <f>IFERROR(__xludf.DUMMYFUNCTION("""COMPUTED_VALUE"""),4.941)</f>
        <v>4.941</v>
      </c>
    </row>
    <row r="4401">
      <c r="D4401" s="6">
        <f>IFERROR(__xludf.DUMMYFUNCTION("""COMPUTED_VALUE"""),44577.99861111111)</f>
        <v>44577.99861</v>
      </c>
      <c r="E4401" s="3">
        <f>IFERROR(__xludf.DUMMYFUNCTION("""COMPUTED_VALUE"""),4.9415)</f>
        <v>4.9415</v>
      </c>
    </row>
    <row r="4402">
      <c r="D4402" s="6">
        <f>IFERROR(__xludf.DUMMYFUNCTION("""COMPUTED_VALUE"""),44578.99861111111)</f>
        <v>44578.99861</v>
      </c>
      <c r="E4402" s="3">
        <f>IFERROR(__xludf.DUMMYFUNCTION("""COMPUTED_VALUE"""),4.9419)</f>
        <v>4.9419</v>
      </c>
    </row>
    <row r="4403">
      <c r="D4403" s="6">
        <f>IFERROR(__xludf.DUMMYFUNCTION("""COMPUTED_VALUE"""),44579.99861111111)</f>
        <v>44579.99861</v>
      </c>
      <c r="E4403" s="3">
        <f>IFERROR(__xludf.DUMMYFUNCTION("""COMPUTED_VALUE"""),4.9405)</f>
        <v>4.9405</v>
      </c>
    </row>
    <row r="4404">
      <c r="D4404" s="6">
        <f>IFERROR(__xludf.DUMMYFUNCTION("""COMPUTED_VALUE"""),44580.99861111111)</f>
        <v>44580.99861</v>
      </c>
      <c r="E4404" s="3">
        <f>IFERROR(__xludf.DUMMYFUNCTION("""COMPUTED_VALUE"""),4.9419)</f>
        <v>4.9419</v>
      </c>
    </row>
    <row r="4405">
      <c r="D4405" s="6">
        <f>IFERROR(__xludf.DUMMYFUNCTION("""COMPUTED_VALUE"""),44581.99861111111)</f>
        <v>44581.99861</v>
      </c>
      <c r="E4405" s="3">
        <f>IFERROR(__xludf.DUMMYFUNCTION("""COMPUTED_VALUE"""),4.941)</f>
        <v>4.941</v>
      </c>
    </row>
    <row r="4406">
      <c r="D4406" s="6">
        <f>IFERROR(__xludf.DUMMYFUNCTION("""COMPUTED_VALUE"""),44582.99861111111)</f>
        <v>44582.99861</v>
      </c>
      <c r="E4406" s="3">
        <f>IFERROR(__xludf.DUMMYFUNCTION("""COMPUTED_VALUE"""),4.941)</f>
        <v>4.941</v>
      </c>
    </row>
    <row r="4407">
      <c r="D4407" s="6">
        <f>IFERROR(__xludf.DUMMYFUNCTION("""COMPUTED_VALUE"""),44584.99861111111)</f>
        <v>44584.99861</v>
      </c>
      <c r="E4407" s="3">
        <f>IFERROR(__xludf.DUMMYFUNCTION("""COMPUTED_VALUE"""),4.9426)</f>
        <v>4.9426</v>
      </c>
    </row>
    <row r="4408">
      <c r="D4408" s="6">
        <f>IFERROR(__xludf.DUMMYFUNCTION("""COMPUTED_VALUE"""),44585.99861111111)</f>
        <v>44585.99861</v>
      </c>
      <c r="E4408" s="3">
        <f>IFERROR(__xludf.DUMMYFUNCTION("""COMPUTED_VALUE"""),4.9426)</f>
        <v>4.9426</v>
      </c>
    </row>
    <row r="4409">
      <c r="D4409" s="6">
        <f>IFERROR(__xludf.DUMMYFUNCTION("""COMPUTED_VALUE"""),44586.99861111111)</f>
        <v>44586.99861</v>
      </c>
      <c r="E4409" s="3">
        <f>IFERROR(__xludf.DUMMYFUNCTION("""COMPUTED_VALUE"""),4.9427)</f>
        <v>4.9427</v>
      </c>
    </row>
    <row r="4410">
      <c r="D4410" s="6">
        <f>IFERROR(__xludf.DUMMYFUNCTION("""COMPUTED_VALUE"""),44587.99861111111)</f>
        <v>44587.99861</v>
      </c>
      <c r="E4410" s="3">
        <f>IFERROR(__xludf.DUMMYFUNCTION("""COMPUTED_VALUE"""),4.9423)</f>
        <v>4.9423</v>
      </c>
    </row>
    <row r="4411">
      <c r="D4411" s="6">
        <f>IFERROR(__xludf.DUMMYFUNCTION("""COMPUTED_VALUE"""),44588.99861111111)</f>
        <v>44588.99861</v>
      </c>
      <c r="E4411" s="3">
        <f>IFERROR(__xludf.DUMMYFUNCTION("""COMPUTED_VALUE"""),4.942)</f>
        <v>4.942</v>
      </c>
    </row>
    <row r="4412">
      <c r="D4412" s="6">
        <f>IFERROR(__xludf.DUMMYFUNCTION("""COMPUTED_VALUE"""),44589.99861111111)</f>
        <v>44589.99861</v>
      </c>
      <c r="E4412" s="3">
        <f>IFERROR(__xludf.DUMMYFUNCTION("""COMPUTED_VALUE"""),4.942)</f>
        <v>4.942</v>
      </c>
    </row>
    <row r="4413">
      <c r="D4413" s="6">
        <f>IFERROR(__xludf.DUMMYFUNCTION("""COMPUTED_VALUE"""),44591.99861111111)</f>
        <v>44591.99861</v>
      </c>
      <c r="E4413" s="3">
        <f>IFERROR(__xludf.DUMMYFUNCTION("""COMPUTED_VALUE"""),4.9434)</f>
        <v>4.9434</v>
      </c>
    </row>
    <row r="4414">
      <c r="D4414" s="6">
        <f>IFERROR(__xludf.DUMMYFUNCTION("""COMPUTED_VALUE"""),44592.99861111111)</f>
        <v>44592.99861</v>
      </c>
      <c r="E4414" s="3">
        <f>IFERROR(__xludf.DUMMYFUNCTION("""COMPUTED_VALUE"""),4.9432)</f>
        <v>4.9432</v>
      </c>
    </row>
    <row r="4415">
      <c r="D4415" s="6">
        <f>IFERROR(__xludf.DUMMYFUNCTION("""COMPUTED_VALUE"""),44593.99861111111)</f>
        <v>44593.99861</v>
      </c>
      <c r="E4415" s="3">
        <f>IFERROR(__xludf.DUMMYFUNCTION("""COMPUTED_VALUE"""),4.9435)</f>
        <v>4.9435</v>
      </c>
    </row>
    <row r="4416">
      <c r="D4416" s="6">
        <f>IFERROR(__xludf.DUMMYFUNCTION("""COMPUTED_VALUE"""),44594.99861111111)</f>
        <v>44594.99861</v>
      </c>
      <c r="E4416" s="3">
        <f>IFERROR(__xludf.DUMMYFUNCTION("""COMPUTED_VALUE"""),4.9422)</f>
        <v>4.9422</v>
      </c>
    </row>
    <row r="4417">
      <c r="D4417" s="6">
        <f>IFERROR(__xludf.DUMMYFUNCTION("""COMPUTED_VALUE"""),44595.99861111111)</f>
        <v>44595.99861</v>
      </c>
      <c r="E4417" s="3">
        <f>IFERROR(__xludf.DUMMYFUNCTION("""COMPUTED_VALUE"""),4.9422)</f>
        <v>4.9422</v>
      </c>
    </row>
    <row r="4418">
      <c r="D4418" s="6">
        <f>IFERROR(__xludf.DUMMYFUNCTION("""COMPUTED_VALUE"""),44596.99861111111)</f>
        <v>44596.99861</v>
      </c>
      <c r="E4418" s="3">
        <f>IFERROR(__xludf.DUMMYFUNCTION("""COMPUTED_VALUE"""),4.91)</f>
        <v>4.91</v>
      </c>
    </row>
    <row r="4419">
      <c r="D4419" s="6">
        <f>IFERROR(__xludf.DUMMYFUNCTION("""COMPUTED_VALUE"""),44598.99861111111)</f>
        <v>44598.99861</v>
      </c>
      <c r="E4419" s="3">
        <f>IFERROR(__xludf.DUMMYFUNCTION("""COMPUTED_VALUE"""),4.944)</f>
        <v>4.944</v>
      </c>
    </row>
    <row r="4420">
      <c r="D4420" s="6">
        <f>IFERROR(__xludf.DUMMYFUNCTION("""COMPUTED_VALUE"""),44599.99861111111)</f>
        <v>44599.99861</v>
      </c>
      <c r="E4420" s="3">
        <f>IFERROR(__xludf.DUMMYFUNCTION("""COMPUTED_VALUE"""),4.9428)</f>
        <v>4.9428</v>
      </c>
    </row>
    <row r="4421">
      <c r="D4421" s="6">
        <f>IFERROR(__xludf.DUMMYFUNCTION("""COMPUTED_VALUE"""),44600.99861111111)</f>
        <v>44600.99861</v>
      </c>
      <c r="E4421" s="3">
        <f>IFERROR(__xludf.DUMMYFUNCTION("""COMPUTED_VALUE"""),4.9425)</f>
        <v>4.9425</v>
      </c>
    </row>
    <row r="4422">
      <c r="D4422" s="6">
        <f>IFERROR(__xludf.DUMMYFUNCTION("""COMPUTED_VALUE"""),44601.99861111111)</f>
        <v>44601.99861</v>
      </c>
      <c r="E4422" s="3">
        <f>IFERROR(__xludf.DUMMYFUNCTION("""COMPUTED_VALUE"""),4.9408)</f>
        <v>4.9408</v>
      </c>
    </row>
    <row r="4423">
      <c r="D4423" s="6">
        <f>IFERROR(__xludf.DUMMYFUNCTION("""COMPUTED_VALUE"""),44602.99861111111)</f>
        <v>44602.99861</v>
      </c>
      <c r="E4423" s="3">
        <f>IFERROR(__xludf.DUMMYFUNCTION("""COMPUTED_VALUE"""),4.939)</f>
        <v>4.939</v>
      </c>
    </row>
    <row r="4424">
      <c r="D4424" s="6">
        <f>IFERROR(__xludf.DUMMYFUNCTION("""COMPUTED_VALUE"""),44603.99861111111)</f>
        <v>44603.99861</v>
      </c>
      <c r="E4424" s="3">
        <f>IFERROR(__xludf.DUMMYFUNCTION("""COMPUTED_VALUE"""),4.9433)</f>
        <v>4.9433</v>
      </c>
    </row>
    <row r="4425">
      <c r="D4425" s="6">
        <f>IFERROR(__xludf.DUMMYFUNCTION("""COMPUTED_VALUE"""),44605.99861111111)</f>
        <v>44605.99861</v>
      </c>
      <c r="E4425" s="3">
        <f>IFERROR(__xludf.DUMMYFUNCTION("""COMPUTED_VALUE"""),4.9433)</f>
        <v>4.9433</v>
      </c>
    </row>
    <row r="4426">
      <c r="D4426" s="6">
        <f>IFERROR(__xludf.DUMMYFUNCTION("""COMPUTED_VALUE"""),44606.99861111111)</f>
        <v>44606.99861</v>
      </c>
      <c r="E4426" s="3">
        <f>IFERROR(__xludf.DUMMYFUNCTION("""COMPUTED_VALUE"""),4.9417)</f>
        <v>4.9417</v>
      </c>
    </row>
    <row r="4427">
      <c r="D4427" s="6">
        <f>IFERROR(__xludf.DUMMYFUNCTION("""COMPUTED_VALUE"""),44607.99861111111)</f>
        <v>44607.99861</v>
      </c>
      <c r="E4427" s="3">
        <f>IFERROR(__xludf.DUMMYFUNCTION("""COMPUTED_VALUE"""),4.9344)</f>
        <v>4.9344</v>
      </c>
    </row>
    <row r="4428">
      <c r="D4428" s="6">
        <f>IFERROR(__xludf.DUMMYFUNCTION("""COMPUTED_VALUE"""),44608.99861111111)</f>
        <v>44608.99861</v>
      </c>
      <c r="E4428" s="3">
        <f>IFERROR(__xludf.DUMMYFUNCTION("""COMPUTED_VALUE"""),4.9343)</f>
        <v>4.9343</v>
      </c>
    </row>
    <row r="4429">
      <c r="D4429" s="6">
        <f>IFERROR(__xludf.DUMMYFUNCTION("""COMPUTED_VALUE"""),44609.99861111111)</f>
        <v>44609.99861</v>
      </c>
      <c r="E4429" s="3">
        <f>IFERROR(__xludf.DUMMYFUNCTION("""COMPUTED_VALUE"""),4.9375)</f>
        <v>4.9375</v>
      </c>
    </row>
    <row r="4430">
      <c r="D4430" s="6">
        <f>IFERROR(__xludf.DUMMYFUNCTION("""COMPUTED_VALUE"""),44610.99861111111)</f>
        <v>44610.99861</v>
      </c>
      <c r="E4430" s="3">
        <f>IFERROR(__xludf.DUMMYFUNCTION("""COMPUTED_VALUE"""),4.9375)</f>
        <v>4.9375</v>
      </c>
    </row>
    <row r="4431">
      <c r="D4431" s="6">
        <f>IFERROR(__xludf.DUMMYFUNCTION("""COMPUTED_VALUE"""),44612.99861111111)</f>
        <v>44612.99861</v>
      </c>
      <c r="E4431" s="3">
        <f>IFERROR(__xludf.DUMMYFUNCTION("""COMPUTED_VALUE"""),4.9425)</f>
        <v>4.9425</v>
      </c>
    </row>
    <row r="4432">
      <c r="D4432" s="6">
        <f>IFERROR(__xludf.DUMMYFUNCTION("""COMPUTED_VALUE"""),44613.99861111111)</f>
        <v>44613.99861</v>
      </c>
      <c r="E4432" s="3">
        <f>IFERROR(__xludf.DUMMYFUNCTION("""COMPUTED_VALUE"""),4.9427)</f>
        <v>4.9427</v>
      </c>
    </row>
    <row r="4433">
      <c r="D4433" s="6">
        <f>IFERROR(__xludf.DUMMYFUNCTION("""COMPUTED_VALUE"""),44614.99861111111)</f>
        <v>44614.99861</v>
      </c>
      <c r="E4433" s="3">
        <f>IFERROR(__xludf.DUMMYFUNCTION("""COMPUTED_VALUE"""),4.94)</f>
        <v>4.94</v>
      </c>
    </row>
    <row r="4434">
      <c r="D4434" s="6">
        <f>IFERROR(__xludf.DUMMYFUNCTION("""COMPUTED_VALUE"""),44615.99861111111)</f>
        <v>44615.99861</v>
      </c>
      <c r="E4434" s="3">
        <f>IFERROR(__xludf.DUMMYFUNCTION("""COMPUTED_VALUE"""),4.943)</f>
        <v>4.943</v>
      </c>
    </row>
    <row r="4435">
      <c r="D4435" s="6">
        <f>IFERROR(__xludf.DUMMYFUNCTION("""COMPUTED_VALUE"""),44616.99861111111)</f>
        <v>44616.99861</v>
      </c>
      <c r="E4435" s="3">
        <f>IFERROR(__xludf.DUMMYFUNCTION("""COMPUTED_VALUE"""),4.945)</f>
        <v>4.945</v>
      </c>
    </row>
    <row r="4436">
      <c r="D4436" s="6">
        <f>IFERROR(__xludf.DUMMYFUNCTION("""COMPUTED_VALUE"""),44617.99861111111)</f>
        <v>44617.99861</v>
      </c>
      <c r="E4436" s="3">
        <f>IFERROR(__xludf.DUMMYFUNCTION("""COMPUTED_VALUE"""),4.9454)</f>
        <v>4.9454</v>
      </c>
    </row>
    <row r="4437">
      <c r="D4437" s="6">
        <f>IFERROR(__xludf.DUMMYFUNCTION("""COMPUTED_VALUE"""),44619.99861111111)</f>
        <v>44619.99861</v>
      </c>
      <c r="E4437" s="3">
        <f>IFERROR(__xludf.DUMMYFUNCTION("""COMPUTED_VALUE"""),4.9454)</f>
        <v>4.9454</v>
      </c>
    </row>
    <row r="4438">
      <c r="D4438" s="6">
        <f>IFERROR(__xludf.DUMMYFUNCTION("""COMPUTED_VALUE"""),44620.99861111111)</f>
        <v>44620.99861</v>
      </c>
      <c r="E4438" s="3">
        <f>IFERROR(__xludf.DUMMYFUNCTION("""COMPUTED_VALUE"""),4.9458)</f>
        <v>4.9458</v>
      </c>
    </row>
    <row r="4439">
      <c r="D4439" s="6">
        <f>IFERROR(__xludf.DUMMYFUNCTION("""COMPUTED_VALUE"""),44621.99861111111)</f>
        <v>44621.99861</v>
      </c>
      <c r="E4439" s="3">
        <f>IFERROR(__xludf.DUMMYFUNCTION("""COMPUTED_VALUE"""),4.9454)</f>
        <v>4.9454</v>
      </c>
    </row>
    <row r="4440">
      <c r="D4440" s="6">
        <f>IFERROR(__xludf.DUMMYFUNCTION("""COMPUTED_VALUE"""),44622.99861111111)</f>
        <v>44622.99861</v>
      </c>
      <c r="E4440" s="3">
        <f>IFERROR(__xludf.DUMMYFUNCTION("""COMPUTED_VALUE"""),4.9425)</f>
        <v>4.9425</v>
      </c>
    </row>
    <row r="4441">
      <c r="D4441" s="6">
        <f>IFERROR(__xludf.DUMMYFUNCTION("""COMPUTED_VALUE"""),44623.99861111111)</f>
        <v>44623.99861</v>
      </c>
      <c r="E4441" s="3">
        <f>IFERROR(__xludf.DUMMYFUNCTION("""COMPUTED_VALUE"""),4.9467)</f>
        <v>4.9467</v>
      </c>
    </row>
    <row r="4442">
      <c r="D4442" s="6">
        <f>IFERROR(__xludf.DUMMYFUNCTION("""COMPUTED_VALUE"""),44624.99861111111)</f>
        <v>44624.99861</v>
      </c>
      <c r="E4442" s="3">
        <f>IFERROR(__xludf.DUMMYFUNCTION("""COMPUTED_VALUE"""),4.9492)</f>
        <v>4.9492</v>
      </c>
    </row>
    <row r="4443">
      <c r="D4443" s="6">
        <f>IFERROR(__xludf.DUMMYFUNCTION("""COMPUTED_VALUE"""),44626.99861111111)</f>
        <v>44626.99861</v>
      </c>
      <c r="E4443" s="3">
        <f>IFERROR(__xludf.DUMMYFUNCTION("""COMPUTED_VALUE"""),4.9492)</f>
        <v>4.9492</v>
      </c>
    </row>
    <row r="4444">
      <c r="D4444" s="6">
        <f>IFERROR(__xludf.DUMMYFUNCTION("""COMPUTED_VALUE"""),44627.99861111111)</f>
        <v>44627.99861</v>
      </c>
      <c r="E4444" s="3">
        <f>IFERROR(__xludf.DUMMYFUNCTION("""COMPUTED_VALUE"""),4.9467)</f>
        <v>4.9467</v>
      </c>
    </row>
    <row r="4445">
      <c r="D4445" s="6">
        <f>IFERROR(__xludf.DUMMYFUNCTION("""COMPUTED_VALUE"""),44628.99861111111)</f>
        <v>44628.99861</v>
      </c>
      <c r="E4445" s="3">
        <f>IFERROR(__xludf.DUMMYFUNCTION("""COMPUTED_VALUE"""),4.9455)</f>
        <v>4.9455</v>
      </c>
    </row>
    <row r="4446">
      <c r="D4446" s="6">
        <f>IFERROR(__xludf.DUMMYFUNCTION("""COMPUTED_VALUE"""),44629.99861111111)</f>
        <v>44629.99861</v>
      </c>
      <c r="E4446" s="3">
        <f>IFERROR(__xludf.DUMMYFUNCTION("""COMPUTED_VALUE"""),4.9455)</f>
        <v>4.9455</v>
      </c>
    </row>
    <row r="4447">
      <c r="D4447" s="6">
        <f>IFERROR(__xludf.DUMMYFUNCTION("""COMPUTED_VALUE"""),44630.99861111111)</f>
        <v>44630.99861</v>
      </c>
      <c r="E4447" s="3">
        <f>IFERROR(__xludf.DUMMYFUNCTION("""COMPUTED_VALUE"""),4.947)</f>
        <v>4.947</v>
      </c>
    </row>
    <row r="4448">
      <c r="D4448" s="6">
        <f>IFERROR(__xludf.DUMMYFUNCTION("""COMPUTED_VALUE"""),44631.99861111111)</f>
        <v>44631.99861</v>
      </c>
      <c r="E4448" s="3">
        <f>IFERROR(__xludf.DUMMYFUNCTION("""COMPUTED_VALUE"""),4.9465)</f>
        <v>4.9465</v>
      </c>
    </row>
    <row r="4449">
      <c r="D4449" s="6">
        <f>IFERROR(__xludf.DUMMYFUNCTION("""COMPUTED_VALUE"""),44633.99861111111)</f>
        <v>44633.99861</v>
      </c>
      <c r="E4449" s="3">
        <f>IFERROR(__xludf.DUMMYFUNCTION("""COMPUTED_VALUE"""),4.9462)</f>
        <v>4.9462</v>
      </c>
    </row>
    <row r="4450">
      <c r="D4450" s="6">
        <f>IFERROR(__xludf.DUMMYFUNCTION("""COMPUTED_VALUE"""),44634.99861111111)</f>
        <v>44634.99861</v>
      </c>
      <c r="E4450" s="3">
        <f>IFERROR(__xludf.DUMMYFUNCTION("""COMPUTED_VALUE"""),4.944)</f>
        <v>4.944</v>
      </c>
    </row>
    <row r="4451">
      <c r="D4451" s="6">
        <f>IFERROR(__xludf.DUMMYFUNCTION("""COMPUTED_VALUE"""),44635.99861111111)</f>
        <v>44635.99861</v>
      </c>
      <c r="E4451" s="3">
        <f>IFERROR(__xludf.DUMMYFUNCTION("""COMPUTED_VALUE"""),4.9454)</f>
        <v>4.9454</v>
      </c>
    </row>
    <row r="4452">
      <c r="D4452" s="6">
        <f>IFERROR(__xludf.DUMMYFUNCTION("""COMPUTED_VALUE"""),44636.99861111111)</f>
        <v>44636.99861</v>
      </c>
      <c r="E4452" s="3">
        <f>IFERROR(__xludf.DUMMYFUNCTION("""COMPUTED_VALUE"""),4.9424)</f>
        <v>4.9424</v>
      </c>
    </row>
    <row r="4453">
      <c r="D4453" s="6">
        <f>IFERROR(__xludf.DUMMYFUNCTION("""COMPUTED_VALUE"""),44637.99861111111)</f>
        <v>44637.99861</v>
      </c>
      <c r="E4453" s="3">
        <f>IFERROR(__xludf.DUMMYFUNCTION("""COMPUTED_VALUE"""),4.9452)</f>
        <v>4.9452</v>
      </c>
    </row>
    <row r="4454">
      <c r="D4454" s="6">
        <f>IFERROR(__xludf.DUMMYFUNCTION("""COMPUTED_VALUE"""),44638.99861111111)</f>
        <v>44638.99861</v>
      </c>
      <c r="E4454" s="3">
        <f>IFERROR(__xludf.DUMMYFUNCTION("""COMPUTED_VALUE"""),4.9455)</f>
        <v>4.9455</v>
      </c>
    </row>
    <row r="4455">
      <c r="D4455" s="6">
        <f>IFERROR(__xludf.DUMMYFUNCTION("""COMPUTED_VALUE"""),44640.99861111111)</f>
        <v>44640.99861</v>
      </c>
      <c r="E4455" s="3">
        <f>IFERROR(__xludf.DUMMYFUNCTION("""COMPUTED_VALUE"""),4.9455)</f>
        <v>4.9455</v>
      </c>
    </row>
    <row r="4456">
      <c r="D4456" s="6">
        <f>IFERROR(__xludf.DUMMYFUNCTION("""COMPUTED_VALUE"""),44641.99861111111)</f>
        <v>44641.99861</v>
      </c>
      <c r="E4456" s="3">
        <f>IFERROR(__xludf.DUMMYFUNCTION("""COMPUTED_VALUE"""),4.9445)</f>
        <v>4.9445</v>
      </c>
    </row>
    <row r="4457">
      <c r="D4457" s="6">
        <f>IFERROR(__xludf.DUMMYFUNCTION("""COMPUTED_VALUE"""),44642.99861111111)</f>
        <v>44642.99861</v>
      </c>
      <c r="E4457" s="3">
        <f>IFERROR(__xludf.DUMMYFUNCTION("""COMPUTED_VALUE"""),4.9426)</f>
        <v>4.9426</v>
      </c>
    </row>
    <row r="4458">
      <c r="D4458" s="6">
        <f>IFERROR(__xludf.DUMMYFUNCTION("""COMPUTED_VALUE"""),44643.99861111111)</f>
        <v>44643.99861</v>
      </c>
      <c r="E4458" s="3">
        <f>IFERROR(__xludf.DUMMYFUNCTION("""COMPUTED_VALUE"""),4.9415)</f>
        <v>4.9415</v>
      </c>
    </row>
    <row r="4459">
      <c r="D4459" s="6">
        <f>IFERROR(__xludf.DUMMYFUNCTION("""COMPUTED_VALUE"""),44644.99861111111)</f>
        <v>44644.99861</v>
      </c>
      <c r="E4459" s="3">
        <f>IFERROR(__xludf.DUMMYFUNCTION("""COMPUTED_VALUE"""),4.9447)</f>
        <v>4.9447</v>
      </c>
    </row>
    <row r="4460">
      <c r="D4460" s="6">
        <f>IFERROR(__xludf.DUMMYFUNCTION("""COMPUTED_VALUE"""),44645.99861111111)</f>
        <v>44645.99861</v>
      </c>
      <c r="E4460" s="3">
        <f>IFERROR(__xludf.DUMMYFUNCTION("""COMPUTED_VALUE"""),4.9458)</f>
        <v>4.9458</v>
      </c>
    </row>
    <row r="4461">
      <c r="D4461" s="6">
        <f>IFERROR(__xludf.DUMMYFUNCTION("""COMPUTED_VALUE"""),44647.99861111111)</f>
        <v>44647.99861</v>
      </c>
      <c r="E4461" s="3">
        <f>IFERROR(__xludf.DUMMYFUNCTION("""COMPUTED_VALUE"""),4.9484)</f>
        <v>4.9484</v>
      </c>
    </row>
    <row r="4462">
      <c r="D4462" s="6">
        <f>IFERROR(__xludf.DUMMYFUNCTION("""COMPUTED_VALUE"""),44648.99861111111)</f>
        <v>44648.99861</v>
      </c>
      <c r="E4462" s="3">
        <f>IFERROR(__xludf.DUMMYFUNCTION("""COMPUTED_VALUE"""),4.9477)</f>
        <v>4.9477</v>
      </c>
    </row>
    <row r="4463">
      <c r="D4463" s="6">
        <f>IFERROR(__xludf.DUMMYFUNCTION("""COMPUTED_VALUE"""),44649.99861111111)</f>
        <v>44649.99861</v>
      </c>
      <c r="E4463" s="3">
        <f>IFERROR(__xludf.DUMMYFUNCTION("""COMPUTED_VALUE"""),4.9459)</f>
        <v>4.9459</v>
      </c>
    </row>
    <row r="4464">
      <c r="D4464" s="6">
        <f>IFERROR(__xludf.DUMMYFUNCTION("""COMPUTED_VALUE"""),44650.99861111111)</f>
        <v>44650.99861</v>
      </c>
      <c r="E4464" s="3">
        <f>IFERROR(__xludf.DUMMYFUNCTION("""COMPUTED_VALUE"""),4.9445)</f>
        <v>4.9445</v>
      </c>
    </row>
    <row r="4465">
      <c r="D4465" s="6">
        <f>IFERROR(__xludf.DUMMYFUNCTION("""COMPUTED_VALUE"""),44651.99861111111)</f>
        <v>44651.99861</v>
      </c>
      <c r="E4465" s="3">
        <f>IFERROR(__xludf.DUMMYFUNCTION("""COMPUTED_VALUE"""),4.9412)</f>
        <v>4.9412</v>
      </c>
    </row>
    <row r="4466">
      <c r="D4466" s="6">
        <f>IFERROR(__xludf.DUMMYFUNCTION("""COMPUTED_VALUE"""),44652.99861111111)</f>
        <v>44652.99861</v>
      </c>
      <c r="E4466" s="3">
        <f>IFERROR(__xludf.DUMMYFUNCTION("""COMPUTED_VALUE"""),4.9439)</f>
        <v>4.9439</v>
      </c>
    </row>
    <row r="4467">
      <c r="D4467" s="6">
        <f>IFERROR(__xludf.DUMMYFUNCTION("""COMPUTED_VALUE"""),44654.99861111111)</f>
        <v>44654.99861</v>
      </c>
      <c r="E4467" s="3">
        <f>IFERROR(__xludf.DUMMYFUNCTION("""COMPUTED_VALUE"""),4.9439)</f>
        <v>4.9439</v>
      </c>
    </row>
    <row r="4468">
      <c r="D4468" s="6">
        <f>IFERROR(__xludf.DUMMYFUNCTION("""COMPUTED_VALUE"""),44655.99861111111)</f>
        <v>44655.99861</v>
      </c>
      <c r="E4468" s="3">
        <f>IFERROR(__xludf.DUMMYFUNCTION("""COMPUTED_VALUE"""),4.9414)</f>
        <v>4.9414</v>
      </c>
    </row>
    <row r="4469">
      <c r="D4469" s="6">
        <f>IFERROR(__xludf.DUMMYFUNCTION("""COMPUTED_VALUE"""),44656.99861111111)</f>
        <v>44656.99861</v>
      </c>
      <c r="E4469" s="3">
        <f>IFERROR(__xludf.DUMMYFUNCTION("""COMPUTED_VALUE"""),4.9435)</f>
        <v>4.9435</v>
      </c>
    </row>
    <row r="4470">
      <c r="D4470" s="6">
        <f>IFERROR(__xludf.DUMMYFUNCTION("""COMPUTED_VALUE"""),44657.99861111111)</f>
        <v>44657.99861</v>
      </c>
      <c r="E4470" s="3">
        <f>IFERROR(__xludf.DUMMYFUNCTION("""COMPUTED_VALUE"""),4.938)</f>
        <v>4.938</v>
      </c>
    </row>
    <row r="4471">
      <c r="D4471" s="6">
        <f>IFERROR(__xludf.DUMMYFUNCTION("""COMPUTED_VALUE"""),44658.99861111111)</f>
        <v>44658.99861</v>
      </c>
      <c r="E4471" s="3">
        <f>IFERROR(__xludf.DUMMYFUNCTION("""COMPUTED_VALUE"""),4.9408)</f>
        <v>4.9408</v>
      </c>
    </row>
    <row r="4472">
      <c r="D4472" s="6">
        <f>IFERROR(__xludf.DUMMYFUNCTION("""COMPUTED_VALUE"""),44659.99861111111)</f>
        <v>44659.99861</v>
      </c>
      <c r="E4472" s="3">
        <f>IFERROR(__xludf.DUMMYFUNCTION("""COMPUTED_VALUE"""),4.938)</f>
        <v>4.938</v>
      </c>
    </row>
    <row r="4473">
      <c r="D4473" s="6">
        <f>IFERROR(__xludf.DUMMYFUNCTION("""COMPUTED_VALUE"""),44661.99861111111)</f>
        <v>44661.99861</v>
      </c>
      <c r="E4473" s="3">
        <f>IFERROR(__xludf.DUMMYFUNCTION("""COMPUTED_VALUE"""),4.9418)</f>
        <v>4.9418</v>
      </c>
    </row>
    <row r="4474">
      <c r="D4474" s="6">
        <f>IFERROR(__xludf.DUMMYFUNCTION("""COMPUTED_VALUE"""),44662.99861111111)</f>
        <v>44662.99861</v>
      </c>
      <c r="E4474" s="3">
        <f>IFERROR(__xludf.DUMMYFUNCTION("""COMPUTED_VALUE"""),4.9394)</f>
        <v>4.9394</v>
      </c>
    </row>
    <row r="4475">
      <c r="D4475" s="6">
        <f>IFERROR(__xludf.DUMMYFUNCTION("""COMPUTED_VALUE"""),44663.99861111111)</f>
        <v>44663.99861</v>
      </c>
      <c r="E4475" s="3">
        <f>IFERROR(__xludf.DUMMYFUNCTION("""COMPUTED_VALUE"""),4.935)</f>
        <v>4.935</v>
      </c>
    </row>
    <row r="4476">
      <c r="D4476" s="6">
        <f>IFERROR(__xludf.DUMMYFUNCTION("""COMPUTED_VALUE"""),44664.99861111111)</f>
        <v>44664.99861</v>
      </c>
      <c r="E4476" s="3">
        <f>IFERROR(__xludf.DUMMYFUNCTION("""COMPUTED_VALUE"""),4.9375)</f>
        <v>4.9375</v>
      </c>
    </row>
    <row r="4477">
      <c r="D4477" s="6">
        <f>IFERROR(__xludf.DUMMYFUNCTION("""COMPUTED_VALUE"""),44665.99861111111)</f>
        <v>44665.99861</v>
      </c>
      <c r="E4477" s="3">
        <f>IFERROR(__xludf.DUMMYFUNCTION("""COMPUTED_VALUE"""),4.936)</f>
        <v>4.936</v>
      </c>
    </row>
    <row r="4478">
      <c r="D4478" s="6">
        <f>IFERROR(__xludf.DUMMYFUNCTION("""COMPUTED_VALUE"""),44666.99861111111)</f>
        <v>44666.99861</v>
      </c>
      <c r="E4478" s="3">
        <f>IFERROR(__xludf.DUMMYFUNCTION("""COMPUTED_VALUE"""),4.9404)</f>
        <v>4.9404</v>
      </c>
    </row>
    <row r="4479">
      <c r="D4479" s="6">
        <f>IFERROR(__xludf.DUMMYFUNCTION("""COMPUTED_VALUE"""),44668.99861111111)</f>
        <v>44668.99861</v>
      </c>
      <c r="E4479" s="3">
        <f>IFERROR(__xludf.DUMMYFUNCTION("""COMPUTED_VALUE"""),4.9404)</f>
        <v>4.9404</v>
      </c>
    </row>
    <row r="4480">
      <c r="D4480" s="6">
        <f>IFERROR(__xludf.DUMMYFUNCTION("""COMPUTED_VALUE"""),44669.99861111111)</f>
        <v>44669.99861</v>
      </c>
      <c r="E4480" s="3">
        <f>IFERROR(__xludf.DUMMYFUNCTION("""COMPUTED_VALUE"""),4.9338)</f>
        <v>4.9338</v>
      </c>
    </row>
    <row r="4481">
      <c r="D4481" s="6">
        <f>IFERROR(__xludf.DUMMYFUNCTION("""COMPUTED_VALUE"""),44670.99861111111)</f>
        <v>44670.99861</v>
      </c>
      <c r="E4481" s="3">
        <f>IFERROR(__xludf.DUMMYFUNCTION("""COMPUTED_VALUE"""),4.919)</f>
        <v>4.919</v>
      </c>
    </row>
    <row r="4482">
      <c r="D4482" s="6">
        <f>IFERROR(__xludf.DUMMYFUNCTION("""COMPUTED_VALUE"""),44671.99861111111)</f>
        <v>44671.99861</v>
      </c>
      <c r="E4482" s="3">
        <f>IFERROR(__xludf.DUMMYFUNCTION("""COMPUTED_VALUE"""),4.94)</f>
        <v>4.94</v>
      </c>
    </row>
    <row r="4483">
      <c r="D4483" s="6">
        <f>IFERROR(__xludf.DUMMYFUNCTION("""COMPUTED_VALUE"""),44672.99861111111)</f>
        <v>44672.99861</v>
      </c>
      <c r="E4483" s="3">
        <f>IFERROR(__xludf.DUMMYFUNCTION("""COMPUTED_VALUE"""),4.4)</f>
        <v>4.4</v>
      </c>
    </row>
    <row r="4484">
      <c r="D4484" s="6">
        <f>IFERROR(__xludf.DUMMYFUNCTION("""COMPUTED_VALUE"""),44673.99861111111)</f>
        <v>44673.99861</v>
      </c>
      <c r="E4484" s="3">
        <f>IFERROR(__xludf.DUMMYFUNCTION("""COMPUTED_VALUE"""),4.938)</f>
        <v>4.938</v>
      </c>
    </row>
    <row r="4485">
      <c r="D4485" s="6">
        <f>IFERROR(__xludf.DUMMYFUNCTION("""COMPUTED_VALUE"""),44675.99861111111)</f>
        <v>44675.99861</v>
      </c>
      <c r="E4485" s="3">
        <f>IFERROR(__xludf.DUMMYFUNCTION("""COMPUTED_VALUE"""),4.9433)</f>
        <v>4.9433</v>
      </c>
    </row>
    <row r="4486">
      <c r="D4486" s="6">
        <f>IFERROR(__xludf.DUMMYFUNCTION("""COMPUTED_VALUE"""),44676.99861111111)</f>
        <v>44676.99861</v>
      </c>
      <c r="E4486" s="3">
        <f>IFERROR(__xludf.DUMMYFUNCTION("""COMPUTED_VALUE"""),4.938)</f>
        <v>4.938</v>
      </c>
    </row>
    <row r="4487">
      <c r="D4487" s="6">
        <f>IFERROR(__xludf.DUMMYFUNCTION("""COMPUTED_VALUE"""),44677.99861111111)</f>
        <v>44677.99861</v>
      </c>
      <c r="E4487" s="3">
        <f>IFERROR(__xludf.DUMMYFUNCTION("""COMPUTED_VALUE"""),4.9446)</f>
        <v>4.9446</v>
      </c>
    </row>
    <row r="4488">
      <c r="D4488" s="6">
        <f>IFERROR(__xludf.DUMMYFUNCTION("""COMPUTED_VALUE"""),44678.99861111111)</f>
        <v>44678.99861</v>
      </c>
      <c r="E4488" s="3">
        <f>IFERROR(__xludf.DUMMYFUNCTION("""COMPUTED_VALUE"""),4.9475)</f>
        <v>4.9475</v>
      </c>
    </row>
    <row r="4489">
      <c r="D4489" s="6">
        <f>IFERROR(__xludf.DUMMYFUNCTION("""COMPUTED_VALUE"""),44679.99861111111)</f>
        <v>44679.99861</v>
      </c>
      <c r="E4489" s="3">
        <f>IFERROR(__xludf.DUMMYFUNCTION("""COMPUTED_VALUE"""),4.9445)</f>
        <v>4.9445</v>
      </c>
    </row>
    <row r="4490">
      <c r="D4490" s="6">
        <f>IFERROR(__xludf.DUMMYFUNCTION("""COMPUTED_VALUE"""),44680.99861111111)</f>
        <v>44680.99861</v>
      </c>
      <c r="E4490" s="3">
        <f>IFERROR(__xludf.DUMMYFUNCTION("""COMPUTED_VALUE"""),4.9473)</f>
        <v>4.9473</v>
      </c>
    </row>
    <row r="4491">
      <c r="D4491" s="6">
        <f>IFERROR(__xludf.DUMMYFUNCTION("""COMPUTED_VALUE"""),44682.99861111111)</f>
        <v>44682.99861</v>
      </c>
      <c r="E4491" s="3">
        <f>IFERROR(__xludf.DUMMYFUNCTION("""COMPUTED_VALUE"""),4.9473)</f>
        <v>4.9473</v>
      </c>
    </row>
    <row r="4492">
      <c r="D4492" s="6">
        <f>IFERROR(__xludf.DUMMYFUNCTION("""COMPUTED_VALUE"""),44683.99861111111)</f>
        <v>44683.99861</v>
      </c>
      <c r="E4492" s="3">
        <f>IFERROR(__xludf.DUMMYFUNCTION("""COMPUTED_VALUE"""),4.943)</f>
        <v>4.943</v>
      </c>
    </row>
    <row r="4493">
      <c r="D4493" s="6">
        <f>IFERROR(__xludf.DUMMYFUNCTION("""COMPUTED_VALUE"""),44684.99861111111)</f>
        <v>44684.99861</v>
      </c>
      <c r="E4493" s="3">
        <f>IFERROR(__xludf.DUMMYFUNCTION("""COMPUTED_VALUE"""),4.946)</f>
        <v>4.946</v>
      </c>
    </row>
    <row r="4494">
      <c r="D4494" s="6">
        <f>IFERROR(__xludf.DUMMYFUNCTION("""COMPUTED_VALUE"""),44685.99861111111)</f>
        <v>44685.99861</v>
      </c>
      <c r="E4494" s="3">
        <f>IFERROR(__xludf.DUMMYFUNCTION("""COMPUTED_VALUE"""),4.946)</f>
        <v>4.946</v>
      </c>
    </row>
    <row r="4495">
      <c r="D4495" s="6">
        <f>IFERROR(__xludf.DUMMYFUNCTION("""COMPUTED_VALUE"""),44686.99861111111)</f>
        <v>44686.99861</v>
      </c>
      <c r="E4495" s="3">
        <f>IFERROR(__xludf.DUMMYFUNCTION("""COMPUTED_VALUE"""),4.9477)</f>
        <v>4.9477</v>
      </c>
    </row>
    <row r="4496">
      <c r="D4496" s="6">
        <f>IFERROR(__xludf.DUMMYFUNCTION("""COMPUTED_VALUE"""),44687.99861111111)</f>
        <v>44687.99861</v>
      </c>
      <c r="E4496" s="3">
        <f>IFERROR(__xludf.DUMMYFUNCTION("""COMPUTED_VALUE"""),4.9472)</f>
        <v>4.9472</v>
      </c>
    </row>
    <row r="4497">
      <c r="D4497" s="6">
        <f>IFERROR(__xludf.DUMMYFUNCTION("""COMPUTED_VALUE"""),44689.99861111111)</f>
        <v>44689.99861</v>
      </c>
      <c r="E4497" s="3">
        <f>IFERROR(__xludf.DUMMYFUNCTION("""COMPUTED_VALUE"""),4.9472)</f>
        <v>4.9472</v>
      </c>
    </row>
    <row r="4498">
      <c r="D4498" s="6">
        <f>IFERROR(__xludf.DUMMYFUNCTION("""COMPUTED_VALUE"""),44690.99861111111)</f>
        <v>44690.99861</v>
      </c>
      <c r="E4498" s="3">
        <f>IFERROR(__xludf.DUMMYFUNCTION("""COMPUTED_VALUE"""),4.941)</f>
        <v>4.941</v>
      </c>
    </row>
    <row r="4499">
      <c r="D4499" s="6">
        <f>IFERROR(__xludf.DUMMYFUNCTION("""COMPUTED_VALUE"""),44691.99861111111)</f>
        <v>44691.99861</v>
      </c>
      <c r="E4499" s="3">
        <f>IFERROR(__xludf.DUMMYFUNCTION("""COMPUTED_VALUE"""),4.9456)</f>
        <v>4.9456</v>
      </c>
    </row>
    <row r="4500">
      <c r="D4500" s="6">
        <f>IFERROR(__xludf.DUMMYFUNCTION("""COMPUTED_VALUE"""),44692.99861111111)</f>
        <v>44692.99861</v>
      </c>
      <c r="E4500" s="3">
        <f>IFERROR(__xludf.DUMMYFUNCTION("""COMPUTED_VALUE"""),4.9469)</f>
        <v>4.9469</v>
      </c>
    </row>
    <row r="4501">
      <c r="D4501" s="6">
        <f>IFERROR(__xludf.DUMMYFUNCTION("""COMPUTED_VALUE"""),44693.99861111111)</f>
        <v>44693.99861</v>
      </c>
      <c r="E4501" s="3">
        <f>IFERROR(__xludf.DUMMYFUNCTION("""COMPUTED_VALUE"""),4.943)</f>
        <v>4.943</v>
      </c>
    </row>
    <row r="4502">
      <c r="D4502" s="6">
        <f>IFERROR(__xludf.DUMMYFUNCTION("""COMPUTED_VALUE"""),44694.99861111111)</f>
        <v>44694.99861</v>
      </c>
      <c r="E4502" s="3">
        <f>IFERROR(__xludf.DUMMYFUNCTION("""COMPUTED_VALUE"""),4.9425)</f>
        <v>4.9425</v>
      </c>
    </row>
    <row r="4503">
      <c r="D4503" s="6">
        <f>IFERROR(__xludf.DUMMYFUNCTION("""COMPUTED_VALUE"""),44696.99861111111)</f>
        <v>44696.99861</v>
      </c>
      <c r="E4503" s="3">
        <f>IFERROR(__xludf.DUMMYFUNCTION("""COMPUTED_VALUE"""),4.944)</f>
        <v>4.944</v>
      </c>
    </row>
    <row r="4504">
      <c r="D4504" s="6">
        <f>IFERROR(__xludf.DUMMYFUNCTION("""COMPUTED_VALUE"""),44697.99861111111)</f>
        <v>44697.99861</v>
      </c>
      <c r="E4504" s="3">
        <f>IFERROR(__xludf.DUMMYFUNCTION("""COMPUTED_VALUE"""),4.942)</f>
        <v>4.942</v>
      </c>
    </row>
    <row r="4505">
      <c r="D4505" s="6">
        <f>IFERROR(__xludf.DUMMYFUNCTION("""COMPUTED_VALUE"""),44698.99861111111)</f>
        <v>44698.99861</v>
      </c>
      <c r="E4505" s="3">
        <f>IFERROR(__xludf.DUMMYFUNCTION("""COMPUTED_VALUE"""),4.947)</f>
        <v>4.947</v>
      </c>
    </row>
    <row r="4506">
      <c r="D4506" s="6">
        <f>IFERROR(__xludf.DUMMYFUNCTION("""COMPUTED_VALUE"""),44699.99861111111)</f>
        <v>44699.99861</v>
      </c>
      <c r="E4506" s="3">
        <f>IFERROR(__xludf.DUMMYFUNCTION("""COMPUTED_VALUE"""),4.9464)</f>
        <v>4.9464</v>
      </c>
    </row>
    <row r="4507">
      <c r="D4507" s="6">
        <f>IFERROR(__xludf.DUMMYFUNCTION("""COMPUTED_VALUE"""),44700.99861111111)</f>
        <v>44700.99861</v>
      </c>
      <c r="E4507" s="3">
        <f>IFERROR(__xludf.DUMMYFUNCTION("""COMPUTED_VALUE"""),4.9438)</f>
        <v>4.9438</v>
      </c>
    </row>
    <row r="4508">
      <c r="D4508" s="6">
        <f>IFERROR(__xludf.DUMMYFUNCTION("""COMPUTED_VALUE"""),44701.99861111111)</f>
        <v>44701.99861</v>
      </c>
      <c r="E4508" s="3">
        <f>IFERROR(__xludf.DUMMYFUNCTION("""COMPUTED_VALUE"""),4.691)</f>
        <v>4.691</v>
      </c>
    </row>
    <row r="4509">
      <c r="D4509" s="6">
        <f>IFERROR(__xludf.DUMMYFUNCTION("""COMPUTED_VALUE"""),44703.99861111111)</f>
        <v>44703.99861</v>
      </c>
      <c r="E4509" s="3">
        <f>IFERROR(__xludf.DUMMYFUNCTION("""COMPUTED_VALUE"""),4.9476)</f>
        <v>4.9476</v>
      </c>
    </row>
    <row r="4510">
      <c r="D4510" s="6">
        <f>IFERROR(__xludf.DUMMYFUNCTION("""COMPUTED_VALUE"""),44704.99861111111)</f>
        <v>44704.99861</v>
      </c>
      <c r="E4510" s="3">
        <f>IFERROR(__xludf.DUMMYFUNCTION("""COMPUTED_VALUE"""),4.9462)</f>
        <v>4.9462</v>
      </c>
    </row>
    <row r="4511">
      <c r="D4511" s="6">
        <f>IFERROR(__xludf.DUMMYFUNCTION("""COMPUTED_VALUE"""),44705.99861111111)</f>
        <v>44705.99861</v>
      </c>
      <c r="E4511" s="3">
        <f>IFERROR(__xludf.DUMMYFUNCTION("""COMPUTED_VALUE"""),4.94)</f>
        <v>4.94</v>
      </c>
    </row>
    <row r="4512">
      <c r="D4512" s="6">
        <f>IFERROR(__xludf.DUMMYFUNCTION("""COMPUTED_VALUE"""),44706.99861111111)</f>
        <v>44706.99861</v>
      </c>
      <c r="E4512" s="3">
        <f>IFERROR(__xludf.DUMMYFUNCTION("""COMPUTED_VALUE"""),4.9398)</f>
        <v>4.9398</v>
      </c>
    </row>
    <row r="4513">
      <c r="D4513" s="6">
        <f>IFERROR(__xludf.DUMMYFUNCTION("""COMPUTED_VALUE"""),44707.99861111111)</f>
        <v>44707.99861</v>
      </c>
      <c r="E4513" s="3">
        <f>IFERROR(__xludf.DUMMYFUNCTION("""COMPUTED_VALUE"""),4.9375)</f>
        <v>4.9375</v>
      </c>
    </row>
    <row r="4514">
      <c r="D4514" s="6">
        <f>IFERROR(__xludf.DUMMYFUNCTION("""COMPUTED_VALUE"""),44708.99861111111)</f>
        <v>44708.99861</v>
      </c>
      <c r="E4514" s="3">
        <f>IFERROR(__xludf.DUMMYFUNCTION("""COMPUTED_VALUE"""),4.942)</f>
        <v>4.942</v>
      </c>
    </row>
    <row r="4515">
      <c r="D4515" s="6">
        <f>IFERROR(__xludf.DUMMYFUNCTION("""COMPUTED_VALUE"""),44710.99861111111)</f>
        <v>44710.99861</v>
      </c>
      <c r="E4515" s="3">
        <f>IFERROR(__xludf.DUMMYFUNCTION("""COMPUTED_VALUE"""),4.942)</f>
        <v>4.942</v>
      </c>
    </row>
    <row r="4516">
      <c r="D4516" s="6">
        <f>IFERROR(__xludf.DUMMYFUNCTION("""COMPUTED_VALUE"""),44711.99861111111)</f>
        <v>44711.99861</v>
      </c>
      <c r="E4516" s="3">
        <f>IFERROR(__xludf.DUMMYFUNCTION("""COMPUTED_VALUE"""),4.944)</f>
        <v>4.944</v>
      </c>
    </row>
    <row r="4517">
      <c r="D4517" s="6">
        <f>IFERROR(__xludf.DUMMYFUNCTION("""COMPUTED_VALUE"""),44712.99861111111)</f>
        <v>44712.99861</v>
      </c>
      <c r="E4517" s="3">
        <f>IFERROR(__xludf.DUMMYFUNCTION("""COMPUTED_VALUE"""),4.9429)</f>
        <v>4.9429</v>
      </c>
    </row>
    <row r="4518">
      <c r="D4518" s="6">
        <f>IFERROR(__xludf.DUMMYFUNCTION("""COMPUTED_VALUE"""),44713.99861111111)</f>
        <v>44713.99861</v>
      </c>
      <c r="E4518" s="3">
        <f>IFERROR(__xludf.DUMMYFUNCTION("""COMPUTED_VALUE"""),4.935)</f>
        <v>4.935</v>
      </c>
    </row>
    <row r="4519">
      <c r="D4519" s="6">
        <f>IFERROR(__xludf.DUMMYFUNCTION("""COMPUTED_VALUE"""),44714.99861111111)</f>
        <v>44714.99861</v>
      </c>
      <c r="E4519" s="3">
        <f>IFERROR(__xludf.DUMMYFUNCTION("""COMPUTED_VALUE"""),4.935)</f>
        <v>4.935</v>
      </c>
    </row>
    <row r="4520">
      <c r="D4520" s="6">
        <f>IFERROR(__xludf.DUMMYFUNCTION("""COMPUTED_VALUE"""),44715.99861111111)</f>
        <v>44715.99861</v>
      </c>
      <c r="E4520" s="3">
        <f>IFERROR(__xludf.DUMMYFUNCTION("""COMPUTED_VALUE"""),4.9425)</f>
        <v>4.9425</v>
      </c>
    </row>
    <row r="4521">
      <c r="D4521" s="6">
        <f>IFERROR(__xludf.DUMMYFUNCTION("""COMPUTED_VALUE"""),44717.99861111111)</f>
        <v>44717.99861</v>
      </c>
      <c r="E4521" s="3">
        <f>IFERROR(__xludf.DUMMYFUNCTION("""COMPUTED_VALUE"""),4.9425)</f>
        <v>4.9425</v>
      </c>
    </row>
    <row r="4522">
      <c r="D4522" s="6">
        <f>IFERROR(__xludf.DUMMYFUNCTION("""COMPUTED_VALUE"""),44718.99861111111)</f>
        <v>44718.99861</v>
      </c>
      <c r="E4522" s="3">
        <f>IFERROR(__xludf.DUMMYFUNCTION("""COMPUTED_VALUE"""),4.9385)</f>
        <v>4.9385</v>
      </c>
    </row>
    <row r="4523">
      <c r="D4523" s="6">
        <f>IFERROR(__xludf.DUMMYFUNCTION("""COMPUTED_VALUE"""),44719.99861111111)</f>
        <v>44719.99861</v>
      </c>
      <c r="E4523" s="3">
        <f>IFERROR(__xludf.DUMMYFUNCTION("""COMPUTED_VALUE"""),4.9425)</f>
        <v>4.9425</v>
      </c>
    </row>
    <row r="4524">
      <c r="D4524" s="6">
        <f>IFERROR(__xludf.DUMMYFUNCTION("""COMPUTED_VALUE"""),44720.99861111111)</f>
        <v>44720.99861</v>
      </c>
      <c r="E4524" s="3">
        <f>IFERROR(__xludf.DUMMYFUNCTION("""COMPUTED_VALUE"""),4.9437)</f>
        <v>4.9437</v>
      </c>
    </row>
    <row r="4525">
      <c r="D4525" s="6">
        <f>IFERROR(__xludf.DUMMYFUNCTION("""COMPUTED_VALUE"""),44721.99861111111)</f>
        <v>44721.99861</v>
      </c>
      <c r="E4525" s="3">
        <f>IFERROR(__xludf.DUMMYFUNCTION("""COMPUTED_VALUE"""),4.939)</f>
        <v>4.939</v>
      </c>
    </row>
    <row r="4526">
      <c r="D4526" s="6">
        <f>IFERROR(__xludf.DUMMYFUNCTION("""COMPUTED_VALUE"""),44722.99861111111)</f>
        <v>44722.99861</v>
      </c>
      <c r="E4526" s="3">
        <f>IFERROR(__xludf.DUMMYFUNCTION("""COMPUTED_VALUE"""),4.937)</f>
        <v>4.937</v>
      </c>
    </row>
    <row r="4527">
      <c r="D4527" s="6">
        <f>IFERROR(__xludf.DUMMYFUNCTION("""COMPUTED_VALUE"""),44724.99861111111)</f>
        <v>44724.99861</v>
      </c>
      <c r="E4527" s="3">
        <f>IFERROR(__xludf.DUMMYFUNCTION("""COMPUTED_VALUE"""),4.9433)</f>
        <v>4.9433</v>
      </c>
    </row>
    <row r="4528">
      <c r="D4528" s="6">
        <f>IFERROR(__xludf.DUMMYFUNCTION("""COMPUTED_VALUE"""),44725.99861111111)</f>
        <v>44725.99861</v>
      </c>
      <c r="E4528" s="3">
        <f>IFERROR(__xludf.DUMMYFUNCTION("""COMPUTED_VALUE"""),4.937)</f>
        <v>4.937</v>
      </c>
    </row>
    <row r="4529">
      <c r="D4529" s="6">
        <f>IFERROR(__xludf.DUMMYFUNCTION("""COMPUTED_VALUE"""),44726.99861111111)</f>
        <v>44726.99861</v>
      </c>
      <c r="E4529" s="3">
        <f>IFERROR(__xludf.DUMMYFUNCTION("""COMPUTED_VALUE"""),4.9433)</f>
        <v>4.9433</v>
      </c>
    </row>
    <row r="4530">
      <c r="D4530" s="6">
        <f>IFERROR(__xludf.DUMMYFUNCTION("""COMPUTED_VALUE"""),44727.99861111111)</f>
        <v>44727.99861</v>
      </c>
      <c r="E4530" s="3">
        <f>IFERROR(__xludf.DUMMYFUNCTION("""COMPUTED_VALUE"""),4.9418)</f>
        <v>4.9418</v>
      </c>
    </row>
    <row r="4531">
      <c r="D4531" s="6">
        <f>IFERROR(__xludf.DUMMYFUNCTION("""COMPUTED_VALUE"""),44728.99861111111)</f>
        <v>44728.99861</v>
      </c>
      <c r="E4531" s="3">
        <f>IFERROR(__xludf.DUMMYFUNCTION("""COMPUTED_VALUE"""),4.9458)</f>
        <v>4.9458</v>
      </c>
    </row>
    <row r="4532">
      <c r="D4532" s="6">
        <f>IFERROR(__xludf.DUMMYFUNCTION("""COMPUTED_VALUE"""),44729.99861111111)</f>
        <v>44729.99861</v>
      </c>
      <c r="E4532" s="3">
        <f>IFERROR(__xludf.DUMMYFUNCTION("""COMPUTED_VALUE"""),4.9428)</f>
        <v>4.9428</v>
      </c>
    </row>
    <row r="4533">
      <c r="D4533" s="6">
        <f>IFERROR(__xludf.DUMMYFUNCTION("""COMPUTED_VALUE"""),44731.99861111111)</f>
        <v>44731.99861</v>
      </c>
      <c r="E4533" s="3">
        <f>IFERROR(__xludf.DUMMYFUNCTION("""COMPUTED_VALUE"""),4.9428)</f>
        <v>4.9428</v>
      </c>
    </row>
    <row r="4534">
      <c r="D4534" s="6">
        <f>IFERROR(__xludf.DUMMYFUNCTION("""COMPUTED_VALUE"""),44732.99861111111)</f>
        <v>44732.99861</v>
      </c>
      <c r="E4534" s="3">
        <f>IFERROR(__xludf.DUMMYFUNCTION("""COMPUTED_VALUE"""),4.9436)</f>
        <v>4.9436</v>
      </c>
    </row>
    <row r="4535">
      <c r="D4535" s="6">
        <f>IFERROR(__xludf.DUMMYFUNCTION("""COMPUTED_VALUE"""),44733.99861111111)</f>
        <v>44733.99861</v>
      </c>
      <c r="E4535" s="3">
        <f>IFERROR(__xludf.DUMMYFUNCTION("""COMPUTED_VALUE"""),4.943)</f>
        <v>4.943</v>
      </c>
    </row>
    <row r="4536">
      <c r="D4536" s="6">
        <f>IFERROR(__xludf.DUMMYFUNCTION("""COMPUTED_VALUE"""),44734.99861111111)</f>
        <v>44734.99861</v>
      </c>
      <c r="E4536" s="3">
        <f>IFERROR(__xludf.DUMMYFUNCTION("""COMPUTED_VALUE"""),4.9425)</f>
        <v>4.9425</v>
      </c>
    </row>
    <row r="4537">
      <c r="D4537" s="6">
        <f>IFERROR(__xludf.DUMMYFUNCTION("""COMPUTED_VALUE"""),44735.99861111111)</f>
        <v>44735.99861</v>
      </c>
      <c r="E4537" s="3">
        <f>IFERROR(__xludf.DUMMYFUNCTION("""COMPUTED_VALUE"""),4.9425)</f>
        <v>4.9425</v>
      </c>
    </row>
    <row r="4538">
      <c r="D4538" s="6">
        <f>IFERROR(__xludf.DUMMYFUNCTION("""COMPUTED_VALUE"""),44736.99861111111)</f>
        <v>44736.99861</v>
      </c>
      <c r="E4538" s="3">
        <f>IFERROR(__xludf.DUMMYFUNCTION("""COMPUTED_VALUE"""),4.9415)</f>
        <v>4.9415</v>
      </c>
    </row>
    <row r="4539">
      <c r="D4539" s="6">
        <f>IFERROR(__xludf.DUMMYFUNCTION("""COMPUTED_VALUE"""),44738.99861111111)</f>
        <v>44738.99861</v>
      </c>
      <c r="E4539" s="3">
        <f>IFERROR(__xludf.DUMMYFUNCTION("""COMPUTED_VALUE"""),4.9447)</f>
        <v>4.9447</v>
      </c>
    </row>
    <row r="4540">
      <c r="D4540" s="6">
        <f>IFERROR(__xludf.DUMMYFUNCTION("""COMPUTED_VALUE"""),44739.99861111111)</f>
        <v>44739.99861</v>
      </c>
      <c r="E4540" s="3">
        <f>IFERROR(__xludf.DUMMYFUNCTION("""COMPUTED_VALUE"""),4.941)</f>
        <v>4.941</v>
      </c>
    </row>
    <row r="4541">
      <c r="D4541" s="6">
        <f>IFERROR(__xludf.DUMMYFUNCTION("""COMPUTED_VALUE"""),44740.99861111111)</f>
        <v>44740.99861</v>
      </c>
      <c r="E4541" s="3">
        <f>IFERROR(__xludf.DUMMYFUNCTION("""COMPUTED_VALUE"""),4.9434)</f>
        <v>4.9434</v>
      </c>
    </row>
    <row r="4542">
      <c r="D4542" s="6">
        <f>IFERROR(__xludf.DUMMYFUNCTION("""COMPUTED_VALUE"""),44741.99861111111)</f>
        <v>44741.99861</v>
      </c>
      <c r="E4542" s="3">
        <f>IFERROR(__xludf.DUMMYFUNCTION("""COMPUTED_VALUE"""),4.9419)</f>
        <v>4.9419</v>
      </c>
    </row>
    <row r="4543">
      <c r="D4543" s="6">
        <f>IFERROR(__xludf.DUMMYFUNCTION("""COMPUTED_VALUE"""),44742.99861111111)</f>
        <v>44742.99861</v>
      </c>
      <c r="E4543" s="3">
        <f>IFERROR(__xludf.DUMMYFUNCTION("""COMPUTED_VALUE"""),4.9459)</f>
        <v>4.9459</v>
      </c>
    </row>
    <row r="4544">
      <c r="D4544" s="6">
        <f>IFERROR(__xludf.DUMMYFUNCTION("""COMPUTED_VALUE"""),44743.99861111111)</f>
        <v>44743.99861</v>
      </c>
      <c r="E4544" s="3">
        <f>IFERROR(__xludf.DUMMYFUNCTION("""COMPUTED_VALUE"""),4.9463)</f>
        <v>4.9463</v>
      </c>
    </row>
    <row r="4545">
      <c r="D4545" s="6">
        <f>IFERROR(__xludf.DUMMYFUNCTION("""COMPUTED_VALUE"""),44745.99861111111)</f>
        <v>44745.99861</v>
      </c>
      <c r="E4545" s="3">
        <f>IFERROR(__xludf.DUMMYFUNCTION("""COMPUTED_VALUE"""),4.9463)</f>
        <v>4.9463</v>
      </c>
    </row>
    <row r="4546">
      <c r="D4546" s="6">
        <f>IFERROR(__xludf.DUMMYFUNCTION("""COMPUTED_VALUE"""),44746.99861111111)</f>
        <v>44746.99861</v>
      </c>
      <c r="E4546" s="3">
        <f>IFERROR(__xludf.DUMMYFUNCTION("""COMPUTED_VALUE"""),4.9442)</f>
        <v>4.9442</v>
      </c>
    </row>
    <row r="4547">
      <c r="D4547" s="6">
        <f>IFERROR(__xludf.DUMMYFUNCTION("""COMPUTED_VALUE"""),44747.99861111111)</f>
        <v>44747.99861</v>
      </c>
      <c r="E4547" s="3">
        <f>IFERROR(__xludf.DUMMYFUNCTION("""COMPUTED_VALUE"""),4.9429)</f>
        <v>4.9429</v>
      </c>
    </row>
    <row r="4548">
      <c r="D4548" s="6">
        <f>IFERROR(__xludf.DUMMYFUNCTION("""COMPUTED_VALUE"""),44748.99861111111)</f>
        <v>44748.99861</v>
      </c>
      <c r="E4548" s="3">
        <f>IFERROR(__xludf.DUMMYFUNCTION("""COMPUTED_VALUE"""),4.9424)</f>
        <v>4.9424</v>
      </c>
    </row>
    <row r="4549">
      <c r="D4549" s="6">
        <f>IFERROR(__xludf.DUMMYFUNCTION("""COMPUTED_VALUE"""),44749.99861111111)</f>
        <v>44749.99861</v>
      </c>
      <c r="E4549" s="3">
        <f>IFERROR(__xludf.DUMMYFUNCTION("""COMPUTED_VALUE"""),4.9427)</f>
        <v>4.9427</v>
      </c>
    </row>
    <row r="4550">
      <c r="D4550" s="6">
        <f>IFERROR(__xludf.DUMMYFUNCTION("""COMPUTED_VALUE"""),44750.99861111111)</f>
        <v>44750.99861</v>
      </c>
      <c r="E4550" s="3">
        <f>IFERROR(__xludf.DUMMYFUNCTION("""COMPUTED_VALUE"""),4.9422)</f>
        <v>4.9422</v>
      </c>
    </row>
    <row r="4551">
      <c r="D4551" s="6">
        <f>IFERROR(__xludf.DUMMYFUNCTION("""COMPUTED_VALUE"""),44752.99861111111)</f>
        <v>44752.99861</v>
      </c>
      <c r="E4551" s="3">
        <f>IFERROR(__xludf.DUMMYFUNCTION("""COMPUTED_VALUE"""),4.9422)</f>
        <v>4.9422</v>
      </c>
    </row>
    <row r="4552">
      <c r="D4552" s="6">
        <f>IFERROR(__xludf.DUMMYFUNCTION("""COMPUTED_VALUE"""),44753.99861111111)</f>
        <v>44753.99861</v>
      </c>
      <c r="E4552" s="3">
        <f>IFERROR(__xludf.DUMMYFUNCTION("""COMPUTED_VALUE"""),4.9415)</f>
        <v>4.9415</v>
      </c>
    </row>
    <row r="4553">
      <c r="D4553" s="6">
        <f>IFERROR(__xludf.DUMMYFUNCTION("""COMPUTED_VALUE"""),44754.99861111111)</f>
        <v>44754.99861</v>
      </c>
      <c r="E4553" s="3">
        <f>IFERROR(__xludf.DUMMYFUNCTION("""COMPUTED_VALUE"""),4.9413)</f>
        <v>4.9413</v>
      </c>
    </row>
    <row r="4554">
      <c r="D4554" s="6">
        <f>IFERROR(__xludf.DUMMYFUNCTION("""COMPUTED_VALUE"""),44755.99861111111)</f>
        <v>44755.99861</v>
      </c>
      <c r="E4554" s="3">
        <f>IFERROR(__xludf.DUMMYFUNCTION("""COMPUTED_VALUE"""),4.9374)</f>
        <v>4.9374</v>
      </c>
    </row>
    <row r="4555">
      <c r="D4555" s="6">
        <f>IFERROR(__xludf.DUMMYFUNCTION("""COMPUTED_VALUE"""),44756.99861111111)</f>
        <v>44756.99861</v>
      </c>
      <c r="E4555" s="3">
        <f>IFERROR(__xludf.DUMMYFUNCTION("""COMPUTED_VALUE"""),4.9412)</f>
        <v>4.9412</v>
      </c>
    </row>
    <row r="4556">
      <c r="D4556" s="6">
        <f>IFERROR(__xludf.DUMMYFUNCTION("""COMPUTED_VALUE"""),44757.99861111111)</f>
        <v>44757.99861</v>
      </c>
      <c r="E4556" s="3">
        <f>IFERROR(__xludf.DUMMYFUNCTION("""COMPUTED_VALUE"""),4.9392)</f>
        <v>4.9392</v>
      </c>
    </row>
    <row r="4557">
      <c r="D4557" s="6">
        <f>IFERROR(__xludf.DUMMYFUNCTION("""COMPUTED_VALUE"""),44759.99861111111)</f>
        <v>44759.99861</v>
      </c>
      <c r="E4557" s="3">
        <f>IFERROR(__xludf.DUMMYFUNCTION("""COMPUTED_VALUE"""),4.9392)</f>
        <v>4.9392</v>
      </c>
    </row>
    <row r="4558">
      <c r="D4558" s="6">
        <f>IFERROR(__xludf.DUMMYFUNCTION("""COMPUTED_VALUE"""),44760.99861111111)</f>
        <v>44760.99861</v>
      </c>
      <c r="E4558" s="3">
        <f>IFERROR(__xludf.DUMMYFUNCTION("""COMPUTED_VALUE"""),4.9382)</f>
        <v>4.9382</v>
      </c>
    </row>
    <row r="4559">
      <c r="D4559" s="6">
        <f>IFERROR(__xludf.DUMMYFUNCTION("""COMPUTED_VALUE"""),44761.99861111111)</f>
        <v>44761.99861</v>
      </c>
      <c r="E4559" s="3">
        <f>IFERROR(__xludf.DUMMYFUNCTION("""COMPUTED_VALUE"""),4.9403)</f>
        <v>4.9403</v>
      </c>
    </row>
    <row r="4560">
      <c r="D4560" s="6">
        <f>IFERROR(__xludf.DUMMYFUNCTION("""COMPUTED_VALUE"""),44762.99861111111)</f>
        <v>44762.99861</v>
      </c>
      <c r="E4560" s="3">
        <f>IFERROR(__xludf.DUMMYFUNCTION("""COMPUTED_VALUE"""),4.9368)</f>
        <v>4.9368</v>
      </c>
    </row>
    <row r="4561">
      <c r="D4561" s="6">
        <f>IFERROR(__xludf.DUMMYFUNCTION("""COMPUTED_VALUE"""),44763.99861111111)</f>
        <v>44763.99861</v>
      </c>
      <c r="E4561" s="3">
        <f>IFERROR(__xludf.DUMMYFUNCTION("""COMPUTED_VALUE"""),4.9347)</f>
        <v>4.9347</v>
      </c>
    </row>
    <row r="4562">
      <c r="D4562" s="6">
        <f>IFERROR(__xludf.DUMMYFUNCTION("""COMPUTED_VALUE"""),44764.99861111111)</f>
        <v>44764.99861</v>
      </c>
      <c r="E4562" s="3">
        <f>IFERROR(__xludf.DUMMYFUNCTION("""COMPUTED_VALUE"""),4.9313)</f>
        <v>4.9313</v>
      </c>
    </row>
    <row r="4563">
      <c r="D4563" s="6">
        <f>IFERROR(__xludf.DUMMYFUNCTION("""COMPUTED_VALUE"""),44766.99861111111)</f>
        <v>44766.99861</v>
      </c>
      <c r="E4563" s="3">
        <f>IFERROR(__xludf.DUMMYFUNCTION("""COMPUTED_VALUE"""),4.9313)</f>
        <v>4.9313</v>
      </c>
    </row>
    <row r="4564">
      <c r="D4564" s="6">
        <f>IFERROR(__xludf.DUMMYFUNCTION("""COMPUTED_VALUE"""),44767.99861111111)</f>
        <v>44767.99861</v>
      </c>
      <c r="E4564" s="3">
        <f>IFERROR(__xludf.DUMMYFUNCTION("""COMPUTED_VALUE"""),4.9323)</f>
        <v>4.9323</v>
      </c>
    </row>
    <row r="4565">
      <c r="D4565" s="6">
        <f>IFERROR(__xludf.DUMMYFUNCTION("""COMPUTED_VALUE"""),44768.99861111111)</f>
        <v>44768.99861</v>
      </c>
      <c r="E4565" s="3">
        <f>IFERROR(__xludf.DUMMYFUNCTION("""COMPUTED_VALUE"""),4.9309)</f>
        <v>4.9309</v>
      </c>
    </row>
    <row r="4566">
      <c r="D4566" s="6">
        <f>IFERROR(__xludf.DUMMYFUNCTION("""COMPUTED_VALUE"""),44769.99861111111)</f>
        <v>44769.99861</v>
      </c>
      <c r="E4566" s="3">
        <f>IFERROR(__xludf.DUMMYFUNCTION("""COMPUTED_VALUE"""),4.931)</f>
        <v>4.931</v>
      </c>
    </row>
    <row r="4567">
      <c r="D4567" s="6">
        <f>IFERROR(__xludf.DUMMYFUNCTION("""COMPUTED_VALUE"""),44770.99861111111)</f>
        <v>44770.99861</v>
      </c>
      <c r="E4567" s="3">
        <f>IFERROR(__xludf.DUMMYFUNCTION("""COMPUTED_VALUE"""),4.9341)</f>
        <v>4.9341</v>
      </c>
    </row>
    <row r="4568">
      <c r="D4568" s="6">
        <f>IFERROR(__xludf.DUMMYFUNCTION("""COMPUTED_VALUE"""),44771.99861111111)</f>
        <v>44771.99861</v>
      </c>
      <c r="E4568" s="3">
        <f>IFERROR(__xludf.DUMMYFUNCTION("""COMPUTED_VALUE"""),4.927)</f>
        <v>4.927</v>
      </c>
    </row>
    <row r="4569">
      <c r="D4569" s="6">
        <f>IFERROR(__xludf.DUMMYFUNCTION("""COMPUTED_VALUE"""),44773.99861111111)</f>
        <v>44773.99861</v>
      </c>
      <c r="E4569" s="3">
        <f>IFERROR(__xludf.DUMMYFUNCTION("""COMPUTED_VALUE"""),4.927)</f>
        <v>4.927</v>
      </c>
    </row>
    <row r="4570">
      <c r="D4570" s="6">
        <f>IFERROR(__xludf.DUMMYFUNCTION("""COMPUTED_VALUE"""),44774.99861111111)</f>
        <v>44774.99861</v>
      </c>
      <c r="E4570" s="3">
        <f>IFERROR(__xludf.DUMMYFUNCTION("""COMPUTED_VALUE"""),4.9244)</f>
        <v>4.9244</v>
      </c>
    </row>
    <row r="4571">
      <c r="D4571" s="6">
        <f>IFERROR(__xludf.DUMMYFUNCTION("""COMPUTED_VALUE"""),44775.99861111111)</f>
        <v>44775.99861</v>
      </c>
      <c r="E4571" s="3">
        <f>IFERROR(__xludf.DUMMYFUNCTION("""COMPUTED_VALUE"""),4.9235)</f>
        <v>4.9235</v>
      </c>
    </row>
    <row r="4572">
      <c r="D4572" s="6">
        <f>IFERROR(__xludf.DUMMYFUNCTION("""COMPUTED_VALUE"""),44776.99861111111)</f>
        <v>44776.99861</v>
      </c>
      <c r="E4572" s="3">
        <f>IFERROR(__xludf.DUMMYFUNCTION("""COMPUTED_VALUE"""),4.921)</f>
        <v>4.921</v>
      </c>
    </row>
    <row r="4573">
      <c r="D4573" s="6">
        <f>IFERROR(__xludf.DUMMYFUNCTION("""COMPUTED_VALUE"""),44777.99861111111)</f>
        <v>44777.99861</v>
      </c>
      <c r="E4573" s="3">
        <f>IFERROR(__xludf.DUMMYFUNCTION("""COMPUTED_VALUE"""),4.925)</f>
        <v>4.925</v>
      </c>
    </row>
    <row r="4574">
      <c r="D4574" s="6">
        <f>IFERROR(__xludf.DUMMYFUNCTION("""COMPUTED_VALUE"""),44778.99861111111)</f>
        <v>44778.99861</v>
      </c>
      <c r="E4574" s="3">
        <f>IFERROR(__xludf.DUMMYFUNCTION("""COMPUTED_VALUE"""),4.9252)</f>
        <v>4.9252</v>
      </c>
    </row>
    <row r="4575">
      <c r="D4575" s="6">
        <f>IFERROR(__xludf.DUMMYFUNCTION("""COMPUTED_VALUE"""),44780.99861111111)</f>
        <v>44780.99861</v>
      </c>
      <c r="E4575" s="3">
        <f>IFERROR(__xludf.DUMMYFUNCTION("""COMPUTED_VALUE"""),4.9252)</f>
        <v>4.9252</v>
      </c>
    </row>
    <row r="4576">
      <c r="D4576" s="6">
        <f>IFERROR(__xludf.DUMMYFUNCTION("""COMPUTED_VALUE"""),44781.99861111111)</f>
        <v>44781.99861</v>
      </c>
      <c r="E4576" s="3">
        <f>IFERROR(__xludf.DUMMYFUNCTION("""COMPUTED_VALUE"""),4.59)</f>
        <v>4.59</v>
      </c>
    </row>
    <row r="4577">
      <c r="D4577" s="6">
        <f>IFERROR(__xludf.DUMMYFUNCTION("""COMPUTED_VALUE"""),44782.99861111111)</f>
        <v>44782.99861</v>
      </c>
      <c r="E4577" s="3">
        <f>IFERROR(__xludf.DUMMYFUNCTION("""COMPUTED_VALUE"""),4.898)</f>
        <v>4.898</v>
      </c>
    </row>
    <row r="4578">
      <c r="D4578" s="6">
        <f>IFERROR(__xludf.DUMMYFUNCTION("""COMPUTED_VALUE"""),44783.99861111111)</f>
        <v>44783.99861</v>
      </c>
      <c r="E4578" s="3">
        <f>IFERROR(__xludf.DUMMYFUNCTION("""COMPUTED_VALUE"""),4.9019)</f>
        <v>4.9019</v>
      </c>
    </row>
    <row r="4579">
      <c r="D4579" s="6">
        <f>IFERROR(__xludf.DUMMYFUNCTION("""COMPUTED_VALUE"""),44784.99861111111)</f>
        <v>44784.99861</v>
      </c>
      <c r="E4579" s="3">
        <f>IFERROR(__xludf.DUMMYFUNCTION("""COMPUTED_VALUE"""),4.897)</f>
        <v>4.897</v>
      </c>
    </row>
    <row r="4580">
      <c r="D4580" s="6">
        <f>IFERROR(__xludf.DUMMYFUNCTION("""COMPUTED_VALUE"""),44785.99861111111)</f>
        <v>44785.99861</v>
      </c>
      <c r="E4580" s="3">
        <f>IFERROR(__xludf.DUMMYFUNCTION("""COMPUTED_VALUE"""),4.8898)</f>
        <v>4.8898</v>
      </c>
    </row>
    <row r="4581">
      <c r="D4581" s="6">
        <f>IFERROR(__xludf.DUMMYFUNCTION("""COMPUTED_VALUE"""),44787.99861111111)</f>
        <v>44787.99861</v>
      </c>
      <c r="E4581" s="3">
        <f>IFERROR(__xludf.DUMMYFUNCTION("""COMPUTED_VALUE"""),4.8898)</f>
        <v>4.8898</v>
      </c>
    </row>
    <row r="4582">
      <c r="D4582" s="6">
        <f>IFERROR(__xludf.DUMMYFUNCTION("""COMPUTED_VALUE"""),44788.99861111111)</f>
        <v>44788.99861</v>
      </c>
      <c r="E4582" s="3">
        <f>IFERROR(__xludf.DUMMYFUNCTION("""COMPUTED_VALUE"""),4.83)</f>
        <v>4.83</v>
      </c>
    </row>
    <row r="4583">
      <c r="D4583" s="6">
        <f>IFERROR(__xludf.DUMMYFUNCTION("""COMPUTED_VALUE"""),44789.99861111111)</f>
        <v>44789.99861</v>
      </c>
      <c r="E4583" s="3">
        <f>IFERROR(__xludf.DUMMYFUNCTION("""COMPUTED_VALUE"""),4.873)</f>
        <v>4.873</v>
      </c>
    </row>
    <row r="4584">
      <c r="D4584" s="6">
        <f>IFERROR(__xludf.DUMMYFUNCTION("""COMPUTED_VALUE"""),44790.99861111111)</f>
        <v>44790.99861</v>
      </c>
      <c r="E4584" s="3">
        <f>IFERROR(__xludf.DUMMYFUNCTION("""COMPUTED_VALUE"""),4.8768)</f>
        <v>4.8768</v>
      </c>
    </row>
    <row r="4585">
      <c r="D4585" s="6">
        <f>IFERROR(__xludf.DUMMYFUNCTION("""COMPUTED_VALUE"""),44791.99861111111)</f>
        <v>44791.99861</v>
      </c>
      <c r="E4585" s="3">
        <f>IFERROR(__xludf.DUMMYFUNCTION("""COMPUTED_VALUE"""),4.874)</f>
        <v>4.874</v>
      </c>
    </row>
    <row r="4586">
      <c r="D4586" s="6">
        <f>IFERROR(__xludf.DUMMYFUNCTION("""COMPUTED_VALUE"""),44792.99861111111)</f>
        <v>44792.99861</v>
      </c>
      <c r="E4586" s="3">
        <f>IFERROR(__xludf.DUMMYFUNCTION("""COMPUTED_VALUE"""),4.8818)</f>
        <v>4.8818</v>
      </c>
    </row>
    <row r="4587">
      <c r="D4587" s="6">
        <f>IFERROR(__xludf.DUMMYFUNCTION("""COMPUTED_VALUE"""),44794.99861111111)</f>
        <v>44794.99861</v>
      </c>
      <c r="E4587" s="3">
        <f>IFERROR(__xludf.DUMMYFUNCTION("""COMPUTED_VALUE"""),4.8818)</f>
        <v>4.8818</v>
      </c>
    </row>
    <row r="4588">
      <c r="D4588" s="6">
        <f>IFERROR(__xludf.DUMMYFUNCTION("""COMPUTED_VALUE"""),44795.99861111111)</f>
        <v>44795.99861</v>
      </c>
      <c r="E4588" s="3">
        <f>IFERROR(__xludf.DUMMYFUNCTION("""COMPUTED_VALUE"""),4.879)</f>
        <v>4.879</v>
      </c>
    </row>
    <row r="4589">
      <c r="D4589" s="6">
        <f>IFERROR(__xludf.DUMMYFUNCTION("""COMPUTED_VALUE"""),44796.99861111111)</f>
        <v>44796.99861</v>
      </c>
      <c r="E4589" s="3">
        <f>IFERROR(__xludf.DUMMYFUNCTION("""COMPUTED_VALUE"""),4.879)</f>
        <v>4.879</v>
      </c>
    </row>
    <row r="4590">
      <c r="D4590" s="6">
        <f>IFERROR(__xludf.DUMMYFUNCTION("""COMPUTED_VALUE"""),44797.99861111111)</f>
        <v>44797.99861</v>
      </c>
      <c r="E4590" s="3">
        <f>IFERROR(__xludf.DUMMYFUNCTION("""COMPUTED_VALUE"""),4.8744)</f>
        <v>4.8744</v>
      </c>
    </row>
    <row r="4591">
      <c r="D4591" s="6">
        <f>IFERROR(__xludf.DUMMYFUNCTION("""COMPUTED_VALUE"""),44798.99861111111)</f>
        <v>44798.99861</v>
      </c>
      <c r="E4591" s="3">
        <f>IFERROR(__xludf.DUMMYFUNCTION("""COMPUTED_VALUE"""),4.864)</f>
        <v>4.864</v>
      </c>
    </row>
    <row r="4592">
      <c r="D4592" s="6">
        <f>IFERROR(__xludf.DUMMYFUNCTION("""COMPUTED_VALUE"""),44799.99861111111)</f>
        <v>44799.99861</v>
      </c>
      <c r="E4592" s="3">
        <f>IFERROR(__xludf.DUMMYFUNCTION("""COMPUTED_VALUE"""),4.864)</f>
        <v>4.864</v>
      </c>
    </row>
    <row r="4593">
      <c r="D4593" s="6">
        <f>IFERROR(__xludf.DUMMYFUNCTION("""COMPUTED_VALUE"""),44801.99861111111)</f>
        <v>44801.99861</v>
      </c>
      <c r="E4593" s="3">
        <f>IFERROR(__xludf.DUMMYFUNCTION("""COMPUTED_VALUE"""),4.8674)</f>
        <v>4.8674</v>
      </c>
    </row>
    <row r="4594">
      <c r="D4594" s="6">
        <f>IFERROR(__xludf.DUMMYFUNCTION("""COMPUTED_VALUE"""),44802.99861111111)</f>
        <v>44802.99861</v>
      </c>
      <c r="E4594" s="3">
        <f>IFERROR(__xludf.DUMMYFUNCTION("""COMPUTED_VALUE"""),4.86)</f>
        <v>4.86</v>
      </c>
    </row>
    <row r="4595">
      <c r="D4595" s="6">
        <f>IFERROR(__xludf.DUMMYFUNCTION("""COMPUTED_VALUE"""),44803.99861111111)</f>
        <v>44803.99861</v>
      </c>
      <c r="E4595" s="3">
        <f>IFERROR(__xludf.DUMMYFUNCTION("""COMPUTED_VALUE"""),4.86)</f>
        <v>4.86</v>
      </c>
    </row>
    <row r="4596">
      <c r="D4596" s="6">
        <f>IFERROR(__xludf.DUMMYFUNCTION("""COMPUTED_VALUE"""),44804.99861111111)</f>
        <v>44804.99861</v>
      </c>
      <c r="E4596" s="3">
        <f>IFERROR(__xludf.DUMMYFUNCTION("""COMPUTED_VALUE"""),4.8395)</f>
        <v>4.8395</v>
      </c>
    </row>
    <row r="4597">
      <c r="D4597" s="6">
        <f>IFERROR(__xludf.DUMMYFUNCTION("""COMPUTED_VALUE"""),44805.99861111111)</f>
        <v>44805.99861</v>
      </c>
      <c r="E4597" s="3">
        <f>IFERROR(__xludf.DUMMYFUNCTION("""COMPUTED_VALUE"""),4.8625)</f>
        <v>4.8625</v>
      </c>
    </row>
    <row r="4598">
      <c r="D4598" s="6">
        <f>IFERROR(__xludf.DUMMYFUNCTION("""COMPUTED_VALUE"""),44806.99861111111)</f>
        <v>44806.99861</v>
      </c>
      <c r="E4598" s="3">
        <f>IFERROR(__xludf.DUMMYFUNCTION("""COMPUTED_VALUE"""),4.8214)</f>
        <v>4.8214</v>
      </c>
    </row>
    <row r="4599">
      <c r="D4599" s="6">
        <f>IFERROR(__xludf.DUMMYFUNCTION("""COMPUTED_VALUE"""),44808.99861111111)</f>
        <v>44808.99861</v>
      </c>
      <c r="E4599" s="3">
        <f>IFERROR(__xludf.DUMMYFUNCTION("""COMPUTED_VALUE"""),4.8214)</f>
        <v>4.8214</v>
      </c>
    </row>
    <row r="4600">
      <c r="D4600" s="6">
        <f>IFERROR(__xludf.DUMMYFUNCTION("""COMPUTED_VALUE"""),44809.99861111111)</f>
        <v>44809.99861</v>
      </c>
      <c r="E4600" s="3">
        <f>IFERROR(__xludf.DUMMYFUNCTION("""COMPUTED_VALUE"""),4.8256)</f>
        <v>4.8256</v>
      </c>
    </row>
    <row r="4601">
      <c r="D4601" s="6">
        <f>IFERROR(__xludf.DUMMYFUNCTION("""COMPUTED_VALUE"""),44810.99861111111)</f>
        <v>44810.99861</v>
      </c>
      <c r="E4601" s="3">
        <f>IFERROR(__xludf.DUMMYFUNCTION("""COMPUTED_VALUE"""),4.8515)</f>
        <v>4.8515</v>
      </c>
    </row>
    <row r="4602">
      <c r="D4602" s="6">
        <f>IFERROR(__xludf.DUMMYFUNCTION("""COMPUTED_VALUE"""),44811.99861111111)</f>
        <v>44811.99861</v>
      </c>
      <c r="E4602" s="3">
        <f>IFERROR(__xludf.DUMMYFUNCTION("""COMPUTED_VALUE"""),4.8515)</f>
        <v>4.8515</v>
      </c>
    </row>
    <row r="4603">
      <c r="D4603" s="6">
        <f>IFERROR(__xludf.DUMMYFUNCTION("""COMPUTED_VALUE"""),44812.99861111111)</f>
        <v>44812.99861</v>
      </c>
      <c r="E4603" s="3">
        <f>IFERROR(__xludf.DUMMYFUNCTION("""COMPUTED_VALUE"""),4.8776)</f>
        <v>4.8776</v>
      </c>
    </row>
    <row r="4604">
      <c r="D4604" s="6">
        <f>IFERROR(__xludf.DUMMYFUNCTION("""COMPUTED_VALUE"""),44813.99861111111)</f>
        <v>44813.99861</v>
      </c>
      <c r="E4604" s="3">
        <f>IFERROR(__xludf.DUMMYFUNCTION("""COMPUTED_VALUE"""),4.8983)</f>
        <v>4.8983</v>
      </c>
    </row>
    <row r="4605">
      <c r="D4605" s="6">
        <f>IFERROR(__xludf.DUMMYFUNCTION("""COMPUTED_VALUE"""),44814.99861111111)</f>
        <v>44814.99861</v>
      </c>
      <c r="E4605" s="3">
        <f>IFERROR(__xludf.DUMMYFUNCTION("""COMPUTED_VALUE"""),4.8983)</f>
        <v>4.8983</v>
      </c>
    </row>
    <row r="4606">
      <c r="D4606" s="6">
        <f>IFERROR(__xludf.DUMMYFUNCTION("""COMPUTED_VALUE"""),44815.99861111111)</f>
        <v>44815.99861</v>
      </c>
      <c r="E4606" s="3">
        <f>IFERROR(__xludf.DUMMYFUNCTION("""COMPUTED_VALUE"""),4.8983)</f>
        <v>4.8983</v>
      </c>
    </row>
    <row r="4607">
      <c r="D4607" s="6">
        <f>IFERROR(__xludf.DUMMYFUNCTION("""COMPUTED_VALUE"""),44816.99861111111)</f>
        <v>44816.99861</v>
      </c>
      <c r="E4607" s="3">
        <f>IFERROR(__xludf.DUMMYFUNCTION("""COMPUTED_VALUE"""),4.9075)</f>
        <v>4.9075</v>
      </c>
    </row>
    <row r="4608">
      <c r="D4608" s="6">
        <f>IFERROR(__xludf.DUMMYFUNCTION("""COMPUTED_VALUE"""),44817.99861111111)</f>
        <v>44817.99861</v>
      </c>
      <c r="E4608" s="3">
        <f>IFERROR(__xludf.DUMMYFUNCTION("""COMPUTED_VALUE"""),4.9189)</f>
        <v>4.9189</v>
      </c>
    </row>
    <row r="4609">
      <c r="D4609" s="6">
        <f>IFERROR(__xludf.DUMMYFUNCTION("""COMPUTED_VALUE"""),44818.99861111111)</f>
        <v>44818.99861</v>
      </c>
      <c r="E4609" s="3">
        <f>IFERROR(__xludf.DUMMYFUNCTION("""COMPUTED_VALUE"""),4.9267)</f>
        <v>4.9267</v>
      </c>
    </row>
    <row r="4610">
      <c r="D4610" s="6">
        <f>IFERROR(__xludf.DUMMYFUNCTION("""COMPUTED_VALUE"""),44819.99861111111)</f>
        <v>44819.99861</v>
      </c>
      <c r="E4610" s="3">
        <f>IFERROR(__xludf.DUMMYFUNCTION("""COMPUTED_VALUE"""),4.919)</f>
        <v>4.919</v>
      </c>
    </row>
    <row r="4611">
      <c r="D4611" s="6">
        <f>IFERROR(__xludf.DUMMYFUNCTION("""COMPUTED_VALUE"""),44820.99861111111)</f>
        <v>44820.99861</v>
      </c>
      <c r="E4611" s="3">
        <f>IFERROR(__xludf.DUMMYFUNCTION("""COMPUTED_VALUE"""),4.919)</f>
        <v>4.919</v>
      </c>
    </row>
    <row r="4612">
      <c r="D4612" s="6">
        <f>IFERROR(__xludf.DUMMYFUNCTION("""COMPUTED_VALUE"""),44822.99861111111)</f>
        <v>44822.99861</v>
      </c>
      <c r="E4612" s="3">
        <f>IFERROR(__xludf.DUMMYFUNCTION("""COMPUTED_VALUE"""),4.9228)</f>
        <v>4.9228</v>
      </c>
    </row>
    <row r="4613">
      <c r="D4613" s="6">
        <f>IFERROR(__xludf.DUMMYFUNCTION("""COMPUTED_VALUE"""),44823.99861111111)</f>
        <v>44823.99861</v>
      </c>
      <c r="E4613" s="3">
        <f>IFERROR(__xludf.DUMMYFUNCTION("""COMPUTED_VALUE"""),4.9317)</f>
        <v>4.9317</v>
      </c>
    </row>
    <row r="4614">
      <c r="D4614" s="6">
        <f>IFERROR(__xludf.DUMMYFUNCTION("""COMPUTED_VALUE"""),44824.99861111111)</f>
        <v>44824.99861</v>
      </c>
      <c r="E4614" s="3">
        <f>IFERROR(__xludf.DUMMYFUNCTION("""COMPUTED_VALUE"""),4.934)</f>
        <v>4.934</v>
      </c>
    </row>
    <row r="4615">
      <c r="D4615" s="6">
        <f>IFERROR(__xludf.DUMMYFUNCTION("""COMPUTED_VALUE"""),44825.99861111111)</f>
        <v>44825.99861</v>
      </c>
      <c r="E4615" s="3">
        <f>IFERROR(__xludf.DUMMYFUNCTION("""COMPUTED_VALUE"""),4.9425)</f>
        <v>4.9425</v>
      </c>
    </row>
    <row r="4616">
      <c r="D4616" s="6">
        <f>IFERROR(__xludf.DUMMYFUNCTION("""COMPUTED_VALUE"""),44826.99861111111)</f>
        <v>44826.99861</v>
      </c>
      <c r="E4616" s="3">
        <f>IFERROR(__xludf.DUMMYFUNCTION("""COMPUTED_VALUE"""),4.9427)</f>
        <v>4.9427</v>
      </c>
    </row>
    <row r="4617">
      <c r="D4617" s="6">
        <f>IFERROR(__xludf.DUMMYFUNCTION("""COMPUTED_VALUE"""),44827.99861111111)</f>
        <v>44827.99861</v>
      </c>
      <c r="E4617" s="3">
        <f>IFERROR(__xludf.DUMMYFUNCTION("""COMPUTED_VALUE"""),4.935)</f>
        <v>4.935</v>
      </c>
    </row>
    <row r="4618">
      <c r="D4618" s="6">
        <f>IFERROR(__xludf.DUMMYFUNCTION("""COMPUTED_VALUE"""),44829.99861111111)</f>
        <v>44829.99861</v>
      </c>
      <c r="E4618" s="3">
        <f>IFERROR(__xludf.DUMMYFUNCTION("""COMPUTED_VALUE"""),4.9411)</f>
        <v>4.9411</v>
      </c>
    </row>
    <row r="4619">
      <c r="D4619" s="6">
        <f>IFERROR(__xludf.DUMMYFUNCTION("""COMPUTED_VALUE"""),44830.99861111111)</f>
        <v>44830.99861</v>
      </c>
      <c r="E4619" s="3">
        <f>IFERROR(__xludf.DUMMYFUNCTION("""COMPUTED_VALUE"""),4.9418)</f>
        <v>4.9418</v>
      </c>
    </row>
    <row r="4620">
      <c r="D4620" s="6">
        <f>IFERROR(__xludf.DUMMYFUNCTION("""COMPUTED_VALUE"""),44831.99861111111)</f>
        <v>44831.99861</v>
      </c>
      <c r="E4620" s="3">
        <f>IFERROR(__xludf.DUMMYFUNCTION("""COMPUTED_VALUE"""),4.942)</f>
        <v>4.942</v>
      </c>
    </row>
    <row r="4621">
      <c r="D4621" s="6">
        <f>IFERROR(__xludf.DUMMYFUNCTION("""COMPUTED_VALUE"""),44832.99861111111)</f>
        <v>44832.99861</v>
      </c>
      <c r="E4621" s="3">
        <f>IFERROR(__xludf.DUMMYFUNCTION("""COMPUTED_VALUE"""),4.9423)</f>
        <v>4.9423</v>
      </c>
    </row>
    <row r="4622">
      <c r="D4622" s="6">
        <f>IFERROR(__xludf.DUMMYFUNCTION("""COMPUTED_VALUE"""),44833.99861111111)</f>
        <v>44833.99861</v>
      </c>
      <c r="E4622" s="3">
        <f>IFERROR(__xludf.DUMMYFUNCTION("""COMPUTED_VALUE"""),4.9481)</f>
        <v>4.9481</v>
      </c>
    </row>
    <row r="4623">
      <c r="D4623" s="6">
        <f>IFERROR(__xludf.DUMMYFUNCTION("""COMPUTED_VALUE"""),44834.99861111111)</f>
        <v>44834.99861</v>
      </c>
      <c r="E4623" s="3">
        <f>IFERROR(__xludf.DUMMYFUNCTION("""COMPUTED_VALUE"""),4.9484)</f>
        <v>4.9484</v>
      </c>
    </row>
    <row r="4624">
      <c r="D4624" s="6">
        <f>IFERROR(__xludf.DUMMYFUNCTION("""COMPUTED_VALUE"""),44836.99861111111)</f>
        <v>44836.99861</v>
      </c>
      <c r="E4624" s="3">
        <f>IFERROR(__xludf.DUMMYFUNCTION("""COMPUTED_VALUE"""),4.9484)</f>
        <v>4.9484</v>
      </c>
    </row>
    <row r="4625">
      <c r="D4625" s="6">
        <f>IFERROR(__xludf.DUMMYFUNCTION("""COMPUTED_VALUE"""),44837.99861111111)</f>
        <v>44837.99861</v>
      </c>
      <c r="E4625" s="3">
        <f>IFERROR(__xludf.DUMMYFUNCTION("""COMPUTED_VALUE"""),4.9479)</f>
        <v>4.9479</v>
      </c>
    </row>
    <row r="4626">
      <c r="D4626" s="6">
        <f>IFERROR(__xludf.DUMMYFUNCTION("""COMPUTED_VALUE"""),44838.99861111111)</f>
        <v>44838.99861</v>
      </c>
      <c r="E4626" s="3">
        <f>IFERROR(__xludf.DUMMYFUNCTION("""COMPUTED_VALUE"""),4.9418)</f>
        <v>4.9418</v>
      </c>
    </row>
    <row r="4627">
      <c r="D4627" s="6">
        <f>IFERROR(__xludf.DUMMYFUNCTION("""COMPUTED_VALUE"""),44839.99861111111)</f>
        <v>44839.99861</v>
      </c>
      <c r="E4627" s="3">
        <f>IFERROR(__xludf.DUMMYFUNCTION("""COMPUTED_VALUE"""),4.985)</f>
        <v>4.985</v>
      </c>
    </row>
    <row r="4628">
      <c r="D4628" s="6">
        <f>IFERROR(__xludf.DUMMYFUNCTION("""COMPUTED_VALUE"""),44840.99861111111)</f>
        <v>44840.99861</v>
      </c>
      <c r="E4628" s="3">
        <f>IFERROR(__xludf.DUMMYFUNCTION("""COMPUTED_VALUE"""),4.985)</f>
        <v>4.985</v>
      </c>
    </row>
    <row r="4629">
      <c r="D4629" s="6">
        <f>IFERROR(__xludf.DUMMYFUNCTION("""COMPUTED_VALUE"""),44841.99861111111)</f>
        <v>44841.99861</v>
      </c>
      <c r="E4629" s="3">
        <f>IFERROR(__xludf.DUMMYFUNCTION("""COMPUTED_VALUE"""),4.9396)</f>
        <v>4.9396</v>
      </c>
    </row>
    <row r="4630">
      <c r="D4630" s="6">
        <f>IFERROR(__xludf.DUMMYFUNCTION("""COMPUTED_VALUE"""),44843.99861111111)</f>
        <v>44843.99861</v>
      </c>
      <c r="E4630" s="3">
        <f>IFERROR(__xludf.DUMMYFUNCTION("""COMPUTED_VALUE"""),4.9396)</f>
        <v>4.9396</v>
      </c>
    </row>
    <row r="4631">
      <c r="D4631" s="6">
        <f>IFERROR(__xludf.DUMMYFUNCTION("""COMPUTED_VALUE"""),44844.99861111111)</f>
        <v>44844.99861</v>
      </c>
      <c r="E4631" s="3">
        <f>IFERROR(__xludf.DUMMYFUNCTION("""COMPUTED_VALUE"""),4.9325)</f>
        <v>4.9325</v>
      </c>
    </row>
    <row r="4632">
      <c r="D4632" s="6">
        <f>IFERROR(__xludf.DUMMYFUNCTION("""COMPUTED_VALUE"""),44845.99861111111)</f>
        <v>44845.99861</v>
      </c>
      <c r="E4632" s="3">
        <f>IFERROR(__xludf.DUMMYFUNCTION("""COMPUTED_VALUE"""),4.9379)</f>
        <v>4.9379</v>
      </c>
    </row>
    <row r="4633">
      <c r="D4633" s="6">
        <f>IFERROR(__xludf.DUMMYFUNCTION("""COMPUTED_VALUE"""),44846.99861111111)</f>
        <v>44846.99861</v>
      </c>
      <c r="E4633" s="3">
        <f>IFERROR(__xludf.DUMMYFUNCTION("""COMPUTED_VALUE"""),4.934)</f>
        <v>4.934</v>
      </c>
    </row>
    <row r="4634">
      <c r="D4634" s="6">
        <f>IFERROR(__xludf.DUMMYFUNCTION("""COMPUTED_VALUE"""),44847.99861111111)</f>
        <v>44847.99861</v>
      </c>
      <c r="E4634" s="3">
        <f>IFERROR(__xludf.DUMMYFUNCTION("""COMPUTED_VALUE"""),4.9325)</f>
        <v>4.9325</v>
      </c>
    </row>
    <row r="4635">
      <c r="D4635" s="6">
        <f>IFERROR(__xludf.DUMMYFUNCTION("""COMPUTED_VALUE"""),44848.99861111111)</f>
        <v>44848.99861</v>
      </c>
      <c r="E4635" s="3">
        <f>IFERROR(__xludf.DUMMYFUNCTION("""COMPUTED_VALUE"""),4.9329)</f>
        <v>4.9329</v>
      </c>
    </row>
    <row r="4636">
      <c r="D4636" s="6">
        <f>IFERROR(__xludf.DUMMYFUNCTION("""COMPUTED_VALUE"""),44850.99861111111)</f>
        <v>44850.99861</v>
      </c>
      <c r="E4636" s="3">
        <f>IFERROR(__xludf.DUMMYFUNCTION("""COMPUTED_VALUE"""),4.9329)</f>
        <v>4.9329</v>
      </c>
    </row>
    <row r="4637">
      <c r="D4637" s="6">
        <f>IFERROR(__xludf.DUMMYFUNCTION("""COMPUTED_VALUE"""),44851.99861111111)</f>
        <v>44851.99861</v>
      </c>
      <c r="E4637" s="3">
        <f>IFERROR(__xludf.DUMMYFUNCTION("""COMPUTED_VALUE"""),4.9359)</f>
        <v>4.9359</v>
      </c>
    </row>
    <row r="4638">
      <c r="D4638" s="6">
        <f>IFERROR(__xludf.DUMMYFUNCTION("""COMPUTED_VALUE"""),44852.99861111111)</f>
        <v>44852.99861</v>
      </c>
      <c r="E4638" s="3">
        <f>IFERROR(__xludf.DUMMYFUNCTION("""COMPUTED_VALUE"""),4.93)</f>
        <v>4.93</v>
      </c>
    </row>
    <row r="4639">
      <c r="D4639" s="6">
        <f>IFERROR(__xludf.DUMMYFUNCTION("""COMPUTED_VALUE"""),44853.99861111111)</f>
        <v>44853.99861</v>
      </c>
      <c r="E4639" s="3">
        <f>IFERROR(__xludf.DUMMYFUNCTION("""COMPUTED_VALUE"""),4.915)</f>
        <v>4.915</v>
      </c>
    </row>
    <row r="4640">
      <c r="D4640" s="6">
        <f>IFERROR(__xludf.DUMMYFUNCTION("""COMPUTED_VALUE"""),44854.99861111111)</f>
        <v>44854.99861</v>
      </c>
      <c r="E4640" s="3">
        <f>IFERROR(__xludf.DUMMYFUNCTION("""COMPUTED_VALUE"""),4.913)</f>
        <v>4.913</v>
      </c>
    </row>
    <row r="4641">
      <c r="D4641" s="6">
        <f>IFERROR(__xludf.DUMMYFUNCTION("""COMPUTED_VALUE"""),44855.99861111111)</f>
        <v>44855.99861</v>
      </c>
      <c r="E4641" s="3">
        <f>IFERROR(__xludf.DUMMYFUNCTION("""COMPUTED_VALUE"""),4.9122)</f>
        <v>4.9122</v>
      </c>
    </row>
    <row r="4642">
      <c r="D4642" s="6">
        <f>IFERROR(__xludf.DUMMYFUNCTION("""COMPUTED_VALUE"""),44857.99861111111)</f>
        <v>44857.99861</v>
      </c>
      <c r="E4642" s="3">
        <f>IFERROR(__xludf.DUMMYFUNCTION("""COMPUTED_VALUE"""),4.9122)</f>
        <v>4.9122</v>
      </c>
    </row>
    <row r="4643">
      <c r="D4643" s="6">
        <f>IFERROR(__xludf.DUMMYFUNCTION("""COMPUTED_VALUE"""),44858.99861111111)</f>
        <v>44858.99861</v>
      </c>
      <c r="E4643" s="3">
        <f>IFERROR(__xludf.DUMMYFUNCTION("""COMPUTED_VALUE"""),4.91)</f>
        <v>4.91</v>
      </c>
    </row>
    <row r="4644">
      <c r="D4644" s="6">
        <f>IFERROR(__xludf.DUMMYFUNCTION("""COMPUTED_VALUE"""),44859.99861111111)</f>
        <v>44859.99861</v>
      </c>
      <c r="E4644" s="3">
        <f>IFERROR(__xludf.DUMMYFUNCTION("""COMPUTED_VALUE"""),4.9065)</f>
        <v>4.9065</v>
      </c>
    </row>
    <row r="4645">
      <c r="D4645" s="6">
        <f>IFERROR(__xludf.DUMMYFUNCTION("""COMPUTED_VALUE"""),44860.99861111111)</f>
        <v>44860.99861</v>
      </c>
      <c r="E4645" s="3">
        <f>IFERROR(__xludf.DUMMYFUNCTION("""COMPUTED_VALUE"""),4.8701)</f>
        <v>4.8701</v>
      </c>
    </row>
    <row r="4646">
      <c r="D4646" s="6">
        <f>IFERROR(__xludf.DUMMYFUNCTION("""COMPUTED_VALUE"""),44861.99861111111)</f>
        <v>44861.99861</v>
      </c>
      <c r="E4646" s="3">
        <f>IFERROR(__xludf.DUMMYFUNCTION("""COMPUTED_VALUE"""),4.8979)</f>
        <v>4.8979</v>
      </c>
    </row>
    <row r="4647">
      <c r="D4647" s="6">
        <f>IFERROR(__xludf.DUMMYFUNCTION("""COMPUTED_VALUE"""),44862.99861111111)</f>
        <v>44862.99861</v>
      </c>
      <c r="E4647" s="3">
        <f>IFERROR(__xludf.DUMMYFUNCTION("""COMPUTED_VALUE"""),4.9183)</f>
        <v>4.9183</v>
      </c>
    </row>
    <row r="4648">
      <c r="D4648" s="6">
        <f>IFERROR(__xludf.DUMMYFUNCTION("""COMPUTED_VALUE"""),44864.99861111111)</f>
        <v>44864.99861</v>
      </c>
      <c r="E4648" s="3">
        <f>IFERROR(__xludf.DUMMYFUNCTION("""COMPUTED_VALUE"""),4.9183)</f>
        <v>4.9183</v>
      </c>
    </row>
    <row r="4649">
      <c r="D4649" s="6">
        <f>IFERROR(__xludf.DUMMYFUNCTION("""COMPUTED_VALUE"""),44865.99861111111)</f>
        <v>44865.99861</v>
      </c>
      <c r="E4649" s="3">
        <f>IFERROR(__xludf.DUMMYFUNCTION("""COMPUTED_VALUE"""),4.9065)</f>
        <v>4.9065</v>
      </c>
    </row>
    <row r="4650">
      <c r="D4650" s="6">
        <f>IFERROR(__xludf.DUMMYFUNCTION("""COMPUTED_VALUE"""),44866.99861111111)</f>
        <v>44866.99861</v>
      </c>
      <c r="E4650" s="3">
        <f>IFERROR(__xludf.DUMMYFUNCTION("""COMPUTED_VALUE"""),4.904)</f>
        <v>4.904</v>
      </c>
    </row>
    <row r="4651">
      <c r="D4651" s="6">
        <f>IFERROR(__xludf.DUMMYFUNCTION("""COMPUTED_VALUE"""),44867.99861111111)</f>
        <v>44867.99861</v>
      </c>
      <c r="E4651" s="3">
        <f>IFERROR(__xludf.DUMMYFUNCTION("""COMPUTED_VALUE"""),4.9025)</f>
        <v>4.9025</v>
      </c>
    </row>
    <row r="4652">
      <c r="D4652" s="6">
        <f>IFERROR(__xludf.DUMMYFUNCTION("""COMPUTED_VALUE"""),44868.99861111111)</f>
        <v>44868.99861</v>
      </c>
      <c r="E4652" s="3">
        <f>IFERROR(__xludf.DUMMYFUNCTION("""COMPUTED_VALUE"""),4.9025)</f>
        <v>4.9025</v>
      </c>
    </row>
    <row r="4653">
      <c r="D4653" s="6">
        <f>IFERROR(__xludf.DUMMYFUNCTION("""COMPUTED_VALUE"""),44869.99861111111)</f>
        <v>44869.99861</v>
      </c>
      <c r="E4653" s="3">
        <f>IFERROR(__xludf.DUMMYFUNCTION("""COMPUTED_VALUE"""),4.888)</f>
        <v>4.888</v>
      </c>
    </row>
    <row r="4654">
      <c r="D4654" s="6">
        <f>IFERROR(__xludf.DUMMYFUNCTION("""COMPUTED_VALUE"""),44870.99861111111)</f>
        <v>44870.99861</v>
      </c>
      <c r="E4654" s="3">
        <f>IFERROR(__xludf.DUMMYFUNCTION("""COMPUTED_VALUE"""),4.888)</f>
        <v>4.888</v>
      </c>
    </row>
    <row r="4655">
      <c r="D4655" s="6">
        <f>IFERROR(__xludf.DUMMYFUNCTION("""COMPUTED_VALUE"""),44871.99861111111)</f>
        <v>44871.99861</v>
      </c>
      <c r="E4655" s="3">
        <f>IFERROR(__xludf.DUMMYFUNCTION("""COMPUTED_VALUE"""),4.888)</f>
        <v>4.888</v>
      </c>
    </row>
    <row r="4656">
      <c r="D4656" s="6">
        <f>IFERROR(__xludf.DUMMYFUNCTION("""COMPUTED_VALUE"""),44872.99861111111)</f>
        <v>44872.99861</v>
      </c>
      <c r="E4656" s="3">
        <f>IFERROR(__xludf.DUMMYFUNCTION("""COMPUTED_VALUE"""),4.8871)</f>
        <v>4.8871</v>
      </c>
    </row>
    <row r="4657">
      <c r="D4657" s="6">
        <f>IFERROR(__xludf.DUMMYFUNCTION("""COMPUTED_VALUE"""),44873.99861111111)</f>
        <v>44873.99861</v>
      </c>
      <c r="E4657" s="3">
        <f>IFERROR(__xludf.DUMMYFUNCTION("""COMPUTED_VALUE"""),4.8925)</f>
        <v>4.8925</v>
      </c>
    </row>
    <row r="4658">
      <c r="D4658" s="6">
        <f>IFERROR(__xludf.DUMMYFUNCTION("""COMPUTED_VALUE"""),44874.99861111111)</f>
        <v>44874.99861</v>
      </c>
      <c r="E4658" s="3">
        <f>IFERROR(__xludf.DUMMYFUNCTION("""COMPUTED_VALUE"""),4.8745)</f>
        <v>4.8745</v>
      </c>
    </row>
    <row r="4659">
      <c r="D4659" s="6">
        <f>IFERROR(__xludf.DUMMYFUNCTION("""COMPUTED_VALUE"""),44875.99861111111)</f>
        <v>44875.99861</v>
      </c>
      <c r="E4659" s="3">
        <f>IFERROR(__xludf.DUMMYFUNCTION("""COMPUTED_VALUE"""),4.8745)</f>
        <v>4.8745</v>
      </c>
    </row>
    <row r="4660">
      <c r="D4660" s="6">
        <f>IFERROR(__xludf.DUMMYFUNCTION("""COMPUTED_VALUE"""),44876.99861111111)</f>
        <v>44876.99861</v>
      </c>
      <c r="E4660" s="3">
        <f>IFERROR(__xludf.DUMMYFUNCTION("""COMPUTED_VALUE"""),4.8918)</f>
        <v>4.8918</v>
      </c>
    </row>
    <row r="4661">
      <c r="D4661" s="6">
        <f>IFERROR(__xludf.DUMMYFUNCTION("""COMPUTED_VALUE"""),44877.99861111111)</f>
        <v>44877.99861</v>
      </c>
      <c r="E4661" s="3">
        <f>IFERROR(__xludf.DUMMYFUNCTION("""COMPUTED_VALUE"""),4.8918)</f>
        <v>4.8918</v>
      </c>
    </row>
    <row r="4662">
      <c r="D4662" s="6">
        <f>IFERROR(__xludf.DUMMYFUNCTION("""COMPUTED_VALUE"""),44878.99861111111)</f>
        <v>44878.99861</v>
      </c>
      <c r="E4662" s="3">
        <f>IFERROR(__xludf.DUMMYFUNCTION("""COMPUTED_VALUE"""),4.8918)</f>
        <v>4.8918</v>
      </c>
    </row>
    <row r="4663">
      <c r="D4663" s="6">
        <f>IFERROR(__xludf.DUMMYFUNCTION("""COMPUTED_VALUE"""),44879.99861111111)</f>
        <v>44879.99861</v>
      </c>
      <c r="E4663" s="3">
        <f>IFERROR(__xludf.DUMMYFUNCTION("""COMPUTED_VALUE"""),4.9011)</f>
        <v>4.9011</v>
      </c>
    </row>
    <row r="4664">
      <c r="D4664" s="6">
        <f>IFERROR(__xludf.DUMMYFUNCTION("""COMPUTED_VALUE"""),44880.99861111111)</f>
        <v>44880.99861</v>
      </c>
      <c r="E4664" s="3">
        <f>IFERROR(__xludf.DUMMYFUNCTION("""COMPUTED_VALUE"""),4.9011)</f>
        <v>4.9011</v>
      </c>
    </row>
    <row r="4665">
      <c r="D4665" s="6">
        <f>IFERROR(__xludf.DUMMYFUNCTION("""COMPUTED_VALUE"""),44881.99861111111)</f>
        <v>44881.99861</v>
      </c>
      <c r="E4665" s="3">
        <f>IFERROR(__xludf.DUMMYFUNCTION("""COMPUTED_VALUE"""),4.916)</f>
        <v>4.916</v>
      </c>
    </row>
    <row r="4666">
      <c r="D4666" s="6">
        <f>IFERROR(__xludf.DUMMYFUNCTION("""COMPUTED_VALUE"""),44882.99861111111)</f>
        <v>44882.99861</v>
      </c>
      <c r="E4666" s="3">
        <f>IFERROR(__xludf.DUMMYFUNCTION("""COMPUTED_VALUE"""),4.9235)</f>
        <v>4.9235</v>
      </c>
    </row>
    <row r="4667">
      <c r="D4667" s="6">
        <f>IFERROR(__xludf.DUMMYFUNCTION("""COMPUTED_VALUE"""),44883.99861111111)</f>
        <v>44883.99861</v>
      </c>
      <c r="E4667" s="3">
        <f>IFERROR(__xludf.DUMMYFUNCTION("""COMPUTED_VALUE"""),4.937)</f>
        <v>4.937</v>
      </c>
    </row>
    <row r="4668">
      <c r="D4668" s="6">
        <f>IFERROR(__xludf.DUMMYFUNCTION("""COMPUTED_VALUE"""),44884.99861111111)</f>
        <v>44884.99861</v>
      </c>
      <c r="E4668" s="3">
        <f>IFERROR(__xludf.DUMMYFUNCTION("""COMPUTED_VALUE"""),4.937)</f>
        <v>4.937</v>
      </c>
    </row>
    <row r="4669">
      <c r="D4669" s="6">
        <f>IFERROR(__xludf.DUMMYFUNCTION("""COMPUTED_VALUE"""),44885.99861111111)</f>
        <v>44885.99861</v>
      </c>
      <c r="E4669" s="3">
        <f>IFERROR(__xludf.DUMMYFUNCTION("""COMPUTED_VALUE"""),4.9405)</f>
        <v>4.9405</v>
      </c>
    </row>
    <row r="4670">
      <c r="D4670" s="6">
        <f>IFERROR(__xludf.DUMMYFUNCTION("""COMPUTED_VALUE"""),44886.99861111111)</f>
        <v>44886.99861</v>
      </c>
      <c r="E4670" s="3">
        <f>IFERROR(__xludf.DUMMYFUNCTION("""COMPUTED_VALUE"""),4.937)</f>
        <v>4.937</v>
      </c>
    </row>
    <row r="4671">
      <c r="D4671" s="6">
        <f>IFERROR(__xludf.DUMMYFUNCTION("""COMPUTED_VALUE"""),44887.99861111111)</f>
        <v>44887.99861</v>
      </c>
      <c r="E4671" s="3">
        <f>IFERROR(__xludf.DUMMYFUNCTION("""COMPUTED_VALUE"""),4.936)</f>
        <v>4.936</v>
      </c>
    </row>
    <row r="4672">
      <c r="D4672" s="6">
        <f>IFERROR(__xludf.DUMMYFUNCTION("""COMPUTED_VALUE"""),44888.99861111111)</f>
        <v>44888.99861</v>
      </c>
      <c r="E4672" s="3">
        <f>IFERROR(__xludf.DUMMYFUNCTION("""COMPUTED_VALUE"""),4.9295)</f>
        <v>4.9295</v>
      </c>
    </row>
    <row r="4673">
      <c r="D4673" s="6">
        <f>IFERROR(__xludf.DUMMYFUNCTION("""COMPUTED_VALUE"""),44889.99861111111)</f>
        <v>44889.99861</v>
      </c>
      <c r="E4673" s="3">
        <f>IFERROR(__xludf.DUMMYFUNCTION("""COMPUTED_VALUE"""),4.9184)</f>
        <v>4.9184</v>
      </c>
    </row>
    <row r="4674">
      <c r="D4674" s="6">
        <f>IFERROR(__xludf.DUMMYFUNCTION("""COMPUTED_VALUE"""),44890.99861111111)</f>
        <v>44890.99861</v>
      </c>
      <c r="E4674" s="3">
        <f>IFERROR(__xludf.DUMMYFUNCTION("""COMPUTED_VALUE"""),4.9322)</f>
        <v>4.9322</v>
      </c>
    </row>
    <row r="4675">
      <c r="D4675" s="6">
        <f>IFERROR(__xludf.DUMMYFUNCTION("""COMPUTED_VALUE"""),44891.99861111111)</f>
        <v>44891.99861</v>
      </c>
      <c r="E4675" s="3">
        <f>IFERROR(__xludf.DUMMYFUNCTION("""COMPUTED_VALUE"""),4.9322)</f>
        <v>4.9322</v>
      </c>
    </row>
    <row r="4676">
      <c r="D4676" s="6">
        <f>IFERROR(__xludf.DUMMYFUNCTION("""COMPUTED_VALUE"""),44892.99861111111)</f>
        <v>44892.99861</v>
      </c>
      <c r="E4676" s="3">
        <f>IFERROR(__xludf.DUMMYFUNCTION("""COMPUTED_VALUE"""),4.9172)</f>
        <v>4.9172</v>
      </c>
    </row>
    <row r="4677">
      <c r="D4677" s="6">
        <f>IFERROR(__xludf.DUMMYFUNCTION("""COMPUTED_VALUE"""),44893.99861111111)</f>
        <v>44893.99861</v>
      </c>
      <c r="E4677" s="3">
        <f>IFERROR(__xludf.DUMMYFUNCTION("""COMPUTED_VALUE"""),4.9055)</f>
        <v>4.9055</v>
      </c>
    </row>
    <row r="4678">
      <c r="D4678" s="6">
        <f>IFERROR(__xludf.DUMMYFUNCTION("""COMPUTED_VALUE"""),44894.99861111111)</f>
        <v>44894.99861</v>
      </c>
      <c r="E4678" s="3">
        <f>IFERROR(__xludf.DUMMYFUNCTION("""COMPUTED_VALUE"""),4.913)</f>
        <v>4.913</v>
      </c>
    </row>
    <row r="4679">
      <c r="D4679" s="6">
        <f>IFERROR(__xludf.DUMMYFUNCTION("""COMPUTED_VALUE"""),44895.99861111111)</f>
        <v>44895.99861</v>
      </c>
      <c r="E4679" s="3">
        <f>IFERROR(__xludf.DUMMYFUNCTION("""COMPUTED_VALUE"""),4.913)</f>
        <v>4.913</v>
      </c>
    </row>
    <row r="4680">
      <c r="D4680" s="6">
        <f>IFERROR(__xludf.DUMMYFUNCTION("""COMPUTED_VALUE"""),44896.99861111111)</f>
        <v>44896.99861</v>
      </c>
      <c r="E4680" s="3">
        <f>IFERROR(__xludf.DUMMYFUNCTION("""COMPUTED_VALUE"""),4.9271)</f>
        <v>4.9271</v>
      </c>
    </row>
    <row r="4681">
      <c r="D4681" s="6">
        <f>IFERROR(__xludf.DUMMYFUNCTION("""COMPUTED_VALUE"""),44897.99861111111)</f>
        <v>44897.99861</v>
      </c>
      <c r="E4681" s="3">
        <f>IFERROR(__xludf.DUMMYFUNCTION("""COMPUTED_VALUE"""),4.9191)</f>
        <v>4.9191</v>
      </c>
    </row>
    <row r="4682">
      <c r="D4682" s="6">
        <f>IFERROR(__xludf.DUMMYFUNCTION("""COMPUTED_VALUE"""),44898.99861111111)</f>
        <v>44898.99861</v>
      </c>
      <c r="E4682" s="3">
        <f>IFERROR(__xludf.DUMMYFUNCTION("""COMPUTED_VALUE"""),4.9191)</f>
        <v>4.9191</v>
      </c>
    </row>
    <row r="4683">
      <c r="D4683" s="6">
        <f>IFERROR(__xludf.DUMMYFUNCTION("""COMPUTED_VALUE"""),44899.99861111111)</f>
        <v>44899.99861</v>
      </c>
      <c r="E4683" s="3">
        <f>IFERROR(__xludf.DUMMYFUNCTION("""COMPUTED_VALUE"""),4.9234)</f>
        <v>4.9234</v>
      </c>
    </row>
    <row r="4684">
      <c r="D4684" s="6">
        <f>IFERROR(__xludf.DUMMYFUNCTION("""COMPUTED_VALUE"""),44900.99861111111)</f>
        <v>44900.99861</v>
      </c>
      <c r="E4684" s="3">
        <f>IFERROR(__xludf.DUMMYFUNCTION("""COMPUTED_VALUE"""),4.9139)</f>
        <v>4.9139</v>
      </c>
    </row>
    <row r="4685">
      <c r="D4685" s="6">
        <f>IFERROR(__xludf.DUMMYFUNCTION("""COMPUTED_VALUE"""),44901.99861111111)</f>
        <v>44901.99861</v>
      </c>
      <c r="E4685" s="3">
        <f>IFERROR(__xludf.DUMMYFUNCTION("""COMPUTED_VALUE"""),4.9099)</f>
        <v>4.9099</v>
      </c>
    </row>
    <row r="4686">
      <c r="D4686" s="6">
        <f>IFERROR(__xludf.DUMMYFUNCTION("""COMPUTED_VALUE"""),44902.99861111111)</f>
        <v>44902.99861</v>
      </c>
      <c r="E4686" s="3">
        <f>IFERROR(__xludf.DUMMYFUNCTION("""COMPUTED_VALUE"""),4.911)</f>
        <v>4.911</v>
      </c>
    </row>
    <row r="4687">
      <c r="D4687" s="6">
        <f>IFERROR(__xludf.DUMMYFUNCTION("""COMPUTED_VALUE"""),44903.99861111111)</f>
        <v>44903.99861</v>
      </c>
      <c r="E4687" s="3">
        <f>IFERROR(__xludf.DUMMYFUNCTION("""COMPUTED_VALUE"""),4.9122)</f>
        <v>4.9122</v>
      </c>
    </row>
    <row r="4688">
      <c r="D4688" s="6">
        <f>IFERROR(__xludf.DUMMYFUNCTION("""COMPUTED_VALUE"""),44904.99861111111)</f>
        <v>44904.99861</v>
      </c>
      <c r="E4688" s="3">
        <f>IFERROR(__xludf.DUMMYFUNCTION("""COMPUTED_VALUE"""),4.9182)</f>
        <v>4.9182</v>
      </c>
    </row>
    <row r="4689">
      <c r="D4689" s="6">
        <f>IFERROR(__xludf.DUMMYFUNCTION("""COMPUTED_VALUE"""),44905.99861111111)</f>
        <v>44905.99861</v>
      </c>
      <c r="E4689" s="3">
        <f>IFERROR(__xludf.DUMMYFUNCTION("""COMPUTED_VALUE"""),4.9182)</f>
        <v>4.9182</v>
      </c>
    </row>
    <row r="4690">
      <c r="D4690" s="6">
        <f>IFERROR(__xludf.DUMMYFUNCTION("""COMPUTED_VALUE"""),44906.99861111111)</f>
        <v>44906.99861</v>
      </c>
      <c r="E4690" s="3">
        <f>IFERROR(__xludf.DUMMYFUNCTION("""COMPUTED_VALUE"""),4.9214)</f>
        <v>4.9214</v>
      </c>
    </row>
    <row r="4691">
      <c r="D4691" s="6">
        <f>IFERROR(__xludf.DUMMYFUNCTION("""COMPUTED_VALUE"""),44907.99861111111)</f>
        <v>44907.99861</v>
      </c>
      <c r="E4691" s="3">
        <f>IFERROR(__xludf.DUMMYFUNCTION("""COMPUTED_VALUE"""),4.9256)</f>
        <v>4.9256</v>
      </c>
    </row>
    <row r="4692">
      <c r="D4692" s="6">
        <f>IFERROR(__xludf.DUMMYFUNCTION("""COMPUTED_VALUE"""),44908.99861111111)</f>
        <v>44908.99861</v>
      </c>
      <c r="E4692" s="3">
        <f>IFERROR(__xludf.DUMMYFUNCTION("""COMPUTED_VALUE"""),4.9221)</f>
        <v>4.9221</v>
      </c>
    </row>
    <row r="4693">
      <c r="D4693" s="6">
        <f>IFERROR(__xludf.DUMMYFUNCTION("""COMPUTED_VALUE"""),44909.99861111111)</f>
        <v>44909.99861</v>
      </c>
      <c r="E4693" s="3">
        <f>IFERROR(__xludf.DUMMYFUNCTION("""COMPUTED_VALUE"""),4.9201)</f>
        <v>4.9201</v>
      </c>
    </row>
    <row r="4694">
      <c r="D4694" s="6">
        <f>IFERROR(__xludf.DUMMYFUNCTION("""COMPUTED_VALUE"""),44910.99861111111)</f>
        <v>44910.99861</v>
      </c>
      <c r="E4694" s="3">
        <f>IFERROR(__xludf.DUMMYFUNCTION("""COMPUTED_VALUE"""),4.9185)</f>
        <v>4.9185</v>
      </c>
    </row>
    <row r="4695">
      <c r="D4695" s="6">
        <f>IFERROR(__xludf.DUMMYFUNCTION("""COMPUTED_VALUE"""),44911.99861111111)</f>
        <v>44911.99861</v>
      </c>
      <c r="E4695" s="3">
        <f>IFERROR(__xludf.DUMMYFUNCTION("""COMPUTED_VALUE"""),4.9084)</f>
        <v>4.9084</v>
      </c>
    </row>
    <row r="4696">
      <c r="D4696" s="6">
        <f>IFERROR(__xludf.DUMMYFUNCTION("""COMPUTED_VALUE"""),44912.99861111111)</f>
        <v>44912.99861</v>
      </c>
      <c r="E4696" s="3">
        <f>IFERROR(__xludf.DUMMYFUNCTION("""COMPUTED_VALUE"""),4.9084)</f>
        <v>4.9084</v>
      </c>
    </row>
    <row r="4697">
      <c r="D4697" s="6">
        <f>IFERROR(__xludf.DUMMYFUNCTION("""COMPUTED_VALUE"""),44913.99861111111)</f>
        <v>44913.99861</v>
      </c>
      <c r="E4697" s="3">
        <f>IFERROR(__xludf.DUMMYFUNCTION("""COMPUTED_VALUE"""),4.9175)</f>
        <v>4.9175</v>
      </c>
    </row>
    <row r="4698">
      <c r="D4698" s="6">
        <f>IFERROR(__xludf.DUMMYFUNCTION("""COMPUTED_VALUE"""),44914.99861111111)</f>
        <v>44914.99861</v>
      </c>
      <c r="E4698" s="3">
        <f>IFERROR(__xludf.DUMMYFUNCTION("""COMPUTED_VALUE"""),4.9044)</f>
        <v>4.9044</v>
      </c>
    </row>
    <row r="4699">
      <c r="D4699" s="6">
        <f>IFERROR(__xludf.DUMMYFUNCTION("""COMPUTED_VALUE"""),44915.99861111111)</f>
        <v>44915.99861</v>
      </c>
      <c r="E4699" s="3">
        <f>IFERROR(__xludf.DUMMYFUNCTION("""COMPUTED_VALUE"""),4.9046)</f>
        <v>4.9046</v>
      </c>
    </row>
    <row r="4700">
      <c r="D4700" s="6">
        <f>IFERROR(__xludf.DUMMYFUNCTION("""COMPUTED_VALUE"""),44916.99861111111)</f>
        <v>44916.99861</v>
      </c>
      <c r="E4700" s="3">
        <f>IFERROR(__xludf.DUMMYFUNCTION("""COMPUTED_VALUE"""),4.8897)</f>
        <v>4.8897</v>
      </c>
    </row>
    <row r="4701">
      <c r="D4701" s="6">
        <f>IFERROR(__xludf.DUMMYFUNCTION("""COMPUTED_VALUE"""),44917.99861111111)</f>
        <v>44917.99861</v>
      </c>
      <c r="E4701" s="3">
        <f>IFERROR(__xludf.DUMMYFUNCTION("""COMPUTED_VALUE"""),4.8926)</f>
        <v>4.8926</v>
      </c>
    </row>
    <row r="4702">
      <c r="D4702" s="6">
        <f>IFERROR(__xludf.DUMMYFUNCTION("""COMPUTED_VALUE"""),44918.99861111111)</f>
        <v>44918.99861</v>
      </c>
      <c r="E4702" s="3">
        <f>IFERROR(__xludf.DUMMYFUNCTION("""COMPUTED_VALUE"""),4.9093)</f>
        <v>4.9093</v>
      </c>
    </row>
    <row r="4703">
      <c r="D4703" s="6">
        <f>IFERROR(__xludf.DUMMYFUNCTION("""COMPUTED_VALUE"""),44919.99861111111)</f>
        <v>44919.99861</v>
      </c>
      <c r="E4703" s="3">
        <f>IFERROR(__xludf.DUMMYFUNCTION("""COMPUTED_VALUE"""),4.8915)</f>
        <v>4.8915</v>
      </c>
    </row>
    <row r="4704">
      <c r="D4704" s="6">
        <f>IFERROR(__xludf.DUMMYFUNCTION("""COMPUTED_VALUE"""),44920.99861111111)</f>
        <v>44920.99861</v>
      </c>
      <c r="E4704" s="3">
        <f>IFERROR(__xludf.DUMMYFUNCTION("""COMPUTED_VALUE"""),4.9054)</f>
        <v>4.9054</v>
      </c>
    </row>
    <row r="4705">
      <c r="D4705" s="6">
        <f>IFERROR(__xludf.DUMMYFUNCTION("""COMPUTED_VALUE"""),44921.99861111111)</f>
        <v>44921.99861</v>
      </c>
      <c r="E4705" s="3">
        <f>IFERROR(__xludf.DUMMYFUNCTION("""COMPUTED_VALUE"""),4.9176)</f>
        <v>4.9176</v>
      </c>
    </row>
    <row r="4706">
      <c r="D4706" s="6">
        <f>IFERROR(__xludf.DUMMYFUNCTION("""COMPUTED_VALUE"""),44922.99861111111)</f>
        <v>44922.99861</v>
      </c>
      <c r="E4706" s="3">
        <f>IFERROR(__xludf.DUMMYFUNCTION("""COMPUTED_VALUE"""),4.9218)</f>
        <v>4.9218</v>
      </c>
    </row>
    <row r="4707">
      <c r="D4707" s="6">
        <f>IFERROR(__xludf.DUMMYFUNCTION("""COMPUTED_VALUE"""),44923.99861111111)</f>
        <v>44923.99861</v>
      </c>
      <c r="E4707" s="3">
        <f>IFERROR(__xludf.DUMMYFUNCTION("""COMPUTED_VALUE"""),4.9392)</f>
        <v>4.9392</v>
      </c>
    </row>
    <row r="4708">
      <c r="D4708" s="6">
        <f>IFERROR(__xludf.DUMMYFUNCTION("""COMPUTED_VALUE"""),44924.99861111111)</f>
        <v>44924.99861</v>
      </c>
      <c r="E4708" s="3">
        <f>IFERROR(__xludf.DUMMYFUNCTION("""COMPUTED_VALUE"""),4.9451)</f>
        <v>4.9451</v>
      </c>
    </row>
    <row r="4709">
      <c r="D4709" s="6">
        <f>IFERROR(__xludf.DUMMYFUNCTION("""COMPUTED_VALUE"""),44925.99861111111)</f>
        <v>44925.99861</v>
      </c>
      <c r="E4709" s="3">
        <f>IFERROR(__xludf.DUMMYFUNCTION("""COMPUTED_VALUE"""),4.9402)</f>
        <v>4.9402</v>
      </c>
    </row>
    <row r="4710">
      <c r="D4710" s="6">
        <f>IFERROR(__xludf.DUMMYFUNCTION("""COMPUTED_VALUE"""),44926.99861111111)</f>
        <v>44926.99861</v>
      </c>
      <c r="E4710" s="3">
        <f>IFERROR(__xludf.DUMMYFUNCTION("""COMPUTED_VALUE"""),4.9454)</f>
        <v>4.9454</v>
      </c>
    </row>
    <row r="4711">
      <c r="D4711" s="6">
        <f>IFERROR(__xludf.DUMMYFUNCTION("""COMPUTED_VALUE"""),44927.99861111111)</f>
        <v>44927.99861</v>
      </c>
      <c r="E4711" s="3">
        <f>IFERROR(__xludf.DUMMYFUNCTION("""COMPUTED_VALUE"""),4.9454)</f>
        <v>4.9454</v>
      </c>
    </row>
    <row r="4712">
      <c r="D4712" s="6">
        <f>IFERROR(__xludf.DUMMYFUNCTION("""COMPUTED_VALUE"""),44928.99861111111)</f>
        <v>44928.99861</v>
      </c>
      <c r="E4712" s="3">
        <f>IFERROR(__xludf.DUMMYFUNCTION("""COMPUTED_VALUE"""),4.9199)</f>
        <v>4.9199</v>
      </c>
    </row>
    <row r="4713">
      <c r="D4713" s="6">
        <f>IFERROR(__xludf.DUMMYFUNCTION("""COMPUTED_VALUE"""),44929.99861111111)</f>
        <v>44929.99861</v>
      </c>
      <c r="E4713" s="3">
        <f>IFERROR(__xludf.DUMMYFUNCTION("""COMPUTED_VALUE"""),4.9294)</f>
        <v>4.9294</v>
      </c>
    </row>
    <row r="4714">
      <c r="D4714" s="6">
        <f>IFERROR(__xludf.DUMMYFUNCTION("""COMPUTED_VALUE"""),44930.99861111111)</f>
        <v>44930.99861</v>
      </c>
      <c r="E4714" s="3">
        <f>IFERROR(__xludf.DUMMYFUNCTION("""COMPUTED_VALUE"""),4.9225)</f>
        <v>4.9225</v>
      </c>
    </row>
    <row r="4715">
      <c r="D4715" s="6">
        <f>IFERROR(__xludf.DUMMYFUNCTION("""COMPUTED_VALUE"""),44931.99861111111)</f>
        <v>44931.99861</v>
      </c>
      <c r="E4715" s="3">
        <f>IFERROR(__xludf.DUMMYFUNCTION("""COMPUTED_VALUE"""),4.9221)</f>
        <v>4.9221</v>
      </c>
    </row>
    <row r="4716">
      <c r="D4716" s="6">
        <f>IFERROR(__xludf.DUMMYFUNCTION("""COMPUTED_VALUE"""),44932.99861111111)</f>
        <v>44932.99861</v>
      </c>
      <c r="E4716" s="3">
        <f>IFERROR(__xludf.DUMMYFUNCTION("""COMPUTED_VALUE"""),4.9251)</f>
        <v>4.9251</v>
      </c>
    </row>
    <row r="4717">
      <c r="D4717" s="6">
        <f>IFERROR(__xludf.DUMMYFUNCTION("""COMPUTED_VALUE"""),44933.99861111111)</f>
        <v>44933.99861</v>
      </c>
      <c r="E4717" s="3">
        <f>IFERROR(__xludf.DUMMYFUNCTION("""COMPUTED_VALUE"""),4.925)</f>
        <v>4.925</v>
      </c>
    </row>
    <row r="4718">
      <c r="D4718" s="6">
        <f>IFERROR(__xludf.DUMMYFUNCTION("""COMPUTED_VALUE"""),44934.99861111111)</f>
        <v>44934.99861</v>
      </c>
      <c r="E4718" s="3">
        <f>IFERROR(__xludf.DUMMYFUNCTION("""COMPUTED_VALUE"""),4.9267)</f>
        <v>4.9267</v>
      </c>
    </row>
    <row r="4719">
      <c r="D4719" s="6">
        <f>IFERROR(__xludf.DUMMYFUNCTION("""COMPUTED_VALUE"""),44935.99861111111)</f>
        <v>44935.99861</v>
      </c>
      <c r="E4719" s="3">
        <f>IFERROR(__xludf.DUMMYFUNCTION("""COMPUTED_VALUE"""),4.9208)</f>
        <v>4.9208</v>
      </c>
    </row>
    <row r="4720">
      <c r="D4720" s="6">
        <f>IFERROR(__xludf.DUMMYFUNCTION("""COMPUTED_VALUE"""),44936.99861111111)</f>
        <v>44936.99861</v>
      </c>
      <c r="E4720" s="3">
        <f>IFERROR(__xludf.DUMMYFUNCTION("""COMPUTED_VALUE"""),4.9308)</f>
        <v>4.9308</v>
      </c>
    </row>
    <row r="4721">
      <c r="D4721" s="6">
        <f>IFERROR(__xludf.DUMMYFUNCTION("""COMPUTED_VALUE"""),44937.99861111111)</f>
        <v>44937.99861</v>
      </c>
      <c r="E4721" s="3">
        <f>IFERROR(__xludf.DUMMYFUNCTION("""COMPUTED_VALUE"""),4.9333)</f>
        <v>4.9333</v>
      </c>
    </row>
    <row r="4722">
      <c r="D4722" s="6">
        <f>IFERROR(__xludf.DUMMYFUNCTION("""COMPUTED_VALUE"""),44938.99861111111)</f>
        <v>44938.99861</v>
      </c>
      <c r="E4722" s="3">
        <f>IFERROR(__xludf.DUMMYFUNCTION("""COMPUTED_VALUE"""),4.937)</f>
        <v>4.937</v>
      </c>
    </row>
    <row r="4723">
      <c r="D4723" s="6">
        <f>IFERROR(__xludf.DUMMYFUNCTION("""COMPUTED_VALUE"""),44939.99861111111)</f>
        <v>44939.99861</v>
      </c>
      <c r="E4723" s="3">
        <f>IFERROR(__xludf.DUMMYFUNCTION("""COMPUTED_VALUE"""),4.94)</f>
        <v>4.94</v>
      </c>
    </row>
    <row r="4724">
      <c r="D4724" s="6">
        <f>IFERROR(__xludf.DUMMYFUNCTION("""COMPUTED_VALUE"""),44940.99861111111)</f>
        <v>44940.99861</v>
      </c>
      <c r="E4724" s="3">
        <f>IFERROR(__xludf.DUMMYFUNCTION("""COMPUTED_VALUE"""),4.94)</f>
        <v>4.94</v>
      </c>
    </row>
    <row r="4725">
      <c r="D4725" s="6">
        <f>IFERROR(__xludf.DUMMYFUNCTION("""COMPUTED_VALUE"""),44941.99861111111)</f>
        <v>44941.99861</v>
      </c>
      <c r="E4725" s="3">
        <f>IFERROR(__xludf.DUMMYFUNCTION("""COMPUTED_VALUE"""),4.9425)</f>
        <v>4.9425</v>
      </c>
    </row>
    <row r="4726">
      <c r="D4726" s="6">
        <f>IFERROR(__xludf.DUMMYFUNCTION("""COMPUTED_VALUE"""),44942.99861111111)</f>
        <v>44942.99861</v>
      </c>
      <c r="E4726" s="3">
        <f>IFERROR(__xludf.DUMMYFUNCTION("""COMPUTED_VALUE"""),4.9258)</f>
        <v>4.9258</v>
      </c>
    </row>
    <row r="4727">
      <c r="D4727" s="6">
        <f>IFERROR(__xludf.DUMMYFUNCTION("""COMPUTED_VALUE"""),44943.99861111111)</f>
        <v>44943.99861</v>
      </c>
      <c r="E4727" s="3">
        <f>IFERROR(__xludf.DUMMYFUNCTION("""COMPUTED_VALUE"""),4.9304)</f>
        <v>4.9304</v>
      </c>
    </row>
    <row r="4728">
      <c r="D4728" s="6">
        <f>IFERROR(__xludf.DUMMYFUNCTION("""COMPUTED_VALUE"""),44944.99861111111)</f>
        <v>44944.99861</v>
      </c>
      <c r="E4728" s="3">
        <f>IFERROR(__xludf.DUMMYFUNCTION("""COMPUTED_VALUE"""),4.9323)</f>
        <v>4.9323</v>
      </c>
    </row>
    <row r="4729">
      <c r="D4729" s="6">
        <f>IFERROR(__xludf.DUMMYFUNCTION("""COMPUTED_VALUE"""),44945.99861111111)</f>
        <v>44945.99861</v>
      </c>
      <c r="E4729" s="3">
        <f>IFERROR(__xludf.DUMMYFUNCTION("""COMPUTED_VALUE"""),4.9172)</f>
        <v>4.9172</v>
      </c>
    </row>
    <row r="4730">
      <c r="D4730" s="6">
        <f>IFERROR(__xludf.DUMMYFUNCTION("""COMPUTED_VALUE"""),44946.99861111111)</f>
        <v>44946.99861</v>
      </c>
      <c r="E4730" s="3">
        <f>IFERROR(__xludf.DUMMYFUNCTION("""COMPUTED_VALUE"""),4.9086)</f>
        <v>4.9086</v>
      </c>
    </row>
    <row r="4731">
      <c r="D4731" s="6">
        <f>IFERROR(__xludf.DUMMYFUNCTION("""COMPUTED_VALUE"""),44947.99861111111)</f>
        <v>44947.99861</v>
      </c>
      <c r="E4731" s="3">
        <f>IFERROR(__xludf.DUMMYFUNCTION("""COMPUTED_VALUE"""),4.9212)</f>
        <v>4.9212</v>
      </c>
    </row>
    <row r="4732">
      <c r="D4732" s="6">
        <f>IFERROR(__xludf.DUMMYFUNCTION("""COMPUTED_VALUE"""),44948.99861111111)</f>
        <v>44948.99861</v>
      </c>
      <c r="E4732" s="3">
        <f>IFERROR(__xludf.DUMMYFUNCTION("""COMPUTED_VALUE"""),4.9212)</f>
        <v>4.9212</v>
      </c>
    </row>
    <row r="4733">
      <c r="D4733" s="6">
        <f>IFERROR(__xludf.DUMMYFUNCTION("""COMPUTED_VALUE"""),44949.99861111111)</f>
        <v>44949.99861</v>
      </c>
      <c r="E4733" s="3">
        <f>IFERROR(__xludf.DUMMYFUNCTION("""COMPUTED_VALUE"""),4.9087)</f>
        <v>4.9087</v>
      </c>
    </row>
    <row r="4734">
      <c r="D4734" s="6">
        <f>IFERROR(__xludf.DUMMYFUNCTION("""COMPUTED_VALUE"""),44950.99861111111)</f>
        <v>44950.99861</v>
      </c>
      <c r="E4734" s="3">
        <f>IFERROR(__xludf.DUMMYFUNCTION("""COMPUTED_VALUE"""),4.9077)</f>
        <v>4.9077</v>
      </c>
    </row>
    <row r="4735">
      <c r="D4735" s="6">
        <f>IFERROR(__xludf.DUMMYFUNCTION("""COMPUTED_VALUE"""),44951.99861111111)</f>
        <v>44951.99861</v>
      </c>
      <c r="E4735" s="3">
        <f>IFERROR(__xludf.DUMMYFUNCTION("""COMPUTED_VALUE"""),4.8941)</f>
        <v>4.8941</v>
      </c>
    </row>
    <row r="4736">
      <c r="D4736" s="6">
        <f>IFERROR(__xludf.DUMMYFUNCTION("""COMPUTED_VALUE"""),44952.99861111111)</f>
        <v>44952.99861</v>
      </c>
      <c r="E4736" s="3">
        <f>IFERROR(__xludf.DUMMYFUNCTION("""COMPUTED_VALUE"""),4.8686)</f>
        <v>4.8686</v>
      </c>
    </row>
    <row r="4737">
      <c r="D4737" s="6">
        <f>IFERROR(__xludf.DUMMYFUNCTION("""COMPUTED_VALUE"""),44953.99861111111)</f>
        <v>44953.99861</v>
      </c>
      <c r="E4737" s="3">
        <f>IFERROR(__xludf.DUMMYFUNCTION("""COMPUTED_VALUE"""),4.8956)</f>
        <v>4.8956</v>
      </c>
    </row>
    <row r="4738">
      <c r="D4738" s="6">
        <f>IFERROR(__xludf.DUMMYFUNCTION("""COMPUTED_VALUE"""),44954.99861111111)</f>
        <v>44954.99861</v>
      </c>
      <c r="E4738" s="3">
        <f>IFERROR(__xludf.DUMMYFUNCTION("""COMPUTED_VALUE"""),4.8942)</f>
        <v>4.8942</v>
      </c>
    </row>
    <row r="4739">
      <c r="D4739" s="6">
        <f>IFERROR(__xludf.DUMMYFUNCTION("""COMPUTED_VALUE"""),44955.99861111111)</f>
        <v>44955.99861</v>
      </c>
      <c r="E4739" s="3">
        <f>IFERROR(__xludf.DUMMYFUNCTION("""COMPUTED_VALUE"""),4.8875)</f>
        <v>4.8875</v>
      </c>
    </row>
    <row r="4740">
      <c r="D4740" s="6">
        <f>IFERROR(__xludf.DUMMYFUNCTION("""COMPUTED_VALUE"""),44956.99861111111)</f>
        <v>44956.99861</v>
      </c>
      <c r="E4740" s="3">
        <f>IFERROR(__xludf.DUMMYFUNCTION("""COMPUTED_VALUE"""),4.9102)</f>
        <v>4.9102</v>
      </c>
    </row>
    <row r="4741">
      <c r="D4741" s="6">
        <f>IFERROR(__xludf.DUMMYFUNCTION("""COMPUTED_VALUE"""),44957.99861111111)</f>
        <v>44957.99861</v>
      </c>
      <c r="E4741" s="3">
        <f>IFERROR(__xludf.DUMMYFUNCTION("""COMPUTED_VALUE"""),4.9102)</f>
        <v>4.9102</v>
      </c>
    </row>
    <row r="4742">
      <c r="D4742" s="6">
        <f>IFERROR(__xludf.DUMMYFUNCTION("""COMPUTED_VALUE"""),44958.99861111111)</f>
        <v>44958.99861</v>
      </c>
      <c r="E4742" s="3">
        <f>IFERROR(__xludf.DUMMYFUNCTION("""COMPUTED_VALUE"""),4.8969)</f>
        <v>4.8969</v>
      </c>
    </row>
    <row r="4743">
      <c r="D4743" s="6">
        <f>IFERROR(__xludf.DUMMYFUNCTION("""COMPUTED_VALUE"""),44959.99861111111)</f>
        <v>44959.99861</v>
      </c>
      <c r="E4743" s="3">
        <f>IFERROR(__xludf.DUMMYFUNCTION("""COMPUTED_VALUE"""),4.8876)</f>
        <v>4.8876</v>
      </c>
    </row>
    <row r="4744">
      <c r="D4744" s="6">
        <f>IFERROR(__xludf.DUMMYFUNCTION("""COMPUTED_VALUE"""),44960.99861111111)</f>
        <v>44960.99861</v>
      </c>
      <c r="E4744" s="3">
        <f>IFERROR(__xludf.DUMMYFUNCTION("""COMPUTED_VALUE"""),4.8866)</f>
        <v>4.8866</v>
      </c>
    </row>
    <row r="4745">
      <c r="D4745" s="6">
        <f>IFERROR(__xludf.DUMMYFUNCTION("""COMPUTED_VALUE"""),44961.99861111111)</f>
        <v>44961.99861</v>
      </c>
      <c r="E4745" s="3">
        <f>IFERROR(__xludf.DUMMYFUNCTION("""COMPUTED_VALUE"""),4.8865)</f>
        <v>4.8865</v>
      </c>
    </row>
    <row r="4746">
      <c r="D4746" s="6">
        <f>IFERROR(__xludf.DUMMYFUNCTION("""COMPUTED_VALUE"""),44962.99861111111)</f>
        <v>44962.99861</v>
      </c>
      <c r="E4746" s="3">
        <f>IFERROR(__xludf.DUMMYFUNCTION("""COMPUTED_VALUE"""),4.8741)</f>
        <v>4.8741</v>
      </c>
    </row>
    <row r="4747">
      <c r="D4747" s="6">
        <f>IFERROR(__xludf.DUMMYFUNCTION("""COMPUTED_VALUE"""),44963.99861111111)</f>
        <v>44963.99861</v>
      </c>
      <c r="E4747" s="3">
        <f>IFERROR(__xludf.DUMMYFUNCTION("""COMPUTED_VALUE"""),4.88954)</f>
        <v>4.88954</v>
      </c>
    </row>
    <row r="4748">
      <c r="D4748" s="6">
        <f>IFERROR(__xludf.DUMMYFUNCTION("""COMPUTED_VALUE"""),44964.99861111111)</f>
        <v>44964.99861</v>
      </c>
      <c r="E4748" s="3">
        <f>IFERROR(__xludf.DUMMYFUNCTION("""COMPUTED_VALUE"""),4.8757)</f>
        <v>4.8757</v>
      </c>
    </row>
    <row r="4749">
      <c r="D4749" s="6">
        <f>IFERROR(__xludf.DUMMYFUNCTION("""COMPUTED_VALUE"""),44965.99861111111)</f>
        <v>44965.99861</v>
      </c>
      <c r="E4749" s="3">
        <f>IFERROR(__xludf.DUMMYFUNCTION("""COMPUTED_VALUE"""),4.8916)</f>
        <v>4.8916</v>
      </c>
    </row>
    <row r="4750">
      <c r="D4750" s="6">
        <f>IFERROR(__xludf.DUMMYFUNCTION("""COMPUTED_VALUE"""),44966.99861111111)</f>
        <v>44966.99861</v>
      </c>
      <c r="E4750" s="3">
        <f>IFERROR(__xludf.DUMMYFUNCTION("""COMPUTED_VALUE"""),4.88746)</f>
        <v>4.88746</v>
      </c>
    </row>
    <row r="4751">
      <c r="D4751" s="6">
        <f>IFERROR(__xludf.DUMMYFUNCTION("""COMPUTED_VALUE"""),44967.99861111111)</f>
        <v>44967.99861</v>
      </c>
      <c r="E4751" s="3">
        <f>IFERROR(__xludf.DUMMYFUNCTION("""COMPUTED_VALUE"""),4.89394)</f>
        <v>4.89394</v>
      </c>
    </row>
    <row r="4752">
      <c r="D4752" s="6">
        <f>IFERROR(__xludf.DUMMYFUNCTION("""COMPUTED_VALUE"""),44968.99861111111)</f>
        <v>44968.99861</v>
      </c>
      <c r="E4752" s="3">
        <f>IFERROR(__xludf.DUMMYFUNCTION("""COMPUTED_VALUE"""),4.8956)</f>
        <v>4.8956</v>
      </c>
    </row>
    <row r="4753">
      <c r="D4753" s="6">
        <f>IFERROR(__xludf.DUMMYFUNCTION("""COMPUTED_VALUE"""),44969.99861111111)</f>
        <v>44969.99861</v>
      </c>
      <c r="E4753" s="3">
        <f>IFERROR(__xludf.DUMMYFUNCTION("""COMPUTED_VALUE"""),4.88563)</f>
        <v>4.88563</v>
      </c>
    </row>
    <row r="4754">
      <c r="D4754" s="6">
        <f>IFERROR(__xludf.DUMMYFUNCTION("""COMPUTED_VALUE"""),44970.99861111111)</f>
        <v>44970.99861</v>
      </c>
      <c r="E4754" s="3">
        <f>IFERROR(__xludf.DUMMYFUNCTION("""COMPUTED_VALUE"""),4.8938)</f>
        <v>4.8938</v>
      </c>
    </row>
    <row r="4755">
      <c r="D4755" s="6">
        <f>IFERROR(__xludf.DUMMYFUNCTION("""COMPUTED_VALUE"""),44971.99861111111)</f>
        <v>44971.99861</v>
      </c>
      <c r="E4755" s="3">
        <f>IFERROR(__xludf.DUMMYFUNCTION("""COMPUTED_VALUE"""),4.89398)</f>
        <v>4.89398</v>
      </c>
    </row>
    <row r="4756">
      <c r="D4756" s="6">
        <f>IFERROR(__xludf.DUMMYFUNCTION("""COMPUTED_VALUE"""),44972.99861111111)</f>
        <v>44972.99861</v>
      </c>
      <c r="E4756" s="3">
        <f>IFERROR(__xludf.DUMMYFUNCTION("""COMPUTED_VALUE"""),4.88699)</f>
        <v>4.88699</v>
      </c>
    </row>
    <row r="4757">
      <c r="D4757" s="6">
        <f>IFERROR(__xludf.DUMMYFUNCTION("""COMPUTED_VALUE"""),44973.99861111111)</f>
        <v>44973.99861</v>
      </c>
      <c r="E4757" s="3">
        <f>IFERROR(__xludf.DUMMYFUNCTION("""COMPUTED_VALUE"""),4.8705)</f>
        <v>4.8705</v>
      </c>
    </row>
    <row r="4758">
      <c r="D4758" s="6">
        <f>IFERROR(__xludf.DUMMYFUNCTION("""COMPUTED_VALUE"""),44974.99861111111)</f>
        <v>44974.99861</v>
      </c>
      <c r="E4758" s="3">
        <f>IFERROR(__xludf.DUMMYFUNCTION("""COMPUTED_VALUE"""),4.90589)</f>
        <v>4.90589</v>
      </c>
    </row>
    <row r="4759">
      <c r="D4759" s="6">
        <f>IFERROR(__xludf.DUMMYFUNCTION("""COMPUTED_VALUE"""),44975.99861111111)</f>
        <v>44975.99861</v>
      </c>
      <c r="E4759" s="3">
        <f>IFERROR(__xludf.DUMMYFUNCTION("""COMPUTED_VALUE"""),4.9046)</f>
        <v>4.9046</v>
      </c>
    </row>
    <row r="4760">
      <c r="D4760" s="6">
        <f>IFERROR(__xludf.DUMMYFUNCTION("""COMPUTED_VALUE"""),44976.99861111111)</f>
        <v>44976.99861</v>
      </c>
      <c r="E4760" s="3">
        <f>IFERROR(__xludf.DUMMYFUNCTION("""COMPUTED_VALUE"""),4.88696)</f>
        <v>4.88696</v>
      </c>
    </row>
    <row r="4761">
      <c r="D4761" s="6">
        <f>IFERROR(__xludf.DUMMYFUNCTION("""COMPUTED_VALUE"""),44977.99861111111)</f>
        <v>44977.99861</v>
      </c>
      <c r="E4761" s="3">
        <f>IFERROR(__xludf.DUMMYFUNCTION("""COMPUTED_VALUE"""),4.9124)</f>
        <v>4.9124</v>
      </c>
    </row>
    <row r="4762">
      <c r="D4762" s="6">
        <f>IFERROR(__xludf.DUMMYFUNCTION("""COMPUTED_VALUE"""),44978.99861111111)</f>
        <v>44978.99861</v>
      </c>
      <c r="E4762" s="3">
        <f>IFERROR(__xludf.DUMMYFUNCTION("""COMPUTED_VALUE"""),4.91457)</f>
        <v>4.91457</v>
      </c>
    </row>
    <row r="4763">
      <c r="D4763" s="6">
        <f>IFERROR(__xludf.DUMMYFUNCTION("""COMPUTED_VALUE"""),44979.99861111111)</f>
        <v>44979.99861</v>
      </c>
      <c r="E4763" s="3">
        <f>IFERROR(__xludf.DUMMYFUNCTION("""COMPUTED_VALUE"""),4.90983)</f>
        <v>4.90983</v>
      </c>
    </row>
    <row r="4764">
      <c r="D4764" s="6">
        <f>IFERROR(__xludf.DUMMYFUNCTION("""COMPUTED_VALUE"""),44980.99861111111)</f>
        <v>44980.99861</v>
      </c>
      <c r="E4764" s="3">
        <f>IFERROR(__xludf.DUMMYFUNCTION("""COMPUTED_VALUE"""),4.9108)</f>
        <v>4.9108</v>
      </c>
    </row>
    <row r="4765">
      <c r="D4765" s="6">
        <f>IFERROR(__xludf.DUMMYFUNCTION("""COMPUTED_VALUE"""),44981.99861111111)</f>
        <v>44981.99861</v>
      </c>
      <c r="E4765" s="3">
        <f>IFERROR(__xludf.DUMMYFUNCTION("""COMPUTED_VALUE"""),4.91779)</f>
        <v>4.91779</v>
      </c>
    </row>
    <row r="4766">
      <c r="D4766" s="6">
        <f>IFERROR(__xludf.DUMMYFUNCTION("""COMPUTED_VALUE"""),44982.99861111111)</f>
        <v>44982.99861</v>
      </c>
      <c r="E4766" s="3">
        <f>IFERROR(__xludf.DUMMYFUNCTION("""COMPUTED_VALUE"""),4.9161)</f>
        <v>4.9161</v>
      </c>
    </row>
    <row r="4767">
      <c r="D4767" s="6">
        <f>IFERROR(__xludf.DUMMYFUNCTION("""COMPUTED_VALUE"""),44983.99861111111)</f>
        <v>44983.99861</v>
      </c>
      <c r="E4767" s="3">
        <f>IFERROR(__xludf.DUMMYFUNCTION("""COMPUTED_VALUE"""),4.89527)</f>
        <v>4.89527</v>
      </c>
    </row>
    <row r="4768">
      <c r="D4768" s="6">
        <f>IFERROR(__xludf.DUMMYFUNCTION("""COMPUTED_VALUE"""),44984.99861111111)</f>
        <v>44984.99861</v>
      </c>
      <c r="E4768" s="3">
        <f>IFERROR(__xludf.DUMMYFUNCTION("""COMPUTED_VALUE"""),4.90814)</f>
        <v>4.90814</v>
      </c>
    </row>
    <row r="4769">
      <c r="D4769" s="6">
        <f>IFERROR(__xludf.DUMMYFUNCTION("""COMPUTED_VALUE"""),44985.99861111111)</f>
        <v>44985.99861</v>
      </c>
      <c r="E4769" s="3">
        <f>IFERROR(__xludf.DUMMYFUNCTION("""COMPUTED_VALUE"""),4.91464)</f>
        <v>4.91464</v>
      </c>
    </row>
    <row r="4770">
      <c r="D4770" s="6">
        <f>IFERROR(__xludf.DUMMYFUNCTION("""COMPUTED_VALUE"""),44986.99861111111)</f>
        <v>44986.99861</v>
      </c>
      <c r="E4770" s="3">
        <f>IFERROR(__xludf.DUMMYFUNCTION("""COMPUTED_VALUE"""),4.91543)</f>
        <v>4.91543</v>
      </c>
    </row>
    <row r="4771">
      <c r="D4771" s="6">
        <f>IFERROR(__xludf.DUMMYFUNCTION("""COMPUTED_VALUE"""),44987.99861111111)</f>
        <v>44987.99861</v>
      </c>
      <c r="E4771" s="3">
        <f>IFERROR(__xludf.DUMMYFUNCTION("""COMPUTED_VALUE"""),4.9188)</f>
        <v>4.9188</v>
      </c>
    </row>
    <row r="4772">
      <c r="D4772" s="6">
        <f>IFERROR(__xludf.DUMMYFUNCTION("""COMPUTED_VALUE"""),44988.99861111111)</f>
        <v>44988.99861</v>
      </c>
      <c r="E4772" s="3">
        <f>IFERROR(__xludf.DUMMYFUNCTION("""COMPUTED_VALUE"""),4.91984)</f>
        <v>4.91984</v>
      </c>
    </row>
    <row r="4773">
      <c r="D4773" s="6">
        <f>IFERROR(__xludf.DUMMYFUNCTION("""COMPUTED_VALUE"""),44989.99861111111)</f>
        <v>44989.99861</v>
      </c>
      <c r="E4773" s="3">
        <f>IFERROR(__xludf.DUMMYFUNCTION("""COMPUTED_VALUE"""),4.91984)</f>
        <v>4.91984</v>
      </c>
    </row>
    <row r="4774">
      <c r="D4774" s="6">
        <f>IFERROR(__xludf.DUMMYFUNCTION("""COMPUTED_VALUE"""),44990.99861111111)</f>
        <v>44990.99861</v>
      </c>
      <c r="E4774" s="3">
        <f>IFERROR(__xludf.DUMMYFUNCTION("""COMPUTED_VALUE"""),4.91439)</f>
        <v>4.91439</v>
      </c>
    </row>
    <row r="4775">
      <c r="D4775" s="6">
        <f>IFERROR(__xludf.DUMMYFUNCTION("""COMPUTED_VALUE"""),44991.99861111111)</f>
        <v>44991.99861</v>
      </c>
      <c r="E4775" s="3">
        <f>IFERROR(__xludf.DUMMYFUNCTION("""COMPUTED_VALUE"""),4.91356)</f>
        <v>4.91356</v>
      </c>
    </row>
    <row r="4776">
      <c r="D4776" s="6">
        <f>IFERROR(__xludf.DUMMYFUNCTION("""COMPUTED_VALUE"""),44992.99861111111)</f>
        <v>44992.99861</v>
      </c>
      <c r="E4776" s="3">
        <f>IFERROR(__xludf.DUMMYFUNCTION("""COMPUTED_VALUE"""),4.91363)</f>
        <v>4.91363</v>
      </c>
    </row>
    <row r="4777">
      <c r="D4777" s="6">
        <f>IFERROR(__xludf.DUMMYFUNCTION("""COMPUTED_VALUE"""),44993.99861111111)</f>
        <v>44993.99861</v>
      </c>
      <c r="E4777" s="3">
        <f>IFERROR(__xludf.DUMMYFUNCTION("""COMPUTED_VALUE"""),4.90412)</f>
        <v>4.90412</v>
      </c>
    </row>
    <row r="4778">
      <c r="D4778" s="6">
        <f>IFERROR(__xludf.DUMMYFUNCTION("""COMPUTED_VALUE"""),44994.99861111111)</f>
        <v>44994.99861</v>
      </c>
      <c r="E4778" s="3">
        <f>IFERROR(__xludf.DUMMYFUNCTION("""COMPUTED_VALUE"""),4.90117)</f>
        <v>4.90117</v>
      </c>
    </row>
    <row r="4779">
      <c r="D4779" s="6">
        <f>IFERROR(__xludf.DUMMYFUNCTION("""COMPUTED_VALUE"""),44995.99861111111)</f>
        <v>44995.99861</v>
      </c>
      <c r="E4779" s="3">
        <f>IFERROR(__xludf.DUMMYFUNCTION("""COMPUTED_VALUE"""),4.91205)</f>
        <v>4.91205</v>
      </c>
    </row>
    <row r="4780">
      <c r="D4780" s="6">
        <f>IFERROR(__xludf.DUMMYFUNCTION("""COMPUTED_VALUE"""),44996.99861111111)</f>
        <v>44996.99861</v>
      </c>
      <c r="E4780" s="3">
        <f>IFERROR(__xludf.DUMMYFUNCTION("""COMPUTED_VALUE"""),4.913)</f>
        <v>4.913</v>
      </c>
    </row>
    <row r="4781">
      <c r="D4781" s="6">
        <f>IFERROR(__xludf.DUMMYFUNCTION("""COMPUTED_VALUE"""),44997.99861111111)</f>
        <v>44997.99861</v>
      </c>
      <c r="E4781" s="3">
        <f>IFERROR(__xludf.DUMMYFUNCTION("""COMPUTED_VALUE"""),4.90871)</f>
        <v>4.90871</v>
      </c>
    </row>
    <row r="4782">
      <c r="D4782" s="6">
        <f>IFERROR(__xludf.DUMMYFUNCTION("""COMPUTED_VALUE"""),44998.99861111111)</f>
        <v>44998.99861</v>
      </c>
      <c r="E4782" s="3">
        <f>IFERROR(__xludf.DUMMYFUNCTION("""COMPUTED_VALUE"""),4.91395)</f>
        <v>4.91395</v>
      </c>
    </row>
    <row r="4783">
      <c r="D4783" s="6">
        <f>IFERROR(__xludf.DUMMYFUNCTION("""COMPUTED_VALUE"""),44999.99861111111)</f>
        <v>44999.99861</v>
      </c>
      <c r="E4783" s="3">
        <f>IFERROR(__xludf.DUMMYFUNCTION("""COMPUTED_VALUE"""),4.91079)</f>
        <v>4.91079</v>
      </c>
    </row>
    <row r="4784">
      <c r="D4784" s="6">
        <f>IFERROR(__xludf.DUMMYFUNCTION("""COMPUTED_VALUE"""),45000.99861111111)</f>
        <v>45000.99861</v>
      </c>
      <c r="E4784" s="3">
        <f>IFERROR(__xludf.DUMMYFUNCTION("""COMPUTED_VALUE"""),4.9108)</f>
        <v>4.9108</v>
      </c>
    </row>
    <row r="4785">
      <c r="D4785" s="6">
        <f>IFERROR(__xludf.DUMMYFUNCTION("""COMPUTED_VALUE"""),45001.99861111111)</f>
        <v>45001.99861</v>
      </c>
      <c r="E4785" s="3">
        <f>IFERROR(__xludf.DUMMYFUNCTION("""COMPUTED_VALUE"""),4.89626)</f>
        <v>4.89626</v>
      </c>
    </row>
    <row r="4786">
      <c r="D4786" s="6">
        <f>IFERROR(__xludf.DUMMYFUNCTION("""COMPUTED_VALUE"""),45002.99861111111)</f>
        <v>45002.99861</v>
      </c>
      <c r="E4786" s="3">
        <f>IFERROR(__xludf.DUMMYFUNCTION("""COMPUTED_VALUE"""),4.91794)</f>
        <v>4.91794</v>
      </c>
    </row>
    <row r="4787">
      <c r="D4787" s="6">
        <f>IFERROR(__xludf.DUMMYFUNCTION("""COMPUTED_VALUE"""),45003.99861111111)</f>
        <v>45003.99861</v>
      </c>
      <c r="E4787" s="3">
        <f>IFERROR(__xludf.DUMMYFUNCTION("""COMPUTED_VALUE"""),4.9179)</f>
        <v>4.9179</v>
      </c>
    </row>
    <row r="4788">
      <c r="D4788" s="6">
        <f>IFERROR(__xludf.DUMMYFUNCTION("""COMPUTED_VALUE"""),45004.99861111111)</f>
        <v>45004.99861</v>
      </c>
      <c r="E4788" s="3">
        <f>IFERROR(__xludf.DUMMYFUNCTION("""COMPUTED_VALUE"""),4.91065)</f>
        <v>4.91065</v>
      </c>
    </row>
    <row r="4789">
      <c r="D4789" s="6">
        <f>IFERROR(__xludf.DUMMYFUNCTION("""COMPUTED_VALUE"""),45005.99861111111)</f>
        <v>45005.99861</v>
      </c>
      <c r="E4789" s="3">
        <f>IFERROR(__xludf.DUMMYFUNCTION("""COMPUTED_VALUE"""),4.91905)</f>
        <v>4.91905</v>
      </c>
    </row>
    <row r="4790">
      <c r="D4790" s="6">
        <f>IFERROR(__xludf.DUMMYFUNCTION("""COMPUTED_VALUE"""),45006.99861111111)</f>
        <v>45006.99861</v>
      </c>
      <c r="E4790" s="3">
        <f>IFERROR(__xludf.DUMMYFUNCTION("""COMPUTED_VALUE"""),4.91763)</f>
        <v>4.91763</v>
      </c>
    </row>
    <row r="4791">
      <c r="D4791" s="6">
        <f>IFERROR(__xludf.DUMMYFUNCTION("""COMPUTED_VALUE"""),45007.99861111111)</f>
        <v>45007.99861</v>
      </c>
      <c r="E4791" s="3">
        <f>IFERROR(__xludf.DUMMYFUNCTION("""COMPUTED_VALUE"""),4.90768)</f>
        <v>4.90768</v>
      </c>
    </row>
    <row r="4792">
      <c r="D4792" s="6">
        <f>IFERROR(__xludf.DUMMYFUNCTION("""COMPUTED_VALUE"""),45008.99861111111)</f>
        <v>45008.99861</v>
      </c>
      <c r="E4792" s="3">
        <f>IFERROR(__xludf.DUMMYFUNCTION("""COMPUTED_VALUE"""),4.92038)</f>
        <v>4.92038</v>
      </c>
    </row>
    <row r="4793">
      <c r="D4793" s="6">
        <f>IFERROR(__xludf.DUMMYFUNCTION("""COMPUTED_VALUE"""),45009.99861111111)</f>
        <v>45009.99861</v>
      </c>
      <c r="E4793" s="3">
        <f>IFERROR(__xludf.DUMMYFUNCTION("""COMPUTED_VALUE"""),4.92514)</f>
        <v>4.92514</v>
      </c>
    </row>
    <row r="4794">
      <c r="D4794" s="6">
        <f>IFERROR(__xludf.DUMMYFUNCTION("""COMPUTED_VALUE"""),45010.99861111111)</f>
        <v>45010.99861</v>
      </c>
      <c r="E4794" s="3">
        <f>IFERROR(__xludf.DUMMYFUNCTION("""COMPUTED_VALUE"""),4.92514)</f>
        <v>4.92514</v>
      </c>
    </row>
    <row r="4795">
      <c r="D4795" s="6">
        <f>IFERROR(__xludf.DUMMYFUNCTION("""COMPUTED_VALUE"""),45011.99861111111)</f>
        <v>45011.99861</v>
      </c>
      <c r="E4795" s="3">
        <f>IFERROR(__xludf.DUMMYFUNCTION("""COMPUTED_VALUE"""),4.89914)</f>
        <v>4.89914</v>
      </c>
    </row>
    <row r="4796">
      <c r="D4796" s="6">
        <f>IFERROR(__xludf.DUMMYFUNCTION("""COMPUTED_VALUE"""),45012.99861111111)</f>
        <v>45012.99861</v>
      </c>
      <c r="E4796" s="3">
        <f>IFERROR(__xludf.DUMMYFUNCTION("""COMPUTED_VALUE"""),4.9405)</f>
        <v>4.9405</v>
      </c>
    </row>
    <row r="4797">
      <c r="D4797" s="6">
        <f>IFERROR(__xludf.DUMMYFUNCTION("""COMPUTED_VALUE"""),45013.99861111111)</f>
        <v>45013.99861</v>
      </c>
      <c r="E4797" s="3">
        <f>IFERROR(__xludf.DUMMYFUNCTION("""COMPUTED_VALUE"""),4.9523)</f>
        <v>4.9523</v>
      </c>
    </row>
    <row r="4798">
      <c r="D4798" s="6">
        <f>IFERROR(__xludf.DUMMYFUNCTION("""COMPUTED_VALUE"""),45014.99861111111)</f>
        <v>45014.99861</v>
      </c>
      <c r="E4798" s="3">
        <f>IFERROR(__xludf.DUMMYFUNCTION("""COMPUTED_VALUE"""),4.94613)</f>
        <v>4.94613</v>
      </c>
    </row>
    <row r="4799">
      <c r="D4799" s="6">
        <f>IFERROR(__xludf.DUMMYFUNCTION("""COMPUTED_VALUE"""),45015.99861111111)</f>
        <v>45015.99861</v>
      </c>
      <c r="E4799" s="3">
        <f>IFERROR(__xludf.DUMMYFUNCTION("""COMPUTED_VALUE"""),4.93905)</f>
        <v>4.93905</v>
      </c>
    </row>
    <row r="4800">
      <c r="D4800" s="6">
        <f>IFERROR(__xludf.DUMMYFUNCTION("""COMPUTED_VALUE"""),45016.99861111111)</f>
        <v>45016.99861</v>
      </c>
      <c r="E4800" s="3">
        <f>IFERROR(__xludf.DUMMYFUNCTION("""COMPUTED_VALUE"""),4.94428)</f>
        <v>4.94428</v>
      </c>
    </row>
    <row r="4801">
      <c r="D4801" s="6">
        <f>IFERROR(__xludf.DUMMYFUNCTION("""COMPUTED_VALUE"""),45018.99861111111)</f>
        <v>45018.99861</v>
      </c>
      <c r="E4801" s="3">
        <f>IFERROR(__xludf.DUMMYFUNCTION("""COMPUTED_VALUE"""),4.9409)</f>
        <v>4.9409</v>
      </c>
    </row>
    <row r="4802">
      <c r="D4802" s="6">
        <f>IFERROR(__xludf.DUMMYFUNCTION("""COMPUTED_VALUE"""),45019.99861111111)</f>
        <v>45019.99861</v>
      </c>
      <c r="E4802" s="3">
        <f>IFERROR(__xludf.DUMMYFUNCTION("""COMPUTED_VALUE"""),4.93304)</f>
        <v>4.93304</v>
      </c>
    </row>
    <row r="4803">
      <c r="D4803" s="6">
        <f>IFERROR(__xludf.DUMMYFUNCTION("""COMPUTED_VALUE"""),45020.99861111111)</f>
        <v>45020.99861</v>
      </c>
      <c r="E4803" s="3">
        <f>IFERROR(__xludf.DUMMYFUNCTION("""COMPUTED_VALUE"""),4.92199)</f>
        <v>4.92199</v>
      </c>
    </row>
    <row r="4804">
      <c r="D4804" s="6">
        <f>IFERROR(__xludf.DUMMYFUNCTION("""COMPUTED_VALUE"""),45021.99861111111)</f>
        <v>45021.99861</v>
      </c>
      <c r="E4804" s="3">
        <f>IFERROR(__xludf.DUMMYFUNCTION("""COMPUTED_VALUE"""),4.92838)</f>
        <v>4.92838</v>
      </c>
    </row>
    <row r="4805">
      <c r="D4805" s="6">
        <f>IFERROR(__xludf.DUMMYFUNCTION("""COMPUTED_VALUE"""),45022.99861111111)</f>
        <v>45022.99861</v>
      </c>
      <c r="E4805" s="3">
        <f>IFERROR(__xludf.DUMMYFUNCTION("""COMPUTED_VALUE"""),4.92992)</f>
        <v>4.92992</v>
      </c>
    </row>
    <row r="4806">
      <c r="D4806" s="6">
        <f>IFERROR(__xludf.DUMMYFUNCTION("""COMPUTED_VALUE"""),45023.99861111111)</f>
        <v>45023.99861</v>
      </c>
      <c r="E4806" s="3">
        <f>IFERROR(__xludf.DUMMYFUNCTION("""COMPUTED_VALUE"""),4.92964)</f>
        <v>4.92964</v>
      </c>
    </row>
    <row r="4807">
      <c r="D4807" s="6">
        <f>IFERROR(__xludf.DUMMYFUNCTION("""COMPUTED_VALUE"""),45024.99861111111)</f>
        <v>45024.99861</v>
      </c>
      <c r="E4807" s="3">
        <f>IFERROR(__xludf.DUMMYFUNCTION("""COMPUTED_VALUE"""),4.9309)</f>
        <v>4.9309</v>
      </c>
    </row>
    <row r="4808">
      <c r="D4808" s="6">
        <f>IFERROR(__xludf.DUMMYFUNCTION("""COMPUTED_VALUE"""),45025.99861111111)</f>
        <v>45025.99861</v>
      </c>
      <c r="E4808" s="3">
        <f>IFERROR(__xludf.DUMMYFUNCTION("""COMPUTED_VALUE"""),4.92039)</f>
        <v>4.92039</v>
      </c>
    </row>
    <row r="4809">
      <c r="D4809" s="6">
        <f>IFERROR(__xludf.DUMMYFUNCTION("""COMPUTED_VALUE"""),45026.99861111111)</f>
        <v>45026.99861</v>
      </c>
      <c r="E4809" s="3">
        <f>IFERROR(__xludf.DUMMYFUNCTION("""COMPUTED_VALUE"""),4.91865)</f>
        <v>4.91865</v>
      </c>
    </row>
    <row r="4810">
      <c r="D4810" s="6">
        <f>IFERROR(__xludf.DUMMYFUNCTION("""COMPUTED_VALUE"""),45027.99861111111)</f>
        <v>45027.99861</v>
      </c>
      <c r="E4810" s="3">
        <f>IFERROR(__xludf.DUMMYFUNCTION("""COMPUTED_VALUE"""),4.92948)</f>
        <v>4.92948</v>
      </c>
    </row>
    <row r="4811">
      <c r="D4811" s="6">
        <f>IFERROR(__xludf.DUMMYFUNCTION("""COMPUTED_VALUE"""),45028.99861111111)</f>
        <v>45028.99861</v>
      </c>
      <c r="E4811" s="3">
        <f>IFERROR(__xludf.DUMMYFUNCTION("""COMPUTED_VALUE"""),4.93542)</f>
        <v>4.93542</v>
      </c>
    </row>
    <row r="4812">
      <c r="D4812" s="6">
        <f>IFERROR(__xludf.DUMMYFUNCTION("""COMPUTED_VALUE"""),45029.99861111111)</f>
        <v>45029.99861</v>
      </c>
      <c r="E4812" s="3">
        <f>IFERROR(__xludf.DUMMYFUNCTION("""COMPUTED_VALUE"""),4.92993)</f>
        <v>4.92993</v>
      </c>
    </row>
    <row r="4813">
      <c r="D4813" s="6">
        <f>IFERROR(__xludf.DUMMYFUNCTION("""COMPUTED_VALUE"""),45030.99861111111)</f>
        <v>45030.99861</v>
      </c>
      <c r="E4813" s="3">
        <f>IFERROR(__xludf.DUMMYFUNCTION("""COMPUTED_VALUE"""),4.93744)</f>
        <v>4.93744</v>
      </c>
    </row>
    <row r="4814">
      <c r="D4814" s="6">
        <f>IFERROR(__xludf.DUMMYFUNCTION("""COMPUTED_VALUE"""),45031.99861111111)</f>
        <v>45031.99861</v>
      </c>
      <c r="E4814" s="3">
        <f>IFERROR(__xludf.DUMMYFUNCTION("""COMPUTED_VALUE"""),4.9404)</f>
        <v>4.9404</v>
      </c>
    </row>
    <row r="4815">
      <c r="D4815" s="6">
        <f>IFERROR(__xludf.DUMMYFUNCTION("""COMPUTED_VALUE"""),45032.99861111111)</f>
        <v>45032.99861</v>
      </c>
      <c r="E4815" s="3">
        <f>IFERROR(__xludf.DUMMYFUNCTION("""COMPUTED_VALUE"""),4.93373)</f>
        <v>4.93373</v>
      </c>
    </row>
    <row r="4816">
      <c r="D4816" s="6">
        <f>IFERROR(__xludf.DUMMYFUNCTION("""COMPUTED_VALUE"""),45033.99861111111)</f>
        <v>45033.99861</v>
      </c>
      <c r="E4816" s="3">
        <f>IFERROR(__xludf.DUMMYFUNCTION("""COMPUTED_VALUE"""),4.92793)</f>
        <v>4.92793</v>
      </c>
    </row>
    <row r="4817">
      <c r="D4817" s="6">
        <f>IFERROR(__xludf.DUMMYFUNCTION("""COMPUTED_VALUE"""),45034.99861111111)</f>
        <v>45034.99861</v>
      </c>
      <c r="E4817" s="3">
        <f>IFERROR(__xludf.DUMMYFUNCTION("""COMPUTED_VALUE"""),4.93131)</f>
        <v>4.93131</v>
      </c>
    </row>
    <row r="4818">
      <c r="D4818" s="6">
        <f>IFERROR(__xludf.DUMMYFUNCTION("""COMPUTED_VALUE"""),45035.99861111111)</f>
        <v>45035.99861</v>
      </c>
      <c r="E4818" s="3">
        <f>IFERROR(__xludf.DUMMYFUNCTION("""COMPUTED_VALUE"""),4.92509)</f>
        <v>4.92509</v>
      </c>
    </row>
    <row r="4819">
      <c r="D4819" s="6">
        <f>IFERROR(__xludf.DUMMYFUNCTION("""COMPUTED_VALUE"""),45036.99861111111)</f>
        <v>45036.99861</v>
      </c>
      <c r="E4819" s="3">
        <f>IFERROR(__xludf.DUMMYFUNCTION("""COMPUTED_VALUE"""),4.9276)</f>
        <v>4.9276</v>
      </c>
    </row>
    <row r="4820">
      <c r="D4820" s="6">
        <f>IFERROR(__xludf.DUMMYFUNCTION("""COMPUTED_VALUE"""),45037.99861111111)</f>
        <v>45037.99861</v>
      </c>
      <c r="E4820" s="3">
        <f>IFERROR(__xludf.DUMMYFUNCTION("""COMPUTED_VALUE"""),4.92849)</f>
        <v>4.92849</v>
      </c>
    </row>
    <row r="4821">
      <c r="D4821" s="6">
        <f>IFERROR(__xludf.DUMMYFUNCTION("""COMPUTED_VALUE"""),45039.99861111111)</f>
        <v>45039.99861</v>
      </c>
      <c r="E4821" s="3">
        <f>IFERROR(__xludf.DUMMYFUNCTION("""COMPUTED_VALUE"""),4.90105)</f>
        <v>4.90105</v>
      </c>
    </row>
    <row r="4822">
      <c r="D4822" s="6">
        <f>IFERROR(__xludf.DUMMYFUNCTION("""COMPUTED_VALUE"""),45040.99861111111)</f>
        <v>45040.99861</v>
      </c>
      <c r="E4822" s="3">
        <f>IFERROR(__xludf.DUMMYFUNCTION("""COMPUTED_VALUE"""),4.93051)</f>
        <v>4.93051</v>
      </c>
    </row>
    <row r="4823">
      <c r="D4823" s="6">
        <f>IFERROR(__xludf.DUMMYFUNCTION("""COMPUTED_VALUE"""),45041.99861111111)</f>
        <v>45041.99861</v>
      </c>
      <c r="E4823" s="3">
        <f>IFERROR(__xludf.DUMMYFUNCTION("""COMPUTED_VALUE"""),4.92625)</f>
        <v>4.92625</v>
      </c>
    </row>
    <row r="4824">
      <c r="D4824" s="6">
        <f>IFERROR(__xludf.DUMMYFUNCTION("""COMPUTED_VALUE"""),45042.99861111111)</f>
        <v>45042.99861</v>
      </c>
      <c r="E4824" s="3">
        <f>IFERROR(__xludf.DUMMYFUNCTION("""COMPUTED_VALUE"""),4.93696)</f>
        <v>4.93696</v>
      </c>
    </row>
    <row r="4825">
      <c r="D4825" s="6">
        <f>IFERROR(__xludf.DUMMYFUNCTION("""COMPUTED_VALUE"""),45043.99861111111)</f>
        <v>45043.99861</v>
      </c>
      <c r="E4825" s="3">
        <f>IFERROR(__xludf.DUMMYFUNCTION("""COMPUTED_VALUE"""),4.92883)</f>
        <v>4.92883</v>
      </c>
    </row>
    <row r="4826">
      <c r="D4826" s="6">
        <f>IFERROR(__xludf.DUMMYFUNCTION("""COMPUTED_VALUE"""),45044.99861111111)</f>
        <v>45044.99861</v>
      </c>
      <c r="E4826" s="3">
        <f>IFERROR(__xludf.DUMMYFUNCTION("""COMPUTED_VALUE"""),4.92399)</f>
        <v>4.92399</v>
      </c>
    </row>
    <row r="4827">
      <c r="D4827" s="6">
        <f>IFERROR(__xludf.DUMMYFUNCTION("""COMPUTED_VALUE"""),45046.99861111111)</f>
        <v>45046.99861</v>
      </c>
      <c r="E4827" s="3">
        <f>IFERROR(__xludf.DUMMYFUNCTION("""COMPUTED_VALUE"""),4.91503)</f>
        <v>4.91503</v>
      </c>
    </row>
    <row r="4828">
      <c r="D4828" s="6">
        <f>IFERROR(__xludf.DUMMYFUNCTION("""COMPUTED_VALUE"""),45047.99861111111)</f>
        <v>45047.99861</v>
      </c>
      <c r="E4828" s="3">
        <f>IFERROR(__xludf.DUMMYFUNCTION("""COMPUTED_VALUE"""),4.91773)</f>
        <v>4.91773</v>
      </c>
    </row>
    <row r="4829">
      <c r="D4829" s="6">
        <f>IFERROR(__xludf.DUMMYFUNCTION("""COMPUTED_VALUE"""),45048.99861111111)</f>
        <v>45048.99861</v>
      </c>
      <c r="E4829" s="3">
        <f>IFERROR(__xludf.DUMMYFUNCTION("""COMPUTED_VALUE"""),4.90886)</f>
        <v>4.90886</v>
      </c>
    </row>
    <row r="4830">
      <c r="D4830" s="6">
        <f>IFERROR(__xludf.DUMMYFUNCTION("""COMPUTED_VALUE"""),45049.99861111111)</f>
        <v>45049.99861</v>
      </c>
      <c r="E4830" s="3">
        <f>IFERROR(__xludf.DUMMYFUNCTION("""COMPUTED_VALUE"""),4.92031)</f>
        <v>4.92031</v>
      </c>
    </row>
    <row r="4831">
      <c r="D4831" s="6">
        <f>IFERROR(__xludf.DUMMYFUNCTION("""COMPUTED_VALUE"""),45050.99861111111)</f>
        <v>45050.99861</v>
      </c>
      <c r="E4831" s="3">
        <f>IFERROR(__xludf.DUMMYFUNCTION("""COMPUTED_VALUE"""),4.9196)</f>
        <v>4.9196</v>
      </c>
    </row>
    <row r="4832">
      <c r="D4832" s="6">
        <f>IFERROR(__xludf.DUMMYFUNCTION("""COMPUTED_VALUE"""),45051.99861111111)</f>
        <v>45051.99861</v>
      </c>
      <c r="E4832" s="3">
        <f>IFERROR(__xludf.DUMMYFUNCTION("""COMPUTED_VALUE"""),4.92209)</f>
        <v>4.92209</v>
      </c>
    </row>
    <row r="4833">
      <c r="D4833" s="6">
        <f>IFERROR(__xludf.DUMMYFUNCTION("""COMPUTED_VALUE"""),45053.99861111111)</f>
        <v>45053.99861</v>
      </c>
      <c r="E4833" s="3">
        <f>IFERROR(__xludf.DUMMYFUNCTION("""COMPUTED_VALUE"""),4.91126)</f>
        <v>4.91126</v>
      </c>
    </row>
    <row r="4834">
      <c r="D4834" s="6">
        <f>IFERROR(__xludf.DUMMYFUNCTION("""COMPUTED_VALUE"""),45054.99861111111)</f>
        <v>45054.99861</v>
      </c>
      <c r="E4834" s="3">
        <f>IFERROR(__xludf.DUMMYFUNCTION("""COMPUTED_VALUE"""),4.91372)</f>
        <v>4.91372</v>
      </c>
    </row>
    <row r="4835">
      <c r="D4835" s="6">
        <f>IFERROR(__xludf.DUMMYFUNCTION("""COMPUTED_VALUE"""),45055.99861111111)</f>
        <v>45055.99861</v>
      </c>
      <c r="E4835" s="3">
        <f>IFERROR(__xludf.DUMMYFUNCTION("""COMPUTED_VALUE"""),4.91387)</f>
        <v>4.91387</v>
      </c>
    </row>
    <row r="4836">
      <c r="D4836" s="6">
        <f>IFERROR(__xludf.DUMMYFUNCTION("""COMPUTED_VALUE"""),45056.99861111111)</f>
        <v>45056.99861</v>
      </c>
      <c r="E4836" s="3">
        <f>IFERROR(__xludf.DUMMYFUNCTION("""COMPUTED_VALUE"""),4.91761)</f>
        <v>4.91761</v>
      </c>
    </row>
    <row r="4837">
      <c r="D4837" s="6">
        <f>IFERROR(__xludf.DUMMYFUNCTION("""COMPUTED_VALUE"""),45057.99861111111)</f>
        <v>45057.99861</v>
      </c>
      <c r="E4837" s="3">
        <f>IFERROR(__xludf.DUMMYFUNCTION("""COMPUTED_VALUE"""),4.92304)</f>
        <v>4.92304</v>
      </c>
    </row>
    <row r="4838">
      <c r="D4838" s="6">
        <f>IFERROR(__xludf.DUMMYFUNCTION("""COMPUTED_VALUE"""),45058.99861111111)</f>
        <v>45058.99861</v>
      </c>
      <c r="E4838" s="3">
        <f>IFERROR(__xludf.DUMMYFUNCTION("""COMPUTED_VALUE"""),4.9265)</f>
        <v>4.9265</v>
      </c>
    </row>
    <row r="4839">
      <c r="D4839" s="6">
        <f>IFERROR(__xludf.DUMMYFUNCTION("""COMPUTED_VALUE"""),45060.99861111111)</f>
        <v>45060.99861</v>
      </c>
      <c r="E4839" s="3">
        <f>IFERROR(__xludf.DUMMYFUNCTION("""COMPUTED_VALUE"""),4.9233)</f>
        <v>4.9233</v>
      </c>
    </row>
    <row r="4840">
      <c r="D4840" s="6">
        <f>IFERROR(__xludf.DUMMYFUNCTION("""COMPUTED_VALUE"""),45061.99861111111)</f>
        <v>45061.99861</v>
      </c>
      <c r="E4840" s="3">
        <f>IFERROR(__xludf.DUMMYFUNCTION("""COMPUTED_VALUE"""),4.93633)</f>
        <v>4.93633</v>
      </c>
    </row>
    <row r="4841">
      <c r="D4841" s="6">
        <f>IFERROR(__xludf.DUMMYFUNCTION("""COMPUTED_VALUE"""),45062.99861111111)</f>
        <v>45062.99861</v>
      </c>
      <c r="E4841" s="3">
        <f>IFERROR(__xludf.DUMMYFUNCTION("""COMPUTED_VALUE"""),4.94533)</f>
        <v>4.94533</v>
      </c>
    </row>
    <row r="4842">
      <c r="D4842" s="6">
        <f>IFERROR(__xludf.DUMMYFUNCTION("""COMPUTED_VALUE"""),45063.99861111111)</f>
        <v>45063.99861</v>
      </c>
      <c r="E4842" s="3">
        <f>IFERROR(__xludf.DUMMYFUNCTION("""COMPUTED_VALUE"""),4.95706)</f>
        <v>4.95706</v>
      </c>
    </row>
    <row r="4843">
      <c r="D4843" s="6">
        <f>IFERROR(__xludf.DUMMYFUNCTION("""COMPUTED_VALUE"""),45064.99861111111)</f>
        <v>45064.99861</v>
      </c>
      <c r="E4843" s="3">
        <f>IFERROR(__xludf.DUMMYFUNCTION("""COMPUTED_VALUE"""),4.95418)</f>
        <v>4.95418</v>
      </c>
    </row>
    <row r="4844">
      <c r="D4844" s="6">
        <f>IFERROR(__xludf.DUMMYFUNCTION("""COMPUTED_VALUE"""),45065.99861111111)</f>
        <v>45065.99861</v>
      </c>
      <c r="E4844" s="3">
        <f>IFERROR(__xludf.DUMMYFUNCTION("""COMPUTED_VALUE"""),4.9764)</f>
        <v>4.9764</v>
      </c>
    </row>
    <row r="4845">
      <c r="D4845" s="6">
        <f>IFERROR(__xludf.DUMMYFUNCTION("""COMPUTED_VALUE"""),45067.99861111111)</f>
        <v>45067.99861</v>
      </c>
      <c r="E4845" s="3">
        <f>IFERROR(__xludf.DUMMYFUNCTION("""COMPUTED_VALUE"""),4.97525)</f>
        <v>4.97525</v>
      </c>
    </row>
    <row r="4846">
      <c r="D4846" s="6">
        <f>IFERROR(__xludf.DUMMYFUNCTION("""COMPUTED_VALUE"""),45068.99861111111)</f>
        <v>45068.99861</v>
      </c>
      <c r="E4846" s="3">
        <f>IFERROR(__xludf.DUMMYFUNCTION("""COMPUTED_VALUE"""),4.968)</f>
        <v>4.968</v>
      </c>
    </row>
    <row r="4847">
      <c r="D4847" s="6">
        <f>IFERROR(__xludf.DUMMYFUNCTION("""COMPUTED_VALUE"""),45069.99861111111)</f>
        <v>45069.99861</v>
      </c>
      <c r="E4847" s="3">
        <f>IFERROR(__xludf.DUMMYFUNCTION("""COMPUTED_VALUE"""),4.96458)</f>
        <v>4.96458</v>
      </c>
    </row>
    <row r="4848">
      <c r="D4848" s="6">
        <f>IFERROR(__xludf.DUMMYFUNCTION("""COMPUTED_VALUE"""),45070.99861111111)</f>
        <v>45070.99861</v>
      </c>
      <c r="E4848" s="3">
        <f>IFERROR(__xludf.DUMMYFUNCTION("""COMPUTED_VALUE"""),4.95883)</f>
        <v>4.95883</v>
      </c>
    </row>
    <row r="4849">
      <c r="D4849" s="6">
        <f>IFERROR(__xludf.DUMMYFUNCTION("""COMPUTED_VALUE"""),45071.99861111111)</f>
        <v>45071.99861</v>
      </c>
      <c r="E4849" s="3">
        <f>IFERROR(__xludf.DUMMYFUNCTION("""COMPUTED_VALUE"""),4.94842)</f>
        <v>4.94842</v>
      </c>
    </row>
    <row r="4850">
      <c r="D4850" s="6">
        <f>IFERROR(__xludf.DUMMYFUNCTION("""COMPUTED_VALUE"""),45072.99861111111)</f>
        <v>45072.99861</v>
      </c>
      <c r="E4850" s="3">
        <f>IFERROR(__xludf.DUMMYFUNCTION("""COMPUTED_VALUE"""),4.9563)</f>
        <v>4.9563</v>
      </c>
    </row>
    <row r="4851">
      <c r="D4851" s="6">
        <f>IFERROR(__xludf.DUMMYFUNCTION("""COMPUTED_VALUE"""),45074.99861111111)</f>
        <v>45074.99861</v>
      </c>
      <c r="E4851" s="3">
        <f>IFERROR(__xludf.DUMMYFUNCTION("""COMPUTED_VALUE"""),4.95438)</f>
        <v>4.95438</v>
      </c>
    </row>
    <row r="4852">
      <c r="D4852" s="6">
        <f>IFERROR(__xludf.DUMMYFUNCTION("""COMPUTED_VALUE"""),45075.99861111111)</f>
        <v>45075.99861</v>
      </c>
      <c r="E4852" s="3">
        <f>IFERROR(__xludf.DUMMYFUNCTION("""COMPUTED_VALUE"""),4.95499)</f>
        <v>4.95499</v>
      </c>
    </row>
    <row r="4853">
      <c r="D4853" s="6">
        <f>IFERROR(__xludf.DUMMYFUNCTION("""COMPUTED_VALUE"""),45076.99861111111)</f>
        <v>45076.99861</v>
      </c>
      <c r="E4853" s="3">
        <f>IFERROR(__xludf.DUMMYFUNCTION("""COMPUTED_VALUE"""),4.96186)</f>
        <v>4.96186</v>
      </c>
    </row>
    <row r="4854">
      <c r="D4854" s="6">
        <f>IFERROR(__xludf.DUMMYFUNCTION("""COMPUTED_VALUE"""),45077.99861111111)</f>
        <v>45077.99861</v>
      </c>
      <c r="E4854" s="3">
        <f>IFERROR(__xludf.DUMMYFUNCTION("""COMPUTED_VALUE"""),4.94237)</f>
        <v>4.94237</v>
      </c>
    </row>
    <row r="4855">
      <c r="D4855" s="6">
        <f>IFERROR(__xludf.DUMMYFUNCTION("""COMPUTED_VALUE"""),45078.99861111111)</f>
        <v>45078.99861</v>
      </c>
      <c r="E4855" s="3">
        <f>IFERROR(__xludf.DUMMYFUNCTION("""COMPUTED_VALUE"""),4.96104)</f>
        <v>4.96104</v>
      </c>
    </row>
    <row r="4856">
      <c r="D4856" s="6">
        <f>IFERROR(__xludf.DUMMYFUNCTION("""COMPUTED_VALUE"""),45079.99861111111)</f>
        <v>45079.99861</v>
      </c>
      <c r="E4856" s="3">
        <f>IFERROR(__xludf.DUMMYFUNCTION("""COMPUTED_VALUE"""),4.9615)</f>
        <v>4.9615</v>
      </c>
    </row>
    <row r="4857">
      <c r="D4857" s="6">
        <f>IFERROR(__xludf.DUMMYFUNCTION("""COMPUTED_VALUE"""),45081.99861111111)</f>
        <v>45081.99861</v>
      </c>
      <c r="E4857" s="3">
        <f>IFERROR(__xludf.DUMMYFUNCTION("""COMPUTED_VALUE"""),4.95598)</f>
        <v>4.95598</v>
      </c>
    </row>
    <row r="4858">
      <c r="D4858" s="6">
        <f>IFERROR(__xludf.DUMMYFUNCTION("""COMPUTED_VALUE"""),45082.99861111111)</f>
        <v>45082.99861</v>
      </c>
      <c r="E4858" s="3">
        <f>IFERROR(__xludf.DUMMYFUNCTION("""COMPUTED_VALUE"""),4.953)</f>
        <v>4.953</v>
      </c>
    </row>
    <row r="4859">
      <c r="D4859" s="6">
        <f>IFERROR(__xludf.DUMMYFUNCTION("""COMPUTED_VALUE"""),45083.99861111111)</f>
        <v>45083.99861</v>
      </c>
      <c r="E4859" s="3">
        <f>IFERROR(__xludf.DUMMYFUNCTION("""COMPUTED_VALUE"""),4.95447)</f>
        <v>4.95447</v>
      </c>
    </row>
    <row r="4860">
      <c r="D4860" s="6">
        <f>IFERROR(__xludf.DUMMYFUNCTION("""COMPUTED_VALUE"""),45084.99861111111)</f>
        <v>45084.99861</v>
      </c>
      <c r="E4860" s="3">
        <f>IFERROR(__xludf.DUMMYFUNCTION("""COMPUTED_VALUE"""),4.95359)</f>
        <v>4.95359</v>
      </c>
    </row>
    <row r="4861">
      <c r="D4861" s="6">
        <f>IFERROR(__xludf.DUMMYFUNCTION("""COMPUTED_VALUE"""),45085.99861111111)</f>
        <v>45085.99861</v>
      </c>
      <c r="E4861" s="3">
        <f>IFERROR(__xludf.DUMMYFUNCTION("""COMPUTED_VALUE"""),4.94608)</f>
        <v>4.94608</v>
      </c>
    </row>
    <row r="4862">
      <c r="D4862" s="6">
        <f>IFERROR(__xludf.DUMMYFUNCTION("""COMPUTED_VALUE"""),45086.99861111111)</f>
        <v>45086.99861</v>
      </c>
      <c r="E4862" s="3">
        <f>IFERROR(__xludf.DUMMYFUNCTION("""COMPUTED_VALUE"""),4.95089)</f>
        <v>4.95089</v>
      </c>
    </row>
    <row r="4863">
      <c r="D4863" s="6">
        <f>IFERROR(__xludf.DUMMYFUNCTION("""COMPUTED_VALUE"""),45088.99861111111)</f>
        <v>45088.99861</v>
      </c>
      <c r="E4863" s="3">
        <f>IFERROR(__xludf.DUMMYFUNCTION("""COMPUTED_VALUE"""),4.91995)</f>
        <v>4.91995</v>
      </c>
    </row>
    <row r="4864">
      <c r="D4864" s="6">
        <f>IFERROR(__xludf.DUMMYFUNCTION("""COMPUTED_VALUE"""),45089.99861111111)</f>
        <v>45089.99861</v>
      </c>
      <c r="E4864" s="3">
        <f>IFERROR(__xludf.DUMMYFUNCTION("""COMPUTED_VALUE"""),4.95338)</f>
        <v>4.95338</v>
      </c>
    </row>
    <row r="4865">
      <c r="D4865" s="6">
        <f>IFERROR(__xludf.DUMMYFUNCTION("""COMPUTED_VALUE"""),45090.99861111111)</f>
        <v>45090.99861</v>
      </c>
      <c r="E4865" s="3">
        <f>IFERROR(__xludf.DUMMYFUNCTION("""COMPUTED_VALUE"""),4.95343)</f>
        <v>4.95343</v>
      </c>
    </row>
    <row r="4866">
      <c r="D4866" s="6">
        <f>IFERROR(__xludf.DUMMYFUNCTION("""COMPUTED_VALUE"""),45091.99861111111)</f>
        <v>45091.99861</v>
      </c>
      <c r="E4866" s="3">
        <f>IFERROR(__xludf.DUMMYFUNCTION("""COMPUTED_VALUE"""),4.94707)</f>
        <v>4.94707</v>
      </c>
    </row>
    <row r="4867">
      <c r="D4867" s="6">
        <f>IFERROR(__xludf.DUMMYFUNCTION("""COMPUTED_VALUE"""),45092.99861111111)</f>
        <v>45092.99861</v>
      </c>
      <c r="E4867" s="3">
        <f>IFERROR(__xludf.DUMMYFUNCTION("""COMPUTED_VALUE"""),4.95662)</f>
        <v>4.95662</v>
      </c>
    </row>
    <row r="4868">
      <c r="D4868" s="6">
        <f>IFERROR(__xludf.DUMMYFUNCTION("""COMPUTED_VALUE"""),45093.99861111111)</f>
        <v>45093.99861</v>
      </c>
      <c r="E4868" s="3">
        <f>IFERROR(__xludf.DUMMYFUNCTION("""COMPUTED_VALUE"""),4.95309)</f>
        <v>4.95309</v>
      </c>
    </row>
    <row r="4869">
      <c r="D4869" s="6">
        <f>IFERROR(__xludf.DUMMYFUNCTION("""COMPUTED_VALUE"""),45095.99861111111)</f>
        <v>45095.99861</v>
      </c>
      <c r="E4869" s="3">
        <f>IFERROR(__xludf.DUMMYFUNCTION("""COMPUTED_VALUE"""),4.95019)</f>
        <v>4.95019</v>
      </c>
    </row>
    <row r="4870">
      <c r="D4870" s="6">
        <f>IFERROR(__xludf.DUMMYFUNCTION("""COMPUTED_VALUE"""),45096.99861111111)</f>
        <v>45096.99861</v>
      </c>
      <c r="E4870" s="3">
        <f>IFERROR(__xludf.DUMMYFUNCTION("""COMPUTED_VALUE"""),4.95686)</f>
        <v>4.95686</v>
      </c>
    </row>
    <row r="4871">
      <c r="D4871" s="6">
        <f>IFERROR(__xludf.DUMMYFUNCTION("""COMPUTED_VALUE"""),45097.99861111111)</f>
        <v>45097.99861</v>
      </c>
      <c r="E4871" s="3">
        <f>IFERROR(__xludf.DUMMYFUNCTION("""COMPUTED_VALUE"""),4.96039)</f>
        <v>4.96039</v>
      </c>
    </row>
    <row r="4872">
      <c r="D4872" s="6">
        <f>IFERROR(__xludf.DUMMYFUNCTION("""COMPUTED_VALUE"""),45098.99861111111)</f>
        <v>45098.99861</v>
      </c>
      <c r="E4872" s="3">
        <f>IFERROR(__xludf.DUMMYFUNCTION("""COMPUTED_VALUE"""),4.9564)</f>
        <v>4.9564</v>
      </c>
    </row>
    <row r="4873">
      <c r="D4873" s="6">
        <f>IFERROR(__xludf.DUMMYFUNCTION("""COMPUTED_VALUE"""),45099.99861111111)</f>
        <v>45099.99861</v>
      </c>
      <c r="E4873" s="3">
        <f>IFERROR(__xludf.DUMMYFUNCTION("""COMPUTED_VALUE"""),4.95337)</f>
        <v>4.95337</v>
      </c>
    </row>
    <row r="4874">
      <c r="D4874" s="6">
        <f>IFERROR(__xludf.DUMMYFUNCTION("""COMPUTED_VALUE"""),45100.99861111111)</f>
        <v>45100.99861</v>
      </c>
      <c r="E4874" s="3">
        <f>IFERROR(__xludf.DUMMYFUNCTION("""COMPUTED_VALUE"""),4.95019)</f>
        <v>4.95019</v>
      </c>
    </row>
    <row r="4875">
      <c r="D4875" s="6">
        <f>IFERROR(__xludf.DUMMYFUNCTION("""COMPUTED_VALUE"""),45102.99861111111)</f>
        <v>45102.99861</v>
      </c>
      <c r="E4875" s="3">
        <f>IFERROR(__xludf.DUMMYFUNCTION("""COMPUTED_VALUE"""),4.94072)</f>
        <v>4.94072</v>
      </c>
    </row>
    <row r="4876">
      <c r="D4876" s="6">
        <f>IFERROR(__xludf.DUMMYFUNCTION("""COMPUTED_VALUE"""),45103.99861111111)</f>
        <v>45103.99861</v>
      </c>
      <c r="E4876" s="3">
        <f>IFERROR(__xludf.DUMMYFUNCTION("""COMPUTED_VALUE"""),4.95179)</f>
        <v>4.95179</v>
      </c>
    </row>
    <row r="4877">
      <c r="D4877" s="6">
        <f>IFERROR(__xludf.DUMMYFUNCTION("""COMPUTED_VALUE"""),45104.99861111111)</f>
        <v>45104.99861</v>
      </c>
      <c r="E4877" s="3">
        <f>IFERROR(__xludf.DUMMYFUNCTION("""COMPUTED_VALUE"""),4.94702)</f>
        <v>4.94702</v>
      </c>
    </row>
    <row r="4878">
      <c r="D4878" s="6">
        <f>IFERROR(__xludf.DUMMYFUNCTION("""COMPUTED_VALUE"""),45105.99861111111)</f>
        <v>45105.99861</v>
      </c>
      <c r="E4878" s="3">
        <f>IFERROR(__xludf.DUMMYFUNCTION("""COMPUTED_VALUE"""),4.95917)</f>
        <v>4.95917</v>
      </c>
    </row>
    <row r="4879">
      <c r="D4879" s="6">
        <f>IFERROR(__xludf.DUMMYFUNCTION("""COMPUTED_VALUE"""),45106.99861111111)</f>
        <v>45106.99861</v>
      </c>
      <c r="E4879" s="3">
        <f>IFERROR(__xludf.DUMMYFUNCTION("""COMPUTED_VALUE"""),4.95839)</f>
        <v>4.95839</v>
      </c>
    </row>
    <row r="4880">
      <c r="D4880" s="6">
        <f>IFERROR(__xludf.DUMMYFUNCTION("""COMPUTED_VALUE"""),45107.99861111111)</f>
        <v>45107.99861</v>
      </c>
      <c r="E4880" s="3">
        <f>IFERROR(__xludf.DUMMYFUNCTION("""COMPUTED_VALUE"""),4.95985)</f>
        <v>4.95985</v>
      </c>
    </row>
    <row r="4881">
      <c r="D4881" s="6">
        <f>IFERROR(__xludf.DUMMYFUNCTION("""COMPUTED_VALUE"""),45109.99861111111)</f>
        <v>45109.99861</v>
      </c>
      <c r="E4881" s="3">
        <f>IFERROR(__xludf.DUMMYFUNCTION("""COMPUTED_VALUE"""),4.95985)</f>
        <v>4.95985</v>
      </c>
    </row>
    <row r="4882">
      <c r="D4882" s="6">
        <f>IFERROR(__xludf.DUMMYFUNCTION("""COMPUTED_VALUE"""),45110.99861111111)</f>
        <v>45110.99861</v>
      </c>
      <c r="E4882" s="3">
        <f>IFERROR(__xludf.DUMMYFUNCTION("""COMPUTED_VALUE"""),4.947)</f>
        <v>4.947</v>
      </c>
    </row>
    <row r="4883">
      <c r="D4883" s="6">
        <f>IFERROR(__xludf.DUMMYFUNCTION("""COMPUTED_VALUE"""),45111.99861111111)</f>
        <v>45111.99861</v>
      </c>
      <c r="E4883" s="3">
        <f>IFERROR(__xludf.DUMMYFUNCTION("""COMPUTED_VALUE"""),4.95004)</f>
        <v>4.95004</v>
      </c>
    </row>
    <row r="4884">
      <c r="D4884" s="6">
        <f>IFERROR(__xludf.DUMMYFUNCTION("""COMPUTED_VALUE"""),45112.99861111111)</f>
        <v>45112.99861</v>
      </c>
      <c r="E4884" s="3">
        <f>IFERROR(__xludf.DUMMYFUNCTION("""COMPUTED_VALUE"""),4.947)</f>
        <v>4.947</v>
      </c>
    </row>
    <row r="4885">
      <c r="D4885" s="6">
        <f>IFERROR(__xludf.DUMMYFUNCTION("""COMPUTED_VALUE"""),45113.99861111111)</f>
        <v>45113.99861</v>
      </c>
      <c r="E4885" s="3">
        <f>IFERROR(__xludf.DUMMYFUNCTION("""COMPUTED_VALUE"""),4.95322)</f>
        <v>4.95322</v>
      </c>
    </row>
    <row r="4886">
      <c r="D4886" s="6">
        <f>IFERROR(__xludf.DUMMYFUNCTION("""COMPUTED_VALUE"""),45114.99861111111)</f>
        <v>45114.99861</v>
      </c>
      <c r="E4886" s="3">
        <f>IFERROR(__xludf.DUMMYFUNCTION("""COMPUTED_VALUE"""),4.943)</f>
        <v>4.943</v>
      </c>
    </row>
    <row r="4887">
      <c r="D4887" s="6">
        <f>IFERROR(__xludf.DUMMYFUNCTION("""COMPUTED_VALUE"""),45116.99861111111)</f>
        <v>45116.99861</v>
      </c>
      <c r="E4887" s="3">
        <f>IFERROR(__xludf.DUMMYFUNCTION("""COMPUTED_VALUE"""),4.95195)</f>
        <v>4.95195</v>
      </c>
    </row>
    <row r="4888">
      <c r="D4888" s="6">
        <f>IFERROR(__xludf.DUMMYFUNCTION("""COMPUTED_VALUE"""),45117.99861111111)</f>
        <v>45117.99861</v>
      </c>
      <c r="E4888" s="3">
        <f>IFERROR(__xludf.DUMMYFUNCTION("""COMPUTED_VALUE"""),4.943)</f>
        <v>4.943</v>
      </c>
    </row>
    <row r="4889">
      <c r="D4889" s="6">
        <f>IFERROR(__xludf.DUMMYFUNCTION("""COMPUTED_VALUE"""),45118.99861111111)</f>
        <v>45118.99861</v>
      </c>
      <c r="E4889" s="3">
        <f>IFERROR(__xludf.DUMMYFUNCTION("""COMPUTED_VALUE"""),4.9493)</f>
        <v>4.9493</v>
      </c>
    </row>
    <row r="4890">
      <c r="D4890" s="6">
        <f>IFERROR(__xludf.DUMMYFUNCTION("""COMPUTED_VALUE"""),45119.99861111111)</f>
        <v>45119.99861</v>
      </c>
      <c r="E4890" s="3">
        <f>IFERROR(__xludf.DUMMYFUNCTION("""COMPUTED_VALUE"""),4.94857)</f>
        <v>4.94857</v>
      </c>
    </row>
    <row r="4891">
      <c r="D4891" s="6">
        <f>IFERROR(__xludf.DUMMYFUNCTION("""COMPUTED_VALUE"""),45120.99861111111)</f>
        <v>45120.99861</v>
      </c>
      <c r="E4891" s="3">
        <f>IFERROR(__xludf.DUMMYFUNCTION("""COMPUTED_VALUE"""),4.943)</f>
        <v>4.943</v>
      </c>
    </row>
    <row r="4892">
      <c r="D4892" s="6">
        <f>IFERROR(__xludf.DUMMYFUNCTION("""COMPUTED_VALUE"""),45121.99861111111)</f>
        <v>45121.99861</v>
      </c>
      <c r="E4892" s="3">
        <f>IFERROR(__xludf.DUMMYFUNCTION("""COMPUTED_VALUE"""),4.93741)</f>
        <v>4.93741</v>
      </c>
    </row>
    <row r="4893">
      <c r="D4893" s="6">
        <f>IFERROR(__xludf.DUMMYFUNCTION("""COMPUTED_VALUE"""),45123.99861111111)</f>
        <v>45123.99861</v>
      </c>
      <c r="E4893" s="3">
        <f>IFERROR(__xludf.DUMMYFUNCTION("""COMPUTED_VALUE"""),4.93741)</f>
        <v>4.93741</v>
      </c>
    </row>
    <row r="4894">
      <c r="D4894" s="6">
        <f>IFERROR(__xludf.DUMMYFUNCTION("""COMPUTED_VALUE"""),45124.99861111111)</f>
        <v>45124.99861</v>
      </c>
      <c r="E4894" s="3">
        <f>IFERROR(__xludf.DUMMYFUNCTION("""COMPUTED_VALUE"""),4.94069)</f>
        <v>4.94069</v>
      </c>
    </row>
    <row r="4895">
      <c r="D4895" s="6">
        <f>IFERROR(__xludf.DUMMYFUNCTION("""COMPUTED_VALUE"""),45125.99861111111)</f>
        <v>45125.99861</v>
      </c>
      <c r="E4895" s="3">
        <f>IFERROR(__xludf.DUMMYFUNCTION("""COMPUTED_VALUE"""),4.94099)</f>
        <v>4.94099</v>
      </c>
    </row>
    <row r="4896">
      <c r="D4896" s="6">
        <f>IFERROR(__xludf.DUMMYFUNCTION("""COMPUTED_VALUE"""),45126.99861111111)</f>
        <v>45126.99861</v>
      </c>
      <c r="E4896" s="3">
        <f>IFERROR(__xludf.DUMMYFUNCTION("""COMPUTED_VALUE"""),4.934)</f>
        <v>4.934</v>
      </c>
    </row>
    <row r="4897">
      <c r="D4897" s="6">
        <f>IFERROR(__xludf.DUMMYFUNCTION("""COMPUTED_VALUE"""),45127.99861111111)</f>
        <v>45127.99861</v>
      </c>
      <c r="E4897" s="3">
        <f>IFERROR(__xludf.DUMMYFUNCTION("""COMPUTED_VALUE"""),4.93477)</f>
        <v>4.93477</v>
      </c>
    </row>
    <row r="4898">
      <c r="D4898" s="6">
        <f>IFERROR(__xludf.DUMMYFUNCTION("""COMPUTED_VALUE"""),45128.99861111111)</f>
        <v>45128.99861</v>
      </c>
      <c r="E4898" s="3">
        <f>IFERROR(__xludf.DUMMYFUNCTION("""COMPUTED_VALUE"""),4.9305)</f>
        <v>4.9305</v>
      </c>
    </row>
    <row r="4899">
      <c r="D4899" s="6">
        <f>IFERROR(__xludf.DUMMYFUNCTION("""COMPUTED_VALUE"""),45130.99861111111)</f>
        <v>45130.99861</v>
      </c>
      <c r="E4899" s="3">
        <f>IFERROR(__xludf.DUMMYFUNCTION("""COMPUTED_VALUE"""),4.93441)</f>
        <v>4.93441</v>
      </c>
    </row>
    <row r="4900">
      <c r="D4900" s="6">
        <f>IFERROR(__xludf.DUMMYFUNCTION("""COMPUTED_VALUE"""),45131.99861111111)</f>
        <v>45131.99861</v>
      </c>
      <c r="E4900" s="3">
        <f>IFERROR(__xludf.DUMMYFUNCTION("""COMPUTED_VALUE"""),4.9305)</f>
        <v>4.9305</v>
      </c>
    </row>
    <row r="4901">
      <c r="D4901" s="6">
        <f>IFERROR(__xludf.DUMMYFUNCTION("""COMPUTED_VALUE"""),45132.99861111111)</f>
        <v>45132.99861</v>
      </c>
      <c r="E4901" s="3">
        <f>IFERROR(__xludf.DUMMYFUNCTION("""COMPUTED_VALUE"""),4.92441)</f>
        <v>4.92441</v>
      </c>
    </row>
    <row r="4902">
      <c r="D4902" s="6">
        <f>IFERROR(__xludf.DUMMYFUNCTION("""COMPUTED_VALUE"""),45133.99861111111)</f>
        <v>45133.99861</v>
      </c>
      <c r="E4902" s="3">
        <f>IFERROR(__xludf.DUMMYFUNCTION("""COMPUTED_VALUE"""),4.9215)</f>
        <v>4.9215</v>
      </c>
    </row>
    <row r="4903">
      <c r="D4903" s="6">
        <f>IFERROR(__xludf.DUMMYFUNCTION("""COMPUTED_VALUE"""),45134.99861111111)</f>
        <v>45134.99861</v>
      </c>
      <c r="E4903" s="3">
        <f>IFERROR(__xludf.DUMMYFUNCTION("""COMPUTED_VALUE"""),4.92709)</f>
        <v>4.92709</v>
      </c>
    </row>
    <row r="4904">
      <c r="D4904" s="6">
        <f>IFERROR(__xludf.DUMMYFUNCTION("""COMPUTED_VALUE"""),45135.99861111111)</f>
        <v>45135.99861</v>
      </c>
      <c r="E4904" s="3">
        <f>IFERROR(__xludf.DUMMYFUNCTION("""COMPUTED_VALUE"""),4.9308)</f>
        <v>4.9308</v>
      </c>
    </row>
    <row r="4905">
      <c r="D4905" s="6">
        <f>IFERROR(__xludf.DUMMYFUNCTION("""COMPUTED_VALUE"""),45137.99861111111)</f>
        <v>45137.99861</v>
      </c>
      <c r="E4905" s="3">
        <f>IFERROR(__xludf.DUMMYFUNCTION("""COMPUTED_VALUE"""),4.93076)</f>
        <v>4.93076</v>
      </c>
    </row>
    <row r="4906">
      <c r="D4906" s="6">
        <f>IFERROR(__xludf.DUMMYFUNCTION("""COMPUTED_VALUE"""),45138.99861111111)</f>
        <v>45138.99861</v>
      </c>
      <c r="E4906" s="3">
        <f>IFERROR(__xludf.DUMMYFUNCTION("""COMPUTED_VALUE"""),4.9282)</f>
        <v>4.9282</v>
      </c>
    </row>
    <row r="4907">
      <c r="D4907" s="6">
        <f>IFERROR(__xludf.DUMMYFUNCTION("""COMPUTED_VALUE"""),45139.99861111111)</f>
        <v>45139.99861</v>
      </c>
      <c r="E4907" s="3">
        <f>IFERROR(__xludf.DUMMYFUNCTION("""COMPUTED_VALUE"""),4.9282)</f>
        <v>4.9282</v>
      </c>
    </row>
    <row r="4908">
      <c r="D4908" s="6">
        <f>IFERROR(__xludf.DUMMYFUNCTION("""COMPUTED_VALUE"""),45140.99861111111)</f>
        <v>45140.99861</v>
      </c>
      <c r="E4908" s="3">
        <f>IFERROR(__xludf.DUMMYFUNCTION("""COMPUTED_VALUE"""),4.93446)</f>
        <v>4.93446</v>
      </c>
    </row>
    <row r="4909">
      <c r="D4909" s="6">
        <f>IFERROR(__xludf.DUMMYFUNCTION("""COMPUTED_VALUE"""),45141.99861111111)</f>
        <v>45141.99861</v>
      </c>
      <c r="E4909" s="3">
        <f>IFERROR(__xludf.DUMMYFUNCTION("""COMPUTED_VALUE"""),4.9325)</f>
        <v>4.9325</v>
      </c>
    </row>
    <row r="4910">
      <c r="D4910" s="6">
        <f>IFERROR(__xludf.DUMMYFUNCTION("""COMPUTED_VALUE"""),45142.99861111111)</f>
        <v>45142.99861</v>
      </c>
      <c r="E4910" s="3">
        <f>IFERROR(__xludf.DUMMYFUNCTION("""COMPUTED_VALUE"""),4.94548)</f>
        <v>4.94548</v>
      </c>
    </row>
    <row r="4911">
      <c r="D4911" s="6">
        <f>IFERROR(__xludf.DUMMYFUNCTION("""COMPUTED_VALUE"""),45144.99861111111)</f>
        <v>45144.99861</v>
      </c>
      <c r="E4911" s="3">
        <f>IFERROR(__xludf.DUMMYFUNCTION("""COMPUTED_VALUE"""),4.94548)</f>
        <v>4.94548</v>
      </c>
    </row>
    <row r="4912">
      <c r="D4912" s="6">
        <f>IFERROR(__xludf.DUMMYFUNCTION("""COMPUTED_VALUE"""),45145.99861111111)</f>
        <v>45145.99861</v>
      </c>
      <c r="E4912" s="3">
        <f>IFERROR(__xludf.DUMMYFUNCTION("""COMPUTED_VALUE"""),4.94916)</f>
        <v>4.94916</v>
      </c>
    </row>
    <row r="4913">
      <c r="D4913" s="6">
        <f>IFERROR(__xludf.DUMMYFUNCTION("""COMPUTED_VALUE"""),45146.99861111111)</f>
        <v>45146.99861</v>
      </c>
      <c r="E4913" s="3">
        <f>IFERROR(__xludf.DUMMYFUNCTION("""COMPUTED_VALUE"""),4.94675)</f>
        <v>4.94675</v>
      </c>
    </row>
    <row r="4914">
      <c r="D4914" s="6">
        <f>IFERROR(__xludf.DUMMYFUNCTION("""COMPUTED_VALUE"""),45147.99861111111)</f>
        <v>45147.99861</v>
      </c>
      <c r="E4914" s="3">
        <f>IFERROR(__xludf.DUMMYFUNCTION("""COMPUTED_VALUE"""),4.94471)</f>
        <v>4.94471</v>
      </c>
    </row>
    <row r="4915">
      <c r="D4915" s="6">
        <f>IFERROR(__xludf.DUMMYFUNCTION("""COMPUTED_VALUE"""),45148.99861111111)</f>
        <v>45148.99861</v>
      </c>
      <c r="E4915" s="3">
        <f>IFERROR(__xludf.DUMMYFUNCTION("""COMPUTED_VALUE"""),4.94243)</f>
        <v>4.94243</v>
      </c>
    </row>
    <row r="4916">
      <c r="D4916" s="6">
        <f>IFERROR(__xludf.DUMMYFUNCTION("""COMPUTED_VALUE"""),45149.99861111111)</f>
        <v>45149.99861</v>
      </c>
      <c r="E4916" s="3">
        <f>IFERROR(__xludf.DUMMYFUNCTION("""COMPUTED_VALUE"""),4.93796)</f>
        <v>4.93796</v>
      </c>
    </row>
    <row r="4917">
      <c r="D4917" s="6">
        <f>IFERROR(__xludf.DUMMYFUNCTION("""COMPUTED_VALUE"""),45151.99861111111)</f>
        <v>45151.99861</v>
      </c>
      <c r="E4917" s="3">
        <f>IFERROR(__xludf.DUMMYFUNCTION("""COMPUTED_VALUE"""),4.93796)</f>
        <v>4.93796</v>
      </c>
    </row>
    <row r="4918">
      <c r="D4918" s="6">
        <f>IFERROR(__xludf.DUMMYFUNCTION("""COMPUTED_VALUE"""),45152.99861111111)</f>
        <v>45152.99861</v>
      </c>
      <c r="E4918" s="3">
        <f>IFERROR(__xludf.DUMMYFUNCTION("""COMPUTED_VALUE"""),4.9365)</f>
        <v>4.9365</v>
      </c>
    </row>
    <row r="4919">
      <c r="D4919" s="6">
        <f>IFERROR(__xludf.DUMMYFUNCTION("""COMPUTED_VALUE"""),45153.99861111111)</f>
        <v>45153.99861</v>
      </c>
      <c r="E4919" s="3">
        <f>IFERROR(__xludf.DUMMYFUNCTION("""COMPUTED_VALUE"""),4.9365)</f>
        <v>4.9365</v>
      </c>
    </row>
    <row r="4920">
      <c r="D4920" s="6">
        <f>IFERROR(__xludf.DUMMYFUNCTION("""COMPUTED_VALUE"""),45154.99861111111)</f>
        <v>45154.99861</v>
      </c>
      <c r="E4920" s="3">
        <f>IFERROR(__xludf.DUMMYFUNCTION("""COMPUTED_VALUE"""),4.931)</f>
        <v>4.931</v>
      </c>
    </row>
    <row r="4921">
      <c r="D4921" s="6">
        <f>IFERROR(__xludf.DUMMYFUNCTION("""COMPUTED_VALUE"""),45155.99861111111)</f>
        <v>45155.99861</v>
      </c>
      <c r="E4921" s="3">
        <f>IFERROR(__xludf.DUMMYFUNCTION("""COMPUTED_VALUE"""),4.941)</f>
        <v>4.941</v>
      </c>
    </row>
    <row r="4922">
      <c r="D4922" s="6">
        <f>IFERROR(__xludf.DUMMYFUNCTION("""COMPUTED_VALUE"""),45156.99861111111)</f>
        <v>45156.99861</v>
      </c>
      <c r="E4922" s="3">
        <f>IFERROR(__xludf.DUMMYFUNCTION("""COMPUTED_VALUE"""),4.941)</f>
        <v>4.941</v>
      </c>
    </row>
    <row r="4923">
      <c r="D4923" s="6">
        <f>IFERROR(__xludf.DUMMYFUNCTION("""COMPUTED_VALUE"""),45158.99861111111)</f>
        <v>45158.99861</v>
      </c>
      <c r="E4923" s="3">
        <f>IFERROR(__xludf.DUMMYFUNCTION("""COMPUTED_VALUE"""),4.941)</f>
        <v>4.941</v>
      </c>
    </row>
    <row r="4924">
      <c r="D4924" s="6">
        <f>IFERROR(__xludf.DUMMYFUNCTION("""COMPUTED_VALUE"""),45159.99861111111)</f>
        <v>45159.99861</v>
      </c>
      <c r="E4924" s="3">
        <f>IFERROR(__xludf.DUMMYFUNCTION("""COMPUTED_VALUE"""),4.941)</f>
        <v>4.941</v>
      </c>
    </row>
    <row r="4925">
      <c r="D4925" s="6">
        <f>IFERROR(__xludf.DUMMYFUNCTION("""COMPUTED_VALUE"""),45160.99861111111)</f>
        <v>45160.99861</v>
      </c>
      <c r="E4925" s="3">
        <f>IFERROR(__xludf.DUMMYFUNCTION("""COMPUTED_VALUE"""),4.93836)</f>
        <v>4.93836</v>
      </c>
    </row>
    <row r="4926">
      <c r="D4926" s="6">
        <f>IFERROR(__xludf.DUMMYFUNCTION("""COMPUTED_VALUE"""),45161.99861111111)</f>
        <v>45161.99861</v>
      </c>
      <c r="E4926" s="3">
        <f>IFERROR(__xludf.DUMMYFUNCTION("""COMPUTED_VALUE"""),4.9386)</f>
        <v>4.9386</v>
      </c>
    </row>
    <row r="4927">
      <c r="D4927" s="6">
        <f>IFERROR(__xludf.DUMMYFUNCTION("""COMPUTED_VALUE"""),45162.99861111111)</f>
        <v>45162.99861</v>
      </c>
      <c r="E4927" s="3">
        <f>IFERROR(__xludf.DUMMYFUNCTION("""COMPUTED_VALUE"""),4.93716)</f>
        <v>4.93716</v>
      </c>
    </row>
    <row r="4928">
      <c r="D4928" s="6">
        <f>IFERROR(__xludf.DUMMYFUNCTION("""COMPUTED_VALUE"""),45163.99861111111)</f>
        <v>45163.99861</v>
      </c>
      <c r="E4928" s="3">
        <f>IFERROR(__xludf.DUMMYFUNCTION("""COMPUTED_VALUE"""),4.93683)</f>
        <v>4.93683</v>
      </c>
    </row>
    <row r="4929">
      <c r="D4929" s="6">
        <f>IFERROR(__xludf.DUMMYFUNCTION("""COMPUTED_VALUE"""),45165.99861111111)</f>
        <v>45165.99861</v>
      </c>
      <c r="E4929" s="3">
        <f>IFERROR(__xludf.DUMMYFUNCTION("""COMPUTED_VALUE"""),4.93683)</f>
        <v>4.93683</v>
      </c>
    </row>
    <row r="4930">
      <c r="D4930" s="6">
        <f>IFERROR(__xludf.DUMMYFUNCTION("""COMPUTED_VALUE"""),45166.99861111111)</f>
        <v>45166.99861</v>
      </c>
      <c r="E4930" s="3">
        <f>IFERROR(__xludf.DUMMYFUNCTION("""COMPUTED_VALUE"""),4.9386)</f>
        <v>4.9386</v>
      </c>
    </row>
    <row r="4931">
      <c r="D4931" s="6">
        <f>IFERROR(__xludf.DUMMYFUNCTION("""COMPUTED_VALUE"""),45167.99861111111)</f>
        <v>45167.99861</v>
      </c>
      <c r="E4931" s="3">
        <f>IFERROR(__xludf.DUMMYFUNCTION("""COMPUTED_VALUE"""),4.93947)</f>
        <v>4.93947</v>
      </c>
    </row>
    <row r="4932">
      <c r="D4932" s="6">
        <f>IFERROR(__xludf.DUMMYFUNCTION("""COMPUTED_VALUE"""),45168.99861111111)</f>
        <v>45168.99861</v>
      </c>
      <c r="E4932" s="3">
        <f>IFERROR(__xludf.DUMMYFUNCTION("""COMPUTED_VALUE"""),4.94014)</f>
        <v>4.94014</v>
      </c>
    </row>
    <row r="4933">
      <c r="D4933" s="6">
        <f>IFERROR(__xludf.DUMMYFUNCTION("""COMPUTED_VALUE"""),45169.99861111111)</f>
        <v>45169.99861</v>
      </c>
      <c r="E4933" s="3">
        <f>IFERROR(__xludf.DUMMYFUNCTION("""COMPUTED_VALUE"""),4.93969)</f>
        <v>4.93969</v>
      </c>
    </row>
    <row r="4934">
      <c r="D4934" s="6">
        <f>IFERROR(__xludf.DUMMYFUNCTION("""COMPUTED_VALUE"""),45170.99861111111)</f>
        <v>45170.99861</v>
      </c>
      <c r="E4934" s="3">
        <f>IFERROR(__xludf.DUMMYFUNCTION("""COMPUTED_VALUE"""),4.94875)</f>
        <v>4.94875</v>
      </c>
    </row>
    <row r="4935">
      <c r="D4935" s="6">
        <f>IFERROR(__xludf.DUMMYFUNCTION("""COMPUTED_VALUE"""),45172.99861111111)</f>
        <v>45172.99861</v>
      </c>
      <c r="E4935" s="3">
        <f>IFERROR(__xludf.DUMMYFUNCTION("""COMPUTED_VALUE"""),4.94875)</f>
        <v>4.94875</v>
      </c>
    </row>
    <row r="4936">
      <c r="D4936" s="6">
        <f>IFERROR(__xludf.DUMMYFUNCTION("""COMPUTED_VALUE"""),45173.99861111111)</f>
        <v>45173.99861</v>
      </c>
      <c r="E4936" s="3">
        <f>IFERROR(__xludf.DUMMYFUNCTION("""COMPUTED_VALUE"""),4.94624)</f>
        <v>4.94624</v>
      </c>
    </row>
    <row r="4937">
      <c r="D4937" s="6">
        <f>IFERROR(__xludf.DUMMYFUNCTION("""COMPUTED_VALUE"""),45174.99861111111)</f>
        <v>45174.99861</v>
      </c>
      <c r="E4937" s="3">
        <f>IFERROR(__xludf.DUMMYFUNCTION("""COMPUTED_VALUE"""),4.935)</f>
        <v>4.935</v>
      </c>
    </row>
    <row r="4938">
      <c r="D4938" s="6">
        <f>IFERROR(__xludf.DUMMYFUNCTION("""COMPUTED_VALUE"""),45175.99861111111)</f>
        <v>45175.99861</v>
      </c>
      <c r="E4938" s="3">
        <f>IFERROR(__xludf.DUMMYFUNCTION("""COMPUTED_VALUE"""),4.9609)</f>
        <v>4.9609</v>
      </c>
    </row>
    <row r="4939">
      <c r="D4939" s="6">
        <f>IFERROR(__xludf.DUMMYFUNCTION("""COMPUTED_VALUE"""),45176.99861111111)</f>
        <v>45176.99861</v>
      </c>
      <c r="E4939" s="3">
        <f>IFERROR(__xludf.DUMMYFUNCTION("""COMPUTED_VALUE"""),4.96)</f>
        <v>4.96</v>
      </c>
    </row>
    <row r="4940">
      <c r="D4940" s="6">
        <f>IFERROR(__xludf.DUMMYFUNCTION("""COMPUTED_VALUE"""),45177.99861111111)</f>
        <v>45177.99861</v>
      </c>
      <c r="E4940" s="3">
        <f>IFERROR(__xludf.DUMMYFUNCTION("""COMPUTED_VALUE"""),4.9585)</f>
        <v>4.9585</v>
      </c>
    </row>
    <row r="4941">
      <c r="D4941" s="6">
        <f>IFERROR(__xludf.DUMMYFUNCTION("""COMPUTED_VALUE"""),45179.99861111111)</f>
        <v>45179.99861</v>
      </c>
      <c r="E4941" s="3">
        <f>IFERROR(__xludf.DUMMYFUNCTION("""COMPUTED_VALUE"""),4.96332)</f>
        <v>4.96332</v>
      </c>
    </row>
    <row r="4942">
      <c r="D4942" s="6">
        <f>IFERROR(__xludf.DUMMYFUNCTION("""COMPUTED_VALUE"""),45180.99861111111)</f>
        <v>45180.99861</v>
      </c>
      <c r="E4942" s="3">
        <f>IFERROR(__xludf.DUMMYFUNCTION("""COMPUTED_VALUE"""),4.9591)</f>
        <v>4.9591</v>
      </c>
    </row>
    <row r="4943">
      <c r="D4943" s="6">
        <f>IFERROR(__xludf.DUMMYFUNCTION("""COMPUTED_VALUE"""),45181.99861111111)</f>
        <v>45181.99861</v>
      </c>
      <c r="E4943" s="3">
        <f>IFERROR(__xludf.DUMMYFUNCTION("""COMPUTED_VALUE"""),4.9591)</f>
        <v>4.9591</v>
      </c>
    </row>
    <row r="4944">
      <c r="D4944" s="6">
        <f>IFERROR(__xludf.DUMMYFUNCTION("""COMPUTED_VALUE"""),45182.99861111111)</f>
        <v>45182.99861</v>
      </c>
      <c r="E4944" s="3">
        <f>IFERROR(__xludf.DUMMYFUNCTION("""COMPUTED_VALUE"""),4.96962)</f>
        <v>4.96962</v>
      </c>
    </row>
    <row r="4945">
      <c r="D4945" s="6">
        <f>IFERROR(__xludf.DUMMYFUNCTION("""COMPUTED_VALUE"""),45183.99861111111)</f>
        <v>45183.99861</v>
      </c>
      <c r="E4945" s="3">
        <f>IFERROR(__xludf.DUMMYFUNCTION("""COMPUTED_VALUE"""),4.9693)</f>
        <v>4.9693</v>
      </c>
    </row>
    <row r="4946">
      <c r="D4946" s="6">
        <f>IFERROR(__xludf.DUMMYFUNCTION("""COMPUTED_VALUE"""),45184.99861111111)</f>
        <v>45184.99861</v>
      </c>
      <c r="E4946" s="3">
        <f>IFERROR(__xludf.DUMMYFUNCTION("""COMPUTED_VALUE"""),4.96955)</f>
        <v>4.96955</v>
      </c>
    </row>
    <row r="4947">
      <c r="D4947" s="6">
        <f>IFERROR(__xludf.DUMMYFUNCTION("""COMPUTED_VALUE"""),45186.99861111111)</f>
        <v>45186.99861</v>
      </c>
      <c r="E4947" s="3">
        <f>IFERROR(__xludf.DUMMYFUNCTION("""COMPUTED_VALUE"""),4.96955)</f>
        <v>4.96955</v>
      </c>
    </row>
    <row r="4948">
      <c r="D4948" s="6">
        <f>IFERROR(__xludf.DUMMYFUNCTION("""COMPUTED_VALUE"""),45187.99861111111)</f>
        <v>45187.99861</v>
      </c>
      <c r="E4948" s="3">
        <f>IFERROR(__xludf.DUMMYFUNCTION("""COMPUTED_VALUE"""),4.9665)</f>
        <v>4.9665</v>
      </c>
    </row>
    <row r="4949">
      <c r="D4949" s="6">
        <f>IFERROR(__xludf.DUMMYFUNCTION("""COMPUTED_VALUE"""),45188.99861111111)</f>
        <v>45188.99861</v>
      </c>
      <c r="E4949" s="3">
        <f>IFERROR(__xludf.DUMMYFUNCTION("""COMPUTED_VALUE"""),4.9665)</f>
        <v>4.9665</v>
      </c>
    </row>
    <row r="4950">
      <c r="D4950" s="6">
        <f>IFERROR(__xludf.DUMMYFUNCTION("""COMPUTED_VALUE"""),45189.99861111111)</f>
        <v>45189.99861</v>
      </c>
      <c r="E4950" s="3">
        <f>IFERROR(__xludf.DUMMYFUNCTION("""COMPUTED_VALUE"""),4.96906)</f>
        <v>4.96906</v>
      </c>
    </row>
    <row r="4951">
      <c r="D4951" s="6">
        <f>IFERROR(__xludf.DUMMYFUNCTION("""COMPUTED_VALUE"""),45190.99861111111)</f>
        <v>45190.99861</v>
      </c>
      <c r="E4951" s="3">
        <f>IFERROR(__xludf.DUMMYFUNCTION("""COMPUTED_VALUE"""),4.9682)</f>
        <v>4.9682</v>
      </c>
    </row>
    <row r="4952">
      <c r="D4952" s="6">
        <f>IFERROR(__xludf.DUMMYFUNCTION("""COMPUTED_VALUE"""),45191.99861111111)</f>
        <v>45191.99861</v>
      </c>
      <c r="E4952" s="3">
        <f>IFERROR(__xludf.DUMMYFUNCTION("""COMPUTED_VALUE"""),4.9561)</f>
        <v>4.9561</v>
      </c>
    </row>
    <row r="4953">
      <c r="D4953" s="6">
        <f>IFERROR(__xludf.DUMMYFUNCTION("""COMPUTED_VALUE"""),45193.99861111111)</f>
        <v>45193.99861</v>
      </c>
      <c r="E4953" s="3">
        <f>IFERROR(__xludf.DUMMYFUNCTION("""COMPUTED_VALUE"""),4.96763)</f>
        <v>4.96763</v>
      </c>
    </row>
    <row r="4954">
      <c r="D4954" s="6">
        <f>IFERROR(__xludf.DUMMYFUNCTION("""COMPUTED_VALUE"""),45194.99861111111)</f>
        <v>45194.99861</v>
      </c>
      <c r="E4954" s="3">
        <f>IFERROR(__xludf.DUMMYFUNCTION("""COMPUTED_VALUE"""),4.96863)</f>
        <v>4.96863</v>
      </c>
    </row>
    <row r="4955">
      <c r="D4955" s="6">
        <f>IFERROR(__xludf.DUMMYFUNCTION("""COMPUTED_VALUE"""),45195.99861111111)</f>
        <v>45195.99861</v>
      </c>
      <c r="E4955" s="3">
        <f>IFERROR(__xludf.DUMMYFUNCTION("""COMPUTED_VALUE"""),4.9635)</f>
        <v>4.9635</v>
      </c>
    </row>
    <row r="4956">
      <c r="D4956" s="6">
        <f>IFERROR(__xludf.DUMMYFUNCTION("""COMPUTED_VALUE"""),45196.99861111111)</f>
        <v>45196.99861</v>
      </c>
      <c r="E4956" s="3">
        <f>IFERROR(__xludf.DUMMYFUNCTION("""COMPUTED_VALUE"""),4.9737)</f>
        <v>4.9737</v>
      </c>
    </row>
    <row r="4957">
      <c r="D4957" s="6">
        <f>IFERROR(__xludf.DUMMYFUNCTION("""COMPUTED_VALUE"""),45197.99861111111)</f>
        <v>45197.99861</v>
      </c>
      <c r="E4957" s="3">
        <f>IFERROR(__xludf.DUMMYFUNCTION("""COMPUTED_VALUE"""),4.97)</f>
        <v>4.97</v>
      </c>
    </row>
    <row r="4958">
      <c r="D4958" s="6">
        <f>IFERROR(__xludf.DUMMYFUNCTION("""COMPUTED_VALUE"""),45198.99861111111)</f>
        <v>45198.99861</v>
      </c>
      <c r="E4958" s="3">
        <f>IFERROR(__xludf.DUMMYFUNCTION("""COMPUTED_VALUE"""),4.97365)</f>
        <v>4.97365</v>
      </c>
    </row>
    <row r="4959">
      <c r="D4959" s="6">
        <f>IFERROR(__xludf.DUMMYFUNCTION("""COMPUTED_VALUE"""),45200.99861111111)</f>
        <v>45200.99861</v>
      </c>
      <c r="E4959" s="3">
        <f>IFERROR(__xludf.DUMMYFUNCTION("""COMPUTED_VALUE"""),4.97365)</f>
        <v>4.97365</v>
      </c>
    </row>
    <row r="4960">
      <c r="D4960" s="6">
        <f>IFERROR(__xludf.DUMMYFUNCTION("""COMPUTED_VALUE"""),45201.99861111111)</f>
        <v>45201.99861</v>
      </c>
      <c r="E4960" s="3">
        <f>IFERROR(__xludf.DUMMYFUNCTION("""COMPUTED_VALUE"""),4.97337)</f>
        <v>4.97337</v>
      </c>
    </row>
    <row r="4961">
      <c r="D4961" s="6">
        <f>IFERROR(__xludf.DUMMYFUNCTION("""COMPUTED_VALUE"""),45202.99861111111)</f>
        <v>45202.99861</v>
      </c>
      <c r="E4961" s="3">
        <f>IFERROR(__xludf.DUMMYFUNCTION("""COMPUTED_VALUE"""),4.97)</f>
        <v>4.97</v>
      </c>
    </row>
    <row r="4962">
      <c r="D4962" s="6">
        <f>IFERROR(__xludf.DUMMYFUNCTION("""COMPUTED_VALUE"""),45203.99861111111)</f>
        <v>45203.99861</v>
      </c>
      <c r="E4962" s="3">
        <f>IFERROR(__xludf.DUMMYFUNCTION("""COMPUTED_VALUE"""),4.97404)</f>
        <v>4.97404</v>
      </c>
    </row>
    <row r="4963">
      <c r="D4963" s="6">
        <f>IFERROR(__xludf.DUMMYFUNCTION("""COMPUTED_VALUE"""),45204.99861111111)</f>
        <v>45204.99861</v>
      </c>
      <c r="E4963" s="3">
        <f>IFERROR(__xludf.DUMMYFUNCTION("""COMPUTED_VALUE"""),4.971)</f>
        <v>4.971</v>
      </c>
    </row>
    <row r="4964">
      <c r="D4964" s="6">
        <f>IFERROR(__xludf.DUMMYFUNCTION("""COMPUTED_VALUE"""),45205.99861111111)</f>
        <v>45205.99861</v>
      </c>
      <c r="E4964" s="3">
        <f>IFERROR(__xludf.DUMMYFUNCTION("""COMPUTED_VALUE"""),4.96517)</f>
        <v>4.96517</v>
      </c>
    </row>
    <row r="4965">
      <c r="D4965" s="6">
        <f>IFERROR(__xludf.DUMMYFUNCTION("""COMPUTED_VALUE"""),45206.99861111111)</f>
        <v>45206.99861</v>
      </c>
      <c r="E4965" s="3">
        <f>IFERROR(__xludf.DUMMYFUNCTION("""COMPUTED_VALUE"""),4.965)</f>
        <v>4.965</v>
      </c>
    </row>
    <row r="4966">
      <c r="D4966" s="6">
        <f>IFERROR(__xludf.DUMMYFUNCTION("""COMPUTED_VALUE"""),45207.99861111111)</f>
        <v>45207.99861</v>
      </c>
      <c r="E4966" s="3">
        <f>IFERROR(__xludf.DUMMYFUNCTION("""COMPUTED_VALUE"""),4.96517)</f>
        <v>4.96517</v>
      </c>
    </row>
    <row r="4967">
      <c r="D4967" s="6">
        <f>IFERROR(__xludf.DUMMYFUNCTION("""COMPUTED_VALUE"""),45208.99861111111)</f>
        <v>45208.99861</v>
      </c>
      <c r="E4967" s="3">
        <f>IFERROR(__xludf.DUMMYFUNCTION("""COMPUTED_VALUE"""),4.96394)</f>
        <v>4.96394</v>
      </c>
    </row>
    <row r="4968">
      <c r="D4968" s="6">
        <f>IFERROR(__xludf.DUMMYFUNCTION("""COMPUTED_VALUE"""),45209.99861111111)</f>
        <v>45209.99861</v>
      </c>
      <c r="E4968" s="3">
        <f>IFERROR(__xludf.DUMMYFUNCTION("""COMPUTED_VALUE"""),4.965)</f>
        <v>4.965</v>
      </c>
    </row>
    <row r="4969">
      <c r="D4969" s="6">
        <f>IFERROR(__xludf.DUMMYFUNCTION("""COMPUTED_VALUE"""),45210.99861111111)</f>
        <v>45210.99861</v>
      </c>
      <c r="E4969" s="3">
        <f>IFERROR(__xludf.DUMMYFUNCTION("""COMPUTED_VALUE"""),4.9645)</f>
        <v>4.9645</v>
      </c>
    </row>
    <row r="4970">
      <c r="D4970" s="6">
        <f>IFERROR(__xludf.DUMMYFUNCTION("""COMPUTED_VALUE"""),45211.99861111111)</f>
        <v>45211.99861</v>
      </c>
      <c r="E4970" s="3">
        <f>IFERROR(__xludf.DUMMYFUNCTION("""COMPUTED_VALUE"""),4.96)</f>
        <v>4.96</v>
      </c>
    </row>
    <row r="4971">
      <c r="D4971" s="6">
        <f>IFERROR(__xludf.DUMMYFUNCTION("""COMPUTED_VALUE"""),45212.99861111111)</f>
        <v>45212.99861</v>
      </c>
      <c r="E4971" s="3">
        <f>IFERROR(__xludf.DUMMYFUNCTION("""COMPUTED_VALUE"""),4.96481)</f>
        <v>4.96481</v>
      </c>
    </row>
    <row r="4972">
      <c r="D4972" s="6">
        <f>IFERROR(__xludf.DUMMYFUNCTION("""COMPUTED_VALUE"""),45214.99861111111)</f>
        <v>45214.99861</v>
      </c>
      <c r="E4972" s="3">
        <f>IFERROR(__xludf.DUMMYFUNCTION("""COMPUTED_VALUE"""),4.96481)</f>
        <v>4.96481</v>
      </c>
    </row>
    <row r="4973">
      <c r="D4973" s="6">
        <f>IFERROR(__xludf.DUMMYFUNCTION("""COMPUTED_VALUE"""),45215.99861111111)</f>
        <v>45215.99861</v>
      </c>
      <c r="E4973" s="3">
        <f>IFERROR(__xludf.DUMMYFUNCTION("""COMPUTED_VALUE"""),4.96)</f>
        <v>4.96</v>
      </c>
    </row>
    <row r="4974">
      <c r="D4974" s="6">
        <f>IFERROR(__xludf.DUMMYFUNCTION("""COMPUTED_VALUE"""),45216.99861111111)</f>
        <v>45216.99861</v>
      </c>
      <c r="E4974" s="3">
        <f>IFERROR(__xludf.DUMMYFUNCTION("""COMPUTED_VALUE"""),4.96783)</f>
        <v>4.96783</v>
      </c>
    </row>
    <row r="4975">
      <c r="D4975" s="6">
        <f>IFERROR(__xludf.DUMMYFUNCTION("""COMPUTED_VALUE"""),45217.99861111111)</f>
        <v>45217.99861</v>
      </c>
      <c r="E4975" s="3">
        <f>IFERROR(__xludf.DUMMYFUNCTION("""COMPUTED_VALUE"""),4.97162)</f>
        <v>4.97162</v>
      </c>
    </row>
    <row r="4976">
      <c r="D4976" s="6">
        <f>IFERROR(__xludf.DUMMYFUNCTION("""COMPUTED_VALUE"""),45218.99861111111)</f>
        <v>45218.99861</v>
      </c>
      <c r="E4976" s="3">
        <f>IFERROR(__xludf.DUMMYFUNCTION("""COMPUTED_VALUE"""),4.97362)</f>
        <v>4.97362</v>
      </c>
    </row>
    <row r="4977">
      <c r="D4977" s="6">
        <f>IFERROR(__xludf.DUMMYFUNCTION("""COMPUTED_VALUE"""),45219.99861111111)</f>
        <v>45219.99861</v>
      </c>
      <c r="E4977" s="3">
        <f>IFERROR(__xludf.DUMMYFUNCTION("""COMPUTED_VALUE"""),4.97324)</f>
        <v>4.97324</v>
      </c>
    </row>
    <row r="4978">
      <c r="D4978" s="6">
        <f>IFERROR(__xludf.DUMMYFUNCTION("""COMPUTED_VALUE"""),45221.99861111111)</f>
        <v>45221.99861</v>
      </c>
      <c r="E4978" s="3">
        <f>IFERROR(__xludf.DUMMYFUNCTION("""COMPUTED_VALUE"""),4.97324)</f>
        <v>4.97324</v>
      </c>
    </row>
    <row r="4979">
      <c r="D4979" s="6">
        <f>IFERROR(__xludf.DUMMYFUNCTION("""COMPUTED_VALUE"""),45222.99861111111)</f>
        <v>45222.99861</v>
      </c>
      <c r="E4979" s="3">
        <f>IFERROR(__xludf.DUMMYFUNCTION("""COMPUTED_VALUE"""),4.96917)</f>
        <v>4.96917</v>
      </c>
    </row>
    <row r="4980">
      <c r="D4980" s="6">
        <f>IFERROR(__xludf.DUMMYFUNCTION("""COMPUTED_VALUE"""),45223.99861111111)</f>
        <v>45223.99861</v>
      </c>
      <c r="E4980" s="3">
        <f>IFERROR(__xludf.DUMMYFUNCTION("""COMPUTED_VALUE"""),4.9665)</f>
        <v>4.9665</v>
      </c>
    </row>
    <row r="4981">
      <c r="D4981" s="6">
        <f>IFERROR(__xludf.DUMMYFUNCTION("""COMPUTED_VALUE"""),45224.99861111111)</f>
        <v>45224.99861</v>
      </c>
      <c r="E4981" s="3">
        <f>IFERROR(__xludf.DUMMYFUNCTION("""COMPUTED_VALUE"""),4.96057)</f>
        <v>4.96057</v>
      </c>
    </row>
    <row r="4982">
      <c r="D4982" s="6">
        <f>IFERROR(__xludf.DUMMYFUNCTION("""COMPUTED_VALUE"""),45225.99861111111)</f>
        <v>45225.99861</v>
      </c>
      <c r="E4982" s="3">
        <f>IFERROR(__xludf.DUMMYFUNCTION("""COMPUTED_VALUE"""),4.96554)</f>
        <v>4.96554</v>
      </c>
    </row>
    <row r="4983">
      <c r="D4983" s="6">
        <f>IFERROR(__xludf.DUMMYFUNCTION("""COMPUTED_VALUE"""),45226.99861111111)</f>
        <v>45226.99861</v>
      </c>
      <c r="E4983" s="3">
        <f>IFERROR(__xludf.DUMMYFUNCTION("""COMPUTED_VALUE"""),4.9615)</f>
        <v>4.9615</v>
      </c>
    </row>
    <row r="4984">
      <c r="D4984" s="6">
        <f>IFERROR(__xludf.DUMMYFUNCTION("""COMPUTED_VALUE"""),45228.99861111111)</f>
        <v>45228.99861</v>
      </c>
      <c r="E4984" s="3">
        <f>IFERROR(__xludf.DUMMYFUNCTION("""COMPUTED_VALUE"""),4.96348)</f>
        <v>4.96348</v>
      </c>
    </row>
    <row r="4985">
      <c r="D4985" s="6">
        <f>IFERROR(__xludf.DUMMYFUNCTION("""COMPUTED_VALUE"""),45229.99861111111)</f>
        <v>45229.99861</v>
      </c>
      <c r="E4985" s="3">
        <f>IFERROR(__xludf.DUMMYFUNCTION("""COMPUTED_VALUE"""),4.96302)</f>
        <v>4.96302</v>
      </c>
    </row>
    <row r="4986">
      <c r="D4986" s="6">
        <f>IFERROR(__xludf.DUMMYFUNCTION("""COMPUTED_VALUE"""),45230.99861111111)</f>
        <v>45230.99861</v>
      </c>
      <c r="E4986" s="3">
        <f>IFERROR(__xludf.DUMMYFUNCTION("""COMPUTED_VALUE"""),4.96718)</f>
        <v>4.96718</v>
      </c>
    </row>
    <row r="4987">
      <c r="D4987" s="6">
        <f>IFERROR(__xludf.DUMMYFUNCTION("""COMPUTED_VALUE"""),45231.99861111111)</f>
        <v>45231.99861</v>
      </c>
      <c r="E4987" s="3">
        <f>IFERROR(__xludf.DUMMYFUNCTION("""COMPUTED_VALUE"""),4.96)</f>
        <v>4.96</v>
      </c>
    </row>
    <row r="4988">
      <c r="D4988" s="6">
        <f>IFERROR(__xludf.DUMMYFUNCTION("""COMPUTED_VALUE"""),45232.99861111111)</f>
        <v>45232.99861</v>
      </c>
      <c r="E4988" s="3">
        <f>IFERROR(__xludf.DUMMYFUNCTION("""COMPUTED_VALUE"""),4.96723)</f>
        <v>4.96723</v>
      </c>
    </row>
    <row r="4989">
      <c r="D4989" s="6">
        <f>IFERROR(__xludf.DUMMYFUNCTION("""COMPUTED_VALUE"""),45233.99861111111)</f>
        <v>45233.99861</v>
      </c>
      <c r="E4989" s="3">
        <f>IFERROR(__xludf.DUMMYFUNCTION("""COMPUTED_VALUE"""),4.96936)</f>
        <v>4.96936</v>
      </c>
    </row>
    <row r="4990">
      <c r="D4990" s="6">
        <f>IFERROR(__xludf.DUMMYFUNCTION("""COMPUTED_VALUE"""),45235.99861111111)</f>
        <v>45235.99861</v>
      </c>
      <c r="E4990" s="3">
        <f>IFERROR(__xludf.DUMMYFUNCTION("""COMPUTED_VALUE"""),4.96936)</f>
        <v>4.96936</v>
      </c>
    </row>
    <row r="4991">
      <c r="D4991" s="6">
        <f>IFERROR(__xludf.DUMMYFUNCTION("""COMPUTED_VALUE"""),45236.99861111111)</f>
        <v>45236.99861</v>
      </c>
      <c r="E4991" s="3">
        <f>IFERROR(__xludf.DUMMYFUNCTION("""COMPUTED_VALUE"""),4.9655)</f>
        <v>4.9655</v>
      </c>
    </row>
    <row r="4992">
      <c r="D4992" s="6">
        <f>IFERROR(__xludf.DUMMYFUNCTION("""COMPUTED_VALUE"""),45237.99861111111)</f>
        <v>45237.99861</v>
      </c>
      <c r="E4992" s="3">
        <f>IFERROR(__xludf.DUMMYFUNCTION("""COMPUTED_VALUE"""),4.965)</f>
        <v>4.965</v>
      </c>
    </row>
    <row r="4993">
      <c r="D4993" s="6">
        <f>IFERROR(__xludf.DUMMYFUNCTION("""COMPUTED_VALUE"""),45238.99861111111)</f>
        <v>45238.99861</v>
      </c>
      <c r="E4993" s="3">
        <f>IFERROR(__xludf.DUMMYFUNCTION("""COMPUTED_VALUE"""),4.965)</f>
        <v>4.965</v>
      </c>
    </row>
    <row r="4994">
      <c r="D4994" s="6">
        <f>IFERROR(__xludf.DUMMYFUNCTION("""COMPUTED_VALUE"""),45239.99861111111)</f>
        <v>45239.99861</v>
      </c>
      <c r="E4994" s="3">
        <f>IFERROR(__xludf.DUMMYFUNCTION("""COMPUTED_VALUE"""),4.9668)</f>
        <v>4.9668</v>
      </c>
    </row>
    <row r="4995">
      <c r="D4995" s="6">
        <f>IFERROR(__xludf.DUMMYFUNCTION("""COMPUTED_VALUE"""),45240.99861111111)</f>
        <v>45240.99861</v>
      </c>
      <c r="E4995" s="3">
        <f>IFERROR(__xludf.DUMMYFUNCTION("""COMPUTED_VALUE"""),4.97164)</f>
        <v>4.97164</v>
      </c>
    </row>
    <row r="4996">
      <c r="D4996" s="6">
        <f>IFERROR(__xludf.DUMMYFUNCTION("""COMPUTED_VALUE"""),45242.99861111111)</f>
        <v>45242.99861</v>
      </c>
      <c r="E4996" s="3">
        <f>IFERROR(__xludf.DUMMYFUNCTION("""COMPUTED_VALUE"""),4.97164)</f>
        <v>4.97164</v>
      </c>
    </row>
    <row r="4997">
      <c r="D4997" s="6">
        <f>IFERROR(__xludf.DUMMYFUNCTION("""COMPUTED_VALUE"""),45243.99861111111)</f>
        <v>45243.99861</v>
      </c>
      <c r="E4997" s="3">
        <f>IFERROR(__xludf.DUMMYFUNCTION("""COMPUTED_VALUE"""),4.97215)</f>
        <v>4.97215</v>
      </c>
    </row>
    <row r="4998">
      <c r="D4998" s="6">
        <f>IFERROR(__xludf.DUMMYFUNCTION("""COMPUTED_VALUE"""),45244.99861111111)</f>
        <v>45244.99861</v>
      </c>
      <c r="E4998" s="3">
        <f>IFERROR(__xludf.DUMMYFUNCTION("""COMPUTED_VALUE"""),4.9703)</f>
        <v>4.9703</v>
      </c>
    </row>
    <row r="4999">
      <c r="D4999" s="6">
        <f>IFERROR(__xludf.DUMMYFUNCTION("""COMPUTED_VALUE"""),45245.99861111111)</f>
        <v>45245.99861</v>
      </c>
      <c r="E4999" s="3">
        <f>IFERROR(__xludf.DUMMYFUNCTION("""COMPUTED_VALUE"""),4.96806)</f>
        <v>4.96806</v>
      </c>
    </row>
    <row r="5000">
      <c r="D5000" s="6">
        <f>IFERROR(__xludf.DUMMYFUNCTION("""COMPUTED_VALUE"""),45246.99861111111)</f>
        <v>45246.99861</v>
      </c>
      <c r="E5000" s="3">
        <f>IFERROR(__xludf.DUMMYFUNCTION("""COMPUTED_VALUE"""),4.97014)</f>
        <v>4.97014</v>
      </c>
    </row>
    <row r="5001">
      <c r="D5001" s="6">
        <f>IFERROR(__xludf.DUMMYFUNCTION("""COMPUTED_VALUE"""),45247.99861111111)</f>
        <v>45247.99861</v>
      </c>
      <c r="E5001" s="3">
        <f>IFERROR(__xludf.DUMMYFUNCTION("""COMPUTED_VALUE"""),4.97038)</f>
        <v>4.97038</v>
      </c>
    </row>
    <row r="5002">
      <c r="D5002" s="6">
        <f>IFERROR(__xludf.DUMMYFUNCTION("""COMPUTED_VALUE"""),45248.99861111111)</f>
        <v>45248.99861</v>
      </c>
      <c r="E5002" s="3">
        <f>IFERROR(__xludf.DUMMYFUNCTION("""COMPUTED_VALUE"""),4.9655)</f>
        <v>4.9655</v>
      </c>
    </row>
    <row r="5003">
      <c r="D5003" s="6">
        <f>IFERROR(__xludf.DUMMYFUNCTION("""COMPUTED_VALUE"""),45249.99861111111)</f>
        <v>45249.99861</v>
      </c>
      <c r="E5003" s="3">
        <f>IFERROR(__xludf.DUMMYFUNCTION("""COMPUTED_VALUE"""),4.97038)</f>
        <v>4.97038</v>
      </c>
    </row>
    <row r="5004">
      <c r="D5004" s="6">
        <f>IFERROR(__xludf.DUMMYFUNCTION("""COMPUTED_VALUE"""),45250.99861111111)</f>
        <v>45250.99861</v>
      </c>
      <c r="E5004" s="3">
        <f>IFERROR(__xludf.DUMMYFUNCTION("""COMPUTED_VALUE"""),4.97192)</f>
        <v>4.97192</v>
      </c>
    </row>
    <row r="5005">
      <c r="D5005" s="6">
        <f>IFERROR(__xludf.DUMMYFUNCTION("""COMPUTED_VALUE"""),45251.99861111111)</f>
        <v>45251.99861</v>
      </c>
      <c r="E5005" s="3">
        <f>IFERROR(__xludf.DUMMYFUNCTION("""COMPUTED_VALUE"""),4.96887)</f>
        <v>4.96887</v>
      </c>
    </row>
    <row r="5006">
      <c r="D5006" s="6">
        <f>IFERROR(__xludf.DUMMYFUNCTION("""COMPUTED_VALUE"""),45252.99861111111)</f>
        <v>45252.99861</v>
      </c>
      <c r="E5006" s="3">
        <f>IFERROR(__xludf.DUMMYFUNCTION("""COMPUTED_VALUE"""),4.97142)</f>
        <v>4.97142</v>
      </c>
    </row>
    <row r="5007">
      <c r="D5007" s="6">
        <f>IFERROR(__xludf.DUMMYFUNCTION("""COMPUTED_VALUE"""),45253.99861111111)</f>
        <v>45253.99861</v>
      </c>
      <c r="E5007" s="3">
        <f>IFERROR(__xludf.DUMMYFUNCTION("""COMPUTED_VALUE"""),4.96926)</f>
        <v>4.96926</v>
      </c>
    </row>
    <row r="5008">
      <c r="D5008" s="6">
        <f>IFERROR(__xludf.DUMMYFUNCTION("""COMPUTED_VALUE"""),45254.99861111111)</f>
        <v>45254.99861</v>
      </c>
      <c r="E5008" s="3">
        <f>IFERROR(__xludf.DUMMYFUNCTION("""COMPUTED_VALUE"""),4.96907)</f>
        <v>4.96907</v>
      </c>
    </row>
    <row r="5009">
      <c r="D5009" s="6">
        <f>IFERROR(__xludf.DUMMYFUNCTION("""COMPUTED_VALUE"""),45256.99861111111)</f>
        <v>45256.99861</v>
      </c>
      <c r="E5009" s="3">
        <f>IFERROR(__xludf.DUMMYFUNCTION("""COMPUTED_VALUE"""),4.96907)</f>
        <v>4.96907</v>
      </c>
    </row>
    <row r="5010">
      <c r="D5010" s="6">
        <f>IFERROR(__xludf.DUMMYFUNCTION("""COMPUTED_VALUE"""),45257.99861111111)</f>
        <v>45257.99861</v>
      </c>
      <c r="E5010" s="3">
        <f>IFERROR(__xludf.DUMMYFUNCTION("""COMPUTED_VALUE"""),4.97116)</f>
        <v>4.97116</v>
      </c>
    </row>
    <row r="5011">
      <c r="D5011" s="6">
        <f>IFERROR(__xludf.DUMMYFUNCTION("""COMPUTED_VALUE"""),45258.99861111111)</f>
        <v>45258.99861</v>
      </c>
      <c r="E5011" s="3">
        <f>IFERROR(__xludf.DUMMYFUNCTION("""COMPUTED_VALUE"""),4.9675)</f>
        <v>4.9675</v>
      </c>
    </row>
    <row r="5012">
      <c r="D5012" s="6">
        <f>IFERROR(__xludf.DUMMYFUNCTION("""COMPUTED_VALUE"""),45259.99861111111)</f>
        <v>45259.99861</v>
      </c>
      <c r="E5012" s="3">
        <f>IFERROR(__xludf.DUMMYFUNCTION("""COMPUTED_VALUE"""),4.9675)</f>
        <v>4.9675</v>
      </c>
    </row>
    <row r="5013">
      <c r="D5013" s="6">
        <f>IFERROR(__xludf.DUMMYFUNCTION("""COMPUTED_VALUE"""),45260.99861111111)</f>
        <v>45260.99861</v>
      </c>
      <c r="E5013" s="3">
        <f>IFERROR(__xludf.DUMMYFUNCTION("""COMPUTED_VALUE"""),4.96728)</f>
        <v>4.96728</v>
      </c>
    </row>
    <row r="5014">
      <c r="D5014" s="6">
        <f>IFERROR(__xludf.DUMMYFUNCTION("""COMPUTED_VALUE"""),45261.99861111111)</f>
        <v>45261.99861</v>
      </c>
      <c r="E5014" s="3">
        <f>IFERROR(__xludf.DUMMYFUNCTION("""COMPUTED_VALUE"""),4.96838)</f>
        <v>4.96838</v>
      </c>
    </row>
    <row r="5015">
      <c r="D5015" s="6">
        <f>IFERROR(__xludf.DUMMYFUNCTION("""COMPUTED_VALUE"""),45263.99861111111)</f>
        <v>45263.99861</v>
      </c>
      <c r="E5015" s="3">
        <f>IFERROR(__xludf.DUMMYFUNCTION("""COMPUTED_VALUE"""),4.96838)</f>
        <v>4.96838</v>
      </c>
    </row>
    <row r="5016">
      <c r="D5016" s="6">
        <f>IFERROR(__xludf.DUMMYFUNCTION("""COMPUTED_VALUE"""),45264.99861111111)</f>
        <v>45264.99861</v>
      </c>
      <c r="E5016" s="3">
        <f>IFERROR(__xludf.DUMMYFUNCTION("""COMPUTED_VALUE"""),4.96687)</f>
        <v>4.96687</v>
      </c>
    </row>
    <row r="5017">
      <c r="D5017" s="6">
        <f>IFERROR(__xludf.DUMMYFUNCTION("""COMPUTED_VALUE"""),45265.99861111111)</f>
        <v>45265.99861</v>
      </c>
      <c r="E5017" s="3">
        <f>IFERROR(__xludf.DUMMYFUNCTION("""COMPUTED_VALUE"""),4.961)</f>
        <v>4.961</v>
      </c>
    </row>
    <row r="5018">
      <c r="D5018" s="6">
        <f>IFERROR(__xludf.DUMMYFUNCTION("""COMPUTED_VALUE"""),45266.99861111111)</f>
        <v>45266.99861</v>
      </c>
      <c r="E5018" s="3">
        <f>IFERROR(__xludf.DUMMYFUNCTION("""COMPUTED_VALUE"""),4.964)</f>
        <v>4.964</v>
      </c>
    </row>
    <row r="5019">
      <c r="D5019" s="6">
        <f>IFERROR(__xludf.DUMMYFUNCTION("""COMPUTED_VALUE"""),45267.99861111111)</f>
        <v>45267.99861</v>
      </c>
      <c r="E5019" s="3">
        <f>IFERROR(__xludf.DUMMYFUNCTION("""COMPUTED_VALUE"""),4.964)</f>
        <v>4.964</v>
      </c>
    </row>
    <row r="5020">
      <c r="D5020" s="6">
        <f>IFERROR(__xludf.DUMMYFUNCTION("""COMPUTED_VALUE"""),45268.99861111111)</f>
        <v>45268.99861</v>
      </c>
      <c r="E5020" s="3">
        <f>IFERROR(__xludf.DUMMYFUNCTION("""COMPUTED_VALUE"""),4.965)</f>
        <v>4.965</v>
      </c>
    </row>
    <row r="5021">
      <c r="D5021" s="6">
        <f>IFERROR(__xludf.DUMMYFUNCTION("""COMPUTED_VALUE"""),45270.99861111111)</f>
        <v>45270.99861</v>
      </c>
      <c r="E5021" s="3">
        <f>IFERROR(__xludf.DUMMYFUNCTION("""COMPUTED_VALUE"""),4.96688)</f>
        <v>4.96688</v>
      </c>
    </row>
    <row r="5022">
      <c r="D5022" s="6">
        <f>IFERROR(__xludf.DUMMYFUNCTION("""COMPUTED_VALUE"""),45271.99861111111)</f>
        <v>45271.99861</v>
      </c>
      <c r="E5022" s="3">
        <f>IFERROR(__xludf.DUMMYFUNCTION("""COMPUTED_VALUE"""),4.97097)</f>
        <v>4.97097</v>
      </c>
    </row>
    <row r="5023">
      <c r="D5023" s="6">
        <f>IFERROR(__xludf.DUMMYFUNCTION("""COMPUTED_VALUE"""),45272.99861111111)</f>
        <v>45272.99861</v>
      </c>
      <c r="E5023" s="3">
        <f>IFERROR(__xludf.DUMMYFUNCTION("""COMPUTED_VALUE"""),4.969)</f>
        <v>4.969</v>
      </c>
    </row>
    <row r="5024">
      <c r="D5024" s="6">
        <f>IFERROR(__xludf.DUMMYFUNCTION("""COMPUTED_VALUE"""),45273.99861111111)</f>
        <v>45273.99861</v>
      </c>
      <c r="E5024" s="3">
        <f>IFERROR(__xludf.DUMMYFUNCTION("""COMPUTED_VALUE"""),4.97243)</f>
        <v>4.97243</v>
      </c>
    </row>
    <row r="5025">
      <c r="D5025" s="6">
        <f>IFERROR(__xludf.DUMMYFUNCTION("""COMPUTED_VALUE"""),45274.99861111111)</f>
        <v>45274.99861</v>
      </c>
      <c r="E5025" s="3">
        <f>IFERROR(__xludf.DUMMYFUNCTION("""COMPUTED_VALUE"""),4.965)</f>
        <v>4.965</v>
      </c>
    </row>
    <row r="5026">
      <c r="D5026" s="6">
        <f>IFERROR(__xludf.DUMMYFUNCTION("""COMPUTED_VALUE"""),45275.99861111111)</f>
        <v>45275.99861</v>
      </c>
      <c r="E5026" s="3">
        <f>IFERROR(__xludf.DUMMYFUNCTION("""COMPUTED_VALUE"""),4.96922)</f>
        <v>4.96922</v>
      </c>
    </row>
    <row r="5027">
      <c r="D5027" s="6">
        <f>IFERROR(__xludf.DUMMYFUNCTION("""COMPUTED_VALUE"""),45276.99861111111)</f>
        <v>45276.99861</v>
      </c>
      <c r="E5027" s="3">
        <f>IFERROR(__xludf.DUMMYFUNCTION("""COMPUTED_VALUE"""),4.969)</f>
        <v>4.969</v>
      </c>
    </row>
    <row r="5028">
      <c r="D5028" s="6">
        <f>IFERROR(__xludf.DUMMYFUNCTION("""COMPUTED_VALUE"""),45277.99861111111)</f>
        <v>45277.99861</v>
      </c>
      <c r="E5028" s="3">
        <f>IFERROR(__xludf.DUMMYFUNCTION("""COMPUTED_VALUE"""),4.96922)</f>
        <v>4.96922</v>
      </c>
    </row>
    <row r="5029">
      <c r="D5029" s="6">
        <f>IFERROR(__xludf.DUMMYFUNCTION("""COMPUTED_VALUE"""),45278.99861111111)</f>
        <v>45278.99861</v>
      </c>
      <c r="E5029" s="3">
        <f>IFERROR(__xludf.DUMMYFUNCTION("""COMPUTED_VALUE"""),4.96934)</f>
        <v>4.96934</v>
      </c>
    </row>
    <row r="5030">
      <c r="D5030" s="6">
        <f>IFERROR(__xludf.DUMMYFUNCTION("""COMPUTED_VALUE"""),45279.99861111111)</f>
        <v>45279.99861</v>
      </c>
      <c r="E5030" s="3">
        <f>IFERROR(__xludf.DUMMYFUNCTION("""COMPUTED_VALUE"""),4.97)</f>
        <v>4.97</v>
      </c>
    </row>
    <row r="5031">
      <c r="D5031" s="6">
        <f>IFERROR(__xludf.DUMMYFUNCTION("""COMPUTED_VALUE"""),45280.99861111111)</f>
        <v>45280.99861</v>
      </c>
      <c r="E5031" s="3">
        <f>IFERROR(__xludf.DUMMYFUNCTION("""COMPUTED_VALUE"""),4.96709)</f>
        <v>4.96709</v>
      </c>
    </row>
    <row r="5032">
      <c r="D5032" s="6">
        <f>IFERROR(__xludf.DUMMYFUNCTION("""COMPUTED_VALUE"""),45281.99861111111)</f>
        <v>45281.99861</v>
      </c>
      <c r="E5032" s="3">
        <f>IFERROR(__xludf.DUMMYFUNCTION("""COMPUTED_VALUE"""),4.9694)</f>
        <v>4.9694</v>
      </c>
    </row>
    <row r="5033">
      <c r="D5033" s="6">
        <f>IFERROR(__xludf.DUMMYFUNCTION("""COMPUTED_VALUE"""),45282.99861111111)</f>
        <v>45282.99861</v>
      </c>
      <c r="E5033" s="3">
        <f>IFERROR(__xludf.DUMMYFUNCTION("""COMPUTED_VALUE"""),4.97028)</f>
        <v>4.97028</v>
      </c>
    </row>
    <row r="5034">
      <c r="D5034" s="6">
        <f>IFERROR(__xludf.DUMMYFUNCTION("""COMPUTED_VALUE"""),45284.99861111111)</f>
        <v>45284.99861</v>
      </c>
      <c r="E5034" s="3">
        <f>IFERROR(__xludf.DUMMYFUNCTION("""COMPUTED_VALUE"""),4.97028)</f>
        <v>4.97028</v>
      </c>
    </row>
    <row r="5035">
      <c r="D5035" s="6">
        <f>IFERROR(__xludf.DUMMYFUNCTION("""COMPUTED_VALUE"""),45285.99861111111)</f>
        <v>45285.99861</v>
      </c>
      <c r="E5035" s="3">
        <f>IFERROR(__xludf.DUMMYFUNCTION("""COMPUTED_VALUE"""),4.96795)</f>
        <v>4.96795</v>
      </c>
    </row>
    <row r="5036">
      <c r="D5036" s="6">
        <f>IFERROR(__xludf.DUMMYFUNCTION("""COMPUTED_VALUE"""),45286.99861111111)</f>
        <v>45286.99861</v>
      </c>
      <c r="E5036" s="3">
        <f>IFERROR(__xludf.DUMMYFUNCTION("""COMPUTED_VALUE"""),4.96845)</f>
        <v>4.96845</v>
      </c>
    </row>
    <row r="5037">
      <c r="D5037" s="6">
        <f>IFERROR(__xludf.DUMMYFUNCTION("""COMPUTED_VALUE"""),45287.99861111111)</f>
        <v>45287.99861</v>
      </c>
      <c r="E5037" s="3">
        <f>IFERROR(__xludf.DUMMYFUNCTION("""COMPUTED_VALUE"""),4.97517)</f>
        <v>4.97517</v>
      </c>
    </row>
    <row r="5038">
      <c r="D5038" s="6">
        <f>IFERROR(__xludf.DUMMYFUNCTION("""COMPUTED_VALUE"""),45288.99861111111)</f>
        <v>45288.99861</v>
      </c>
      <c r="E5038" s="3">
        <f>IFERROR(__xludf.DUMMYFUNCTION("""COMPUTED_VALUE"""),4.971)</f>
        <v>4.971</v>
      </c>
    </row>
    <row r="5039">
      <c r="D5039" s="6">
        <f>IFERROR(__xludf.DUMMYFUNCTION("""COMPUTED_VALUE"""),45289.99861111111)</f>
        <v>45289.99861</v>
      </c>
      <c r="E5039" s="3">
        <f>IFERROR(__xludf.DUMMYFUNCTION("""COMPUTED_VALUE"""),4.97479)</f>
        <v>4.97479</v>
      </c>
    </row>
    <row r="5040">
      <c r="D5040" s="6">
        <f>IFERROR(__xludf.DUMMYFUNCTION("""COMPUTED_VALUE"""),45291.99861111111)</f>
        <v>45291.99861</v>
      </c>
      <c r="E5040" s="3">
        <f>IFERROR(__xludf.DUMMYFUNCTION("""COMPUTED_VALUE"""),4.97479)</f>
        <v>4.97479</v>
      </c>
    </row>
    <row r="5041">
      <c r="D5041" s="6">
        <f>IFERROR(__xludf.DUMMYFUNCTION("""COMPUTED_VALUE"""),45292.99861111111)</f>
        <v>45292.99861</v>
      </c>
      <c r="E5041" s="3">
        <f>IFERROR(__xludf.DUMMYFUNCTION("""COMPUTED_VALUE"""),4.97479)</f>
        <v>4.97479</v>
      </c>
    </row>
    <row r="5042">
      <c r="D5042" s="6">
        <f>IFERROR(__xludf.DUMMYFUNCTION("""COMPUTED_VALUE"""),45293.99861111111)</f>
        <v>45293.99861</v>
      </c>
      <c r="E5042" s="3">
        <f>IFERROR(__xludf.DUMMYFUNCTION("""COMPUTED_VALUE"""),4.9677)</f>
        <v>4.9677</v>
      </c>
    </row>
    <row r="5043">
      <c r="D5043" s="6">
        <f>IFERROR(__xludf.DUMMYFUNCTION("""COMPUTED_VALUE"""),45294.99861111111)</f>
        <v>45294.99861</v>
      </c>
      <c r="E5043" s="3">
        <f>IFERROR(__xludf.DUMMYFUNCTION("""COMPUTED_VALUE"""),4.97162)</f>
        <v>4.97162</v>
      </c>
    </row>
    <row r="5044">
      <c r="D5044" s="6">
        <f>IFERROR(__xludf.DUMMYFUNCTION("""COMPUTED_VALUE"""),45295.99861111111)</f>
        <v>45295.99861</v>
      </c>
      <c r="E5044" s="3">
        <f>IFERROR(__xludf.DUMMYFUNCTION("""COMPUTED_VALUE"""),4.97367)</f>
        <v>4.97367</v>
      </c>
    </row>
    <row r="5045">
      <c r="D5045" s="6">
        <f>IFERROR(__xludf.DUMMYFUNCTION("""COMPUTED_VALUE"""),45296.99861111111)</f>
        <v>45296.99861</v>
      </c>
      <c r="E5045" s="3">
        <f>IFERROR(__xludf.DUMMYFUNCTION("""COMPUTED_VALUE"""),4.9695)</f>
        <v>4.9695</v>
      </c>
    </row>
    <row r="5046">
      <c r="D5046" s="6">
        <f>IFERROR(__xludf.DUMMYFUNCTION("""COMPUTED_VALUE"""),45298.99861111111)</f>
        <v>45298.99861</v>
      </c>
      <c r="E5046" s="3">
        <f>IFERROR(__xludf.DUMMYFUNCTION("""COMPUTED_VALUE"""),4.97307)</f>
        <v>4.97307</v>
      </c>
    </row>
    <row r="5047">
      <c r="D5047" s="6">
        <f>IFERROR(__xludf.DUMMYFUNCTION("""COMPUTED_VALUE"""),45299.99861111111)</f>
        <v>45299.99861</v>
      </c>
      <c r="E5047" s="3">
        <f>IFERROR(__xludf.DUMMYFUNCTION("""COMPUTED_VALUE"""),4.9695)</f>
        <v>4.9695</v>
      </c>
    </row>
    <row r="5048">
      <c r="D5048" s="6">
        <f>IFERROR(__xludf.DUMMYFUNCTION("""COMPUTED_VALUE"""),45300.99861111111)</f>
        <v>45300.99861</v>
      </c>
      <c r="E5048" s="3">
        <f>IFERROR(__xludf.DUMMYFUNCTION("""COMPUTED_VALUE"""),4.9716)</f>
        <v>4.9716</v>
      </c>
    </row>
    <row r="5049">
      <c r="D5049" s="6">
        <f>IFERROR(__xludf.DUMMYFUNCTION("""COMPUTED_VALUE"""),45301.99861111111)</f>
        <v>45301.99861</v>
      </c>
      <c r="E5049" s="3">
        <f>IFERROR(__xludf.DUMMYFUNCTION("""COMPUTED_VALUE"""),4.97159)</f>
        <v>4.97159</v>
      </c>
    </row>
    <row r="5050">
      <c r="D5050" s="6">
        <f>IFERROR(__xludf.DUMMYFUNCTION("""COMPUTED_VALUE"""),45302.99861111111)</f>
        <v>45302.99861</v>
      </c>
      <c r="E5050" s="3">
        <f>IFERROR(__xludf.DUMMYFUNCTION("""COMPUTED_VALUE"""),4.97)</f>
        <v>4.97</v>
      </c>
    </row>
    <row r="5051">
      <c r="D5051" s="6">
        <f>IFERROR(__xludf.DUMMYFUNCTION("""COMPUTED_VALUE"""),45303.99861111111)</f>
        <v>45303.99861</v>
      </c>
      <c r="E5051" s="3">
        <f>IFERROR(__xludf.DUMMYFUNCTION("""COMPUTED_VALUE"""),4.905)</f>
        <v>4.905</v>
      </c>
    </row>
    <row r="5052">
      <c r="D5052" s="6">
        <f>IFERROR(__xludf.DUMMYFUNCTION("""COMPUTED_VALUE"""),45305.99861111111)</f>
        <v>45305.99861</v>
      </c>
      <c r="E5052" s="3">
        <f>IFERROR(__xludf.DUMMYFUNCTION("""COMPUTED_VALUE"""),4.97263)</f>
        <v>4.97263</v>
      </c>
    </row>
    <row r="5053">
      <c r="D5053" s="6">
        <f>IFERROR(__xludf.DUMMYFUNCTION("""COMPUTED_VALUE"""),45306.99861111111)</f>
        <v>45306.99861</v>
      </c>
      <c r="E5053" s="3">
        <f>IFERROR(__xludf.DUMMYFUNCTION("""COMPUTED_VALUE"""),4.97279)</f>
        <v>4.97279</v>
      </c>
    </row>
    <row r="5054">
      <c r="D5054" s="6">
        <f>IFERROR(__xludf.DUMMYFUNCTION("""COMPUTED_VALUE"""),45307.99861111111)</f>
        <v>45307.99861</v>
      </c>
      <c r="E5054" s="3">
        <f>IFERROR(__xludf.DUMMYFUNCTION("""COMPUTED_VALUE"""),4.9758)</f>
        <v>4.9758</v>
      </c>
    </row>
    <row r="5055">
      <c r="D5055" s="6">
        <f>IFERROR(__xludf.DUMMYFUNCTION("""COMPUTED_VALUE"""),45308.99861111111)</f>
        <v>45308.99861</v>
      </c>
      <c r="E5055" s="3">
        <f>IFERROR(__xludf.DUMMYFUNCTION("""COMPUTED_VALUE"""),4.9754)</f>
        <v>4.9754</v>
      </c>
    </row>
    <row r="5056">
      <c r="D5056" s="6">
        <f>IFERROR(__xludf.DUMMYFUNCTION("""COMPUTED_VALUE"""),45309.99861111111)</f>
        <v>45309.99861</v>
      </c>
      <c r="E5056" s="3">
        <f>IFERROR(__xludf.DUMMYFUNCTION("""COMPUTED_VALUE"""),4.97603)</f>
        <v>4.97603</v>
      </c>
    </row>
    <row r="5057">
      <c r="D5057" s="6">
        <f>IFERROR(__xludf.DUMMYFUNCTION("""COMPUTED_VALUE"""),45310.99861111111)</f>
        <v>45310.99861</v>
      </c>
      <c r="E5057" s="3">
        <f>IFERROR(__xludf.DUMMYFUNCTION("""COMPUTED_VALUE"""),4.9755)</f>
        <v>4.9755</v>
      </c>
    </row>
    <row r="5058">
      <c r="D5058" s="6">
        <f>IFERROR(__xludf.DUMMYFUNCTION("""COMPUTED_VALUE"""),45312.99861111111)</f>
        <v>45312.99861</v>
      </c>
      <c r="E5058" s="3">
        <f>IFERROR(__xludf.DUMMYFUNCTION("""COMPUTED_VALUE"""),4.9755)</f>
        <v>4.9755</v>
      </c>
    </row>
    <row r="5059">
      <c r="D5059" s="6">
        <f>IFERROR(__xludf.DUMMYFUNCTION("""COMPUTED_VALUE"""),45313.99861111111)</f>
        <v>45313.99861</v>
      </c>
      <c r="E5059" s="3">
        <f>IFERROR(__xludf.DUMMYFUNCTION("""COMPUTED_VALUE"""),4.97677)</f>
        <v>4.97677</v>
      </c>
    </row>
    <row r="5060">
      <c r="D5060" s="6">
        <f>IFERROR(__xludf.DUMMYFUNCTION("""COMPUTED_VALUE"""),45314.99861111111)</f>
        <v>45314.99861</v>
      </c>
      <c r="E5060" s="3">
        <f>IFERROR(__xludf.DUMMYFUNCTION("""COMPUTED_VALUE"""),4.9765)</f>
        <v>4.9765</v>
      </c>
    </row>
    <row r="5061">
      <c r="D5061" s="6">
        <f>IFERROR(__xludf.DUMMYFUNCTION("""COMPUTED_VALUE"""),45315.99861111111)</f>
        <v>45315.99861</v>
      </c>
      <c r="E5061" s="3">
        <f>IFERROR(__xludf.DUMMYFUNCTION("""COMPUTED_VALUE"""),4.97695)</f>
        <v>4.97695</v>
      </c>
    </row>
    <row r="5062">
      <c r="D5062" s="6">
        <f>IFERROR(__xludf.DUMMYFUNCTION("""COMPUTED_VALUE"""),45316.99861111111)</f>
        <v>45316.99861</v>
      </c>
      <c r="E5062" s="3">
        <f>IFERROR(__xludf.DUMMYFUNCTION("""COMPUTED_VALUE"""),4.9762)</f>
        <v>4.9762</v>
      </c>
    </row>
    <row r="5063">
      <c r="D5063" s="6">
        <f>IFERROR(__xludf.DUMMYFUNCTION("""COMPUTED_VALUE"""),45317.99861111111)</f>
        <v>45317.99861</v>
      </c>
      <c r="E5063" s="3">
        <f>IFERROR(__xludf.DUMMYFUNCTION("""COMPUTED_VALUE"""),4.975)</f>
        <v>4.975</v>
      </c>
    </row>
    <row r="5064">
      <c r="D5064" s="6">
        <f>IFERROR(__xludf.DUMMYFUNCTION("""COMPUTED_VALUE"""),45319.99861111111)</f>
        <v>45319.99861</v>
      </c>
      <c r="E5064" s="3">
        <f>IFERROR(__xludf.DUMMYFUNCTION("""COMPUTED_VALUE"""),4.97642)</f>
        <v>4.97642</v>
      </c>
    </row>
    <row r="5065">
      <c r="D5065" s="6">
        <f>IFERROR(__xludf.DUMMYFUNCTION("""COMPUTED_VALUE"""),45320.99861111111)</f>
        <v>45320.99861</v>
      </c>
      <c r="E5065" s="3">
        <f>IFERROR(__xludf.DUMMYFUNCTION("""COMPUTED_VALUE"""),4.975)</f>
        <v>4.975</v>
      </c>
    </row>
    <row r="5066">
      <c r="D5066" s="6">
        <f>IFERROR(__xludf.DUMMYFUNCTION("""COMPUTED_VALUE"""),45321.99861111111)</f>
        <v>45321.99861</v>
      </c>
      <c r="E5066" s="3">
        <f>IFERROR(__xludf.DUMMYFUNCTION("""COMPUTED_VALUE"""),4.973)</f>
        <v>4.973</v>
      </c>
    </row>
    <row r="5067">
      <c r="D5067" s="6">
        <f>IFERROR(__xludf.DUMMYFUNCTION("""COMPUTED_VALUE"""),45322.99861111111)</f>
        <v>45322.99861</v>
      </c>
      <c r="E5067" s="3">
        <f>IFERROR(__xludf.DUMMYFUNCTION("""COMPUTED_VALUE"""),4.973)</f>
        <v>4.973</v>
      </c>
    </row>
    <row r="5068">
      <c r="D5068" s="6">
        <f>IFERROR(__xludf.DUMMYFUNCTION("""COMPUTED_VALUE"""),45323.99861111111)</f>
        <v>45323.99861</v>
      </c>
      <c r="E5068" s="3">
        <f>IFERROR(__xludf.DUMMYFUNCTION("""COMPUTED_VALUE"""),4.97)</f>
        <v>4.97</v>
      </c>
    </row>
    <row r="5069">
      <c r="D5069" s="6">
        <f>IFERROR(__xludf.DUMMYFUNCTION("""COMPUTED_VALUE"""),45324.99861111111)</f>
        <v>45324.99861</v>
      </c>
      <c r="E5069" s="3">
        <f>IFERROR(__xludf.DUMMYFUNCTION("""COMPUTED_VALUE"""),4.97312)</f>
        <v>4.97312</v>
      </c>
    </row>
    <row r="5070">
      <c r="D5070" s="6">
        <f>IFERROR(__xludf.DUMMYFUNCTION("""COMPUTED_VALUE"""),45326.99861111111)</f>
        <v>45326.99861</v>
      </c>
      <c r="E5070" s="3">
        <f>IFERROR(__xludf.DUMMYFUNCTION("""COMPUTED_VALUE"""),4.97312)</f>
        <v>4.97312</v>
      </c>
    </row>
    <row r="5071">
      <c r="D5071" s="6">
        <f>IFERROR(__xludf.DUMMYFUNCTION("""COMPUTED_VALUE"""),45327.99861111111)</f>
        <v>45327.99861</v>
      </c>
      <c r="E5071" s="3">
        <f>IFERROR(__xludf.DUMMYFUNCTION("""COMPUTED_VALUE"""),4.97388)</f>
        <v>4.97388</v>
      </c>
    </row>
    <row r="5072">
      <c r="D5072" s="6">
        <f>IFERROR(__xludf.DUMMYFUNCTION("""COMPUTED_VALUE"""),45328.99861111111)</f>
        <v>45328.99861</v>
      </c>
      <c r="E5072" s="3">
        <f>IFERROR(__xludf.DUMMYFUNCTION("""COMPUTED_VALUE"""),4.97609)</f>
        <v>4.97609</v>
      </c>
    </row>
    <row r="5073">
      <c r="D5073" s="6">
        <f>IFERROR(__xludf.DUMMYFUNCTION("""COMPUTED_VALUE"""),45329.99861111111)</f>
        <v>45329.99861</v>
      </c>
      <c r="E5073" s="3">
        <f>IFERROR(__xludf.DUMMYFUNCTION("""COMPUTED_VALUE"""),4.972)</f>
        <v>4.972</v>
      </c>
    </row>
    <row r="5074">
      <c r="D5074" s="6">
        <f>IFERROR(__xludf.DUMMYFUNCTION("""COMPUTED_VALUE"""),45330.99861111111)</f>
        <v>45330.99861</v>
      </c>
      <c r="E5074" s="3">
        <f>IFERROR(__xludf.DUMMYFUNCTION("""COMPUTED_VALUE"""),4.9735)</f>
        <v>4.9735</v>
      </c>
    </row>
    <row r="5075">
      <c r="D5075" s="6">
        <f>IFERROR(__xludf.DUMMYFUNCTION("""COMPUTED_VALUE"""),45331.99861111111)</f>
        <v>45331.99861</v>
      </c>
      <c r="E5075" s="3">
        <f>IFERROR(__xludf.DUMMYFUNCTION("""COMPUTED_VALUE"""),4.9767)</f>
        <v>4.9767</v>
      </c>
    </row>
    <row r="5076">
      <c r="D5076" s="6">
        <f>IFERROR(__xludf.DUMMYFUNCTION("""COMPUTED_VALUE"""),45332.99861111111)</f>
        <v>45332.99861</v>
      </c>
      <c r="E5076" s="3">
        <f>IFERROR(__xludf.DUMMYFUNCTION("""COMPUTED_VALUE"""),4.975)</f>
        <v>4.975</v>
      </c>
    </row>
    <row r="5077">
      <c r="D5077" s="6">
        <f>IFERROR(__xludf.DUMMYFUNCTION("""COMPUTED_VALUE"""),45333.99861111111)</f>
        <v>45333.99861</v>
      </c>
      <c r="E5077" s="3">
        <f>IFERROR(__xludf.DUMMYFUNCTION("""COMPUTED_VALUE"""),4.9767)</f>
        <v>4.9767</v>
      </c>
    </row>
    <row r="5078">
      <c r="D5078" s="6">
        <f>IFERROR(__xludf.DUMMYFUNCTION("""COMPUTED_VALUE"""),45334.99861111111)</f>
        <v>45334.99861</v>
      </c>
      <c r="E5078" s="3">
        <f>IFERROR(__xludf.DUMMYFUNCTION("""COMPUTED_VALUE"""),4.9756)</f>
        <v>4.9756</v>
      </c>
    </row>
    <row r="5079">
      <c r="D5079" s="6">
        <f>IFERROR(__xludf.DUMMYFUNCTION("""COMPUTED_VALUE"""),45335.99861111111)</f>
        <v>45335.99861</v>
      </c>
      <c r="E5079" s="3">
        <f>IFERROR(__xludf.DUMMYFUNCTION("""COMPUTED_VALUE"""),4.972)</f>
        <v>4.972</v>
      </c>
    </row>
    <row r="5080">
      <c r="D5080" s="6">
        <f>IFERROR(__xludf.DUMMYFUNCTION("""COMPUTED_VALUE"""),45336.99861111111)</f>
        <v>45336.99861</v>
      </c>
      <c r="E5080" s="3">
        <f>IFERROR(__xludf.DUMMYFUNCTION("""COMPUTED_VALUE"""),4.974)</f>
        <v>4.974</v>
      </c>
    </row>
    <row r="5081">
      <c r="D5081" s="6">
        <f>IFERROR(__xludf.DUMMYFUNCTION("""COMPUTED_VALUE"""),45337.99861111111)</f>
        <v>45337.99861</v>
      </c>
      <c r="E5081" s="3">
        <f>IFERROR(__xludf.DUMMYFUNCTION("""COMPUTED_VALUE"""),4.9765)</f>
        <v>4.9765</v>
      </c>
    </row>
    <row r="5082">
      <c r="D5082" s="6">
        <f>IFERROR(__xludf.DUMMYFUNCTION("""COMPUTED_VALUE"""),45338.99861111111)</f>
        <v>45338.99861</v>
      </c>
      <c r="E5082" s="3">
        <f>IFERROR(__xludf.DUMMYFUNCTION("""COMPUTED_VALUE"""),4.9735)</f>
        <v>4.9735</v>
      </c>
    </row>
    <row r="5083">
      <c r="D5083" s="6">
        <f>IFERROR(__xludf.DUMMYFUNCTION("""COMPUTED_VALUE"""),45340.99861111111)</f>
        <v>45340.99861</v>
      </c>
      <c r="E5083" s="3">
        <f>IFERROR(__xludf.DUMMYFUNCTION("""COMPUTED_VALUE"""),4.9766)</f>
        <v>4.9766</v>
      </c>
    </row>
    <row r="5084">
      <c r="D5084" s="6">
        <f>IFERROR(__xludf.DUMMYFUNCTION("""COMPUTED_VALUE"""),45341.99861111111)</f>
        <v>45341.99861</v>
      </c>
      <c r="E5084" s="3">
        <f>IFERROR(__xludf.DUMMYFUNCTION("""COMPUTED_VALUE"""),4.9767)</f>
        <v>4.9767</v>
      </c>
    </row>
    <row r="5085">
      <c r="D5085" s="6">
        <f>IFERROR(__xludf.DUMMYFUNCTION("""COMPUTED_VALUE"""),45342.99861111111)</f>
        <v>45342.99861</v>
      </c>
      <c r="E5085" s="3">
        <f>IFERROR(__xludf.DUMMYFUNCTION("""COMPUTED_VALUE"""),4.9762)</f>
        <v>4.9762</v>
      </c>
    </row>
    <row r="5086">
      <c r="D5086" s="6">
        <f>IFERROR(__xludf.DUMMYFUNCTION("""COMPUTED_VALUE"""),45343.99861111111)</f>
        <v>45343.99861</v>
      </c>
      <c r="E5086" s="3">
        <f>IFERROR(__xludf.DUMMYFUNCTION("""COMPUTED_VALUE"""),4.975)</f>
        <v>4.975</v>
      </c>
    </row>
    <row r="5087">
      <c r="D5087" s="6">
        <f>IFERROR(__xludf.DUMMYFUNCTION("""COMPUTED_VALUE"""),45344.99861111111)</f>
        <v>45344.99861</v>
      </c>
      <c r="E5087" s="3">
        <f>IFERROR(__xludf.DUMMYFUNCTION("""COMPUTED_VALUE"""),4.97)</f>
        <v>4.97</v>
      </c>
    </row>
    <row r="5088">
      <c r="D5088" s="6">
        <f>IFERROR(__xludf.DUMMYFUNCTION("""COMPUTED_VALUE"""),45345.99861111111)</f>
        <v>45345.99861</v>
      </c>
      <c r="E5088" s="3">
        <f>IFERROR(__xludf.DUMMYFUNCTION("""COMPUTED_VALUE"""),4.9747)</f>
        <v>4.9747</v>
      </c>
    </row>
    <row r="5089">
      <c r="D5089" s="6">
        <f>IFERROR(__xludf.DUMMYFUNCTION("""COMPUTED_VALUE"""),45347.99861111111)</f>
        <v>45347.99861</v>
      </c>
      <c r="E5089" s="3">
        <f>IFERROR(__xludf.DUMMYFUNCTION("""COMPUTED_VALUE"""),4.9747)</f>
        <v>4.9747</v>
      </c>
    </row>
    <row r="5090">
      <c r="D5090" s="6">
        <f>IFERROR(__xludf.DUMMYFUNCTION("""COMPUTED_VALUE"""),45348.99861111111)</f>
        <v>45348.99861</v>
      </c>
      <c r="E5090" s="3">
        <f>IFERROR(__xludf.DUMMYFUNCTION("""COMPUTED_VALUE"""),4.97)</f>
        <v>4.97</v>
      </c>
    </row>
    <row r="5091">
      <c r="D5091" s="6">
        <f>IFERROR(__xludf.DUMMYFUNCTION("""COMPUTED_VALUE"""),45349.99861111111)</f>
        <v>45349.99861</v>
      </c>
      <c r="E5091" s="3">
        <f>IFERROR(__xludf.DUMMYFUNCTION("""COMPUTED_VALUE"""),4.96671)</f>
        <v>4.96671</v>
      </c>
    </row>
    <row r="5092">
      <c r="D5092" s="6">
        <f>IFERROR(__xludf.DUMMYFUNCTION("""COMPUTED_VALUE"""),45350.99861111111)</f>
        <v>45350.99861</v>
      </c>
      <c r="E5092" s="3">
        <f>IFERROR(__xludf.DUMMYFUNCTION("""COMPUTED_VALUE"""),4.96722)</f>
        <v>4.96722</v>
      </c>
    </row>
    <row r="5093">
      <c r="D5093" s="6">
        <f>IFERROR(__xludf.DUMMYFUNCTION("""COMPUTED_VALUE"""),45351.99861111111)</f>
        <v>45351.99861</v>
      </c>
      <c r="E5093" s="3">
        <f>IFERROR(__xludf.DUMMYFUNCTION("""COMPUTED_VALUE"""),4.965)</f>
        <v>4.965</v>
      </c>
    </row>
    <row r="5094">
      <c r="D5094" s="6">
        <f>IFERROR(__xludf.DUMMYFUNCTION("""COMPUTED_VALUE"""),45352.99861111111)</f>
        <v>45352.99861</v>
      </c>
      <c r="E5094" s="3">
        <f>IFERROR(__xludf.DUMMYFUNCTION("""COMPUTED_VALUE"""),4.96747)</f>
        <v>4.96747</v>
      </c>
    </row>
    <row r="5095">
      <c r="D5095" s="6">
        <f>IFERROR(__xludf.DUMMYFUNCTION("""COMPUTED_VALUE"""),45354.99861111111)</f>
        <v>45354.99861</v>
      </c>
      <c r="E5095" s="3">
        <f>IFERROR(__xludf.DUMMYFUNCTION("""COMPUTED_VALUE"""),4.96747)</f>
        <v>4.96747</v>
      </c>
    </row>
    <row r="5096">
      <c r="D5096" s="6">
        <f>IFERROR(__xludf.DUMMYFUNCTION("""COMPUTED_VALUE"""),45355.99861111111)</f>
        <v>45355.99861</v>
      </c>
      <c r="E5096" s="3">
        <f>IFERROR(__xludf.DUMMYFUNCTION("""COMPUTED_VALUE"""),4.97145)</f>
        <v>4.97145</v>
      </c>
    </row>
    <row r="5097">
      <c r="D5097" s="6">
        <f>IFERROR(__xludf.DUMMYFUNCTION("""COMPUTED_VALUE"""),45356.99861111111)</f>
        <v>45356.99861</v>
      </c>
      <c r="E5097" s="3">
        <f>IFERROR(__xludf.DUMMYFUNCTION("""COMPUTED_VALUE"""),4.97153)</f>
        <v>4.97153</v>
      </c>
    </row>
    <row r="5098">
      <c r="D5098" s="6">
        <f>IFERROR(__xludf.DUMMYFUNCTION("""COMPUTED_VALUE"""),45357.99861111111)</f>
        <v>45357.99861</v>
      </c>
      <c r="E5098" s="3">
        <f>IFERROR(__xludf.DUMMYFUNCTION("""COMPUTED_VALUE"""),4.9704)</f>
        <v>4.9704</v>
      </c>
    </row>
    <row r="5099">
      <c r="D5099" s="6">
        <f>IFERROR(__xludf.DUMMYFUNCTION("""COMPUTED_VALUE"""),45358.99861111111)</f>
        <v>45358.99861</v>
      </c>
      <c r="E5099" s="3">
        <f>IFERROR(__xludf.DUMMYFUNCTION("""COMPUTED_VALUE"""),4.96957)</f>
        <v>4.96957</v>
      </c>
    </row>
    <row r="5100">
      <c r="D5100" s="6">
        <f>IFERROR(__xludf.DUMMYFUNCTION("""COMPUTED_VALUE"""),45359.99861111111)</f>
        <v>45359.99861</v>
      </c>
      <c r="E5100" s="3">
        <f>IFERROR(__xludf.DUMMYFUNCTION("""COMPUTED_VALUE"""),4.96642)</f>
        <v>4.96642</v>
      </c>
    </row>
    <row r="5101">
      <c r="D5101" s="6">
        <f>IFERROR(__xludf.DUMMYFUNCTION("""COMPUTED_VALUE"""),45361.99861111111)</f>
        <v>45361.99861</v>
      </c>
      <c r="E5101" s="3">
        <f>IFERROR(__xludf.DUMMYFUNCTION("""COMPUTED_VALUE"""),4.96642)</f>
        <v>4.96642</v>
      </c>
    </row>
    <row r="5102">
      <c r="D5102" s="6">
        <f>IFERROR(__xludf.DUMMYFUNCTION("""COMPUTED_VALUE"""),45362.99861111111)</f>
        <v>45362.99861</v>
      </c>
      <c r="E5102" s="3">
        <f>IFERROR(__xludf.DUMMYFUNCTION("""COMPUTED_VALUE"""),4.9625)</f>
        <v>4.9625</v>
      </c>
    </row>
    <row r="5103">
      <c r="D5103" s="6">
        <f>IFERROR(__xludf.DUMMYFUNCTION("""COMPUTED_VALUE"""),45363.99861111111)</f>
        <v>45363.99861</v>
      </c>
      <c r="E5103" s="3">
        <f>IFERROR(__xludf.DUMMYFUNCTION("""COMPUTED_VALUE"""),4.965)</f>
        <v>4.965</v>
      </c>
    </row>
    <row r="5104">
      <c r="D5104" s="6">
        <f>IFERROR(__xludf.DUMMYFUNCTION("""COMPUTED_VALUE"""),45364.99861111111)</f>
        <v>45364.99861</v>
      </c>
      <c r="E5104" s="3">
        <f>IFERROR(__xludf.DUMMYFUNCTION("""COMPUTED_VALUE"""),4.96883)</f>
        <v>4.96883</v>
      </c>
    </row>
    <row r="5105">
      <c r="D5105" s="6">
        <f>IFERROR(__xludf.DUMMYFUNCTION("""COMPUTED_VALUE"""),45365.99861111111)</f>
        <v>45365.99861</v>
      </c>
      <c r="E5105" s="3">
        <f>IFERROR(__xludf.DUMMYFUNCTION("""COMPUTED_VALUE"""),4.9707)</f>
        <v>4.9707</v>
      </c>
    </row>
    <row r="5106">
      <c r="D5106" s="6">
        <f>IFERROR(__xludf.DUMMYFUNCTION("""COMPUTED_VALUE"""),45366.99861111111)</f>
        <v>45366.99861</v>
      </c>
      <c r="E5106" s="3">
        <f>IFERROR(__xludf.DUMMYFUNCTION("""COMPUTED_VALUE"""),4.9683)</f>
        <v>4.9683</v>
      </c>
    </row>
    <row r="5107">
      <c r="D5107" s="6">
        <f>IFERROR(__xludf.DUMMYFUNCTION("""COMPUTED_VALUE"""),45368.99861111111)</f>
        <v>45368.99861</v>
      </c>
      <c r="E5107" s="3">
        <f>IFERROR(__xludf.DUMMYFUNCTION("""COMPUTED_VALUE"""),4.9709)</f>
        <v>4.9709</v>
      </c>
    </row>
    <row r="5108">
      <c r="D5108" s="6">
        <f>IFERROR(__xludf.DUMMYFUNCTION("""COMPUTED_VALUE"""),45369.99861111111)</f>
        <v>45369.99861</v>
      </c>
      <c r="E5108" s="3">
        <f>IFERROR(__xludf.DUMMYFUNCTION("""COMPUTED_VALUE"""),4.9683)</f>
        <v>4.9683</v>
      </c>
    </row>
    <row r="5109">
      <c r="D5109" s="6">
        <f>IFERROR(__xludf.DUMMYFUNCTION("""COMPUTED_VALUE"""),45370.99861111111)</f>
        <v>45370.99861</v>
      </c>
      <c r="E5109" s="3">
        <f>IFERROR(__xludf.DUMMYFUNCTION("""COMPUTED_VALUE"""),4.9736)</f>
        <v>4.9736</v>
      </c>
    </row>
    <row r="5110">
      <c r="D5110" s="6">
        <f>IFERROR(__xludf.DUMMYFUNCTION("""COMPUTED_VALUE"""),45371.99861111111)</f>
        <v>45371.99861</v>
      </c>
      <c r="E5110" s="3">
        <f>IFERROR(__xludf.DUMMYFUNCTION("""COMPUTED_VALUE"""),4.97208)</f>
        <v>4.97208</v>
      </c>
    </row>
    <row r="5111">
      <c r="D5111" s="6">
        <f>IFERROR(__xludf.DUMMYFUNCTION("""COMPUTED_VALUE"""),45372.99861111111)</f>
        <v>45372.99861</v>
      </c>
      <c r="E5111" s="3">
        <f>IFERROR(__xludf.DUMMYFUNCTION("""COMPUTED_VALUE"""),4.97248)</f>
        <v>4.97248</v>
      </c>
    </row>
    <row r="5112">
      <c r="D5112" s="6">
        <f>IFERROR(__xludf.DUMMYFUNCTION("""COMPUTED_VALUE"""),45373.99861111111)</f>
        <v>45373.99861</v>
      </c>
      <c r="E5112" s="3">
        <f>IFERROR(__xludf.DUMMYFUNCTION("""COMPUTED_VALUE"""),4.9674)</f>
        <v>4.9674</v>
      </c>
    </row>
    <row r="5113">
      <c r="D5113" s="6">
        <f>IFERROR(__xludf.DUMMYFUNCTION("""COMPUTED_VALUE"""),45375.99861111111)</f>
        <v>45375.99861</v>
      </c>
      <c r="E5113" s="3">
        <f>IFERROR(__xludf.DUMMYFUNCTION("""COMPUTED_VALUE"""),4.97156)</f>
        <v>4.97156</v>
      </c>
    </row>
    <row r="5114">
      <c r="D5114" s="6">
        <f>IFERROR(__xludf.DUMMYFUNCTION("""COMPUTED_VALUE"""),45376.99861111111)</f>
        <v>45376.99861</v>
      </c>
      <c r="E5114" s="3">
        <f>IFERROR(__xludf.DUMMYFUNCTION("""COMPUTED_VALUE"""),4.9674)</f>
        <v>4.9674</v>
      </c>
    </row>
    <row r="5115">
      <c r="D5115" s="6">
        <f>IFERROR(__xludf.DUMMYFUNCTION("""COMPUTED_VALUE"""),45377.99861111111)</f>
        <v>45377.99861</v>
      </c>
      <c r="E5115" s="3">
        <f>IFERROR(__xludf.DUMMYFUNCTION("""COMPUTED_VALUE"""),4.9684)</f>
        <v>4.9684</v>
      </c>
    </row>
    <row r="5116">
      <c r="D5116" s="6">
        <f>IFERROR(__xludf.DUMMYFUNCTION("""COMPUTED_VALUE"""),45378.99861111111)</f>
        <v>45378.99861</v>
      </c>
      <c r="E5116" s="3">
        <f>IFERROR(__xludf.DUMMYFUNCTION("""COMPUTED_VALUE"""),4.9718)</f>
        <v>4.9718</v>
      </c>
    </row>
    <row r="5117">
      <c r="D5117" s="6">
        <f>IFERROR(__xludf.DUMMYFUNCTION("""COMPUTED_VALUE"""),45379.99861111111)</f>
        <v>45379.99861</v>
      </c>
      <c r="E5117" s="3">
        <f>IFERROR(__xludf.DUMMYFUNCTION("""COMPUTED_VALUE"""),4.96977)</f>
        <v>4.96977</v>
      </c>
    </row>
    <row r="5118">
      <c r="D5118" s="6">
        <f>IFERROR(__xludf.DUMMYFUNCTION("""COMPUTED_VALUE"""),45380.99861111111)</f>
        <v>45380.99861</v>
      </c>
      <c r="E5118" s="3">
        <f>IFERROR(__xludf.DUMMYFUNCTION("""COMPUTED_VALUE"""),4.9669)</f>
        <v>4.9669</v>
      </c>
    </row>
    <row r="5119">
      <c r="D5119" s="6">
        <f>IFERROR(__xludf.DUMMYFUNCTION("""COMPUTED_VALUE"""),45382.99861111111)</f>
        <v>45382.99861</v>
      </c>
      <c r="E5119" s="3">
        <f>IFERROR(__xludf.DUMMYFUNCTION("""COMPUTED_VALUE"""),4.9669)</f>
        <v>4.9669</v>
      </c>
    </row>
    <row r="5120">
      <c r="D5120" s="6">
        <f>IFERROR(__xludf.DUMMYFUNCTION("""COMPUTED_VALUE"""),45383.99861111111)</f>
        <v>45383.99861</v>
      </c>
      <c r="E5120" s="3">
        <f>IFERROR(__xludf.DUMMYFUNCTION("""COMPUTED_VALUE"""),4.9692)</f>
        <v>4.9692</v>
      </c>
    </row>
    <row r="5121">
      <c r="D5121" s="6">
        <f>IFERROR(__xludf.DUMMYFUNCTION("""COMPUTED_VALUE"""),45384.99861111111)</f>
        <v>45384.99861</v>
      </c>
      <c r="E5121" s="3">
        <f>IFERROR(__xludf.DUMMYFUNCTION("""COMPUTED_VALUE"""),4.9692)</f>
        <v>4.9692</v>
      </c>
    </row>
    <row r="5122">
      <c r="D5122" s="6">
        <f>IFERROR(__xludf.DUMMYFUNCTION("""COMPUTED_VALUE"""),45385.99861111111)</f>
        <v>45385.99861</v>
      </c>
      <c r="E5122" s="3">
        <f>IFERROR(__xludf.DUMMYFUNCTION("""COMPUTED_VALUE"""),4.969)</f>
        <v>4.969</v>
      </c>
    </row>
    <row r="5123">
      <c r="D5123" s="6">
        <f>IFERROR(__xludf.DUMMYFUNCTION("""COMPUTED_VALUE"""),45386.99861111111)</f>
        <v>45386.99861</v>
      </c>
      <c r="E5123" s="3">
        <f>IFERROR(__xludf.DUMMYFUNCTION("""COMPUTED_VALUE"""),4.96824)</f>
        <v>4.96824</v>
      </c>
    </row>
    <row r="5124">
      <c r="D5124" s="6">
        <f>IFERROR(__xludf.DUMMYFUNCTION("""COMPUTED_VALUE"""),45387.99861111111)</f>
        <v>45387.99861</v>
      </c>
      <c r="E5124" s="3">
        <f>IFERROR(__xludf.DUMMYFUNCTION("""COMPUTED_VALUE"""),4.967)</f>
        <v>4.967</v>
      </c>
    </row>
    <row r="5125">
      <c r="D5125" s="6">
        <f>IFERROR(__xludf.DUMMYFUNCTION("""COMPUTED_VALUE"""),45389.99861111111)</f>
        <v>45389.99861</v>
      </c>
      <c r="E5125" s="3">
        <f>IFERROR(__xludf.DUMMYFUNCTION("""COMPUTED_VALUE"""),4.967)</f>
        <v>4.967</v>
      </c>
    </row>
    <row r="5126">
      <c r="D5126" s="6">
        <f>IFERROR(__xludf.DUMMYFUNCTION("""COMPUTED_VALUE"""),45390.99861111111)</f>
        <v>45390.99861</v>
      </c>
      <c r="E5126" s="3">
        <f>IFERROR(__xludf.DUMMYFUNCTION("""COMPUTED_VALUE"""),4.96763)</f>
        <v>4.96763</v>
      </c>
    </row>
    <row r="5127">
      <c r="D5127" s="6">
        <f>IFERROR(__xludf.DUMMYFUNCTION("""COMPUTED_VALUE"""),45391.99861111111)</f>
        <v>45391.99861</v>
      </c>
      <c r="E5127" s="3">
        <f>IFERROR(__xludf.DUMMYFUNCTION("""COMPUTED_VALUE"""),4.964)</f>
        <v>4.964</v>
      </c>
    </row>
    <row r="5128">
      <c r="D5128" s="6">
        <f>IFERROR(__xludf.DUMMYFUNCTION("""COMPUTED_VALUE"""),45392.99861111111)</f>
        <v>45392.99861</v>
      </c>
      <c r="E5128" s="3">
        <f>IFERROR(__xludf.DUMMYFUNCTION("""COMPUTED_VALUE"""),4.96858)</f>
        <v>4.96858</v>
      </c>
    </row>
    <row r="5129">
      <c r="D5129" s="6">
        <f>IFERROR(__xludf.DUMMYFUNCTION("""COMPUTED_VALUE"""),45393.99861111111)</f>
        <v>45393.99861</v>
      </c>
      <c r="E5129" s="3">
        <f>IFERROR(__xludf.DUMMYFUNCTION("""COMPUTED_VALUE"""),4.97159)</f>
        <v>4.97159</v>
      </c>
    </row>
    <row r="5130">
      <c r="D5130" s="6">
        <f>IFERROR(__xludf.DUMMYFUNCTION("""COMPUTED_VALUE"""),45394.99861111111)</f>
        <v>45394.99861</v>
      </c>
      <c r="E5130" s="3">
        <f>IFERROR(__xludf.DUMMYFUNCTION("""COMPUTED_VALUE"""),4.9715)</f>
        <v>4.9715</v>
      </c>
    </row>
    <row r="5131">
      <c r="D5131" s="6">
        <f>IFERROR(__xludf.DUMMYFUNCTION("""COMPUTED_VALUE"""),45396.99861111111)</f>
        <v>45396.99861</v>
      </c>
      <c r="E5131" s="3">
        <f>IFERROR(__xludf.DUMMYFUNCTION("""COMPUTED_VALUE"""),4.9715)</f>
        <v>4.9715</v>
      </c>
    </row>
    <row r="5132">
      <c r="D5132" s="6">
        <f>IFERROR(__xludf.DUMMYFUNCTION("""COMPUTED_VALUE"""),45397.99861111111)</f>
        <v>45397.99861</v>
      </c>
      <c r="E5132" s="3">
        <f>IFERROR(__xludf.DUMMYFUNCTION("""COMPUTED_VALUE"""),4.9752)</f>
        <v>4.9752</v>
      </c>
    </row>
    <row r="5133">
      <c r="D5133" s="6">
        <f>IFERROR(__xludf.DUMMYFUNCTION("""COMPUTED_VALUE"""),45398.99861111111)</f>
        <v>45398.99861</v>
      </c>
      <c r="E5133" s="3">
        <f>IFERROR(__xludf.DUMMYFUNCTION("""COMPUTED_VALUE"""),4.97607)</f>
        <v>4.97607</v>
      </c>
    </row>
    <row r="5134">
      <c r="D5134" s="6">
        <f>IFERROR(__xludf.DUMMYFUNCTION("""COMPUTED_VALUE"""),45399.99861111111)</f>
        <v>45399.99861</v>
      </c>
      <c r="E5134" s="3">
        <f>IFERROR(__xludf.DUMMYFUNCTION("""COMPUTED_VALUE"""),4.9752)</f>
        <v>4.9752</v>
      </c>
    </row>
    <row r="5135">
      <c r="D5135" s="6">
        <f>IFERROR(__xludf.DUMMYFUNCTION("""COMPUTED_VALUE"""),45400.99861111111)</f>
        <v>45400.99861</v>
      </c>
      <c r="E5135" s="3">
        <f>IFERROR(__xludf.DUMMYFUNCTION("""COMPUTED_VALUE"""),4.97567)</f>
        <v>4.97567</v>
      </c>
    </row>
    <row r="5136">
      <c r="D5136" s="6">
        <f>IFERROR(__xludf.DUMMYFUNCTION("""COMPUTED_VALUE"""),45401.99861111111)</f>
        <v>45401.99861</v>
      </c>
      <c r="E5136" s="3">
        <f>IFERROR(__xludf.DUMMYFUNCTION("""COMPUTED_VALUE"""),4.972)</f>
        <v>4.972</v>
      </c>
    </row>
    <row r="5137">
      <c r="D5137" s="6">
        <f>IFERROR(__xludf.DUMMYFUNCTION("""COMPUTED_VALUE"""),45403.99861111111)</f>
        <v>45403.99861</v>
      </c>
      <c r="E5137" s="3">
        <f>IFERROR(__xludf.DUMMYFUNCTION("""COMPUTED_VALUE"""),4.976)</f>
        <v>4.976</v>
      </c>
    </row>
    <row r="5138">
      <c r="D5138" s="6">
        <f>IFERROR(__xludf.DUMMYFUNCTION("""COMPUTED_VALUE"""),45404.99861111111)</f>
        <v>45404.99861</v>
      </c>
      <c r="E5138" s="3">
        <f>IFERROR(__xludf.DUMMYFUNCTION("""COMPUTED_VALUE"""),4.972)</f>
        <v>4.972</v>
      </c>
    </row>
    <row r="5139">
      <c r="D5139" s="6">
        <f>IFERROR(__xludf.DUMMYFUNCTION("""COMPUTED_VALUE"""),45405.99861111111)</f>
        <v>45405.99861</v>
      </c>
      <c r="E5139" s="3">
        <f>IFERROR(__xludf.DUMMYFUNCTION("""COMPUTED_VALUE"""),4.97571)</f>
        <v>4.97571</v>
      </c>
    </row>
    <row r="5140">
      <c r="D5140" s="6">
        <f>IFERROR(__xludf.DUMMYFUNCTION("""COMPUTED_VALUE"""),45406.99861111111)</f>
        <v>45406.99861</v>
      </c>
      <c r="E5140" s="3">
        <f>IFERROR(__xludf.DUMMYFUNCTION("""COMPUTED_VALUE"""),4.97557)</f>
        <v>4.97557</v>
      </c>
    </row>
    <row r="5141">
      <c r="D5141" s="6">
        <f>IFERROR(__xludf.DUMMYFUNCTION("""COMPUTED_VALUE"""),45407.99861111111)</f>
        <v>45407.99861</v>
      </c>
      <c r="E5141" s="3">
        <f>IFERROR(__xludf.DUMMYFUNCTION("""COMPUTED_VALUE"""),4.976)</f>
        <v>4.976</v>
      </c>
    </row>
    <row r="5142">
      <c r="D5142" s="6">
        <f>IFERROR(__xludf.DUMMYFUNCTION("""COMPUTED_VALUE"""),45408.99861111111)</f>
        <v>45408.99861</v>
      </c>
      <c r="E5142" s="3">
        <f>IFERROR(__xludf.DUMMYFUNCTION("""COMPUTED_VALUE"""),4.9764)</f>
        <v>4.9764</v>
      </c>
    </row>
    <row r="5143">
      <c r="D5143" s="6">
        <f>IFERROR(__xludf.DUMMYFUNCTION("""COMPUTED_VALUE"""),45410.99861111111)</f>
        <v>45410.99861</v>
      </c>
      <c r="E5143" s="3">
        <f>IFERROR(__xludf.DUMMYFUNCTION("""COMPUTED_VALUE"""),4.9764)</f>
        <v>4.9764</v>
      </c>
    </row>
    <row r="5144">
      <c r="D5144" s="6">
        <f>IFERROR(__xludf.DUMMYFUNCTION("""COMPUTED_VALUE"""),45411.99861111111)</f>
        <v>45411.99861</v>
      </c>
      <c r="E5144" s="3">
        <f>IFERROR(__xludf.DUMMYFUNCTION("""COMPUTED_VALUE"""),4.97552)</f>
        <v>4.97552</v>
      </c>
    </row>
    <row r="5145">
      <c r="D5145" s="6">
        <f>IFERROR(__xludf.DUMMYFUNCTION("""COMPUTED_VALUE"""),45412.99861111111)</f>
        <v>45412.99861</v>
      </c>
      <c r="E5145" s="3">
        <f>IFERROR(__xludf.DUMMYFUNCTION("""COMPUTED_VALUE"""),4.9761)</f>
        <v>4.9761</v>
      </c>
    </row>
    <row r="5146">
      <c r="D5146" s="6">
        <f>IFERROR(__xludf.DUMMYFUNCTION("""COMPUTED_VALUE"""),45413.99861111111)</f>
        <v>45413.99861</v>
      </c>
      <c r="E5146" s="3">
        <f>IFERROR(__xludf.DUMMYFUNCTION("""COMPUTED_VALUE"""),4.97625)</f>
        <v>4.97625</v>
      </c>
    </row>
    <row r="5147">
      <c r="D5147" s="6">
        <f>IFERROR(__xludf.DUMMYFUNCTION("""COMPUTED_VALUE"""),45414.99861111111)</f>
        <v>45414.99861</v>
      </c>
      <c r="E5147" s="3">
        <f>IFERROR(__xludf.DUMMYFUNCTION("""COMPUTED_VALUE"""),4.97588)</f>
        <v>4.97588</v>
      </c>
    </row>
    <row r="5148">
      <c r="D5148" s="6">
        <f>IFERROR(__xludf.DUMMYFUNCTION("""COMPUTED_VALUE"""),45415.99861111111)</f>
        <v>45415.99861</v>
      </c>
      <c r="E5148" s="3">
        <f>IFERROR(__xludf.DUMMYFUNCTION("""COMPUTED_VALUE"""),4.9748)</f>
        <v>4.9748</v>
      </c>
    </row>
    <row r="5149">
      <c r="D5149" s="6">
        <f>IFERROR(__xludf.DUMMYFUNCTION("""COMPUTED_VALUE"""),45417.99861111111)</f>
        <v>45417.99861</v>
      </c>
      <c r="E5149" s="3">
        <f>IFERROR(__xludf.DUMMYFUNCTION("""COMPUTED_VALUE"""),4.9748)</f>
        <v>4.9748</v>
      </c>
    </row>
    <row r="5150">
      <c r="D5150" s="6">
        <f>IFERROR(__xludf.DUMMYFUNCTION("""COMPUTED_VALUE"""),45418.99861111111)</f>
        <v>45418.99861</v>
      </c>
      <c r="E5150" s="3">
        <f>IFERROR(__xludf.DUMMYFUNCTION("""COMPUTED_VALUE"""),4.97121)</f>
        <v>4.97121</v>
      </c>
    </row>
    <row r="5151">
      <c r="D5151" s="6">
        <f>IFERROR(__xludf.DUMMYFUNCTION("""COMPUTED_VALUE"""),45419.99861111111)</f>
        <v>45419.99861</v>
      </c>
      <c r="E5151" s="3">
        <f>IFERROR(__xludf.DUMMYFUNCTION("""COMPUTED_VALUE"""),4.97558)</f>
        <v>4.97558</v>
      </c>
    </row>
    <row r="5152">
      <c r="D5152" s="6">
        <f>IFERROR(__xludf.DUMMYFUNCTION("""COMPUTED_VALUE"""),45420.99861111111)</f>
        <v>45420.99861</v>
      </c>
      <c r="E5152" s="3">
        <f>IFERROR(__xludf.DUMMYFUNCTION("""COMPUTED_VALUE"""),4.972)</f>
        <v>4.972</v>
      </c>
    </row>
    <row r="5153">
      <c r="D5153" s="6">
        <f>IFERROR(__xludf.DUMMYFUNCTION("""COMPUTED_VALUE"""),45421.99861111111)</f>
        <v>45421.99861</v>
      </c>
      <c r="E5153" s="3">
        <f>IFERROR(__xludf.DUMMYFUNCTION("""COMPUTED_VALUE"""),4.97483)</f>
        <v>4.97483</v>
      </c>
    </row>
    <row r="5154">
      <c r="D5154" s="6">
        <f>IFERROR(__xludf.DUMMYFUNCTION("""COMPUTED_VALUE"""),45422.99861111111)</f>
        <v>45422.99861</v>
      </c>
      <c r="E5154" s="3">
        <f>IFERROR(__xludf.DUMMYFUNCTION("""COMPUTED_VALUE"""),4.97692)</f>
        <v>4.97692</v>
      </c>
    </row>
    <row r="5155">
      <c r="D5155" s="6">
        <f>IFERROR(__xludf.DUMMYFUNCTION("""COMPUTED_VALUE"""),45424.99861111111)</f>
        <v>45424.99861</v>
      </c>
      <c r="E5155" s="3">
        <f>IFERROR(__xludf.DUMMYFUNCTION("""COMPUTED_VALUE"""),4.97692)</f>
        <v>4.97692</v>
      </c>
    </row>
    <row r="5156">
      <c r="D5156" s="6">
        <f>IFERROR(__xludf.DUMMYFUNCTION("""COMPUTED_VALUE"""),45425.99861111111)</f>
        <v>45425.99861</v>
      </c>
      <c r="E5156" s="3">
        <f>IFERROR(__xludf.DUMMYFUNCTION("""COMPUTED_VALUE"""),4.972)</f>
        <v>4.972</v>
      </c>
    </row>
    <row r="5157">
      <c r="D5157" s="6">
        <f>IFERROR(__xludf.DUMMYFUNCTION("""COMPUTED_VALUE"""),45426.99861111111)</f>
        <v>45426.99861</v>
      </c>
      <c r="E5157" s="3">
        <f>IFERROR(__xludf.DUMMYFUNCTION("""COMPUTED_VALUE"""),4.97577)</f>
        <v>4.97577</v>
      </c>
    </row>
    <row r="5158">
      <c r="D5158" s="6">
        <f>IFERROR(__xludf.DUMMYFUNCTION("""COMPUTED_VALUE"""),45427.99861111111)</f>
        <v>45427.99861</v>
      </c>
      <c r="E5158" s="3">
        <f>IFERROR(__xludf.DUMMYFUNCTION("""COMPUTED_VALUE"""),4.9741)</f>
        <v>4.9741</v>
      </c>
    </row>
    <row r="5159">
      <c r="D5159" s="6">
        <f>IFERROR(__xludf.DUMMYFUNCTION("""COMPUTED_VALUE"""),45428.99861111111)</f>
        <v>45428.99861</v>
      </c>
      <c r="E5159" s="3">
        <f>IFERROR(__xludf.DUMMYFUNCTION("""COMPUTED_VALUE"""),4.973)</f>
        <v>4.973</v>
      </c>
    </row>
    <row r="5160">
      <c r="D5160" s="6">
        <f>IFERROR(__xludf.DUMMYFUNCTION("""COMPUTED_VALUE"""),45429.99861111111)</f>
        <v>45429.99861</v>
      </c>
      <c r="E5160" s="3">
        <f>IFERROR(__xludf.DUMMYFUNCTION("""COMPUTED_VALUE"""),4.9744)</f>
        <v>4.9744</v>
      </c>
    </row>
    <row r="5161">
      <c r="D5161" s="6">
        <f>IFERROR(__xludf.DUMMYFUNCTION("""COMPUTED_VALUE"""),45431.99861111111)</f>
        <v>45431.99861</v>
      </c>
      <c r="E5161" s="3">
        <f>IFERROR(__xludf.DUMMYFUNCTION("""COMPUTED_VALUE"""),4.9744)</f>
        <v>4.9744</v>
      </c>
    </row>
    <row r="5162">
      <c r="D5162" s="6">
        <f>IFERROR(__xludf.DUMMYFUNCTION("""COMPUTED_VALUE"""),45432.99861111111)</f>
        <v>45432.99861</v>
      </c>
      <c r="E5162" s="3">
        <f>IFERROR(__xludf.DUMMYFUNCTION("""COMPUTED_VALUE"""),4.97419)</f>
        <v>4.97419</v>
      </c>
    </row>
    <row r="5163">
      <c r="D5163" s="6">
        <f>IFERROR(__xludf.DUMMYFUNCTION("""COMPUTED_VALUE"""),45433.99861111111)</f>
        <v>45433.99861</v>
      </c>
      <c r="E5163" s="3">
        <f>IFERROR(__xludf.DUMMYFUNCTION("""COMPUTED_VALUE"""),4.9705)</f>
        <v>4.9705</v>
      </c>
    </row>
    <row r="5164">
      <c r="D5164" s="6">
        <f>IFERROR(__xludf.DUMMYFUNCTION("""COMPUTED_VALUE"""),45434.99861111111)</f>
        <v>45434.99861</v>
      </c>
      <c r="E5164" s="3">
        <f>IFERROR(__xludf.DUMMYFUNCTION("""COMPUTED_VALUE"""),4.9705)</f>
        <v>4.9705</v>
      </c>
    </row>
    <row r="5165">
      <c r="D5165" s="6">
        <f>IFERROR(__xludf.DUMMYFUNCTION("""COMPUTED_VALUE"""),45435.99861111111)</f>
        <v>45435.99861</v>
      </c>
      <c r="E5165" s="3">
        <f>IFERROR(__xludf.DUMMYFUNCTION("""COMPUTED_VALUE"""),4.972)</f>
        <v>4.972</v>
      </c>
    </row>
    <row r="5166">
      <c r="D5166" s="6">
        <f>IFERROR(__xludf.DUMMYFUNCTION("""COMPUTED_VALUE"""),45436.99861111111)</f>
        <v>45436.99861</v>
      </c>
      <c r="E5166" s="3">
        <f>IFERROR(__xludf.DUMMYFUNCTION("""COMPUTED_VALUE"""),4.97549)</f>
        <v>4.97549</v>
      </c>
    </row>
    <row r="5167">
      <c r="D5167" s="6">
        <f>IFERROR(__xludf.DUMMYFUNCTION("""COMPUTED_VALUE"""),45438.99861111111)</f>
        <v>45438.99861</v>
      </c>
      <c r="E5167" s="3">
        <f>IFERROR(__xludf.DUMMYFUNCTION("""COMPUTED_VALUE"""),4.97549)</f>
        <v>4.97549</v>
      </c>
    </row>
    <row r="5168">
      <c r="D5168" s="6">
        <f>IFERROR(__xludf.DUMMYFUNCTION("""COMPUTED_VALUE"""),45439.99861111111)</f>
        <v>45439.99861</v>
      </c>
      <c r="E5168" s="3">
        <f>IFERROR(__xludf.DUMMYFUNCTION("""COMPUTED_VALUE"""),4.97549)</f>
        <v>4.97549</v>
      </c>
    </row>
    <row r="5169">
      <c r="D5169" s="6">
        <f>IFERROR(__xludf.DUMMYFUNCTION("""COMPUTED_VALUE"""),45440.99861111111)</f>
        <v>45440.99861</v>
      </c>
      <c r="E5169" s="3">
        <f>IFERROR(__xludf.DUMMYFUNCTION("""COMPUTED_VALUE"""),4.975)</f>
        <v>4.975</v>
      </c>
    </row>
    <row r="5170">
      <c r="D5170" s="6">
        <f>IFERROR(__xludf.DUMMYFUNCTION("""COMPUTED_VALUE"""),45441.99861111111)</f>
        <v>45441.99861</v>
      </c>
      <c r="E5170" s="3">
        <f>IFERROR(__xludf.DUMMYFUNCTION("""COMPUTED_VALUE"""),4.9768)</f>
        <v>4.9768</v>
      </c>
    </row>
    <row r="5171">
      <c r="D5171" s="6">
        <f>IFERROR(__xludf.DUMMYFUNCTION("""COMPUTED_VALUE"""),45442.99861111111)</f>
        <v>45442.99861</v>
      </c>
      <c r="E5171" s="3">
        <f>IFERROR(__xludf.DUMMYFUNCTION("""COMPUTED_VALUE"""),4.976)</f>
        <v>4.976</v>
      </c>
    </row>
    <row r="5172">
      <c r="D5172" s="6">
        <f>IFERROR(__xludf.DUMMYFUNCTION("""COMPUTED_VALUE"""),45443.99861111111)</f>
        <v>45443.99861</v>
      </c>
      <c r="E5172" s="3">
        <f>IFERROR(__xludf.DUMMYFUNCTION("""COMPUTED_VALUE"""),4.976)</f>
        <v>4.976</v>
      </c>
    </row>
    <row r="5173">
      <c r="D5173" s="6">
        <f>IFERROR(__xludf.DUMMYFUNCTION("""COMPUTED_VALUE"""),45445.99861111111)</f>
        <v>45445.99861</v>
      </c>
      <c r="E5173" s="3">
        <f>IFERROR(__xludf.DUMMYFUNCTION("""COMPUTED_VALUE"""),4.976)</f>
        <v>4.976</v>
      </c>
    </row>
    <row r="5174">
      <c r="D5174" s="6">
        <f>IFERROR(__xludf.DUMMYFUNCTION("""COMPUTED_VALUE"""),45446.99861111111)</f>
        <v>45446.99861</v>
      </c>
      <c r="E5174" s="3">
        <f>IFERROR(__xludf.DUMMYFUNCTION("""COMPUTED_VALUE"""),4.9752)</f>
        <v>4.9752</v>
      </c>
    </row>
    <row r="5175">
      <c r="D5175" s="6">
        <f>IFERROR(__xludf.DUMMYFUNCTION("""COMPUTED_VALUE"""),45447.99861111111)</f>
        <v>45447.99861</v>
      </c>
      <c r="E5175" s="3">
        <f>IFERROR(__xludf.DUMMYFUNCTION("""COMPUTED_VALUE"""),4.97402)</f>
        <v>4.97402</v>
      </c>
    </row>
    <row r="5176">
      <c r="D5176" s="6">
        <f>IFERROR(__xludf.DUMMYFUNCTION("""COMPUTED_VALUE"""),45448.99861111111)</f>
        <v>45448.99861</v>
      </c>
      <c r="E5176" s="3">
        <f>IFERROR(__xludf.DUMMYFUNCTION("""COMPUTED_VALUE"""),4.97587)</f>
        <v>4.97587</v>
      </c>
    </row>
    <row r="5177">
      <c r="D5177" s="6">
        <f>IFERROR(__xludf.DUMMYFUNCTION("""COMPUTED_VALUE"""),45449.99861111111)</f>
        <v>45449.99861</v>
      </c>
      <c r="E5177" s="3">
        <f>IFERROR(__xludf.DUMMYFUNCTION("""COMPUTED_VALUE"""),4.9762)</f>
        <v>4.9762</v>
      </c>
    </row>
    <row r="5178">
      <c r="D5178" s="6">
        <f>IFERROR(__xludf.DUMMYFUNCTION("""COMPUTED_VALUE"""),45450.99861111111)</f>
        <v>45450.99861</v>
      </c>
      <c r="E5178" s="3">
        <f>IFERROR(__xludf.DUMMYFUNCTION("""COMPUTED_VALUE"""),4.97584)</f>
        <v>4.97584</v>
      </c>
    </row>
    <row r="5179">
      <c r="D5179" s="6">
        <f>IFERROR(__xludf.DUMMYFUNCTION("""COMPUTED_VALUE"""),45452.99861111111)</f>
        <v>45452.99861</v>
      </c>
      <c r="E5179" s="3">
        <f>IFERROR(__xludf.DUMMYFUNCTION("""COMPUTED_VALUE"""),4.97584)</f>
        <v>4.97584</v>
      </c>
    </row>
    <row r="5180">
      <c r="D5180" s="6">
        <f>IFERROR(__xludf.DUMMYFUNCTION("""COMPUTED_VALUE"""),45453.99861111111)</f>
        <v>45453.99861</v>
      </c>
      <c r="E5180" s="3">
        <f>IFERROR(__xludf.DUMMYFUNCTION("""COMPUTED_VALUE"""),4.973)</f>
        <v>4.973</v>
      </c>
    </row>
    <row r="5181">
      <c r="D5181" s="6">
        <f>IFERROR(__xludf.DUMMYFUNCTION("""COMPUTED_VALUE"""),45454.99861111111)</f>
        <v>45454.99861</v>
      </c>
      <c r="E5181" s="3">
        <f>IFERROR(__xludf.DUMMYFUNCTION("""COMPUTED_VALUE"""),4.973)</f>
        <v>4.973</v>
      </c>
    </row>
    <row r="5182">
      <c r="D5182" s="6">
        <f>IFERROR(__xludf.DUMMYFUNCTION("""COMPUTED_VALUE"""),45455.99861111111)</f>
        <v>45455.99861</v>
      </c>
      <c r="E5182" s="3">
        <f>IFERROR(__xludf.DUMMYFUNCTION("""COMPUTED_VALUE"""),4.9767)</f>
        <v>4.9767</v>
      </c>
    </row>
    <row r="5183">
      <c r="D5183" s="6">
        <f>IFERROR(__xludf.DUMMYFUNCTION("""COMPUTED_VALUE"""),45456.99861111111)</f>
        <v>45456.99861</v>
      </c>
      <c r="E5183" s="3">
        <f>IFERROR(__xludf.DUMMYFUNCTION("""COMPUTED_VALUE"""),4.9769)</f>
        <v>4.9769</v>
      </c>
    </row>
    <row r="5184">
      <c r="D5184" s="6">
        <f>IFERROR(__xludf.DUMMYFUNCTION("""COMPUTED_VALUE"""),45457.99861111111)</f>
        <v>45457.99861</v>
      </c>
      <c r="E5184" s="3">
        <f>IFERROR(__xludf.DUMMYFUNCTION("""COMPUTED_VALUE"""),4.9758)</f>
        <v>4.9758</v>
      </c>
    </row>
    <row r="5185">
      <c r="D5185" s="6">
        <f>IFERROR(__xludf.DUMMYFUNCTION("""COMPUTED_VALUE"""),45459.99861111111)</f>
        <v>45459.99861</v>
      </c>
      <c r="E5185" s="3">
        <f>IFERROR(__xludf.DUMMYFUNCTION("""COMPUTED_VALUE"""),4.9758)</f>
        <v>4.9758</v>
      </c>
    </row>
    <row r="5186">
      <c r="D5186" s="6">
        <f>IFERROR(__xludf.DUMMYFUNCTION("""COMPUTED_VALUE"""),45460.99861111111)</f>
        <v>45460.99861</v>
      </c>
      <c r="E5186" s="3">
        <f>IFERROR(__xludf.DUMMYFUNCTION("""COMPUTED_VALUE"""),4.9761)</f>
        <v>4.9761</v>
      </c>
    </row>
    <row r="5187">
      <c r="D5187" s="6">
        <f>IFERROR(__xludf.DUMMYFUNCTION("""COMPUTED_VALUE"""),45461.99861111111)</f>
        <v>45461.99861</v>
      </c>
      <c r="E5187" s="3">
        <f>IFERROR(__xludf.DUMMYFUNCTION("""COMPUTED_VALUE"""),4.97555)</f>
        <v>4.97555</v>
      </c>
    </row>
    <row r="5188">
      <c r="D5188" s="6">
        <f>IFERROR(__xludf.DUMMYFUNCTION("""COMPUTED_VALUE"""),45462.99861111111)</f>
        <v>45462.99861</v>
      </c>
      <c r="E5188" s="3">
        <f>IFERROR(__xludf.DUMMYFUNCTION("""COMPUTED_VALUE"""),4.97)</f>
        <v>4.97</v>
      </c>
    </row>
    <row r="5189">
      <c r="D5189" s="6">
        <f>IFERROR(__xludf.DUMMYFUNCTION("""COMPUTED_VALUE"""),45463.99861111111)</f>
        <v>45463.99861</v>
      </c>
      <c r="E5189" s="3">
        <f>IFERROR(__xludf.DUMMYFUNCTION("""COMPUTED_VALUE"""),4.9763)</f>
        <v>4.9763</v>
      </c>
    </row>
    <row r="5190">
      <c r="D5190" s="6">
        <f>IFERROR(__xludf.DUMMYFUNCTION("""COMPUTED_VALUE"""),45464.99861111111)</f>
        <v>45464.99861</v>
      </c>
      <c r="E5190" s="3">
        <f>IFERROR(__xludf.DUMMYFUNCTION("""COMPUTED_VALUE"""),4.9769)</f>
        <v>4.9769</v>
      </c>
    </row>
    <row r="5191">
      <c r="D5191" s="6">
        <f>IFERROR(__xludf.DUMMYFUNCTION("""COMPUTED_VALUE"""),45466.99861111111)</f>
        <v>45466.99861</v>
      </c>
      <c r="E5191" s="3">
        <f>IFERROR(__xludf.DUMMYFUNCTION("""COMPUTED_VALUE"""),4.9769)</f>
        <v>4.9769</v>
      </c>
    </row>
    <row r="5192">
      <c r="D5192" s="6">
        <f>IFERROR(__xludf.DUMMYFUNCTION("""COMPUTED_VALUE"""),45467.99861111111)</f>
        <v>45467.99861</v>
      </c>
      <c r="E5192" s="3">
        <f>IFERROR(__xludf.DUMMYFUNCTION("""COMPUTED_VALUE"""),4.9768)</f>
        <v>4.9768</v>
      </c>
    </row>
    <row r="5193">
      <c r="D5193" s="6">
        <f>IFERROR(__xludf.DUMMYFUNCTION("""COMPUTED_VALUE"""),45469.99861111111)</f>
        <v>45469.99861</v>
      </c>
      <c r="E5193" s="3">
        <f>IFERROR(__xludf.DUMMYFUNCTION("""COMPUTED_VALUE"""),4.9735)</f>
        <v>4.9735</v>
      </c>
    </row>
    <row r="5194">
      <c r="D5194" s="6">
        <f>IFERROR(__xludf.DUMMYFUNCTION("""COMPUTED_VALUE"""),45470.99861111111)</f>
        <v>45470.99861</v>
      </c>
      <c r="E5194" s="3">
        <f>IFERROR(__xludf.DUMMYFUNCTION("""COMPUTED_VALUE"""),4.9774)</f>
        <v>4.9774</v>
      </c>
    </row>
    <row r="5195">
      <c r="D5195" s="6">
        <f>IFERROR(__xludf.DUMMYFUNCTION("""COMPUTED_VALUE"""),45471.99861111111)</f>
        <v>45471.99861</v>
      </c>
      <c r="E5195" s="3">
        <f>IFERROR(__xludf.DUMMYFUNCTION("""COMPUTED_VALUE"""),4.977)</f>
        <v>4.977</v>
      </c>
    </row>
    <row r="5196">
      <c r="D5196" s="6">
        <f>IFERROR(__xludf.DUMMYFUNCTION("""COMPUTED_VALUE"""),45473.99861111111)</f>
        <v>45473.99861</v>
      </c>
      <c r="E5196" s="3">
        <f>IFERROR(__xludf.DUMMYFUNCTION("""COMPUTED_VALUE"""),4.977)</f>
        <v>4.977</v>
      </c>
    </row>
    <row r="5197">
      <c r="D5197" s="6">
        <f>IFERROR(__xludf.DUMMYFUNCTION("""COMPUTED_VALUE"""),45474.99861111111)</f>
        <v>45474.99861</v>
      </c>
      <c r="E5197" s="3">
        <f>IFERROR(__xludf.DUMMYFUNCTION("""COMPUTED_VALUE"""),4.97609)</f>
        <v>4.97609</v>
      </c>
    </row>
    <row r="5198">
      <c r="D5198" s="6">
        <f>IFERROR(__xludf.DUMMYFUNCTION("""COMPUTED_VALUE"""),45475.99861111111)</f>
        <v>45475.99861</v>
      </c>
      <c r="E5198" s="3">
        <f>IFERROR(__xludf.DUMMYFUNCTION("""COMPUTED_VALUE"""),4.9769)</f>
        <v>4.9769</v>
      </c>
    </row>
    <row r="5199">
      <c r="D5199" s="6">
        <f>IFERROR(__xludf.DUMMYFUNCTION("""COMPUTED_VALUE"""),45476.99861111111)</f>
        <v>45476.99861</v>
      </c>
      <c r="E5199" s="3">
        <f>IFERROR(__xludf.DUMMYFUNCTION("""COMPUTED_VALUE"""),4.97682)</f>
        <v>4.97682</v>
      </c>
    </row>
    <row r="5200">
      <c r="D5200" s="6">
        <f>IFERROR(__xludf.DUMMYFUNCTION("""COMPUTED_VALUE"""),45477.99861111111)</f>
        <v>45477.99861</v>
      </c>
      <c r="E5200" s="3">
        <f>IFERROR(__xludf.DUMMYFUNCTION("""COMPUTED_VALUE"""),4.97646)</f>
        <v>4.97646</v>
      </c>
    </row>
    <row r="5201">
      <c r="D5201" s="6">
        <f>IFERROR(__xludf.DUMMYFUNCTION("""COMPUTED_VALUE"""),45478.99861111111)</f>
        <v>45478.99861</v>
      </c>
      <c r="E5201" s="3">
        <f>IFERROR(__xludf.DUMMYFUNCTION("""COMPUTED_VALUE"""),4.9757)</f>
        <v>4.9757</v>
      </c>
    </row>
    <row r="5202">
      <c r="D5202" s="6">
        <f>IFERROR(__xludf.DUMMYFUNCTION("""COMPUTED_VALUE"""),45480.99861111111)</f>
        <v>45480.99861</v>
      </c>
      <c r="E5202" s="3">
        <f>IFERROR(__xludf.DUMMYFUNCTION("""COMPUTED_VALUE"""),4.9757)</f>
        <v>4.9757</v>
      </c>
    </row>
    <row r="5203">
      <c r="D5203" s="6">
        <f>IFERROR(__xludf.DUMMYFUNCTION("""COMPUTED_VALUE"""),45481.99861111111)</f>
        <v>45481.99861</v>
      </c>
      <c r="E5203" s="3">
        <f>IFERROR(__xludf.DUMMYFUNCTION("""COMPUTED_VALUE"""),4.97417)</f>
        <v>4.97417</v>
      </c>
    </row>
    <row r="5204">
      <c r="D5204" s="6">
        <f>IFERROR(__xludf.DUMMYFUNCTION("""COMPUTED_VALUE"""),45482.99861111111)</f>
        <v>45482.99861</v>
      </c>
      <c r="E5204" s="3">
        <f>IFERROR(__xludf.DUMMYFUNCTION("""COMPUTED_VALUE"""),4.97267)</f>
        <v>4.97267</v>
      </c>
    </row>
    <row r="5205">
      <c r="D5205" s="6">
        <f>IFERROR(__xludf.DUMMYFUNCTION("""COMPUTED_VALUE"""),45483.99861111111)</f>
        <v>45483.99861</v>
      </c>
      <c r="E5205" s="3">
        <f>IFERROR(__xludf.DUMMYFUNCTION("""COMPUTED_VALUE"""),4.97262)</f>
        <v>4.97262</v>
      </c>
    </row>
    <row r="5206">
      <c r="D5206" s="6">
        <f>IFERROR(__xludf.DUMMYFUNCTION("""COMPUTED_VALUE"""),45484.99861111111)</f>
        <v>45484.99861</v>
      </c>
      <c r="E5206" s="3">
        <f>IFERROR(__xludf.DUMMYFUNCTION("""COMPUTED_VALUE"""),4.9734)</f>
        <v>4.9734</v>
      </c>
    </row>
    <row r="5207">
      <c r="D5207" s="6">
        <f>IFERROR(__xludf.DUMMYFUNCTION("""COMPUTED_VALUE"""),45485.99861111111)</f>
        <v>45485.99861</v>
      </c>
      <c r="E5207" s="3">
        <f>IFERROR(__xludf.DUMMYFUNCTION("""COMPUTED_VALUE"""),4.97228)</f>
        <v>4.97228</v>
      </c>
    </row>
    <row r="5208">
      <c r="D5208" s="6">
        <f>IFERROR(__xludf.DUMMYFUNCTION("""COMPUTED_VALUE"""),45487.99861111111)</f>
        <v>45487.99861</v>
      </c>
      <c r="E5208" s="3">
        <f>IFERROR(__xludf.DUMMYFUNCTION("""COMPUTED_VALUE"""),4.97228)</f>
        <v>4.97228</v>
      </c>
    </row>
    <row r="5209">
      <c r="D5209" s="6">
        <f>IFERROR(__xludf.DUMMYFUNCTION("""COMPUTED_VALUE"""),45488.99861111111)</f>
        <v>45488.99861</v>
      </c>
      <c r="E5209" s="3">
        <f>IFERROR(__xludf.DUMMYFUNCTION("""COMPUTED_VALUE"""),4.96752)</f>
        <v>4.96752</v>
      </c>
    </row>
    <row r="5210">
      <c r="D5210" s="6">
        <f>IFERROR(__xludf.DUMMYFUNCTION("""COMPUTED_VALUE"""),45489.99861111111)</f>
        <v>45489.99861</v>
      </c>
      <c r="E5210" s="3">
        <f>IFERROR(__xludf.DUMMYFUNCTION("""COMPUTED_VALUE"""),4.96922)</f>
        <v>4.96922</v>
      </c>
    </row>
    <row r="5211">
      <c r="D5211" s="6">
        <f>IFERROR(__xludf.DUMMYFUNCTION("""COMPUTED_VALUE"""),45490.99861111111)</f>
        <v>45490.99861</v>
      </c>
      <c r="E5211" s="3">
        <f>IFERROR(__xludf.DUMMYFUNCTION("""COMPUTED_VALUE"""),4.9655)</f>
        <v>4.9655</v>
      </c>
    </row>
    <row r="5212">
      <c r="D5212" s="6">
        <f>IFERROR(__xludf.DUMMYFUNCTION("""COMPUTED_VALUE"""),45491.99861111111)</f>
        <v>45491.99861</v>
      </c>
      <c r="E5212" s="3">
        <f>IFERROR(__xludf.DUMMYFUNCTION("""COMPUTED_VALUE"""),4.96813)</f>
        <v>4.96813</v>
      </c>
    </row>
    <row r="5213">
      <c r="D5213" s="6">
        <f>IFERROR(__xludf.DUMMYFUNCTION("""COMPUTED_VALUE"""),45492.99861111111)</f>
        <v>45492.99861</v>
      </c>
      <c r="E5213" s="3">
        <f>IFERROR(__xludf.DUMMYFUNCTION("""COMPUTED_VALUE"""),4.97021)</f>
        <v>4.97021</v>
      </c>
    </row>
    <row r="5214">
      <c r="D5214" s="6">
        <f>IFERROR(__xludf.DUMMYFUNCTION("""COMPUTED_VALUE"""),45494.99861111111)</f>
        <v>45494.99861</v>
      </c>
      <c r="E5214" s="3">
        <f>IFERROR(__xludf.DUMMYFUNCTION("""COMPUTED_VALUE"""),4.97021)</f>
        <v>4.97021</v>
      </c>
    </row>
    <row r="5215">
      <c r="D5215" s="6">
        <f>IFERROR(__xludf.DUMMYFUNCTION("""COMPUTED_VALUE"""),45495.99861111111)</f>
        <v>45495.99861</v>
      </c>
      <c r="E5215" s="3">
        <f>IFERROR(__xludf.DUMMYFUNCTION("""COMPUTED_VALUE"""),4.97112)</f>
        <v>4.97112</v>
      </c>
    </row>
    <row r="5216">
      <c r="D5216" s="6">
        <f>IFERROR(__xludf.DUMMYFUNCTION("""COMPUTED_VALUE"""),45496.99861111111)</f>
        <v>45496.99861</v>
      </c>
      <c r="E5216" s="3">
        <f>IFERROR(__xludf.DUMMYFUNCTION("""COMPUTED_VALUE"""),4.9721)</f>
        <v>4.9721</v>
      </c>
    </row>
    <row r="5217">
      <c r="D5217" s="6">
        <f>IFERROR(__xludf.DUMMYFUNCTION("""COMPUTED_VALUE"""),45497.99861111111)</f>
        <v>45497.99861</v>
      </c>
      <c r="E5217" s="3">
        <f>IFERROR(__xludf.DUMMYFUNCTION("""COMPUTED_VALUE"""),4.96979)</f>
        <v>4.96979</v>
      </c>
    </row>
    <row r="5218">
      <c r="D5218" s="6">
        <f>IFERROR(__xludf.DUMMYFUNCTION("""COMPUTED_VALUE"""),45498.99861111111)</f>
        <v>45498.99861</v>
      </c>
      <c r="E5218" s="3">
        <f>IFERROR(__xludf.DUMMYFUNCTION("""COMPUTED_VALUE"""),4.9682)</f>
        <v>4.9682</v>
      </c>
    </row>
    <row r="5219">
      <c r="D5219" s="6">
        <f>IFERROR(__xludf.DUMMYFUNCTION("""COMPUTED_VALUE"""),45499.99861111111)</f>
        <v>45499.99861</v>
      </c>
      <c r="E5219" s="3">
        <f>IFERROR(__xludf.DUMMYFUNCTION("""COMPUTED_VALUE"""),4.9702)</f>
        <v>4.9702</v>
      </c>
    </row>
    <row r="5220">
      <c r="D5220" s="6">
        <f>IFERROR(__xludf.DUMMYFUNCTION("""COMPUTED_VALUE"""),45501.99861111111)</f>
        <v>45501.99861</v>
      </c>
      <c r="E5220" s="3">
        <f>IFERROR(__xludf.DUMMYFUNCTION("""COMPUTED_VALUE"""),4.9702)</f>
        <v>4.9702</v>
      </c>
    </row>
    <row r="5221">
      <c r="D5221" s="6">
        <f>IFERROR(__xludf.DUMMYFUNCTION("""COMPUTED_VALUE"""),45502.99861111111)</f>
        <v>45502.99861</v>
      </c>
      <c r="E5221" s="3">
        <f>IFERROR(__xludf.DUMMYFUNCTION("""COMPUTED_VALUE"""),4.97382)</f>
        <v>4.97382</v>
      </c>
    </row>
    <row r="5222">
      <c r="D5222" s="6">
        <f>IFERROR(__xludf.DUMMYFUNCTION("""COMPUTED_VALUE"""),45503.99861111111)</f>
        <v>45503.99861</v>
      </c>
      <c r="E5222" s="3">
        <f>IFERROR(__xludf.DUMMYFUNCTION("""COMPUTED_VALUE"""),4.97567)</f>
        <v>4.97567</v>
      </c>
    </row>
    <row r="5223">
      <c r="D5223" s="6">
        <f>IFERROR(__xludf.DUMMYFUNCTION("""COMPUTED_VALUE"""),45504.99861111111)</f>
        <v>45504.99861</v>
      </c>
      <c r="E5223" s="3">
        <f>IFERROR(__xludf.DUMMYFUNCTION("""COMPUTED_VALUE"""),4.97557)</f>
        <v>4.97557</v>
      </c>
    </row>
    <row r="5224">
      <c r="D5224" s="6">
        <f>IFERROR(__xludf.DUMMYFUNCTION("""COMPUTED_VALUE"""),45505.99861111111)</f>
        <v>45505.99861</v>
      </c>
      <c r="E5224" s="3">
        <f>IFERROR(__xludf.DUMMYFUNCTION("""COMPUTED_VALUE"""),4.9735)</f>
        <v>4.9735</v>
      </c>
    </row>
    <row r="5225">
      <c r="D5225" s="6">
        <f>IFERROR(__xludf.DUMMYFUNCTION("""COMPUTED_VALUE"""),45506.99861111111)</f>
        <v>45506.99861</v>
      </c>
      <c r="E5225" s="3">
        <f>IFERROR(__xludf.DUMMYFUNCTION("""COMPUTED_VALUE"""),4.97483)</f>
        <v>4.97483</v>
      </c>
    </row>
    <row r="5226">
      <c r="D5226" s="6">
        <f>IFERROR(__xludf.DUMMYFUNCTION("""COMPUTED_VALUE"""),45508.99861111111)</f>
        <v>45508.99861</v>
      </c>
      <c r="E5226" s="3">
        <f>IFERROR(__xludf.DUMMYFUNCTION("""COMPUTED_VALUE"""),4.97492)</f>
        <v>4.97492</v>
      </c>
    </row>
    <row r="5227">
      <c r="D5227" s="6">
        <f>IFERROR(__xludf.DUMMYFUNCTION("""COMPUTED_VALUE"""),45509.99861111111)</f>
        <v>45509.99861</v>
      </c>
      <c r="E5227" s="3">
        <f>IFERROR(__xludf.DUMMYFUNCTION("""COMPUTED_VALUE"""),4.9765)</f>
        <v>4.9765</v>
      </c>
    </row>
    <row r="5228">
      <c r="D5228" s="6">
        <f>IFERROR(__xludf.DUMMYFUNCTION("""COMPUTED_VALUE"""),45510.99861111111)</f>
        <v>45510.99861</v>
      </c>
      <c r="E5228" s="3">
        <f>IFERROR(__xludf.DUMMYFUNCTION("""COMPUTED_VALUE"""),4.9765)</f>
        <v>4.9765</v>
      </c>
    </row>
    <row r="5229">
      <c r="D5229" s="6">
        <f>IFERROR(__xludf.DUMMYFUNCTION("""COMPUTED_VALUE"""),45511.99861111111)</f>
        <v>45511.99861</v>
      </c>
      <c r="E5229" s="3">
        <f>IFERROR(__xludf.DUMMYFUNCTION("""COMPUTED_VALUE"""),4.9759)</f>
        <v>4.9759</v>
      </c>
    </row>
    <row r="5230">
      <c r="D5230" s="6">
        <f>IFERROR(__xludf.DUMMYFUNCTION("""COMPUTED_VALUE"""),45512.99861111111)</f>
        <v>45512.99861</v>
      </c>
      <c r="E5230" s="3">
        <f>IFERROR(__xludf.DUMMYFUNCTION("""COMPUTED_VALUE"""),4.9768)</f>
        <v>4.9768</v>
      </c>
    </row>
    <row r="5231">
      <c r="D5231" s="6">
        <f>IFERROR(__xludf.DUMMYFUNCTION("""COMPUTED_VALUE"""),45513.99861111111)</f>
        <v>45513.99861</v>
      </c>
      <c r="E5231" s="3">
        <f>IFERROR(__xludf.DUMMYFUNCTION("""COMPUTED_VALUE"""),4.9769)</f>
        <v>4.9769</v>
      </c>
    </row>
    <row r="5232">
      <c r="D5232" s="6">
        <f>IFERROR(__xludf.DUMMYFUNCTION("""COMPUTED_VALUE"""),45515.99861111111)</f>
        <v>45515.99861</v>
      </c>
      <c r="E5232" s="3">
        <f>IFERROR(__xludf.DUMMYFUNCTION("""COMPUTED_VALUE"""),4.9769)</f>
        <v>4.9769</v>
      </c>
    </row>
    <row r="5233">
      <c r="D5233" s="6">
        <f>IFERROR(__xludf.DUMMYFUNCTION("""COMPUTED_VALUE"""),45516.99861111111)</f>
        <v>45516.99861</v>
      </c>
      <c r="E5233" s="3">
        <f>IFERROR(__xludf.DUMMYFUNCTION("""COMPUTED_VALUE"""),4.9762)</f>
        <v>4.9762</v>
      </c>
    </row>
    <row r="5234">
      <c r="D5234" s="6">
        <f>IFERROR(__xludf.DUMMYFUNCTION("""COMPUTED_VALUE"""),45517.99861111111)</f>
        <v>45517.99861</v>
      </c>
      <c r="E5234" s="3">
        <f>IFERROR(__xludf.DUMMYFUNCTION("""COMPUTED_VALUE"""),4.97518)</f>
        <v>4.97518</v>
      </c>
    </row>
    <row r="5235">
      <c r="D5235" s="6">
        <f>IFERROR(__xludf.DUMMYFUNCTION("""COMPUTED_VALUE"""),45518.99861111111)</f>
        <v>45518.99861</v>
      </c>
      <c r="E5235" s="3">
        <f>IFERROR(__xludf.DUMMYFUNCTION("""COMPUTED_VALUE"""),4.97592)</f>
        <v>4.97592</v>
      </c>
    </row>
    <row r="5236">
      <c r="D5236" s="6">
        <f>IFERROR(__xludf.DUMMYFUNCTION("""COMPUTED_VALUE"""),45519.99861111111)</f>
        <v>45519.99861</v>
      </c>
      <c r="E5236" s="3">
        <f>IFERROR(__xludf.DUMMYFUNCTION("""COMPUTED_VALUE"""),4.97451)</f>
        <v>4.97451</v>
      </c>
    </row>
    <row r="5237">
      <c r="D5237" s="6">
        <f>IFERROR(__xludf.DUMMYFUNCTION("""COMPUTED_VALUE"""),45520.99861111111)</f>
        <v>45520.99861</v>
      </c>
      <c r="E5237" s="3">
        <f>IFERROR(__xludf.DUMMYFUNCTION("""COMPUTED_VALUE"""),4.97492)</f>
        <v>4.97492</v>
      </c>
    </row>
    <row r="5238">
      <c r="D5238" s="6">
        <f>IFERROR(__xludf.DUMMYFUNCTION("""COMPUTED_VALUE"""),45522.99861111111)</f>
        <v>45522.99861</v>
      </c>
      <c r="E5238" s="3">
        <f>IFERROR(__xludf.DUMMYFUNCTION("""COMPUTED_VALUE"""),4.97492)</f>
        <v>4.97492</v>
      </c>
    </row>
    <row r="5239">
      <c r="D5239" s="6">
        <f>IFERROR(__xludf.DUMMYFUNCTION("""COMPUTED_VALUE"""),45523.99861111111)</f>
        <v>45523.99861</v>
      </c>
      <c r="E5239" s="3">
        <f>IFERROR(__xludf.DUMMYFUNCTION("""COMPUTED_VALUE"""),4.976)</f>
        <v>4.976</v>
      </c>
    </row>
    <row r="5240">
      <c r="D5240" s="6">
        <f>IFERROR(__xludf.DUMMYFUNCTION("""COMPUTED_VALUE"""),45524.99861111111)</f>
        <v>45524.99861</v>
      </c>
      <c r="E5240" s="3">
        <f>IFERROR(__xludf.DUMMYFUNCTION("""COMPUTED_VALUE"""),4.9768)</f>
        <v>4.9768</v>
      </c>
    </row>
    <row r="5241">
      <c r="D5241" s="6">
        <f>IFERROR(__xludf.DUMMYFUNCTION("""COMPUTED_VALUE"""),45525.99861111111)</f>
        <v>45525.99861</v>
      </c>
      <c r="E5241" s="3">
        <f>IFERROR(__xludf.DUMMYFUNCTION("""COMPUTED_VALUE"""),4.9725)</f>
        <v>4.9725</v>
      </c>
    </row>
    <row r="5242">
      <c r="D5242" s="6">
        <f>IFERROR(__xludf.DUMMYFUNCTION("""COMPUTED_VALUE"""),45526.99861111111)</f>
        <v>45526.99861</v>
      </c>
      <c r="E5242" s="3">
        <f>IFERROR(__xludf.DUMMYFUNCTION("""COMPUTED_VALUE"""),4.9725)</f>
        <v>4.9725</v>
      </c>
    </row>
    <row r="5243">
      <c r="D5243" s="6">
        <f>IFERROR(__xludf.DUMMYFUNCTION("""COMPUTED_VALUE"""),45527.99861111111)</f>
        <v>45527.99861</v>
      </c>
      <c r="E5243" s="3">
        <f>IFERROR(__xludf.DUMMYFUNCTION("""COMPUTED_VALUE"""),4.97658)</f>
        <v>4.97658</v>
      </c>
    </row>
    <row r="5244">
      <c r="D5244" s="6">
        <f>IFERROR(__xludf.DUMMYFUNCTION("""COMPUTED_VALUE"""),45529.99861111111)</f>
        <v>45529.99861</v>
      </c>
      <c r="E5244" s="3">
        <f>IFERROR(__xludf.DUMMYFUNCTION("""COMPUTED_VALUE"""),4.97658)</f>
        <v>4.97658</v>
      </c>
    </row>
    <row r="5245">
      <c r="D5245" s="6">
        <f>IFERROR(__xludf.DUMMYFUNCTION("""COMPUTED_VALUE"""),45530.99861111111)</f>
        <v>45530.99861</v>
      </c>
      <c r="E5245" s="3">
        <f>IFERROR(__xludf.DUMMYFUNCTION("""COMPUTED_VALUE"""),4.97629)</f>
        <v>4.97629</v>
      </c>
    </row>
    <row r="5246">
      <c r="D5246" s="6">
        <f>IFERROR(__xludf.DUMMYFUNCTION("""COMPUTED_VALUE"""),45531.99861111111)</f>
        <v>45531.99861</v>
      </c>
      <c r="E5246" s="3">
        <f>IFERROR(__xludf.DUMMYFUNCTION("""COMPUTED_VALUE"""),4.9735)</f>
        <v>4.9735</v>
      </c>
    </row>
    <row r="5247">
      <c r="D5247" s="6">
        <f>IFERROR(__xludf.DUMMYFUNCTION("""COMPUTED_VALUE"""),45532.99861111111)</f>
        <v>45532.99861</v>
      </c>
      <c r="E5247" s="3">
        <f>IFERROR(__xludf.DUMMYFUNCTION("""COMPUTED_VALUE"""),4.9735)</f>
        <v>4.9735</v>
      </c>
    </row>
    <row r="5248">
      <c r="D5248" s="6">
        <f>IFERROR(__xludf.DUMMYFUNCTION("""COMPUTED_VALUE"""),45533.99861111111)</f>
        <v>45533.99861</v>
      </c>
      <c r="E5248" s="3">
        <f>IFERROR(__xludf.DUMMYFUNCTION("""COMPUTED_VALUE"""),4.97767)</f>
        <v>4.97767</v>
      </c>
    </row>
    <row r="5249">
      <c r="D5249" s="6">
        <f>IFERROR(__xludf.DUMMYFUNCTION("""COMPUTED_VALUE"""),45534.99861111111)</f>
        <v>45534.99861</v>
      </c>
      <c r="E5249" s="3">
        <f>IFERROR(__xludf.DUMMYFUNCTION("""COMPUTED_VALUE"""),4.97601)</f>
        <v>4.97601</v>
      </c>
    </row>
    <row r="5250">
      <c r="D5250" s="6">
        <f>IFERROR(__xludf.DUMMYFUNCTION("""COMPUTED_VALUE"""),45536.99861111111)</f>
        <v>45536.99861</v>
      </c>
      <c r="E5250" s="3">
        <f>IFERROR(__xludf.DUMMYFUNCTION("""COMPUTED_VALUE"""),4.97601)</f>
        <v>4.97601</v>
      </c>
    </row>
    <row r="5251">
      <c r="D5251" s="6">
        <f>IFERROR(__xludf.DUMMYFUNCTION("""COMPUTED_VALUE"""),45537.99861111111)</f>
        <v>45537.99861</v>
      </c>
      <c r="E5251" s="3">
        <f>IFERROR(__xludf.DUMMYFUNCTION("""COMPUTED_VALUE"""),4.974)</f>
        <v>4.974</v>
      </c>
    </row>
    <row r="5252">
      <c r="D5252" s="6">
        <f>IFERROR(__xludf.DUMMYFUNCTION("""COMPUTED_VALUE"""),45538.99861111111)</f>
        <v>45538.99861</v>
      </c>
      <c r="E5252" s="3">
        <f>IFERROR(__xludf.DUMMYFUNCTION("""COMPUTED_VALUE"""),4.97352)</f>
        <v>4.97352</v>
      </c>
    </row>
    <row r="5253">
      <c r="D5253" s="6">
        <f>IFERROR(__xludf.DUMMYFUNCTION("""COMPUTED_VALUE"""),45539.99861111111)</f>
        <v>45539.99861</v>
      </c>
      <c r="E5253" s="3">
        <f>IFERROR(__xludf.DUMMYFUNCTION("""COMPUTED_VALUE"""),4.97051)</f>
        <v>4.97051</v>
      </c>
    </row>
    <row r="5254">
      <c r="D5254" s="6">
        <f>IFERROR(__xludf.DUMMYFUNCTION("""COMPUTED_VALUE"""),45540.99861111111)</f>
        <v>45540.99861</v>
      </c>
      <c r="E5254" s="3">
        <f>IFERROR(__xludf.DUMMYFUNCTION("""COMPUTED_VALUE"""),4.969)</f>
        <v>4.969</v>
      </c>
    </row>
    <row r="5255">
      <c r="D5255" s="6">
        <f>IFERROR(__xludf.DUMMYFUNCTION("""COMPUTED_VALUE"""),45541.99861111111)</f>
        <v>45541.99861</v>
      </c>
      <c r="E5255" s="3">
        <f>IFERROR(__xludf.DUMMYFUNCTION("""COMPUTED_VALUE"""),4.969)</f>
        <v>4.969</v>
      </c>
    </row>
    <row r="5256">
      <c r="D5256" s="6">
        <f>IFERROR(__xludf.DUMMYFUNCTION("""COMPUTED_VALUE"""),45543.99861111111)</f>
        <v>45543.99861</v>
      </c>
      <c r="E5256" s="3">
        <f>IFERROR(__xludf.DUMMYFUNCTION("""COMPUTED_VALUE"""),4.97251)</f>
        <v>4.97251</v>
      </c>
    </row>
    <row r="5257">
      <c r="D5257" s="6">
        <f>IFERROR(__xludf.DUMMYFUNCTION("""COMPUTED_VALUE"""),45544.99861111111)</f>
        <v>45544.99861</v>
      </c>
      <c r="E5257" s="3">
        <f>IFERROR(__xludf.DUMMYFUNCTION("""COMPUTED_VALUE"""),4.9737)</f>
        <v>4.9737</v>
      </c>
    </row>
    <row r="5258">
      <c r="D5258" s="6">
        <f>IFERROR(__xludf.DUMMYFUNCTION("""COMPUTED_VALUE"""),45545.99861111111)</f>
        <v>45545.99861</v>
      </c>
      <c r="E5258" s="3">
        <f>IFERROR(__xludf.DUMMYFUNCTION("""COMPUTED_VALUE"""),4.97341)</f>
        <v>4.97341</v>
      </c>
    </row>
    <row r="5259">
      <c r="D5259" s="6">
        <f>IFERROR(__xludf.DUMMYFUNCTION("""COMPUTED_VALUE"""),45546.99861111111)</f>
        <v>45546.99861</v>
      </c>
      <c r="E5259" s="3">
        <f>IFERROR(__xludf.DUMMYFUNCTION("""COMPUTED_VALUE"""),4.97343)</f>
        <v>4.97343</v>
      </c>
    </row>
    <row r="5260">
      <c r="D5260" s="6">
        <f>IFERROR(__xludf.DUMMYFUNCTION("""COMPUTED_VALUE"""),45547.99861111111)</f>
        <v>45547.99861</v>
      </c>
      <c r="E5260" s="3">
        <f>IFERROR(__xludf.DUMMYFUNCTION("""COMPUTED_VALUE"""),4.9738)</f>
        <v>4.9738</v>
      </c>
    </row>
    <row r="5261">
      <c r="D5261" s="6">
        <f>IFERROR(__xludf.DUMMYFUNCTION("""COMPUTED_VALUE"""),45548.99861111111)</f>
        <v>45548.99861</v>
      </c>
      <c r="E5261" s="3">
        <f>IFERROR(__xludf.DUMMYFUNCTION("""COMPUTED_VALUE"""),4.9738)</f>
        <v>4.9738</v>
      </c>
    </row>
    <row r="5262">
      <c r="D5262" s="6">
        <f>IFERROR(__xludf.DUMMYFUNCTION("""COMPUTED_VALUE"""),45550.99861111111)</f>
        <v>45550.99861</v>
      </c>
      <c r="E5262" s="3">
        <f>IFERROR(__xludf.DUMMYFUNCTION("""COMPUTED_VALUE"""),4.9738)</f>
        <v>4.9738</v>
      </c>
    </row>
    <row r="5263">
      <c r="D5263" s="6">
        <f>IFERROR(__xludf.DUMMYFUNCTION("""COMPUTED_VALUE"""),45551.99861111111)</f>
        <v>45551.99861</v>
      </c>
      <c r="E5263" s="3">
        <f>IFERROR(__xludf.DUMMYFUNCTION("""COMPUTED_VALUE"""),4.97342)</f>
        <v>4.97342</v>
      </c>
    </row>
    <row r="5264">
      <c r="D5264" s="6">
        <f>IFERROR(__xludf.DUMMYFUNCTION("""COMPUTED_VALUE"""),45552.99861111111)</f>
        <v>45552.99861</v>
      </c>
      <c r="E5264" s="3">
        <f>IFERROR(__xludf.DUMMYFUNCTION("""COMPUTED_VALUE"""),4.97357)</f>
        <v>4.97357</v>
      </c>
    </row>
    <row r="5265">
      <c r="D5265" s="6">
        <f>IFERROR(__xludf.DUMMYFUNCTION("""COMPUTED_VALUE"""),45553.99861111111)</f>
        <v>45553.99861</v>
      </c>
      <c r="E5265" s="3">
        <f>IFERROR(__xludf.DUMMYFUNCTION("""COMPUTED_VALUE"""),4.9745)</f>
        <v>4.9745</v>
      </c>
    </row>
    <row r="5266">
      <c r="D5266" s="6">
        <f>IFERROR(__xludf.DUMMYFUNCTION("""COMPUTED_VALUE"""),45554.99861111111)</f>
        <v>45554.99861</v>
      </c>
      <c r="E5266" s="3">
        <f>IFERROR(__xludf.DUMMYFUNCTION("""COMPUTED_VALUE"""),4.972)</f>
        <v>4.972</v>
      </c>
    </row>
    <row r="5267">
      <c r="D5267" s="6">
        <f>IFERROR(__xludf.DUMMYFUNCTION("""COMPUTED_VALUE"""),45555.99861111111)</f>
        <v>45555.99861</v>
      </c>
      <c r="E5267" s="3">
        <f>IFERROR(__xludf.DUMMYFUNCTION("""COMPUTED_VALUE"""),4.9738)</f>
        <v>4.9738</v>
      </c>
    </row>
    <row r="5268">
      <c r="D5268" s="6">
        <f>IFERROR(__xludf.DUMMYFUNCTION("""COMPUTED_VALUE"""),45557.99861111111)</f>
        <v>45557.99861</v>
      </c>
      <c r="E5268" s="3">
        <f>IFERROR(__xludf.DUMMYFUNCTION("""COMPUTED_VALUE"""),4.9738)</f>
        <v>4.9738</v>
      </c>
    </row>
    <row r="5269">
      <c r="D5269" s="6">
        <f>IFERROR(__xludf.DUMMYFUNCTION("""COMPUTED_VALUE"""),45558.99861111111)</f>
        <v>45558.99861</v>
      </c>
      <c r="E5269" s="3">
        <f>IFERROR(__xludf.DUMMYFUNCTION("""COMPUTED_VALUE"""),4.97396)</f>
        <v>4.97396</v>
      </c>
    </row>
    <row r="5270">
      <c r="D5270" s="6">
        <f>IFERROR(__xludf.DUMMYFUNCTION("""COMPUTED_VALUE"""),45559.99861111111)</f>
        <v>45559.99861</v>
      </c>
      <c r="E5270" s="3">
        <f>IFERROR(__xludf.DUMMYFUNCTION("""COMPUTED_VALUE"""),4.9749)</f>
        <v>4.9749</v>
      </c>
    </row>
    <row r="5271">
      <c r="D5271" s="6">
        <f>IFERROR(__xludf.DUMMYFUNCTION("""COMPUTED_VALUE"""),45560.99861111111)</f>
        <v>45560.99861</v>
      </c>
      <c r="E5271" s="3">
        <f>IFERROR(__xludf.DUMMYFUNCTION("""COMPUTED_VALUE"""),4.97477)</f>
        <v>4.97477</v>
      </c>
    </row>
    <row r="5272">
      <c r="D5272" s="6">
        <f>IFERROR(__xludf.DUMMYFUNCTION("""COMPUTED_VALUE"""),45561.99861111111)</f>
        <v>45561.99861</v>
      </c>
      <c r="E5272" s="3">
        <f>IFERROR(__xludf.DUMMYFUNCTION("""COMPUTED_VALUE"""),4.9753)</f>
        <v>4.9753</v>
      </c>
    </row>
    <row r="5273">
      <c r="D5273" s="6">
        <f>IFERROR(__xludf.DUMMYFUNCTION("""COMPUTED_VALUE"""),45562.99861111111)</f>
        <v>45562.99861</v>
      </c>
      <c r="E5273" s="3">
        <f>IFERROR(__xludf.DUMMYFUNCTION("""COMPUTED_VALUE"""),4.97543)</f>
        <v>4.97543</v>
      </c>
    </row>
    <row r="5274">
      <c r="D5274" s="6">
        <f>IFERROR(__xludf.DUMMYFUNCTION("""COMPUTED_VALUE"""),45564.99861111111)</f>
        <v>45564.99861</v>
      </c>
      <c r="E5274" s="3">
        <f>IFERROR(__xludf.DUMMYFUNCTION("""COMPUTED_VALUE"""),4.97543)</f>
        <v>4.97543</v>
      </c>
    </row>
    <row r="5275">
      <c r="D5275" s="6">
        <f>IFERROR(__xludf.DUMMYFUNCTION("""COMPUTED_VALUE"""),45565.99861111111)</f>
        <v>45565.99861</v>
      </c>
      <c r="E5275" s="3">
        <f>IFERROR(__xludf.DUMMYFUNCTION("""COMPUTED_VALUE"""),4.97572)</f>
        <v>4.97572</v>
      </c>
    </row>
    <row r="5276">
      <c r="D5276" s="6">
        <f>IFERROR(__xludf.DUMMYFUNCTION("""COMPUTED_VALUE"""),45566.99861111111)</f>
        <v>45566.99861</v>
      </c>
      <c r="E5276" s="3">
        <f>IFERROR(__xludf.DUMMYFUNCTION("""COMPUTED_VALUE"""),4.9757)</f>
        <v>4.9757</v>
      </c>
    </row>
    <row r="5277">
      <c r="D5277" s="6">
        <f>IFERROR(__xludf.DUMMYFUNCTION("""COMPUTED_VALUE"""),45567.99861111111)</f>
        <v>45567.99861</v>
      </c>
      <c r="E5277" s="3">
        <f>IFERROR(__xludf.DUMMYFUNCTION("""COMPUTED_VALUE"""),4.97602)</f>
        <v>4.97602</v>
      </c>
    </row>
    <row r="5278">
      <c r="D5278" s="6">
        <f>IFERROR(__xludf.DUMMYFUNCTION("""COMPUTED_VALUE"""),45568.99861111111)</f>
        <v>45568.99861</v>
      </c>
      <c r="E5278" s="3">
        <f>IFERROR(__xludf.DUMMYFUNCTION("""COMPUTED_VALUE"""),4.97643)</f>
        <v>4.97643</v>
      </c>
    </row>
    <row r="5279">
      <c r="D5279" s="6">
        <f>IFERROR(__xludf.DUMMYFUNCTION("""COMPUTED_VALUE"""),45569.99861111111)</f>
        <v>45569.99861</v>
      </c>
      <c r="E5279" s="3">
        <f>IFERROR(__xludf.DUMMYFUNCTION("""COMPUTED_VALUE"""),4.9763)</f>
        <v>4.9763</v>
      </c>
    </row>
    <row r="5280">
      <c r="D5280" s="6">
        <f>IFERROR(__xludf.DUMMYFUNCTION("""COMPUTED_VALUE"""),45571.99861111111)</f>
        <v>45571.99861</v>
      </c>
      <c r="E5280" s="3">
        <f>IFERROR(__xludf.DUMMYFUNCTION("""COMPUTED_VALUE"""),4.9763)</f>
        <v>4.9763</v>
      </c>
    </row>
    <row r="5281">
      <c r="D5281" s="6">
        <f>IFERROR(__xludf.DUMMYFUNCTION("""COMPUTED_VALUE"""),45572.99861111111)</f>
        <v>45572.99861</v>
      </c>
      <c r="E5281" s="3">
        <f>IFERROR(__xludf.DUMMYFUNCTION("""COMPUTED_VALUE"""),4.97693)</f>
        <v>4.97693</v>
      </c>
    </row>
    <row r="5282">
      <c r="D5282" s="6">
        <f>IFERROR(__xludf.DUMMYFUNCTION("""COMPUTED_VALUE"""),45573.99861111111)</f>
        <v>45573.99861</v>
      </c>
      <c r="E5282" s="3">
        <f>IFERROR(__xludf.DUMMYFUNCTION("""COMPUTED_VALUE"""),4.9767)</f>
        <v>4.9767</v>
      </c>
    </row>
    <row r="5283">
      <c r="D5283" s="6">
        <f>IFERROR(__xludf.DUMMYFUNCTION("""COMPUTED_VALUE"""),45574.99861111111)</f>
        <v>45574.99861</v>
      </c>
      <c r="E5283" s="3">
        <f>IFERROR(__xludf.DUMMYFUNCTION("""COMPUTED_VALUE"""),4.97573)</f>
        <v>4.97573</v>
      </c>
    </row>
    <row r="5284">
      <c r="D5284" s="6">
        <f>IFERROR(__xludf.DUMMYFUNCTION("""COMPUTED_VALUE"""),45575.99861111111)</f>
        <v>45575.99861</v>
      </c>
      <c r="E5284" s="3">
        <f>IFERROR(__xludf.DUMMYFUNCTION("""COMPUTED_VALUE"""),4.9775)</f>
        <v>4.9775</v>
      </c>
    </row>
    <row r="5285">
      <c r="D5285" s="6">
        <f>IFERROR(__xludf.DUMMYFUNCTION("""COMPUTED_VALUE"""),45576.99861111111)</f>
        <v>45576.99861</v>
      </c>
      <c r="E5285" s="3">
        <f>IFERROR(__xludf.DUMMYFUNCTION("""COMPUTED_VALUE"""),4.9745)</f>
        <v>4.9745</v>
      </c>
    </row>
    <row r="5286">
      <c r="D5286" s="6">
        <f>IFERROR(__xludf.DUMMYFUNCTION("""COMPUTED_VALUE"""),45578.99861111111)</f>
        <v>45578.99861</v>
      </c>
      <c r="E5286" s="3">
        <f>IFERROR(__xludf.DUMMYFUNCTION("""COMPUTED_VALUE"""),4.9745)</f>
        <v>4.9745</v>
      </c>
    </row>
    <row r="5287">
      <c r="D5287" s="6">
        <f>IFERROR(__xludf.DUMMYFUNCTION("""COMPUTED_VALUE"""),45579.99861111111)</f>
        <v>45579.99861</v>
      </c>
      <c r="E5287" s="3">
        <f>IFERROR(__xludf.DUMMYFUNCTION("""COMPUTED_VALUE"""),4.97397)</f>
        <v>4.97397</v>
      </c>
    </row>
    <row r="5288">
      <c r="D5288" s="6">
        <f>IFERROR(__xludf.DUMMYFUNCTION("""COMPUTED_VALUE"""),45580.99861111111)</f>
        <v>45580.99861</v>
      </c>
      <c r="E5288" s="3">
        <f>IFERROR(__xludf.DUMMYFUNCTION("""COMPUTED_VALUE"""),4.9753)</f>
        <v>4.9753</v>
      </c>
    </row>
    <row r="5289">
      <c r="D5289" s="6">
        <f>IFERROR(__xludf.DUMMYFUNCTION("""COMPUTED_VALUE"""),45581.99861111111)</f>
        <v>45581.99861</v>
      </c>
      <c r="E5289" s="3">
        <f>IFERROR(__xludf.DUMMYFUNCTION("""COMPUTED_VALUE"""),4.97557)</f>
        <v>4.97557</v>
      </c>
    </row>
    <row r="5290">
      <c r="D5290" s="6">
        <f>IFERROR(__xludf.DUMMYFUNCTION("""COMPUTED_VALUE"""),45582.99861111111)</f>
        <v>45582.99861</v>
      </c>
      <c r="E5290" s="3">
        <f>IFERROR(__xludf.DUMMYFUNCTION("""COMPUTED_VALUE"""),4.9737)</f>
        <v>4.9737</v>
      </c>
    </row>
    <row r="5291">
      <c r="D5291" s="6">
        <f>IFERROR(__xludf.DUMMYFUNCTION("""COMPUTED_VALUE"""),45583.99861111111)</f>
        <v>45583.99861</v>
      </c>
      <c r="E5291" s="3">
        <f>IFERROR(__xludf.DUMMYFUNCTION("""COMPUTED_VALUE"""),4.97272)</f>
        <v>4.97272</v>
      </c>
    </row>
    <row r="5292">
      <c r="D5292" s="6">
        <f>IFERROR(__xludf.DUMMYFUNCTION("""COMPUTED_VALUE"""),45585.99861111111)</f>
        <v>45585.99861</v>
      </c>
      <c r="E5292" s="3">
        <f>IFERROR(__xludf.DUMMYFUNCTION("""COMPUTED_VALUE"""),4.97272)</f>
        <v>4.97272</v>
      </c>
    </row>
    <row r="5293">
      <c r="D5293" s="6">
        <f>IFERROR(__xludf.DUMMYFUNCTION("""COMPUTED_VALUE"""),45586.99861111111)</f>
        <v>45586.99861</v>
      </c>
      <c r="E5293" s="3">
        <f>IFERROR(__xludf.DUMMYFUNCTION("""COMPUTED_VALUE"""),4.97297)</f>
        <v>4.97297</v>
      </c>
    </row>
    <row r="5294">
      <c r="D5294" s="6">
        <f>IFERROR(__xludf.DUMMYFUNCTION("""COMPUTED_VALUE"""),45587.99861111111)</f>
        <v>45587.99861</v>
      </c>
      <c r="E5294" s="3">
        <f>IFERROR(__xludf.DUMMYFUNCTION("""COMPUTED_VALUE"""),4.9732)</f>
        <v>4.9732</v>
      </c>
    </row>
    <row r="5295">
      <c r="D5295" s="6">
        <f>IFERROR(__xludf.DUMMYFUNCTION("""COMPUTED_VALUE"""),45588.99861111111)</f>
        <v>45588.99861</v>
      </c>
      <c r="E5295" s="3">
        <f>IFERROR(__xludf.DUMMYFUNCTION("""COMPUTED_VALUE"""),4.9737)</f>
        <v>4.9737</v>
      </c>
    </row>
    <row r="5296">
      <c r="D5296" s="6">
        <f>IFERROR(__xludf.DUMMYFUNCTION("""COMPUTED_VALUE"""),45589.99861111111)</f>
        <v>45589.99861</v>
      </c>
      <c r="E5296" s="3">
        <f>IFERROR(__xludf.DUMMYFUNCTION("""COMPUTED_VALUE"""),4.9726)</f>
        <v>4.9726</v>
      </c>
    </row>
    <row r="5297">
      <c r="D5297" s="6">
        <f>IFERROR(__xludf.DUMMYFUNCTION("""COMPUTED_VALUE"""),45590.99861111111)</f>
        <v>45590.99861</v>
      </c>
      <c r="E5297" s="3">
        <f>IFERROR(__xludf.DUMMYFUNCTION("""COMPUTED_VALUE"""),4.9735)</f>
        <v>4.9735</v>
      </c>
    </row>
    <row r="5298">
      <c r="D5298" s="6">
        <f>IFERROR(__xludf.DUMMYFUNCTION("""COMPUTED_VALUE"""),45592.99861111111)</f>
        <v>45592.99861</v>
      </c>
      <c r="E5298" s="3">
        <f>IFERROR(__xludf.DUMMYFUNCTION("""COMPUTED_VALUE"""),4.9735)</f>
        <v>4.9735</v>
      </c>
    </row>
    <row r="5299">
      <c r="D5299" s="6">
        <f>IFERROR(__xludf.DUMMYFUNCTION("""COMPUTED_VALUE"""),45593.99861111111)</f>
        <v>45593.99861</v>
      </c>
      <c r="E5299" s="3">
        <f>IFERROR(__xludf.DUMMYFUNCTION("""COMPUTED_VALUE"""),4.9735)</f>
        <v>4.9735</v>
      </c>
    </row>
    <row r="5300">
      <c r="D5300" s="6">
        <f>IFERROR(__xludf.DUMMYFUNCTION("""COMPUTED_VALUE"""),45594.99861111111)</f>
        <v>45594.99861</v>
      </c>
      <c r="E5300" s="3">
        <f>IFERROR(__xludf.DUMMYFUNCTION("""COMPUTED_VALUE"""),4.9741)</f>
        <v>4.9741</v>
      </c>
    </row>
    <row r="5301">
      <c r="D5301" s="6">
        <f>IFERROR(__xludf.DUMMYFUNCTION("""COMPUTED_VALUE"""),45595.99861111111)</f>
        <v>45595.99861</v>
      </c>
      <c r="E5301" s="3">
        <f>IFERROR(__xludf.DUMMYFUNCTION("""COMPUTED_VALUE"""),4.97448)</f>
        <v>4.97448</v>
      </c>
    </row>
    <row r="5302">
      <c r="D5302" s="6">
        <f>IFERROR(__xludf.DUMMYFUNCTION("""COMPUTED_VALUE"""),45596.99861111111)</f>
        <v>45596.99861</v>
      </c>
      <c r="E5302" s="3">
        <f>IFERROR(__xludf.DUMMYFUNCTION("""COMPUTED_VALUE"""),4.973)</f>
        <v>4.973</v>
      </c>
    </row>
    <row r="5303">
      <c r="D5303" s="6">
        <f>IFERROR(__xludf.DUMMYFUNCTION("""COMPUTED_VALUE"""),45597.99861111111)</f>
        <v>45597.99861</v>
      </c>
      <c r="E5303" s="3">
        <f>IFERROR(__xludf.DUMMYFUNCTION("""COMPUTED_VALUE"""),4.97329)</f>
        <v>4.97329</v>
      </c>
    </row>
    <row r="5304">
      <c r="D5304" s="6">
        <f>IFERROR(__xludf.DUMMYFUNCTION("""COMPUTED_VALUE"""),45599.99861111111)</f>
        <v>45599.99861</v>
      </c>
      <c r="E5304" s="3">
        <f>IFERROR(__xludf.DUMMYFUNCTION("""COMPUTED_VALUE"""),4.97329)</f>
        <v>4.97329</v>
      </c>
    </row>
    <row r="5305">
      <c r="D5305" s="6">
        <f>IFERROR(__xludf.DUMMYFUNCTION("""COMPUTED_VALUE"""),45600.99861111111)</f>
        <v>45600.99861</v>
      </c>
      <c r="E5305" s="3">
        <f>IFERROR(__xludf.DUMMYFUNCTION("""COMPUTED_VALUE"""),4.9747)</f>
        <v>4.9747</v>
      </c>
    </row>
    <row r="5306">
      <c r="D5306" s="6">
        <f>IFERROR(__xludf.DUMMYFUNCTION("""COMPUTED_VALUE"""),45601.99861111111)</f>
        <v>45601.99861</v>
      </c>
      <c r="E5306" s="3">
        <f>IFERROR(__xludf.DUMMYFUNCTION("""COMPUTED_VALUE"""),4.97547)</f>
        <v>4.97547</v>
      </c>
    </row>
    <row r="5307">
      <c r="D5307" s="6">
        <f>IFERROR(__xludf.DUMMYFUNCTION("""COMPUTED_VALUE"""),45602.99861111111)</f>
        <v>45602.99861</v>
      </c>
      <c r="E5307" s="3">
        <f>IFERROR(__xludf.DUMMYFUNCTION("""COMPUTED_VALUE"""),4.972)</f>
        <v>4.972</v>
      </c>
    </row>
    <row r="5308">
      <c r="D5308" s="6">
        <f>IFERROR(__xludf.DUMMYFUNCTION("""COMPUTED_VALUE"""),45603.99861111111)</f>
        <v>45603.99861</v>
      </c>
      <c r="E5308" s="3">
        <f>IFERROR(__xludf.DUMMYFUNCTION("""COMPUTED_VALUE"""),4.9757)</f>
        <v>4.9757</v>
      </c>
    </row>
    <row r="5309">
      <c r="D5309" s="6">
        <f>IFERROR(__xludf.DUMMYFUNCTION("""COMPUTED_VALUE"""),45604.99861111111)</f>
        <v>45604.99861</v>
      </c>
      <c r="E5309" s="3">
        <f>IFERROR(__xludf.DUMMYFUNCTION("""COMPUTED_VALUE"""),4.9725)</f>
        <v>4.9725</v>
      </c>
    </row>
    <row r="5310">
      <c r="D5310" s="6">
        <f>IFERROR(__xludf.DUMMYFUNCTION("""COMPUTED_VALUE"""),45606.99861111111)</f>
        <v>45606.99861</v>
      </c>
      <c r="E5310" s="3">
        <f>IFERROR(__xludf.DUMMYFUNCTION("""COMPUTED_VALUE"""),4.97485)</f>
        <v>4.97485</v>
      </c>
    </row>
    <row r="5311">
      <c r="D5311" s="6">
        <f>IFERROR(__xludf.DUMMYFUNCTION("""COMPUTED_VALUE"""),45607.99861111111)</f>
        <v>45607.99861</v>
      </c>
      <c r="E5311" s="3">
        <f>IFERROR(__xludf.DUMMYFUNCTION("""COMPUTED_VALUE"""),4.9756)</f>
        <v>4.9756</v>
      </c>
    </row>
    <row r="5312">
      <c r="D5312" s="6">
        <f>IFERROR(__xludf.DUMMYFUNCTION("""COMPUTED_VALUE"""),45608.99861111111)</f>
        <v>45608.99861</v>
      </c>
      <c r="E5312" s="3">
        <f>IFERROR(__xludf.DUMMYFUNCTION("""COMPUTED_VALUE"""),4.97542)</f>
        <v>4.97542</v>
      </c>
    </row>
    <row r="5313">
      <c r="D5313" s="6">
        <f>IFERROR(__xludf.DUMMYFUNCTION("""COMPUTED_VALUE"""),45609.99861111111)</f>
        <v>45609.99861</v>
      </c>
      <c r="E5313" s="3">
        <f>IFERROR(__xludf.DUMMYFUNCTION("""COMPUTED_VALUE"""),4.9761)</f>
        <v>4.9761</v>
      </c>
    </row>
    <row r="5314">
      <c r="D5314" s="6">
        <f>IFERROR(__xludf.DUMMYFUNCTION("""COMPUTED_VALUE"""),45610.99861111111)</f>
        <v>45610.99861</v>
      </c>
      <c r="E5314" s="3">
        <f>IFERROR(__xludf.DUMMYFUNCTION("""COMPUTED_VALUE"""),4.97565)</f>
        <v>4.97565</v>
      </c>
    </row>
    <row r="5315">
      <c r="D5315" s="6">
        <f>IFERROR(__xludf.DUMMYFUNCTION("""COMPUTED_VALUE"""),45611.99861111111)</f>
        <v>45611.99861</v>
      </c>
      <c r="E5315" s="3">
        <f>IFERROR(__xludf.DUMMYFUNCTION("""COMPUTED_VALUE"""),4.97643)</f>
        <v>4.97643</v>
      </c>
    </row>
    <row r="5316">
      <c r="D5316" s="6">
        <f>IFERROR(__xludf.DUMMYFUNCTION("""COMPUTED_VALUE"""),45613.99861111111)</f>
        <v>45613.99861</v>
      </c>
      <c r="E5316" s="3">
        <f>IFERROR(__xludf.DUMMYFUNCTION("""COMPUTED_VALUE"""),4.97643)</f>
        <v>4.97643</v>
      </c>
    </row>
    <row r="5317">
      <c r="D5317" s="6">
        <f>IFERROR(__xludf.DUMMYFUNCTION("""COMPUTED_VALUE"""),45614.99861111111)</f>
        <v>45614.99861</v>
      </c>
      <c r="E5317" s="3">
        <f>IFERROR(__xludf.DUMMYFUNCTION("""COMPUTED_VALUE"""),4.97597)</f>
        <v>4.97597</v>
      </c>
    </row>
    <row r="5318">
      <c r="D5318" s="6">
        <f>IFERROR(__xludf.DUMMYFUNCTION("""COMPUTED_VALUE"""),45615.99861111111)</f>
        <v>45615.99861</v>
      </c>
      <c r="E5318" s="3">
        <f>IFERROR(__xludf.DUMMYFUNCTION("""COMPUTED_VALUE"""),4.97632)</f>
        <v>4.97632</v>
      </c>
    </row>
    <row r="5319">
      <c r="D5319" s="6">
        <f>IFERROR(__xludf.DUMMYFUNCTION("""COMPUTED_VALUE"""),45616.99861111111)</f>
        <v>45616.99861</v>
      </c>
      <c r="E5319" s="3">
        <f>IFERROR(__xludf.DUMMYFUNCTION("""COMPUTED_VALUE"""),4.97626)</f>
        <v>4.97626</v>
      </c>
    </row>
    <row r="5320">
      <c r="D5320" s="6">
        <f>IFERROR(__xludf.DUMMYFUNCTION("""COMPUTED_VALUE"""),45617.99861111111)</f>
        <v>45617.99861</v>
      </c>
      <c r="E5320" s="3">
        <f>IFERROR(__xludf.DUMMYFUNCTION("""COMPUTED_VALUE"""),4.9762)</f>
        <v>4.9762</v>
      </c>
    </row>
    <row r="5321">
      <c r="D5321" s="6">
        <f>IFERROR(__xludf.DUMMYFUNCTION("""COMPUTED_VALUE"""),45618.99861111111)</f>
        <v>45618.99861</v>
      </c>
      <c r="E5321" s="3">
        <f>IFERROR(__xludf.DUMMYFUNCTION("""COMPUTED_VALUE"""),4.97618)</f>
        <v>4.97618</v>
      </c>
    </row>
    <row r="5322">
      <c r="D5322" s="6">
        <f>IFERROR(__xludf.DUMMYFUNCTION("""COMPUTED_VALUE"""),45620.99861111111)</f>
        <v>45620.99861</v>
      </c>
      <c r="E5322" s="3">
        <f>IFERROR(__xludf.DUMMYFUNCTION("""COMPUTED_VALUE"""),4.97618)</f>
        <v>4.97618</v>
      </c>
    </row>
    <row r="5323">
      <c r="D5323" s="6">
        <f>IFERROR(__xludf.DUMMYFUNCTION("""COMPUTED_VALUE"""),45621.99861111111)</f>
        <v>45621.99861</v>
      </c>
      <c r="E5323" s="3">
        <f>IFERROR(__xludf.DUMMYFUNCTION("""COMPUTED_VALUE"""),4.9762)</f>
        <v>4.9762</v>
      </c>
    </row>
    <row r="5324">
      <c r="D5324" s="6">
        <f>IFERROR(__xludf.DUMMYFUNCTION("""COMPUTED_VALUE"""),45622.99861111111)</f>
        <v>45622.99861</v>
      </c>
      <c r="E5324" s="3">
        <f>IFERROR(__xludf.DUMMYFUNCTION("""COMPUTED_VALUE"""),4.9764)</f>
        <v>4.9764</v>
      </c>
    </row>
    <row r="5325">
      <c r="D5325" s="6">
        <f>IFERROR(__xludf.DUMMYFUNCTION("""COMPUTED_VALUE"""),45623.99861111111)</f>
        <v>45623.99861</v>
      </c>
      <c r="E5325" s="3">
        <f>IFERROR(__xludf.DUMMYFUNCTION("""COMPUTED_VALUE"""),4.97631)</f>
        <v>4.97631</v>
      </c>
    </row>
    <row r="5326">
      <c r="D5326" s="6">
        <f>IFERROR(__xludf.DUMMYFUNCTION("""COMPUTED_VALUE"""),45624.99861111111)</f>
        <v>45624.99861</v>
      </c>
      <c r="E5326" s="3">
        <f>IFERROR(__xludf.DUMMYFUNCTION("""COMPUTED_VALUE"""),4.9767)</f>
        <v>4.9767</v>
      </c>
    </row>
    <row r="5327">
      <c r="D5327" s="6">
        <f>IFERROR(__xludf.DUMMYFUNCTION("""COMPUTED_VALUE"""),45625.99861111111)</f>
        <v>45625.99861</v>
      </c>
      <c r="E5327" s="3">
        <f>IFERROR(__xludf.DUMMYFUNCTION("""COMPUTED_VALUE"""),4.97611)</f>
        <v>4.97611</v>
      </c>
    </row>
    <row r="5328">
      <c r="D5328" s="6">
        <f>IFERROR(__xludf.DUMMYFUNCTION("""COMPUTED_VALUE"""),45627.99861111111)</f>
        <v>45627.99861</v>
      </c>
      <c r="E5328" s="3">
        <f>IFERROR(__xludf.DUMMYFUNCTION("""COMPUTED_VALUE"""),4.97611)</f>
        <v>4.97611</v>
      </c>
    </row>
    <row r="5329">
      <c r="D5329" s="6">
        <f>IFERROR(__xludf.DUMMYFUNCTION("""COMPUTED_VALUE"""),45628.99861111111)</f>
        <v>45628.99861</v>
      </c>
      <c r="E5329" s="3">
        <f>IFERROR(__xludf.DUMMYFUNCTION("""COMPUTED_VALUE"""),4.977)</f>
        <v>4.977</v>
      </c>
    </row>
    <row r="5330">
      <c r="D5330" s="6">
        <f>IFERROR(__xludf.DUMMYFUNCTION("""COMPUTED_VALUE"""),45629.99861111111)</f>
        <v>45629.99861</v>
      </c>
      <c r="E5330" s="3">
        <f>IFERROR(__xludf.DUMMYFUNCTION("""COMPUTED_VALUE"""),4.9768)</f>
        <v>4.9768</v>
      </c>
    </row>
    <row r="5331">
      <c r="D5331" s="6">
        <f>IFERROR(__xludf.DUMMYFUNCTION("""COMPUTED_VALUE"""),45630.99861111111)</f>
        <v>45630.99861</v>
      </c>
      <c r="E5331" s="3">
        <f>IFERROR(__xludf.DUMMYFUNCTION("""COMPUTED_VALUE"""),4.97637)</f>
        <v>4.97637</v>
      </c>
    </row>
    <row r="5332">
      <c r="D5332" s="6">
        <f>IFERROR(__xludf.DUMMYFUNCTION("""COMPUTED_VALUE"""),45631.99861111111)</f>
        <v>45631.99861</v>
      </c>
      <c r="E5332" s="3">
        <f>IFERROR(__xludf.DUMMYFUNCTION("""COMPUTED_VALUE"""),4.9725)</f>
        <v>4.9725</v>
      </c>
    </row>
    <row r="5333">
      <c r="D5333" s="6">
        <f>IFERROR(__xludf.DUMMYFUNCTION("""COMPUTED_VALUE"""),45632.99861111111)</f>
        <v>45632.99861</v>
      </c>
      <c r="E5333" s="3">
        <f>IFERROR(__xludf.DUMMYFUNCTION("""COMPUTED_VALUE"""),4.9657)</f>
        <v>4.9657</v>
      </c>
    </row>
    <row r="5334">
      <c r="D5334" s="6">
        <f>IFERROR(__xludf.DUMMYFUNCTION("""COMPUTED_VALUE"""),45635.99861111111)</f>
        <v>45635.99861</v>
      </c>
      <c r="E5334" s="3">
        <f>IFERROR(__xludf.DUMMYFUNCTION("""COMPUTED_VALUE"""),4.9711)</f>
        <v>4.9711</v>
      </c>
    </row>
    <row r="5335">
      <c r="D5335" s="6">
        <f>IFERROR(__xludf.DUMMYFUNCTION("""COMPUTED_VALUE"""),45636.99861111111)</f>
        <v>45636.99861</v>
      </c>
      <c r="E5335" s="3">
        <f>IFERROR(__xludf.DUMMYFUNCTION("""COMPUTED_VALUE"""),4.97036)</f>
        <v>4.97036</v>
      </c>
    </row>
    <row r="5336">
      <c r="D5336" s="6">
        <f>IFERROR(__xludf.DUMMYFUNCTION("""COMPUTED_VALUE"""),45637.99861111111)</f>
        <v>45637.99861</v>
      </c>
      <c r="E5336" s="3">
        <f>IFERROR(__xludf.DUMMYFUNCTION("""COMPUTED_VALUE"""),4.96636)</f>
        <v>4.96636</v>
      </c>
    </row>
    <row r="5337">
      <c r="D5337" s="6">
        <f>IFERROR(__xludf.DUMMYFUNCTION("""COMPUTED_VALUE"""),45638.99861111111)</f>
        <v>45638.99861</v>
      </c>
      <c r="E5337" s="3">
        <f>IFERROR(__xludf.DUMMYFUNCTION("""COMPUTED_VALUE"""),4.97049)</f>
        <v>4.97049</v>
      </c>
    </row>
    <row r="5338">
      <c r="D5338" s="6">
        <f>IFERROR(__xludf.DUMMYFUNCTION("""COMPUTED_VALUE"""),45639.99861111111)</f>
        <v>45639.99861</v>
      </c>
      <c r="E5338" s="3">
        <f>IFERROR(__xludf.DUMMYFUNCTION("""COMPUTED_VALUE"""),4.97406)</f>
        <v>4.97406</v>
      </c>
    </row>
    <row r="5339">
      <c r="D5339" s="6">
        <f>IFERROR(__xludf.DUMMYFUNCTION("""COMPUTED_VALUE"""),45642.99861111111)</f>
        <v>45642.99861</v>
      </c>
      <c r="E5339" s="3">
        <f>IFERROR(__xludf.DUMMYFUNCTION("""COMPUTED_VALUE"""),4.97383)</f>
        <v>4.97383</v>
      </c>
    </row>
    <row r="5340">
      <c r="D5340" s="6">
        <f>IFERROR(__xludf.DUMMYFUNCTION("""COMPUTED_VALUE"""),45643.99861111111)</f>
        <v>45643.99861</v>
      </c>
      <c r="E5340" s="3">
        <f>IFERROR(__xludf.DUMMYFUNCTION("""COMPUTED_VALUE"""),4.97487)</f>
        <v>4.97487</v>
      </c>
    </row>
    <row r="5341">
      <c r="D5341" s="6">
        <f>IFERROR(__xludf.DUMMYFUNCTION("""COMPUTED_VALUE"""),45644.99861111111)</f>
        <v>45644.99861</v>
      </c>
      <c r="E5341" s="3">
        <f>IFERROR(__xludf.DUMMYFUNCTION("""COMPUTED_VALUE"""),4.97288)</f>
        <v>4.97288</v>
      </c>
    </row>
    <row r="5342">
      <c r="D5342" s="6">
        <f>IFERROR(__xludf.DUMMYFUNCTION("""COMPUTED_VALUE"""),45645.99861111111)</f>
        <v>45645.99861</v>
      </c>
      <c r="E5342" s="3">
        <f>IFERROR(__xludf.DUMMYFUNCTION("""COMPUTED_VALUE"""),4.97546)</f>
        <v>4.97546</v>
      </c>
    </row>
    <row r="5343">
      <c r="D5343" s="6">
        <f>IFERROR(__xludf.DUMMYFUNCTION("""COMPUTED_VALUE"""),45646.99861111111)</f>
        <v>45646.99861</v>
      </c>
      <c r="E5343" s="3">
        <f>IFERROR(__xludf.DUMMYFUNCTION("""COMPUTED_VALUE"""),4.97518)</f>
        <v>4.97518</v>
      </c>
    </row>
    <row r="5344">
      <c r="D5344" s="6">
        <f>IFERROR(__xludf.DUMMYFUNCTION("""COMPUTED_VALUE"""),45649.99861111111)</f>
        <v>45649.99861</v>
      </c>
      <c r="E5344" s="3">
        <f>IFERROR(__xludf.DUMMYFUNCTION("""COMPUTED_VALUE"""),4.97524)</f>
        <v>4.97524</v>
      </c>
    </row>
    <row r="5345">
      <c r="D5345" s="6">
        <f>IFERROR(__xludf.DUMMYFUNCTION("""COMPUTED_VALUE"""),45650.99861111111)</f>
        <v>45650.99861</v>
      </c>
      <c r="E5345" s="3">
        <f>IFERROR(__xludf.DUMMYFUNCTION("""COMPUTED_VALUE"""),4.97187)</f>
        <v>4.97187</v>
      </c>
    </row>
    <row r="5346">
      <c r="D5346" s="6">
        <f>IFERROR(__xludf.DUMMYFUNCTION("""COMPUTED_VALUE"""),45651.99861111111)</f>
        <v>45651.99861</v>
      </c>
      <c r="E5346" s="3">
        <f>IFERROR(__xludf.DUMMYFUNCTION("""COMPUTED_VALUE"""),4.97056)</f>
        <v>4.97056</v>
      </c>
    </row>
    <row r="5347">
      <c r="D5347" s="6">
        <f>IFERROR(__xludf.DUMMYFUNCTION("""COMPUTED_VALUE"""),45652.99861111111)</f>
        <v>45652.99861</v>
      </c>
      <c r="E5347" s="3">
        <f>IFERROR(__xludf.DUMMYFUNCTION("""COMPUTED_VALUE"""),4.97317)</f>
        <v>4.97317</v>
      </c>
    </row>
    <row r="5348">
      <c r="D5348" s="6">
        <f>IFERROR(__xludf.DUMMYFUNCTION("""COMPUTED_VALUE"""),45653.99861111111)</f>
        <v>45653.99861</v>
      </c>
      <c r="E5348" s="3">
        <f>IFERROR(__xludf.DUMMYFUNCTION("""COMPUTED_VALUE"""),4.97567)</f>
        <v>4.97567</v>
      </c>
    </row>
    <row r="5349">
      <c r="D5349" s="6">
        <f>IFERROR(__xludf.DUMMYFUNCTION("""COMPUTED_VALUE"""),45656.99861111111)</f>
        <v>45656.99861</v>
      </c>
      <c r="E5349" s="3">
        <f>IFERROR(__xludf.DUMMYFUNCTION("""COMPUTED_VALUE"""),4.97382)</f>
        <v>4.97382</v>
      </c>
    </row>
    <row r="5350">
      <c r="D5350" s="6">
        <f>IFERROR(__xludf.DUMMYFUNCTION("""COMPUTED_VALUE"""),45657.99861111111)</f>
        <v>45657.99861</v>
      </c>
      <c r="E5350" s="3">
        <f>IFERROR(__xludf.DUMMYFUNCTION("""COMPUTED_VALUE"""),4.97473)</f>
        <v>4.97473</v>
      </c>
    </row>
    <row r="5351">
      <c r="D5351" s="6">
        <f>IFERROR(__xludf.DUMMYFUNCTION("""COMPUTED_VALUE"""),45658.99861111111)</f>
        <v>45658.99861</v>
      </c>
      <c r="E5351" s="3">
        <f>IFERROR(__xludf.DUMMYFUNCTION("""COMPUTED_VALUE"""),4.97382)</f>
        <v>4.97382</v>
      </c>
    </row>
    <row r="5352">
      <c r="D5352" s="6">
        <f>IFERROR(__xludf.DUMMYFUNCTION("""COMPUTED_VALUE"""),45659.99861111111)</f>
        <v>45659.99861</v>
      </c>
      <c r="E5352" s="3">
        <f>IFERROR(__xludf.DUMMYFUNCTION("""COMPUTED_VALUE"""),4.97392)</f>
        <v>4.97392</v>
      </c>
    </row>
    <row r="5353">
      <c r="D5353" s="6">
        <f>IFERROR(__xludf.DUMMYFUNCTION("""COMPUTED_VALUE"""),45660.99861111111)</f>
        <v>45660.99861</v>
      </c>
      <c r="E5353" s="3">
        <f>IFERROR(__xludf.DUMMYFUNCTION("""COMPUTED_VALUE"""),4.97442)</f>
        <v>4.97442</v>
      </c>
    </row>
    <row r="5354">
      <c r="D5354" s="6">
        <f>IFERROR(__xludf.DUMMYFUNCTION("""COMPUTED_VALUE"""),45663.99861111111)</f>
        <v>45663.99861</v>
      </c>
      <c r="E5354" s="3">
        <f>IFERROR(__xludf.DUMMYFUNCTION("""COMPUTED_VALUE"""),4.906)</f>
        <v>4.906</v>
      </c>
    </row>
    <row r="5355">
      <c r="D5355" s="6">
        <f>IFERROR(__xludf.DUMMYFUNCTION("""COMPUTED_VALUE"""),45664.99861111111)</f>
        <v>45664.99861</v>
      </c>
      <c r="E5355" s="3">
        <f>IFERROR(__xludf.DUMMYFUNCTION("""COMPUTED_VALUE"""),4.969)</f>
        <v>4.969</v>
      </c>
    </row>
    <row r="5356">
      <c r="D5356" s="6">
        <f>IFERROR(__xludf.DUMMYFUNCTION("""COMPUTED_VALUE"""),45665.99861111111)</f>
        <v>45665.99861</v>
      </c>
      <c r="E5356" s="3">
        <f>IFERROR(__xludf.DUMMYFUNCTION("""COMPUTED_VALUE"""),4.97132)</f>
        <v>4.97132</v>
      </c>
    </row>
    <row r="5357">
      <c r="D5357" s="6">
        <f>IFERROR(__xludf.DUMMYFUNCTION("""COMPUTED_VALUE"""),45666.99861111111)</f>
        <v>45666.99861</v>
      </c>
      <c r="E5357" s="3">
        <f>IFERROR(__xludf.DUMMYFUNCTION("""COMPUTED_VALUE"""),4.97278)</f>
        <v>4.97278</v>
      </c>
    </row>
    <row r="5358">
      <c r="D5358" s="6">
        <f>IFERROR(__xludf.DUMMYFUNCTION("""COMPUTED_VALUE"""),45667.99861111111)</f>
        <v>45667.99861</v>
      </c>
      <c r="E5358" s="3">
        <f>IFERROR(__xludf.DUMMYFUNCTION("""COMPUTED_VALUE"""),4.97397)</f>
        <v>4.97397</v>
      </c>
    </row>
    <row r="5359">
      <c r="D5359" s="6">
        <f>IFERROR(__xludf.DUMMYFUNCTION("""COMPUTED_VALUE"""),45670.99861111111)</f>
        <v>45670.99861</v>
      </c>
      <c r="E5359" s="3">
        <f>IFERROR(__xludf.DUMMYFUNCTION("""COMPUTED_VALUE"""),4.97174)</f>
        <v>4.97174</v>
      </c>
    </row>
    <row r="5360">
      <c r="D5360" s="6">
        <f>IFERROR(__xludf.DUMMYFUNCTION("""COMPUTED_VALUE"""),45671.99861111111)</f>
        <v>45671.99861</v>
      </c>
      <c r="E5360" s="3">
        <f>IFERROR(__xludf.DUMMYFUNCTION("""COMPUTED_VALUE"""),4.97403)</f>
        <v>4.97403</v>
      </c>
    </row>
    <row r="5361">
      <c r="D5361" s="6">
        <f>IFERROR(__xludf.DUMMYFUNCTION("""COMPUTED_VALUE"""),45672.99861111111)</f>
        <v>45672.99861</v>
      </c>
      <c r="E5361" s="3">
        <f>IFERROR(__xludf.DUMMYFUNCTION("""COMPUTED_VALUE"""),4.97375)</f>
        <v>4.97375</v>
      </c>
    </row>
    <row r="5362">
      <c r="D5362" s="6">
        <f>IFERROR(__xludf.DUMMYFUNCTION("""COMPUTED_VALUE"""),45673.99861111111)</f>
        <v>45673.99861</v>
      </c>
      <c r="E5362" s="3">
        <f>IFERROR(__xludf.DUMMYFUNCTION("""COMPUTED_VALUE"""),4.97509)</f>
        <v>4.97509</v>
      </c>
    </row>
    <row r="5363">
      <c r="D5363" s="6">
        <f>IFERROR(__xludf.DUMMYFUNCTION("""COMPUTED_VALUE"""),45674.99861111111)</f>
        <v>45674.99861</v>
      </c>
      <c r="E5363" s="3">
        <f>IFERROR(__xludf.DUMMYFUNCTION("""COMPUTED_VALUE"""),4.97607)</f>
        <v>4.97607</v>
      </c>
    </row>
    <row r="5364">
      <c r="D5364" s="6">
        <f>IFERROR(__xludf.DUMMYFUNCTION("""COMPUTED_VALUE"""),45677.99861111111)</f>
        <v>45677.99861</v>
      </c>
      <c r="E5364" s="3">
        <f>IFERROR(__xludf.DUMMYFUNCTION("""COMPUTED_VALUE"""),4.9754)</f>
        <v>4.9754</v>
      </c>
    </row>
    <row r="5365">
      <c r="D5365" s="6">
        <f>IFERROR(__xludf.DUMMYFUNCTION("""COMPUTED_VALUE"""),45678.99861111111)</f>
        <v>45678.99861</v>
      </c>
      <c r="E5365" s="3">
        <f>IFERROR(__xludf.DUMMYFUNCTION("""COMPUTED_VALUE"""),4.974)</f>
        <v>4.974</v>
      </c>
    </row>
    <row r="5366">
      <c r="D5366" s="6">
        <f>IFERROR(__xludf.DUMMYFUNCTION("""COMPUTED_VALUE"""),45679.99861111111)</f>
        <v>45679.99861</v>
      </c>
      <c r="E5366" s="3">
        <f>IFERROR(__xludf.DUMMYFUNCTION("""COMPUTED_VALUE"""),4.974)</f>
        <v>4.974</v>
      </c>
    </row>
    <row r="5367">
      <c r="D5367" s="6">
        <f>IFERROR(__xludf.DUMMYFUNCTION("""COMPUTED_VALUE"""),45680.99861111111)</f>
        <v>45680.99861</v>
      </c>
      <c r="E5367" s="3">
        <f>IFERROR(__xludf.DUMMYFUNCTION("""COMPUTED_VALUE"""),4.97514)</f>
        <v>4.97514</v>
      </c>
    </row>
    <row r="5368">
      <c r="D5368" s="6">
        <f>IFERROR(__xludf.DUMMYFUNCTION("""COMPUTED_VALUE"""),45681.99861111111)</f>
        <v>45681.99861</v>
      </c>
      <c r="E5368" s="3">
        <f>IFERROR(__xludf.DUMMYFUNCTION("""COMPUTED_VALUE"""),4.97518)</f>
        <v>4.97518</v>
      </c>
    </row>
    <row r="5369">
      <c r="D5369" s="6">
        <f>IFERROR(__xludf.DUMMYFUNCTION("""COMPUTED_VALUE"""),45683.99861111111)</f>
        <v>45683.99861</v>
      </c>
      <c r="E5369" s="3">
        <f>IFERROR(__xludf.DUMMYFUNCTION("""COMPUTED_VALUE"""),4.9753)</f>
        <v>4.9753</v>
      </c>
    </row>
    <row r="5370">
      <c r="D5370" s="6">
        <f>IFERROR(__xludf.DUMMYFUNCTION("""COMPUTED_VALUE"""),45684.99861111111)</f>
        <v>45684.99861</v>
      </c>
      <c r="E5370" s="3">
        <f>IFERROR(__xludf.DUMMYFUNCTION("""COMPUTED_VALUE"""),4.9741)</f>
        <v>4.9741</v>
      </c>
    </row>
    <row r="5371">
      <c r="D5371" s="6">
        <f>IFERROR(__xludf.DUMMYFUNCTION("""COMPUTED_VALUE"""),45685.99861111111)</f>
        <v>45685.99861</v>
      </c>
      <c r="E5371" s="3">
        <f>IFERROR(__xludf.DUMMYFUNCTION("""COMPUTED_VALUE"""),4.97419)</f>
        <v>4.97419</v>
      </c>
    </row>
    <row r="5372">
      <c r="D5372" s="6">
        <f>IFERROR(__xludf.DUMMYFUNCTION("""COMPUTED_VALUE"""),45686.99861111111)</f>
        <v>45686.99861</v>
      </c>
      <c r="E5372" s="3">
        <f>IFERROR(__xludf.DUMMYFUNCTION("""COMPUTED_VALUE"""),4.97466)</f>
        <v>4.97466</v>
      </c>
    </row>
    <row r="5373">
      <c r="D5373" s="6">
        <f>IFERROR(__xludf.DUMMYFUNCTION("""COMPUTED_VALUE"""),45687.99861111111)</f>
        <v>45687.99861</v>
      </c>
      <c r="E5373" s="3">
        <f>IFERROR(__xludf.DUMMYFUNCTION("""COMPUTED_VALUE"""),4.97559)</f>
        <v>4.97559</v>
      </c>
    </row>
    <row r="5374">
      <c r="D5374" s="6">
        <f>IFERROR(__xludf.DUMMYFUNCTION("""COMPUTED_VALUE"""),45688.99861111111)</f>
        <v>45688.99861</v>
      </c>
      <c r="E5374" s="3">
        <f>IFERROR(__xludf.DUMMYFUNCTION("""COMPUTED_VALUE"""),4.97598)</f>
        <v>4.97598</v>
      </c>
    </row>
    <row r="5375">
      <c r="D5375" s="6">
        <f>IFERROR(__xludf.DUMMYFUNCTION("""COMPUTED_VALUE"""),45690.99861111111)</f>
        <v>45690.99861</v>
      </c>
      <c r="E5375" s="3">
        <f>IFERROR(__xludf.DUMMYFUNCTION("""COMPUTED_VALUE"""),4.97598)</f>
        <v>4.97598</v>
      </c>
    </row>
    <row r="5376">
      <c r="D5376" s="6">
        <f>IFERROR(__xludf.DUMMYFUNCTION("""COMPUTED_VALUE"""),45691.99861111111)</f>
        <v>45691.99861</v>
      </c>
      <c r="E5376" s="3">
        <f>IFERROR(__xludf.DUMMYFUNCTION("""COMPUTED_VALUE"""),4.97649)</f>
        <v>4.97649</v>
      </c>
    </row>
    <row r="5377">
      <c r="D5377" s="6">
        <f>IFERROR(__xludf.DUMMYFUNCTION("""COMPUTED_VALUE"""),45692.99861111111)</f>
        <v>45692.99861</v>
      </c>
      <c r="E5377" s="3">
        <f>IFERROR(__xludf.DUMMYFUNCTION("""COMPUTED_VALUE"""),4.9766)</f>
        <v>4.9766</v>
      </c>
    </row>
    <row r="5378">
      <c r="D5378" s="6">
        <f>IFERROR(__xludf.DUMMYFUNCTION("""COMPUTED_VALUE"""),45693.99861111111)</f>
        <v>45693.99861</v>
      </c>
      <c r="E5378" s="3">
        <f>IFERROR(__xludf.DUMMYFUNCTION("""COMPUTED_VALUE"""),4.97572)</f>
        <v>4.97572</v>
      </c>
    </row>
    <row r="5379">
      <c r="D5379" s="6">
        <f>IFERROR(__xludf.DUMMYFUNCTION("""COMPUTED_VALUE"""),45694.99861111111)</f>
        <v>45694.99861</v>
      </c>
      <c r="E5379" s="3">
        <f>IFERROR(__xludf.DUMMYFUNCTION("""COMPUTED_VALUE"""),4.964)</f>
        <v>4.964</v>
      </c>
    </row>
    <row r="5380">
      <c r="D5380" s="6">
        <f>IFERROR(__xludf.DUMMYFUNCTION("""COMPUTED_VALUE"""),45695.99861111111)</f>
        <v>45695.99861</v>
      </c>
      <c r="E5380" s="3">
        <f>IFERROR(__xludf.DUMMYFUNCTION("""COMPUTED_VALUE"""),4.97607)</f>
        <v>4.97607</v>
      </c>
    </row>
    <row r="5381">
      <c r="D5381" s="6">
        <f>IFERROR(__xludf.DUMMYFUNCTION("""COMPUTED_VALUE"""),45697.99861111111)</f>
        <v>45697.99861</v>
      </c>
      <c r="E5381" s="3">
        <f>IFERROR(__xludf.DUMMYFUNCTION("""COMPUTED_VALUE"""),4.97607)</f>
        <v>4.97607</v>
      </c>
    </row>
    <row r="5382">
      <c r="D5382" s="6">
        <f>IFERROR(__xludf.DUMMYFUNCTION("""COMPUTED_VALUE"""),45698.99861111111)</f>
        <v>45698.99861</v>
      </c>
      <c r="E5382" s="3">
        <f>IFERROR(__xludf.DUMMYFUNCTION("""COMPUTED_VALUE"""),4.964)</f>
        <v>4.964</v>
      </c>
    </row>
    <row r="5383">
      <c r="D5383" s="6">
        <f>IFERROR(__xludf.DUMMYFUNCTION("""COMPUTED_VALUE"""),45699.99861111111)</f>
        <v>45699.99861</v>
      </c>
      <c r="E5383" s="3">
        <f>IFERROR(__xludf.DUMMYFUNCTION("""COMPUTED_VALUE"""),4.97624)</f>
        <v>4.97624</v>
      </c>
    </row>
    <row r="5384">
      <c r="D5384" s="6">
        <f>IFERROR(__xludf.DUMMYFUNCTION("""COMPUTED_VALUE"""),45700.99861111111)</f>
        <v>45700.99861</v>
      </c>
      <c r="E5384" s="3">
        <f>IFERROR(__xludf.DUMMYFUNCTION("""COMPUTED_VALUE"""),4.9765)</f>
        <v>4.9765</v>
      </c>
    </row>
    <row r="5385">
      <c r="D5385" s="6">
        <f>IFERROR(__xludf.DUMMYFUNCTION("""COMPUTED_VALUE"""),45701.99861111111)</f>
        <v>45701.99861</v>
      </c>
      <c r="E5385" s="3">
        <f>IFERROR(__xludf.DUMMYFUNCTION("""COMPUTED_VALUE"""),4.9763)</f>
        <v>4.9763</v>
      </c>
    </row>
    <row r="5386">
      <c r="D5386" s="6">
        <f>IFERROR(__xludf.DUMMYFUNCTION("""COMPUTED_VALUE"""),45702.99861111111)</f>
        <v>45702.99861</v>
      </c>
      <c r="E5386" s="3">
        <f>IFERROR(__xludf.DUMMYFUNCTION("""COMPUTED_VALUE"""),4.9766)</f>
        <v>4.9766</v>
      </c>
    </row>
    <row r="5387">
      <c r="D5387" s="6">
        <f>IFERROR(__xludf.DUMMYFUNCTION("""COMPUTED_VALUE"""),45704.99861111111)</f>
        <v>45704.99861</v>
      </c>
      <c r="E5387" s="3">
        <f>IFERROR(__xludf.DUMMYFUNCTION("""COMPUTED_VALUE"""),4.9766)</f>
        <v>4.9766</v>
      </c>
    </row>
    <row r="5388">
      <c r="D5388" s="6">
        <f>IFERROR(__xludf.DUMMYFUNCTION("""COMPUTED_VALUE"""),45705.99861111111)</f>
        <v>45705.99861</v>
      </c>
      <c r="E5388" s="3">
        <f>IFERROR(__xludf.DUMMYFUNCTION("""COMPUTED_VALUE"""),4.9765)</f>
        <v>4.9765</v>
      </c>
    </row>
    <row r="5389">
      <c r="D5389" s="6">
        <f>IFERROR(__xludf.DUMMYFUNCTION("""COMPUTED_VALUE"""),45706.99861111111)</f>
        <v>45706.99861</v>
      </c>
      <c r="E5389" s="3">
        <f>IFERROR(__xludf.DUMMYFUNCTION("""COMPUTED_VALUE"""),4.972)</f>
        <v>4.972</v>
      </c>
    </row>
    <row r="5390">
      <c r="D5390" s="6">
        <f>IFERROR(__xludf.DUMMYFUNCTION("""COMPUTED_VALUE"""),45707.99861111111)</f>
        <v>45707.99861</v>
      </c>
      <c r="E5390" s="3">
        <f>IFERROR(__xludf.DUMMYFUNCTION("""COMPUTED_VALUE"""),4.9768)</f>
        <v>4.9768</v>
      </c>
    </row>
    <row r="5391">
      <c r="D5391" s="6">
        <f>IFERROR(__xludf.DUMMYFUNCTION("""COMPUTED_VALUE"""),45708.99861111111)</f>
        <v>45708.99861</v>
      </c>
      <c r="E5391" s="3">
        <f>IFERROR(__xludf.DUMMYFUNCTION("""COMPUTED_VALUE"""),4.9763)</f>
        <v>4.9763</v>
      </c>
    </row>
    <row r="5392">
      <c r="D5392" s="6">
        <f>IFERROR(__xludf.DUMMYFUNCTION("""COMPUTED_VALUE"""),45709.99861111111)</f>
        <v>45709.99861</v>
      </c>
      <c r="E5392" s="3">
        <f>IFERROR(__xludf.DUMMYFUNCTION("""COMPUTED_VALUE"""),4.974)</f>
        <v>4.974</v>
      </c>
    </row>
    <row r="5393">
      <c r="D5393" s="6">
        <f>IFERROR(__xludf.DUMMYFUNCTION("""COMPUTED_VALUE"""),45711.99861111111)</f>
        <v>45711.99861</v>
      </c>
      <c r="E5393" s="3">
        <f>IFERROR(__xludf.DUMMYFUNCTION("""COMPUTED_VALUE"""),4.97764)</f>
        <v>4.97764</v>
      </c>
    </row>
    <row r="5394">
      <c r="D5394" s="6">
        <f>IFERROR(__xludf.DUMMYFUNCTION("""COMPUTED_VALUE"""),45712.99861111111)</f>
        <v>45712.99861</v>
      </c>
      <c r="E5394" s="3">
        <f>IFERROR(__xludf.DUMMYFUNCTION("""COMPUTED_VALUE"""),4.97681)</f>
        <v>4.97681</v>
      </c>
    </row>
    <row r="5395">
      <c r="D5395" s="6">
        <f>IFERROR(__xludf.DUMMYFUNCTION("""COMPUTED_VALUE"""),45713.99861111111)</f>
        <v>45713.99861</v>
      </c>
      <c r="E5395" s="3">
        <f>IFERROR(__xludf.DUMMYFUNCTION("""COMPUTED_VALUE"""),4.977)</f>
        <v>4.977</v>
      </c>
    </row>
    <row r="5396">
      <c r="D5396" s="6">
        <f>IFERROR(__xludf.DUMMYFUNCTION("""COMPUTED_VALUE"""),45714.99861111111)</f>
        <v>45714.99861</v>
      </c>
      <c r="E5396" s="3">
        <f>IFERROR(__xludf.DUMMYFUNCTION("""COMPUTED_VALUE"""),4.9769)</f>
        <v>4.9769</v>
      </c>
    </row>
    <row r="5397">
      <c r="D5397" s="6">
        <f>IFERROR(__xludf.DUMMYFUNCTION("""COMPUTED_VALUE"""),45715.99861111111)</f>
        <v>45715.99861</v>
      </c>
      <c r="E5397" s="3">
        <f>IFERROR(__xludf.DUMMYFUNCTION("""COMPUTED_VALUE"""),4.9749)</f>
        <v>4.9749</v>
      </c>
    </row>
    <row r="5398">
      <c r="D5398" s="6">
        <f>IFERROR(__xludf.DUMMYFUNCTION("""COMPUTED_VALUE"""),45716.99861111111)</f>
        <v>45716.99861</v>
      </c>
      <c r="E5398" s="3">
        <f>IFERROR(__xludf.DUMMYFUNCTION("""COMPUTED_VALUE"""),4.9725)</f>
        <v>4.9725</v>
      </c>
    </row>
    <row r="5399">
      <c r="D5399" s="6">
        <f>IFERROR(__xludf.DUMMYFUNCTION("""COMPUTED_VALUE"""),45718.99861111111)</f>
        <v>45718.99861</v>
      </c>
      <c r="E5399" s="3">
        <f>IFERROR(__xludf.DUMMYFUNCTION("""COMPUTED_VALUE"""),4.97689)</f>
        <v>4.97689</v>
      </c>
    </row>
    <row r="5400">
      <c r="D5400" s="6">
        <f>IFERROR(__xludf.DUMMYFUNCTION("""COMPUTED_VALUE"""),45719.99861111111)</f>
        <v>45719.99861</v>
      </c>
      <c r="E5400" s="3">
        <f>IFERROR(__xludf.DUMMYFUNCTION("""COMPUTED_VALUE"""),4.97646)</f>
        <v>4.97646</v>
      </c>
    </row>
    <row r="5401">
      <c r="D5401" s="6">
        <f>IFERROR(__xludf.DUMMYFUNCTION("""COMPUTED_VALUE"""),45720.99861111111)</f>
        <v>45720.99861</v>
      </c>
      <c r="E5401" s="3">
        <f>IFERROR(__xludf.DUMMYFUNCTION("""COMPUTED_VALUE"""),4.97699)</f>
        <v>4.97699</v>
      </c>
    </row>
    <row r="5402">
      <c r="D5402" s="6">
        <f>IFERROR(__xludf.DUMMYFUNCTION("""COMPUTED_VALUE"""),45721.99861111111)</f>
        <v>45721.99861</v>
      </c>
      <c r="E5402" s="3">
        <f>IFERROR(__xludf.DUMMYFUNCTION("""COMPUTED_VALUE"""),4.974)</f>
        <v>4.974</v>
      </c>
    </row>
    <row r="5403">
      <c r="D5403" s="6">
        <f>IFERROR(__xludf.DUMMYFUNCTION("""COMPUTED_VALUE"""),45722.99861111111)</f>
        <v>45722.99861</v>
      </c>
      <c r="E5403" s="3">
        <f>IFERROR(__xludf.DUMMYFUNCTION("""COMPUTED_VALUE"""),4.97438)</f>
        <v>4.97438</v>
      </c>
    </row>
    <row r="5404">
      <c r="D5404" s="6">
        <f>IFERROR(__xludf.DUMMYFUNCTION("""COMPUTED_VALUE"""),45723.99861111111)</f>
        <v>45723.99861</v>
      </c>
      <c r="E5404" s="3">
        <f>IFERROR(__xludf.DUMMYFUNCTION("""COMPUTED_VALUE"""),4.97516)</f>
        <v>4.97516</v>
      </c>
    </row>
    <row r="5405">
      <c r="D5405" s="6">
        <f>IFERROR(__xludf.DUMMYFUNCTION("""COMPUTED_VALUE"""),45725.99861111111)</f>
        <v>45725.99861</v>
      </c>
      <c r="E5405" s="3">
        <f>IFERROR(__xludf.DUMMYFUNCTION("""COMPUTED_VALUE"""),4.97516)</f>
        <v>4.97516</v>
      </c>
    </row>
    <row r="5406">
      <c r="D5406" s="6">
        <f>IFERROR(__xludf.DUMMYFUNCTION("""COMPUTED_VALUE"""),45726.99861111111)</f>
        <v>45726.99861</v>
      </c>
      <c r="E5406" s="3">
        <f>IFERROR(__xludf.DUMMYFUNCTION("""COMPUTED_VALUE"""),4.974)</f>
        <v>4.974</v>
      </c>
    </row>
    <row r="5407">
      <c r="D5407" s="6">
        <f>IFERROR(__xludf.DUMMYFUNCTION("""COMPUTED_VALUE"""),45727.99861111111)</f>
        <v>45727.99861</v>
      </c>
      <c r="E5407" s="3">
        <f>IFERROR(__xludf.DUMMYFUNCTION("""COMPUTED_VALUE"""),4.9768)</f>
        <v>4.9768</v>
      </c>
    </row>
    <row r="5408">
      <c r="D5408" s="6">
        <f>IFERROR(__xludf.DUMMYFUNCTION("""COMPUTED_VALUE"""),45728.99861111111)</f>
        <v>45728.99861</v>
      </c>
      <c r="E5408" s="3">
        <f>IFERROR(__xludf.DUMMYFUNCTION("""COMPUTED_VALUE"""),4.97721)</f>
        <v>4.97721</v>
      </c>
    </row>
    <row r="5409">
      <c r="D5409" s="6">
        <f>IFERROR(__xludf.DUMMYFUNCTION("""COMPUTED_VALUE"""),45729.99861111111)</f>
        <v>45729.99861</v>
      </c>
      <c r="E5409" s="3">
        <f>IFERROR(__xludf.DUMMYFUNCTION("""COMPUTED_VALUE"""),4.97696)</f>
        <v>4.97696</v>
      </c>
    </row>
    <row r="5410">
      <c r="D5410" s="6">
        <f>IFERROR(__xludf.DUMMYFUNCTION("""COMPUTED_VALUE"""),45730.99861111111)</f>
        <v>45730.99861</v>
      </c>
      <c r="E5410" s="3">
        <f>IFERROR(__xludf.DUMMYFUNCTION("""COMPUTED_VALUE"""),4.9768)</f>
        <v>4.9768</v>
      </c>
    </row>
    <row r="5411">
      <c r="D5411" s="6">
        <f>IFERROR(__xludf.DUMMYFUNCTION("""COMPUTED_VALUE"""),45732.99861111111)</f>
        <v>45732.99861</v>
      </c>
      <c r="E5411" s="3">
        <f>IFERROR(__xludf.DUMMYFUNCTION("""COMPUTED_VALUE"""),4.9768)</f>
        <v>4.9768</v>
      </c>
    </row>
    <row r="5412">
      <c r="D5412" s="6">
        <f>IFERROR(__xludf.DUMMYFUNCTION("""COMPUTED_VALUE"""),45733.99861111111)</f>
        <v>45733.99861</v>
      </c>
      <c r="E5412" s="3">
        <f>IFERROR(__xludf.DUMMYFUNCTION("""COMPUTED_VALUE"""),4.97756)</f>
        <v>4.97756</v>
      </c>
    </row>
    <row r="5413">
      <c r="D5413" s="6">
        <f>IFERROR(__xludf.DUMMYFUNCTION("""COMPUTED_VALUE"""),45734.99861111111)</f>
        <v>45734.99861</v>
      </c>
      <c r="E5413" s="3">
        <f>IFERROR(__xludf.DUMMYFUNCTION("""COMPUTED_VALUE"""),4.9768)</f>
        <v>4.9768</v>
      </c>
    </row>
    <row r="5414">
      <c r="D5414" s="6">
        <f>IFERROR(__xludf.DUMMYFUNCTION("""COMPUTED_VALUE"""),45735.99861111111)</f>
        <v>45735.99861</v>
      </c>
      <c r="E5414" s="3">
        <f>IFERROR(__xludf.DUMMYFUNCTION("""COMPUTED_VALUE"""),4.97676)</f>
        <v>4.97676</v>
      </c>
    </row>
    <row r="5415">
      <c r="D5415" s="6">
        <f>IFERROR(__xludf.DUMMYFUNCTION("""COMPUTED_VALUE"""),45736.99861111111)</f>
        <v>45736.99861</v>
      </c>
      <c r="E5415" s="3">
        <f>IFERROR(__xludf.DUMMYFUNCTION("""COMPUTED_VALUE"""),4.97653)</f>
        <v>4.97653</v>
      </c>
    </row>
    <row r="5416">
      <c r="D5416" s="6">
        <f>IFERROR(__xludf.DUMMYFUNCTION("""COMPUTED_VALUE"""),45737.99861111111)</f>
        <v>45737.99861</v>
      </c>
      <c r="E5416" s="3">
        <f>IFERROR(__xludf.DUMMYFUNCTION("""COMPUTED_VALUE"""),4.9762)</f>
        <v>4.9762</v>
      </c>
    </row>
    <row r="5417">
      <c r="D5417" s="6">
        <f>IFERROR(__xludf.DUMMYFUNCTION("""COMPUTED_VALUE"""),45739.99861111111)</f>
        <v>45739.99861</v>
      </c>
      <c r="E5417" s="3">
        <f>IFERROR(__xludf.DUMMYFUNCTION("""COMPUTED_VALUE"""),4.9762)</f>
        <v>4.9762</v>
      </c>
    </row>
    <row r="5418">
      <c r="D5418" s="6">
        <f>IFERROR(__xludf.DUMMYFUNCTION("""COMPUTED_VALUE"""),45740.99861111111)</f>
        <v>45740.99861</v>
      </c>
      <c r="E5418" s="3">
        <f>IFERROR(__xludf.DUMMYFUNCTION("""COMPUTED_VALUE"""),4.97506)</f>
        <v>4.97506</v>
      </c>
    </row>
    <row r="5419">
      <c r="D5419" s="6">
        <f>IFERROR(__xludf.DUMMYFUNCTION("""COMPUTED_VALUE"""),45741.99861111111)</f>
        <v>45741.99861</v>
      </c>
      <c r="E5419" s="3">
        <f>IFERROR(__xludf.DUMMYFUNCTION("""COMPUTED_VALUE"""),4.97504)</f>
        <v>4.97504</v>
      </c>
    </row>
    <row r="5420">
      <c r="D5420" s="6">
        <f>IFERROR(__xludf.DUMMYFUNCTION("""COMPUTED_VALUE"""),45742.99861111111)</f>
        <v>45742.99861</v>
      </c>
      <c r="E5420" s="3">
        <f>IFERROR(__xludf.DUMMYFUNCTION("""COMPUTED_VALUE"""),4.97614)</f>
        <v>4.97614</v>
      </c>
    </row>
    <row r="5421">
      <c r="D5421" s="6">
        <f>IFERROR(__xludf.DUMMYFUNCTION("""COMPUTED_VALUE"""),45743.99861111111)</f>
        <v>45743.99861</v>
      </c>
      <c r="E5421" s="3">
        <f>IFERROR(__xludf.DUMMYFUNCTION("""COMPUTED_VALUE"""),4.976)</f>
        <v>4.976</v>
      </c>
    </row>
    <row r="5422">
      <c r="D5422" s="6">
        <f>IFERROR(__xludf.DUMMYFUNCTION("""COMPUTED_VALUE"""),45744.99861111111)</f>
        <v>45744.99861</v>
      </c>
      <c r="E5422" s="3">
        <f>IFERROR(__xludf.DUMMYFUNCTION("""COMPUTED_VALUE"""),4.97699)</f>
        <v>4.97699</v>
      </c>
    </row>
    <row r="5423">
      <c r="D5423" s="6">
        <f>IFERROR(__xludf.DUMMYFUNCTION("""COMPUTED_VALUE"""),45746.99861111111)</f>
        <v>45746.99861</v>
      </c>
      <c r="E5423" s="3">
        <f>IFERROR(__xludf.DUMMYFUNCTION("""COMPUTED_VALUE"""),4.97699)</f>
        <v>4.97699</v>
      </c>
    </row>
    <row r="5424">
      <c r="D5424" s="6">
        <f>IFERROR(__xludf.DUMMYFUNCTION("""COMPUTED_VALUE"""),45747.99861111111)</f>
        <v>45747.99861</v>
      </c>
      <c r="E5424" s="3">
        <f>IFERROR(__xludf.DUMMYFUNCTION("""COMPUTED_VALUE"""),4.9745)</f>
        <v>4.9745</v>
      </c>
    </row>
    <row r="5425">
      <c r="D5425" s="6">
        <f>IFERROR(__xludf.DUMMYFUNCTION("""COMPUTED_VALUE"""),45748.99861111111)</f>
        <v>45748.99861</v>
      </c>
      <c r="E5425" s="3">
        <f>IFERROR(__xludf.DUMMYFUNCTION("""COMPUTED_VALUE"""),4.97694)</f>
        <v>4.97694</v>
      </c>
    </row>
    <row r="5426">
      <c r="D5426" s="6">
        <f>IFERROR(__xludf.DUMMYFUNCTION("""COMPUTED_VALUE"""),45749.99861111111)</f>
        <v>45749.99861</v>
      </c>
      <c r="E5426" s="3">
        <f>IFERROR(__xludf.DUMMYFUNCTION("""COMPUTED_VALUE"""),4.97703)</f>
        <v>4.97703</v>
      </c>
    </row>
    <row r="5427">
      <c r="D5427" s="6">
        <f>IFERROR(__xludf.DUMMYFUNCTION("""COMPUTED_VALUE"""),45750.99861111111)</f>
        <v>45750.99861</v>
      </c>
      <c r="E5427" s="3">
        <f>IFERROR(__xludf.DUMMYFUNCTION("""COMPUTED_VALUE"""),4.9774)</f>
        <v>4.9774</v>
      </c>
    </row>
    <row r="5428">
      <c r="D5428" s="6">
        <f>IFERROR(__xludf.DUMMYFUNCTION("""COMPUTED_VALUE"""),45751.99861111111)</f>
        <v>45751.99861</v>
      </c>
      <c r="E5428" s="3">
        <f>IFERROR(__xludf.DUMMYFUNCTION("""COMPUTED_VALUE"""),4.97694)</f>
        <v>4.97694</v>
      </c>
    </row>
    <row r="5429">
      <c r="D5429" s="6">
        <f>IFERROR(__xludf.DUMMYFUNCTION("""COMPUTED_VALUE"""),45753.99861111111)</f>
        <v>45753.99861</v>
      </c>
      <c r="E5429" s="3">
        <f>IFERROR(__xludf.DUMMYFUNCTION("""COMPUTED_VALUE"""),4.97694)</f>
        <v>4.97694</v>
      </c>
    </row>
    <row r="5430">
      <c r="D5430" s="6">
        <f>IFERROR(__xludf.DUMMYFUNCTION("""COMPUTED_VALUE"""),45754.99861111111)</f>
        <v>45754.99861</v>
      </c>
      <c r="E5430" s="3">
        <f>IFERROR(__xludf.DUMMYFUNCTION("""COMPUTED_VALUE"""),4.9768)</f>
        <v>4.9768</v>
      </c>
    </row>
    <row r="5431">
      <c r="D5431" s="6">
        <f>IFERROR(__xludf.DUMMYFUNCTION("""COMPUTED_VALUE"""),45755.99861111111)</f>
        <v>45755.99861</v>
      </c>
      <c r="E5431" s="3">
        <f>IFERROR(__xludf.DUMMYFUNCTION("""COMPUTED_VALUE"""),4.97694)</f>
        <v>4.97694</v>
      </c>
    </row>
    <row r="5432">
      <c r="D5432" s="6">
        <f>IFERROR(__xludf.DUMMYFUNCTION("""COMPUTED_VALUE"""),45756.99861111111)</f>
        <v>45756.99861</v>
      </c>
      <c r="E5432" s="3">
        <f>IFERROR(__xludf.DUMMYFUNCTION("""COMPUTED_VALUE"""),4.9775)</f>
        <v>4.9775</v>
      </c>
    </row>
    <row r="5433">
      <c r="D5433" s="6">
        <f>IFERROR(__xludf.DUMMYFUNCTION("""COMPUTED_VALUE"""),45757.99861111111)</f>
        <v>45757.99861</v>
      </c>
      <c r="E5433" s="3">
        <f>IFERROR(__xludf.DUMMYFUNCTION("""COMPUTED_VALUE"""),4.9774)</f>
        <v>4.9774</v>
      </c>
    </row>
    <row r="5434">
      <c r="D5434" s="6">
        <f>IFERROR(__xludf.DUMMYFUNCTION("""COMPUTED_VALUE"""),45758.99861111111)</f>
        <v>45758.99861</v>
      </c>
      <c r="E5434" s="3">
        <f>IFERROR(__xludf.DUMMYFUNCTION("""COMPUTED_VALUE"""),4.977)</f>
        <v>4.977</v>
      </c>
    </row>
    <row r="5435">
      <c r="D5435" s="6">
        <f>IFERROR(__xludf.DUMMYFUNCTION("""COMPUTED_VALUE"""),45760.99861111111)</f>
        <v>45760.99861</v>
      </c>
      <c r="E5435" s="3">
        <f>IFERROR(__xludf.DUMMYFUNCTION("""COMPUTED_VALUE"""),4.977)</f>
        <v>4.977</v>
      </c>
    </row>
    <row r="5436">
      <c r="D5436" s="6">
        <f>IFERROR(__xludf.DUMMYFUNCTION("""COMPUTED_VALUE"""),45761.99861111111)</f>
        <v>45761.99861</v>
      </c>
      <c r="E5436" s="3">
        <f>IFERROR(__xludf.DUMMYFUNCTION("""COMPUTED_VALUE"""),4.9755)</f>
        <v>4.9755</v>
      </c>
    </row>
    <row r="5437">
      <c r="D5437" s="6">
        <f>IFERROR(__xludf.DUMMYFUNCTION("""COMPUTED_VALUE"""),45762.99861111111)</f>
        <v>45762.99861</v>
      </c>
      <c r="E5437" s="3">
        <f>IFERROR(__xludf.DUMMYFUNCTION("""COMPUTED_VALUE"""),4.97732)</f>
        <v>4.97732</v>
      </c>
    </row>
    <row r="5438">
      <c r="D5438" s="6">
        <f>IFERROR(__xludf.DUMMYFUNCTION("""COMPUTED_VALUE"""),45763.99861111111)</f>
        <v>45763.99861</v>
      </c>
      <c r="E5438" s="3">
        <f>IFERROR(__xludf.DUMMYFUNCTION("""COMPUTED_VALUE"""),4.9773)</f>
        <v>4.9773</v>
      </c>
    </row>
    <row r="5439">
      <c r="D5439" s="6">
        <f>IFERROR(__xludf.DUMMYFUNCTION("""COMPUTED_VALUE"""),45764.99861111111)</f>
        <v>45764.99861</v>
      </c>
      <c r="E5439" s="3">
        <f>IFERROR(__xludf.DUMMYFUNCTION("""COMPUTED_VALUE"""),4.97732)</f>
        <v>4.97732</v>
      </c>
    </row>
    <row r="5440">
      <c r="D5440" s="6">
        <f>IFERROR(__xludf.DUMMYFUNCTION("""COMPUTED_VALUE"""),45769.99861111111)</f>
        <v>45769.99861</v>
      </c>
      <c r="E5440" s="3">
        <f>IFERROR(__xludf.DUMMYFUNCTION("""COMPUTED_VALUE"""),4.97689)</f>
        <v>4.97689</v>
      </c>
    </row>
    <row r="5441">
      <c r="D5441" s="6">
        <f>IFERROR(__xludf.DUMMYFUNCTION("""COMPUTED_VALUE"""),45770.99861111111)</f>
        <v>45770.99861</v>
      </c>
      <c r="E5441" s="3">
        <f>IFERROR(__xludf.DUMMYFUNCTION("""COMPUTED_VALUE"""),4.97666)</f>
        <v>4.97666</v>
      </c>
    </row>
    <row r="5442">
      <c r="D5442" s="6">
        <f>IFERROR(__xludf.DUMMYFUNCTION("""COMPUTED_VALUE"""),45771.99861111111)</f>
        <v>45771.99861</v>
      </c>
      <c r="E5442" s="3">
        <f>IFERROR(__xludf.DUMMYFUNCTION("""COMPUTED_VALUE"""),4.9766)</f>
        <v>4.9766</v>
      </c>
    </row>
    <row r="5443">
      <c r="D5443" s="6">
        <f>IFERROR(__xludf.DUMMYFUNCTION("""COMPUTED_VALUE"""),45772.99861111111)</f>
        <v>45772.99861</v>
      </c>
      <c r="E5443" s="3">
        <f>IFERROR(__xludf.DUMMYFUNCTION("""COMPUTED_VALUE"""),4.975)</f>
        <v>4.975</v>
      </c>
    </row>
    <row r="5444">
      <c r="D5444" s="6">
        <f>IFERROR(__xludf.DUMMYFUNCTION("""COMPUTED_VALUE"""),45773.99861111111)</f>
        <v>45773.99861</v>
      </c>
      <c r="E5444" s="3">
        <f>IFERROR(__xludf.DUMMYFUNCTION("""COMPUTED_VALUE"""),4.975)</f>
        <v>4.975</v>
      </c>
    </row>
    <row r="5445">
      <c r="D5445" s="6">
        <f>IFERROR(__xludf.DUMMYFUNCTION("""COMPUTED_VALUE"""),45774.99861111111)</f>
        <v>45774.99861</v>
      </c>
      <c r="E5445" s="3">
        <f>IFERROR(__xludf.DUMMYFUNCTION("""COMPUTED_VALUE"""),4.97684)</f>
        <v>4.97684</v>
      </c>
    </row>
    <row r="5446">
      <c r="D5446" s="6">
        <f>IFERROR(__xludf.DUMMYFUNCTION("""COMPUTED_VALUE"""),45775.99861111111)</f>
        <v>45775.99861</v>
      </c>
      <c r="E5446" s="3">
        <f>IFERROR(__xludf.DUMMYFUNCTION("""COMPUTED_VALUE"""),4.97737)</f>
        <v>4.97737</v>
      </c>
    </row>
    <row r="5447">
      <c r="D5447" s="6">
        <f>IFERROR(__xludf.DUMMYFUNCTION("""COMPUTED_VALUE"""),45776.99861111111)</f>
        <v>45776.99861</v>
      </c>
      <c r="E5447" s="3">
        <f>IFERROR(__xludf.DUMMYFUNCTION("""COMPUTED_VALUE"""),4.9775)</f>
        <v>4.9775</v>
      </c>
    </row>
    <row r="5448">
      <c r="D5448" s="6">
        <f>IFERROR(__xludf.DUMMYFUNCTION("""COMPUTED_VALUE"""),45777.99861111111)</f>
        <v>45777.99861</v>
      </c>
      <c r="E5448" s="3">
        <f>IFERROR(__xludf.DUMMYFUNCTION("""COMPUTED_VALUE"""),4.9779)</f>
        <v>4.9779</v>
      </c>
    </row>
    <row r="5449">
      <c r="D5449" s="6">
        <f>IFERROR(__xludf.DUMMYFUNCTION("""COMPUTED_VALUE"""),45778.99861111111)</f>
        <v>45778.99861</v>
      </c>
      <c r="E5449" s="3">
        <f>IFERROR(__xludf.DUMMYFUNCTION("""COMPUTED_VALUE"""),4.9775)</f>
        <v>4.9775</v>
      </c>
    </row>
    <row r="5450">
      <c r="D5450" s="6">
        <f>IFERROR(__xludf.DUMMYFUNCTION("""COMPUTED_VALUE"""),45779.99861111111)</f>
        <v>45779.99861</v>
      </c>
      <c r="E5450" s="3">
        <f>IFERROR(__xludf.DUMMYFUNCTION("""COMPUTED_VALUE"""),4.97791)</f>
        <v>4.97791</v>
      </c>
    </row>
    <row r="5451">
      <c r="D5451" s="6">
        <f>IFERROR(__xludf.DUMMYFUNCTION("""COMPUTED_VALUE"""),45781.99861111111)</f>
        <v>45781.99861</v>
      </c>
      <c r="E5451" s="3">
        <f>IFERROR(__xludf.DUMMYFUNCTION("""COMPUTED_VALUE"""),4.97791)</f>
        <v>4.97791</v>
      </c>
    </row>
    <row r="5452">
      <c r="D5452" s="6">
        <f>IFERROR(__xludf.DUMMYFUNCTION("""COMPUTED_VALUE"""),45782.99861111111)</f>
        <v>45782.99861</v>
      </c>
      <c r="E5452" s="3">
        <f>IFERROR(__xludf.DUMMYFUNCTION("""COMPUTED_VALUE"""),4.97661)</f>
        <v>4.97661</v>
      </c>
    </row>
    <row r="5453">
      <c r="D5453" s="6">
        <f>IFERROR(__xludf.DUMMYFUNCTION("""COMPUTED_VALUE"""),45783.99861111111)</f>
        <v>45783.99861</v>
      </c>
      <c r="E5453" s="3">
        <f>IFERROR(__xludf.DUMMYFUNCTION("""COMPUTED_VALUE"""),5.0915)</f>
        <v>5.0915</v>
      </c>
    </row>
    <row r="5454">
      <c r="D5454" s="6">
        <f>IFERROR(__xludf.DUMMYFUNCTION("""COMPUTED_VALUE"""),45784.99861111111)</f>
        <v>45784.99861</v>
      </c>
      <c r="E5454" s="3">
        <f>IFERROR(__xludf.DUMMYFUNCTION("""COMPUTED_VALUE"""),5.1198)</f>
        <v>5.1198</v>
      </c>
    </row>
    <row r="5455">
      <c r="D5455" s="6">
        <f>IFERROR(__xludf.DUMMYFUNCTION("""COMPUTED_VALUE"""),45785.99861111111)</f>
        <v>45785.99861</v>
      </c>
      <c r="E5455" s="3">
        <f>IFERROR(__xludf.DUMMYFUNCTION("""COMPUTED_VALUE"""),5.11588)</f>
        <v>5.11588</v>
      </c>
    </row>
    <row r="5456">
      <c r="D5456" s="6">
        <f>IFERROR(__xludf.DUMMYFUNCTION("""COMPUTED_VALUE"""),45786.99861111111)</f>
        <v>45786.99861</v>
      </c>
      <c r="E5456" s="3">
        <f>IFERROR(__xludf.DUMMYFUNCTION("""COMPUTED_VALUE"""),5.1186)</f>
        <v>5.1186</v>
      </c>
    </row>
    <row r="5457">
      <c r="D5457" s="6">
        <f>IFERROR(__xludf.DUMMYFUNCTION("""COMPUTED_VALUE"""),45788.99861111111)</f>
        <v>45788.99861</v>
      </c>
      <c r="E5457" s="3">
        <f>IFERROR(__xludf.DUMMYFUNCTION("""COMPUTED_VALUE"""),5.1186)</f>
        <v>5.1186</v>
      </c>
    </row>
    <row r="5458">
      <c r="D5458" s="6">
        <f>IFERROR(__xludf.DUMMYFUNCTION("""COMPUTED_VALUE"""),45789.99861111111)</f>
        <v>45789.99861</v>
      </c>
      <c r="E5458" s="3">
        <f>IFERROR(__xludf.DUMMYFUNCTION("""COMPUTED_VALUE"""),5.10101)</f>
        <v>5.10101</v>
      </c>
    </row>
    <row r="5459">
      <c r="D5459" s="6">
        <f>IFERROR(__xludf.DUMMYFUNCTION("""COMPUTED_VALUE"""),45790.99861111111)</f>
        <v>45790.99861</v>
      </c>
      <c r="E5459" s="3">
        <f>IFERROR(__xludf.DUMMYFUNCTION("""COMPUTED_VALUE"""),5.1044)</f>
        <v>5.1044</v>
      </c>
    </row>
    <row r="5460">
      <c r="D5460" s="6">
        <f>IFERROR(__xludf.DUMMYFUNCTION("""COMPUTED_VALUE"""),45791.99861111111)</f>
        <v>45791.99861</v>
      </c>
      <c r="E5460" s="3">
        <f>IFERROR(__xludf.DUMMYFUNCTION("""COMPUTED_VALUE"""),5.10474)</f>
        <v>5.10474</v>
      </c>
    </row>
    <row r="5461">
      <c r="D5461" s="6">
        <f>IFERROR(__xludf.DUMMYFUNCTION("""COMPUTED_VALUE"""),45792.99861111111)</f>
        <v>45792.99861</v>
      </c>
      <c r="E5461" s="3">
        <f>IFERROR(__xludf.DUMMYFUNCTION("""COMPUTED_VALUE"""),5.103)</f>
        <v>5.103</v>
      </c>
    </row>
    <row r="5462">
      <c r="D5462" s="6">
        <f>IFERROR(__xludf.DUMMYFUNCTION("""COMPUTED_VALUE"""),45793.99861111111)</f>
        <v>45793.99861</v>
      </c>
      <c r="E5462" s="3">
        <f>IFERROR(__xludf.DUMMYFUNCTION("""COMPUTED_VALUE"""),5.1083)</f>
        <v>5.1083</v>
      </c>
    </row>
    <row r="5463">
      <c r="D5463" s="6">
        <f>IFERROR(__xludf.DUMMYFUNCTION("""COMPUTED_VALUE"""),45795.99861111111)</f>
        <v>45795.99861</v>
      </c>
      <c r="E5463" s="3">
        <f>IFERROR(__xludf.DUMMYFUNCTION("""COMPUTED_VALUE"""),5.1083)</f>
        <v>5.1083</v>
      </c>
    </row>
    <row r="5464">
      <c r="D5464" s="6">
        <f>IFERROR(__xludf.DUMMYFUNCTION("""COMPUTED_VALUE"""),45796.99861111111)</f>
        <v>45796.99861</v>
      </c>
      <c r="E5464" s="3">
        <f>IFERROR(__xludf.DUMMYFUNCTION("""COMPUTED_VALUE"""),5.0373)</f>
        <v>5.0373</v>
      </c>
    </row>
    <row r="5465">
      <c r="D5465" s="6">
        <f>IFERROR(__xludf.DUMMYFUNCTION("""COMPUTED_VALUE"""),45797.99861111111)</f>
        <v>45797.99861</v>
      </c>
      <c r="E5465" s="3">
        <f>IFERROR(__xludf.DUMMYFUNCTION("""COMPUTED_VALUE"""),5.0754)</f>
        <v>5.0754</v>
      </c>
    </row>
    <row r="5466">
      <c r="D5466" s="6">
        <f>IFERROR(__xludf.DUMMYFUNCTION("""COMPUTED_VALUE"""),45798.99861111111)</f>
        <v>45798.99861</v>
      </c>
      <c r="E5466" s="3">
        <f>IFERROR(__xludf.DUMMYFUNCTION("""COMPUTED_VALUE"""),5.071)</f>
        <v>5.071</v>
      </c>
    </row>
    <row r="5467">
      <c r="D5467" s="6">
        <f>IFERROR(__xludf.DUMMYFUNCTION("""COMPUTED_VALUE"""),45799.99861111111)</f>
        <v>45799.99861</v>
      </c>
      <c r="E5467" s="3">
        <f>IFERROR(__xludf.DUMMYFUNCTION("""COMPUTED_VALUE"""),5.0583)</f>
        <v>5.0583</v>
      </c>
    </row>
    <row r="5468">
      <c r="D5468" s="6">
        <f>IFERROR(__xludf.DUMMYFUNCTION("""COMPUTED_VALUE"""),45800.99861111111)</f>
        <v>45800.99861</v>
      </c>
      <c r="E5468" s="3">
        <f>IFERROR(__xludf.DUMMYFUNCTION("""COMPUTED_VALUE"""),5.0538)</f>
        <v>5.0538</v>
      </c>
    </row>
    <row r="5469">
      <c r="D5469" s="6">
        <f>IFERROR(__xludf.DUMMYFUNCTION("""COMPUTED_VALUE"""),45802.99861111111)</f>
        <v>45802.99861</v>
      </c>
      <c r="E5469" s="3">
        <f>IFERROR(__xludf.DUMMYFUNCTION("""COMPUTED_VALUE"""),5.0538)</f>
        <v>5.0538</v>
      </c>
    </row>
    <row r="5470">
      <c r="D5470" s="6">
        <f>IFERROR(__xludf.DUMMYFUNCTION("""COMPUTED_VALUE"""),45803.99861111111)</f>
        <v>45803.99861</v>
      </c>
      <c r="E5470" s="3">
        <f>IFERROR(__xludf.DUMMYFUNCTION("""COMPUTED_VALUE"""),5.0649)</f>
        <v>5.0649</v>
      </c>
    </row>
    <row r="5471">
      <c r="D5471" s="6">
        <f>IFERROR(__xludf.DUMMYFUNCTION("""COMPUTED_VALUE"""),45804.99861111111)</f>
        <v>45804.99861</v>
      </c>
      <c r="E5471" s="3">
        <f>IFERROR(__xludf.DUMMYFUNCTION("""COMPUTED_VALUE"""),5.0572)</f>
        <v>5.0572</v>
      </c>
    </row>
    <row r="5472">
      <c r="D5472" s="6">
        <f>IFERROR(__xludf.DUMMYFUNCTION("""COMPUTED_VALUE"""),45805.99861111111)</f>
        <v>45805.99861</v>
      </c>
      <c r="E5472" s="3">
        <f>IFERROR(__xludf.DUMMYFUNCTION("""COMPUTED_VALUE"""),5.0489)</f>
        <v>5.0489</v>
      </c>
    </row>
    <row r="5473">
      <c r="D5473" s="6">
        <f>IFERROR(__xludf.DUMMYFUNCTION("""COMPUTED_VALUE"""),45806.99861111111)</f>
        <v>45806.99861</v>
      </c>
      <c r="E5473" s="3">
        <f>IFERROR(__xludf.DUMMYFUNCTION("""COMPUTED_VALUE"""),5.0528)</f>
        <v>5.0528</v>
      </c>
    </row>
    <row r="5474">
      <c r="D5474" s="6">
        <f>IFERROR(__xludf.DUMMYFUNCTION("""COMPUTED_VALUE"""),45807.99861111111)</f>
        <v>45807.99861</v>
      </c>
      <c r="E5474" s="3">
        <f>IFERROR(__xludf.DUMMYFUNCTION("""COMPUTED_VALUE"""),5.0616)</f>
        <v>5.0616</v>
      </c>
    </row>
    <row r="5475">
      <c r="D5475" s="6">
        <f>IFERROR(__xludf.DUMMYFUNCTION("""COMPUTED_VALUE"""),45809.99861111111)</f>
        <v>45809.99861</v>
      </c>
      <c r="E5475" s="3">
        <f>IFERROR(__xludf.DUMMYFUNCTION("""COMPUTED_VALUE"""),5.0616)</f>
        <v>5.0616</v>
      </c>
    </row>
    <row r="5476">
      <c r="D5476" s="6">
        <f>IFERROR(__xludf.DUMMYFUNCTION("""COMPUTED_VALUE"""),45810.99861111111)</f>
        <v>45810.99861</v>
      </c>
      <c r="E5476" s="3">
        <f>IFERROR(__xludf.DUMMYFUNCTION("""COMPUTED_VALUE"""),5.06232)</f>
        <v>5.06232</v>
      </c>
    </row>
    <row r="5477">
      <c r="D5477" s="6">
        <f>IFERROR(__xludf.DUMMYFUNCTION("""COMPUTED_VALUE"""),45811.99861111111)</f>
        <v>45811.99861</v>
      </c>
      <c r="E5477" s="3">
        <f>IFERROR(__xludf.DUMMYFUNCTION("""COMPUTED_VALUE"""),5.05608)</f>
        <v>5.05608</v>
      </c>
    </row>
    <row r="5478">
      <c r="D5478" s="6">
        <f>IFERROR(__xludf.DUMMYFUNCTION("""COMPUTED_VALUE"""),45812.99861111111)</f>
        <v>45812.99861</v>
      </c>
      <c r="E5478" s="3">
        <f>IFERROR(__xludf.DUMMYFUNCTION("""COMPUTED_VALUE"""),5.0519)</f>
        <v>5.0519</v>
      </c>
    </row>
    <row r="5479">
      <c r="D5479" s="6">
        <f>IFERROR(__xludf.DUMMYFUNCTION("""COMPUTED_VALUE"""),45813.99861111111)</f>
        <v>45813.99861</v>
      </c>
      <c r="E5479" s="3">
        <f>IFERROR(__xludf.DUMMYFUNCTION("""COMPUTED_VALUE"""),5.04924)</f>
        <v>5.04924</v>
      </c>
    </row>
    <row r="5480">
      <c r="D5480" s="6">
        <f>IFERROR(__xludf.DUMMYFUNCTION("""COMPUTED_VALUE"""),45814.99861111111)</f>
        <v>45814.99861</v>
      </c>
      <c r="E5480" s="3">
        <f>IFERROR(__xludf.DUMMYFUNCTION("""COMPUTED_VALUE"""),5.0396)</f>
        <v>5.0396</v>
      </c>
    </row>
    <row r="5481">
      <c r="D5481" s="6">
        <f>IFERROR(__xludf.DUMMYFUNCTION("""COMPUTED_VALUE"""),45816.99861111111)</f>
        <v>45816.99861</v>
      </c>
      <c r="E5481" s="3">
        <f>IFERROR(__xludf.DUMMYFUNCTION("""COMPUTED_VALUE"""),5.0396)</f>
        <v>5.0396</v>
      </c>
    </row>
    <row r="5482">
      <c r="D5482" s="6">
        <f>IFERROR(__xludf.DUMMYFUNCTION("""COMPUTED_VALUE"""),45817.99861111111)</f>
        <v>45817.99861</v>
      </c>
      <c r="E5482" s="3">
        <f>IFERROR(__xludf.DUMMYFUNCTION("""COMPUTED_VALUE"""),5.039)</f>
        <v>5.039</v>
      </c>
    </row>
    <row r="5483">
      <c r="D5483" s="6">
        <f>IFERROR(__xludf.DUMMYFUNCTION("""COMPUTED_VALUE"""),45818.99861111111)</f>
        <v>45818.99861</v>
      </c>
      <c r="E5483" s="3">
        <f>IFERROR(__xludf.DUMMYFUNCTION("""COMPUTED_VALUE"""),5.03364)</f>
        <v>5.03364</v>
      </c>
    </row>
    <row r="5484">
      <c r="D5484" s="6">
        <f>IFERROR(__xludf.DUMMYFUNCTION("""COMPUTED_VALUE"""),45819.99861111111)</f>
        <v>45819.99861</v>
      </c>
      <c r="E5484" s="3">
        <f>IFERROR(__xludf.DUMMYFUNCTION("""COMPUTED_VALUE"""),5.0247)</f>
        <v>5.0247</v>
      </c>
    </row>
    <row r="5485">
      <c r="D5485" s="6">
        <f>IFERROR(__xludf.DUMMYFUNCTION("""COMPUTED_VALUE"""),45820.99861111111)</f>
        <v>45820.99861</v>
      </c>
      <c r="E5485" s="3">
        <f>IFERROR(__xludf.DUMMYFUNCTION("""COMPUTED_VALUE"""),5.0282)</f>
        <v>5.0282</v>
      </c>
    </row>
    <row r="5486">
      <c r="D5486" s="6">
        <f>IFERROR(__xludf.DUMMYFUNCTION("""COMPUTED_VALUE"""),45821.99861111111)</f>
        <v>45821.99861</v>
      </c>
      <c r="E5486" s="3">
        <f>IFERROR(__xludf.DUMMYFUNCTION("""COMPUTED_VALUE"""),5.0297)</f>
        <v>5.0297</v>
      </c>
    </row>
    <row r="5487">
      <c r="D5487" s="6">
        <f>IFERROR(__xludf.DUMMYFUNCTION("""COMPUTED_VALUE"""),45824.99861111111)</f>
        <v>45824.99861</v>
      </c>
      <c r="E5487" s="3">
        <f>IFERROR(__xludf.DUMMYFUNCTION("""COMPUTED_VALUE"""),5.01816)</f>
        <v>5.01816</v>
      </c>
    </row>
    <row r="5488">
      <c r="D5488" s="6">
        <f>IFERROR(__xludf.DUMMYFUNCTION("""COMPUTED_VALUE"""),45825.99861111111)</f>
        <v>45825.99861</v>
      </c>
      <c r="E5488" s="3">
        <f>IFERROR(__xludf.DUMMYFUNCTION("""COMPUTED_VALUE"""),5.032)</f>
        <v>5.032</v>
      </c>
    </row>
    <row r="5489">
      <c r="D5489" s="6">
        <f>IFERROR(__xludf.DUMMYFUNCTION("""COMPUTED_VALUE"""),45826.99861111111)</f>
        <v>45826.99861</v>
      </c>
      <c r="E5489" s="3">
        <f>IFERROR(__xludf.DUMMYFUNCTION("""COMPUTED_VALUE"""),5.02963)</f>
        <v>5.02963</v>
      </c>
    </row>
    <row r="5490">
      <c r="D5490" s="6">
        <f>IFERROR(__xludf.DUMMYFUNCTION("""COMPUTED_VALUE"""),45827.99861111111)</f>
        <v>45827.99861</v>
      </c>
      <c r="E5490" s="3">
        <f>IFERROR(__xludf.DUMMYFUNCTION("""COMPUTED_VALUE"""),5.0288)</f>
        <v>5.0288</v>
      </c>
    </row>
    <row r="5491">
      <c r="D5491" s="6">
        <f>IFERROR(__xludf.DUMMYFUNCTION("""COMPUTED_VALUE"""),45828.99861111111)</f>
        <v>45828.99861</v>
      </c>
      <c r="E5491" s="3">
        <f>IFERROR(__xludf.DUMMYFUNCTION("""COMPUTED_VALUE"""),5.0295)</f>
        <v>5.0295</v>
      </c>
    </row>
    <row r="5492">
      <c r="D5492" s="6">
        <f>IFERROR(__xludf.DUMMYFUNCTION("""COMPUTED_VALUE"""),45830.99861111111)</f>
        <v>45830.99861</v>
      </c>
      <c r="E5492" s="3">
        <f>IFERROR(__xludf.DUMMYFUNCTION("""COMPUTED_VALUE"""),5.0295)</f>
        <v>5.0295</v>
      </c>
    </row>
    <row r="5493">
      <c r="D5493" s="6">
        <f>IFERROR(__xludf.DUMMYFUNCTION("""COMPUTED_VALUE"""),45831.99861111111)</f>
        <v>45831.99861</v>
      </c>
      <c r="E5493" s="3">
        <f>IFERROR(__xludf.DUMMYFUNCTION("""COMPUTED_VALUE"""),5.045)</f>
        <v>5.045</v>
      </c>
    </row>
    <row r="5494">
      <c r="D5494" s="6">
        <f>IFERROR(__xludf.DUMMYFUNCTION("""COMPUTED_VALUE"""),45832.99861111111)</f>
        <v>45832.99861</v>
      </c>
      <c r="E5494" s="3">
        <f>IFERROR(__xludf.DUMMYFUNCTION("""COMPUTED_VALUE"""),5.0481)</f>
        <v>5.0481</v>
      </c>
    </row>
    <row r="5495">
      <c r="D5495" s="6">
        <f>IFERROR(__xludf.DUMMYFUNCTION("""COMPUTED_VALUE"""),45833.99861111111)</f>
        <v>45833.99861</v>
      </c>
      <c r="E5495" s="3">
        <f>IFERROR(__xludf.DUMMYFUNCTION("""COMPUTED_VALUE"""),5.05899)</f>
        <v>5.05899</v>
      </c>
    </row>
    <row r="5496">
      <c r="D5496" s="6">
        <f>IFERROR(__xludf.DUMMYFUNCTION("""COMPUTED_VALUE"""),45834.99861111111)</f>
        <v>45834.99861</v>
      </c>
      <c r="E5496" s="3">
        <f>IFERROR(__xludf.DUMMYFUNCTION("""COMPUTED_VALUE"""),5.059)</f>
        <v>5.059</v>
      </c>
    </row>
    <row r="5497">
      <c r="D5497" s="6">
        <f>IFERROR(__xludf.DUMMYFUNCTION("""COMPUTED_VALUE"""),45835.99861111111)</f>
        <v>45835.99861</v>
      </c>
      <c r="E5497" s="3">
        <f>IFERROR(__xludf.DUMMYFUNCTION("""COMPUTED_VALUE"""),5.08167)</f>
        <v>5.08167</v>
      </c>
    </row>
    <row r="5498">
      <c r="D5498" s="6">
        <f>IFERROR(__xludf.DUMMYFUNCTION("""COMPUTED_VALUE"""),45837.99861111111)</f>
        <v>45837.99861</v>
      </c>
      <c r="E5498" s="3">
        <f>IFERROR(__xludf.DUMMYFUNCTION("""COMPUTED_VALUE"""),5.08167)</f>
        <v>5.08167</v>
      </c>
    </row>
    <row r="5499">
      <c r="D5499" s="6">
        <f>IFERROR(__xludf.DUMMYFUNCTION("""COMPUTED_VALUE"""),45838.99861111111)</f>
        <v>45838.99861</v>
      </c>
      <c r="E5499" s="3">
        <f>IFERROR(__xludf.DUMMYFUNCTION("""COMPUTED_VALUE"""),5.07814)</f>
        <v>5.07814</v>
      </c>
    </row>
    <row r="5500">
      <c r="D5500" s="6">
        <f>IFERROR(__xludf.DUMMYFUNCTION("""COMPUTED_VALUE"""),45839.99861111111)</f>
        <v>45839.99861</v>
      </c>
      <c r="E5500" s="3">
        <f>IFERROR(__xludf.DUMMYFUNCTION("""COMPUTED_VALUE"""),5.044)</f>
        <v>5.044</v>
      </c>
    </row>
    <row r="5501">
      <c r="D5501" s="6">
        <f>IFERROR(__xludf.DUMMYFUNCTION("""COMPUTED_VALUE"""),45840.99861111111)</f>
        <v>45840.99861</v>
      </c>
      <c r="E5501" s="3">
        <f>IFERROR(__xludf.DUMMYFUNCTION("""COMPUTED_VALUE"""),5.0639)</f>
        <v>5.0639</v>
      </c>
    </row>
    <row r="5502">
      <c r="D5502" s="6">
        <f>IFERROR(__xludf.DUMMYFUNCTION("""COMPUTED_VALUE"""),45841.99861111111)</f>
        <v>45841.99861</v>
      </c>
      <c r="E5502" s="3">
        <f>IFERROR(__xludf.DUMMYFUNCTION("""COMPUTED_VALUE"""),5.0581)</f>
        <v>5.0581</v>
      </c>
    </row>
    <row r="5503">
      <c r="D5503" s="6">
        <f>IFERROR(__xludf.DUMMYFUNCTION("""COMPUTED_VALUE"""),45842.99861111111)</f>
        <v>45842.99861</v>
      </c>
      <c r="E5503" s="3">
        <f>IFERROR(__xludf.DUMMYFUNCTION("""COMPUTED_VALUE"""),5.05753)</f>
        <v>5.05753</v>
      </c>
    </row>
    <row r="5504">
      <c r="D5504" s="6">
        <f>IFERROR(__xludf.DUMMYFUNCTION("""COMPUTED_VALUE"""),45844.99861111111)</f>
        <v>45844.99861</v>
      </c>
      <c r="E5504" s="3">
        <f>IFERROR(__xludf.DUMMYFUNCTION("""COMPUTED_VALUE"""),5.05753)</f>
        <v>5.05753</v>
      </c>
    </row>
    <row r="5505">
      <c r="D5505" s="6">
        <f>IFERROR(__xludf.DUMMYFUNCTION("""COMPUTED_VALUE"""),45845.99861111111)</f>
        <v>45845.99861</v>
      </c>
      <c r="E5505" s="3">
        <f>IFERROR(__xludf.DUMMYFUNCTION("""COMPUTED_VALUE"""),5.06404)</f>
        <v>5.06404</v>
      </c>
    </row>
    <row r="5506">
      <c r="D5506" s="6">
        <f>IFERROR(__xludf.DUMMYFUNCTION("""COMPUTED_VALUE"""),45846.99861111111)</f>
        <v>45846.99861</v>
      </c>
      <c r="E5506" s="3">
        <f>IFERROR(__xludf.DUMMYFUNCTION("""COMPUTED_VALUE"""),5.0749)</f>
        <v>5.0749</v>
      </c>
    </row>
    <row r="5507">
      <c r="D5507" s="6">
        <f>IFERROR(__xludf.DUMMYFUNCTION("""COMPUTED_VALUE"""),45847.99861111111)</f>
        <v>45847.99861</v>
      </c>
      <c r="E5507" s="3">
        <f>IFERROR(__xludf.DUMMYFUNCTION("""COMPUTED_VALUE"""),5.0748)</f>
        <v>5.0748</v>
      </c>
    </row>
    <row r="5508">
      <c r="D5508" s="6">
        <f>IFERROR(__xludf.DUMMYFUNCTION("""COMPUTED_VALUE"""),45848.99861111111)</f>
        <v>45848.99861</v>
      </c>
      <c r="E5508" s="3">
        <f>IFERROR(__xludf.DUMMYFUNCTION("""COMPUTED_VALUE"""),5.07883)</f>
        <v>5.07883</v>
      </c>
    </row>
    <row r="5509">
      <c r="D5509" s="6">
        <f>IFERROR(__xludf.DUMMYFUNCTION("""COMPUTED_VALUE"""),45849.99861111111)</f>
        <v>45849.99861</v>
      </c>
      <c r="E5509" s="3">
        <f>IFERROR(__xludf.DUMMYFUNCTION("""COMPUTED_VALUE"""),5.078)</f>
        <v>5.078</v>
      </c>
    </row>
    <row r="5510">
      <c r="D5510" s="6">
        <f>IFERROR(__xludf.DUMMYFUNCTION("""COMPUTED_VALUE"""),45851.99861111111)</f>
        <v>45851.99861</v>
      </c>
      <c r="E5510" s="3">
        <f>IFERROR(__xludf.DUMMYFUNCTION("""COMPUTED_VALUE"""),5.0798)</f>
        <v>5.0798</v>
      </c>
    </row>
    <row r="5511">
      <c r="D5511" s="6">
        <f>IFERROR(__xludf.DUMMYFUNCTION("""COMPUTED_VALUE"""),45852.99861111111)</f>
        <v>45852.99861</v>
      </c>
      <c r="E5511" s="3">
        <f>IFERROR(__xludf.DUMMYFUNCTION("""COMPUTED_VALUE"""),5.078)</f>
        <v>5.078</v>
      </c>
    </row>
    <row r="5512">
      <c r="D5512" s="6">
        <f>IFERROR(__xludf.DUMMYFUNCTION("""COMPUTED_VALUE"""),45853.99861111111)</f>
        <v>45853.99861</v>
      </c>
      <c r="E5512" s="3">
        <f>IFERROR(__xludf.DUMMYFUNCTION("""COMPUTED_VALUE"""),5.07585)</f>
        <v>5.07585</v>
      </c>
    </row>
    <row r="5513">
      <c r="D5513" s="6">
        <f>IFERROR(__xludf.DUMMYFUNCTION("""COMPUTED_VALUE"""),45854.99861111111)</f>
        <v>45854.99861</v>
      </c>
      <c r="E5513" s="3">
        <f>IFERROR(__xludf.DUMMYFUNCTION("""COMPUTED_VALUE"""),5.07024)</f>
        <v>5.07024</v>
      </c>
    </row>
    <row r="5514">
      <c r="D5514" s="6">
        <f>IFERROR(__xludf.DUMMYFUNCTION("""COMPUTED_VALUE"""),45855.99861111111)</f>
        <v>45855.99861</v>
      </c>
      <c r="E5514" s="3">
        <f>IFERROR(__xludf.DUMMYFUNCTION("""COMPUTED_VALUE"""),5.07227)</f>
        <v>5.07227</v>
      </c>
    </row>
    <row r="5515">
      <c r="D5515" s="6">
        <f>IFERROR(__xludf.DUMMYFUNCTION("""COMPUTED_VALUE"""),45856.99861111111)</f>
        <v>45856.99861</v>
      </c>
      <c r="E5515" s="3">
        <f>IFERROR(__xludf.DUMMYFUNCTION("""COMPUTED_VALUE"""),5.07)</f>
        <v>5.07</v>
      </c>
    </row>
    <row r="5516">
      <c r="D5516" s="6">
        <f>IFERROR(__xludf.DUMMYFUNCTION("""COMPUTED_VALUE"""),45858.99861111111)</f>
        <v>45858.99861</v>
      </c>
      <c r="E5516" s="3">
        <f>IFERROR(__xludf.DUMMYFUNCTION("""COMPUTED_VALUE"""),5.07235)</f>
        <v>5.07235</v>
      </c>
    </row>
    <row r="5517">
      <c r="D5517" s="6">
        <f>IFERROR(__xludf.DUMMYFUNCTION("""COMPUTED_VALUE"""),45859.99861111111)</f>
        <v>45859.99861</v>
      </c>
      <c r="E5517" s="3">
        <f>IFERROR(__xludf.DUMMYFUNCTION("""COMPUTED_VALUE"""),5.06952)</f>
        <v>5.06952</v>
      </c>
    </row>
    <row r="5518">
      <c r="D5518" s="6">
        <f>IFERROR(__xludf.DUMMYFUNCTION("""COMPUTED_VALUE"""),45860.99861111111)</f>
        <v>45860.99861</v>
      </c>
      <c r="E5518" s="3">
        <f>IFERROR(__xludf.DUMMYFUNCTION("""COMPUTED_VALUE"""),5.06961)</f>
        <v>5.06961</v>
      </c>
    </row>
    <row r="5519">
      <c r="D5519" s="6">
        <f>IFERROR(__xludf.DUMMYFUNCTION("""COMPUTED_VALUE"""),45861.99861111111)</f>
        <v>45861.99861</v>
      </c>
      <c r="E5519" s="3">
        <f>IFERROR(__xludf.DUMMYFUNCTION("""COMPUTED_VALUE"""),5.0689)</f>
        <v>5.0689</v>
      </c>
    </row>
    <row r="5520">
      <c r="D5520" s="6">
        <f>IFERROR(__xludf.DUMMYFUNCTION("""COMPUTED_VALUE"""),45862.99861111111)</f>
        <v>45862.99861</v>
      </c>
      <c r="E5520" s="3">
        <f>IFERROR(__xludf.DUMMYFUNCTION("""COMPUTED_VALUE"""),5.06896)</f>
        <v>5.06896</v>
      </c>
    </row>
    <row r="5521">
      <c r="D5521" s="6">
        <f>IFERROR(__xludf.DUMMYFUNCTION("""COMPUTED_VALUE"""),45863.99861111111)</f>
        <v>45863.99861</v>
      </c>
      <c r="E5521" s="3">
        <f>IFERROR(__xludf.DUMMYFUNCTION("""COMPUTED_VALUE"""),5.06842)</f>
        <v>5.06842</v>
      </c>
    </row>
    <row r="5522">
      <c r="D5522" s="6">
        <f>IFERROR(__xludf.DUMMYFUNCTION("""COMPUTED_VALUE"""),45865.99861111111)</f>
        <v>45865.99861</v>
      </c>
      <c r="E5522" s="3">
        <f>IFERROR(__xludf.DUMMYFUNCTION("""COMPUTED_VALUE"""),5.06842)</f>
        <v>5.06842</v>
      </c>
    </row>
    <row r="5523">
      <c r="D5523" s="6">
        <f>IFERROR(__xludf.DUMMYFUNCTION("""COMPUTED_VALUE"""),45866.99861111111)</f>
        <v>45866.99861</v>
      </c>
      <c r="E5523" s="3">
        <f>IFERROR(__xludf.DUMMYFUNCTION("""COMPUTED_VALUE"""),5.06915)</f>
        <v>5.06915</v>
      </c>
    </row>
    <row r="5524">
      <c r="D5524" s="6">
        <f>IFERROR(__xludf.DUMMYFUNCTION("""COMPUTED_VALUE"""),45867.99861111111)</f>
        <v>45867.99861</v>
      </c>
      <c r="E5524" s="3">
        <f>IFERROR(__xludf.DUMMYFUNCTION("""COMPUTED_VALUE"""),5.0735)</f>
        <v>5.0735</v>
      </c>
    </row>
    <row r="5525">
      <c r="D5525" s="6">
        <f>IFERROR(__xludf.DUMMYFUNCTION("""COMPUTED_VALUE"""),45868.99861111111)</f>
        <v>45868.99861</v>
      </c>
      <c r="E5525" s="3">
        <f>IFERROR(__xludf.DUMMYFUNCTION("""COMPUTED_VALUE"""),5.0735)</f>
        <v>5.0735</v>
      </c>
    </row>
    <row r="5526">
      <c r="D5526" s="6">
        <f>IFERROR(__xludf.DUMMYFUNCTION("""COMPUTED_VALUE"""),45869.99861111111)</f>
        <v>45869.99861</v>
      </c>
      <c r="E5526" s="3">
        <f>IFERROR(__xludf.DUMMYFUNCTION("""COMPUTED_VALUE"""),5.06883)</f>
        <v>5.06883</v>
      </c>
    </row>
    <row r="5527">
      <c r="D5527" s="6">
        <f>IFERROR(__xludf.DUMMYFUNCTION("""COMPUTED_VALUE"""),45870.99861111111)</f>
        <v>45870.99861</v>
      </c>
      <c r="E5527" s="3">
        <f>IFERROR(__xludf.DUMMYFUNCTION("""COMPUTED_VALUE"""),5.07028)</f>
        <v>5.07028</v>
      </c>
    </row>
    <row r="5528">
      <c r="D5528" s="6">
        <f>IFERROR(__xludf.DUMMYFUNCTION("""COMPUTED_VALUE"""),45872.99861111111)</f>
        <v>45872.99861</v>
      </c>
      <c r="E5528" s="3">
        <f>IFERROR(__xludf.DUMMYFUNCTION("""COMPUTED_VALUE"""),5.07028)</f>
        <v>5.07028</v>
      </c>
    </row>
    <row r="5529">
      <c r="D5529" s="6">
        <f>IFERROR(__xludf.DUMMYFUNCTION("""COMPUTED_VALUE"""),45873.99861111111)</f>
        <v>45873.99861</v>
      </c>
      <c r="E5529" s="3">
        <f>IFERROR(__xludf.DUMMYFUNCTION("""COMPUTED_VALUE"""),5.0695)</f>
        <v>5.0695</v>
      </c>
    </row>
    <row r="5530">
      <c r="D5530" s="6">
        <f>IFERROR(__xludf.DUMMYFUNCTION("""COMPUTED_VALUE"""),45874.99861111111)</f>
        <v>45874.99861</v>
      </c>
      <c r="E5530" s="3">
        <f>IFERROR(__xludf.DUMMYFUNCTION("""COMPUTED_VALUE"""),5.0695)</f>
        <v>5.0695</v>
      </c>
    </row>
    <row r="5531">
      <c r="D5531" s="6">
        <f>IFERROR(__xludf.DUMMYFUNCTION("""COMPUTED_VALUE"""),45875.99861111111)</f>
        <v>45875.99861</v>
      </c>
      <c r="E5531" s="3">
        <f>IFERROR(__xludf.DUMMYFUNCTION("""COMPUTED_VALUE"""),5.07412)</f>
        <v>5.07412</v>
      </c>
    </row>
    <row r="5532">
      <c r="D5532" s="6">
        <f>IFERROR(__xludf.DUMMYFUNCTION("""COMPUTED_VALUE"""),45876.99861111111)</f>
        <v>45876.99861</v>
      </c>
      <c r="E5532" s="3">
        <f>IFERROR(__xludf.DUMMYFUNCTION("""COMPUTED_VALUE"""),5.0711)</f>
        <v>5.0711</v>
      </c>
    </row>
    <row r="5533">
      <c r="D5533" s="6">
        <f>IFERROR(__xludf.DUMMYFUNCTION("""COMPUTED_VALUE"""),45877.99861111111)</f>
        <v>45877.99861</v>
      </c>
      <c r="E5533" s="3">
        <f>IFERROR(__xludf.DUMMYFUNCTION("""COMPUTED_VALUE"""),5.07085)</f>
        <v>5.07085</v>
      </c>
    </row>
    <row r="5534">
      <c r="D5534" s="6">
        <f>IFERROR(__xludf.DUMMYFUNCTION("""COMPUTED_VALUE"""),45879.99861111111)</f>
        <v>45879.99861</v>
      </c>
      <c r="E5534" s="3">
        <f>IFERROR(__xludf.DUMMYFUNCTION("""COMPUTED_VALUE"""),5.07085)</f>
        <v>5.07085</v>
      </c>
    </row>
    <row r="5535">
      <c r="D5535" s="6">
        <f>IFERROR(__xludf.DUMMYFUNCTION("""COMPUTED_VALUE"""),45880.99861111111)</f>
        <v>45880.99861</v>
      </c>
      <c r="E5535" s="3">
        <f>IFERROR(__xludf.DUMMYFUNCTION("""COMPUTED_VALUE"""),5.06356)</f>
        <v>5.06356</v>
      </c>
    </row>
    <row r="5536">
      <c r="D5536" s="6">
        <f>IFERROR(__xludf.DUMMYFUNCTION("""COMPUTED_VALUE"""),45881.99861111111)</f>
        <v>45881.99861</v>
      </c>
      <c r="E5536" s="3">
        <f>IFERROR(__xludf.DUMMYFUNCTION("""COMPUTED_VALUE"""),5.0563)</f>
        <v>5.0563</v>
      </c>
    </row>
    <row r="5537">
      <c r="D5537" s="6">
        <f>IFERROR(__xludf.DUMMYFUNCTION("""COMPUTED_VALUE"""),45882.99861111111)</f>
        <v>45882.99861</v>
      </c>
      <c r="E5537" s="3">
        <f>IFERROR(__xludf.DUMMYFUNCTION("""COMPUTED_VALUE"""),5.0629)</f>
        <v>5.0629</v>
      </c>
    </row>
    <row r="5538">
      <c r="D5538" s="6">
        <f>IFERROR(__xludf.DUMMYFUNCTION("""COMPUTED_VALUE"""),45883.99861111111)</f>
        <v>45883.99861</v>
      </c>
      <c r="E5538" s="3">
        <f>IFERROR(__xludf.DUMMYFUNCTION("""COMPUTED_VALUE"""),5.06035)</f>
        <v>5.06035</v>
      </c>
    </row>
    <row r="5539">
      <c r="D5539" s="6">
        <f>IFERROR(__xludf.DUMMYFUNCTION("""COMPUTED_VALUE"""),45884.99861111111)</f>
        <v>45884.99861</v>
      </c>
      <c r="E5539" s="3">
        <f>IFERROR(__xludf.DUMMYFUNCTION("""COMPUTED_VALUE"""),5.0575)</f>
        <v>5.0575</v>
      </c>
    </row>
    <row r="5540">
      <c r="D5540" s="6">
        <f>IFERROR(__xludf.DUMMYFUNCTION("""COMPUTED_VALUE"""),45886.99861111111)</f>
        <v>45886.99861</v>
      </c>
      <c r="E5540" s="3">
        <f>IFERROR(__xludf.DUMMYFUNCTION("""COMPUTED_VALUE"""),5.0575)</f>
        <v>5.0575</v>
      </c>
    </row>
    <row r="5541">
      <c r="D5541" s="6">
        <f>IFERROR(__xludf.DUMMYFUNCTION("""COMPUTED_VALUE"""),45887.99861111111)</f>
        <v>45887.99861</v>
      </c>
      <c r="E5541" s="3">
        <f>IFERROR(__xludf.DUMMYFUNCTION("""COMPUTED_VALUE"""),5.0575)</f>
        <v>5.0575</v>
      </c>
    </row>
    <row r="5542">
      <c r="D5542" s="6">
        <f>IFERROR(__xludf.DUMMYFUNCTION("""COMPUTED_VALUE"""),45888.99861111111)</f>
        <v>45888.99861</v>
      </c>
      <c r="E5542" s="3">
        <f>IFERROR(__xludf.DUMMYFUNCTION("""COMPUTED_VALUE"""),5.057)</f>
        <v>5.057</v>
      </c>
    </row>
    <row r="5543">
      <c r="D5543" s="6">
        <f>IFERROR(__xludf.DUMMYFUNCTION("""COMPUTED_VALUE"""),45889.99861111111)</f>
        <v>45889.99861</v>
      </c>
      <c r="E5543" s="3">
        <f>IFERROR(__xludf.DUMMYFUNCTION("""COMPUTED_VALUE"""),5.057)</f>
        <v>5.057</v>
      </c>
    </row>
    <row r="5544">
      <c r="D5544" s="6">
        <f>IFERROR(__xludf.DUMMYFUNCTION("""COMPUTED_VALUE"""),45890.99861111111)</f>
        <v>45890.99861</v>
      </c>
      <c r="E5544" s="3">
        <f>IFERROR(__xludf.DUMMYFUNCTION("""COMPUTED_VALUE"""),5.0515)</f>
        <v>5.0515</v>
      </c>
    </row>
    <row r="5545">
      <c r="D5545" s="6">
        <f>IFERROR(__xludf.DUMMYFUNCTION("""COMPUTED_VALUE"""),45891.99861111111)</f>
        <v>45891.99861</v>
      </c>
      <c r="E5545" s="3">
        <f>IFERROR(__xludf.DUMMYFUNCTION("""COMPUTED_VALUE"""),5.05575)</f>
        <v>5.05575</v>
      </c>
    </row>
  </sheetData>
  <drawing r:id="rId1"/>
</worksheet>
</file>