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p\Desktop\CONTA II 01 2021\"/>
    </mc:Choice>
  </mc:AlternateContent>
  <xr:revisionPtr revIDLastSave="0" documentId="8_{D1553B56-705E-3244-B8FC-4FC8E3BFEC6A}" xr6:coauthVersionLast="46" xr6:coauthVersionMax="46" xr10:uidLastSave="{00000000-0000-0000-0000-000000000000}"/>
  <bookViews>
    <workbookView xWindow="0" yWindow="0" windowWidth="20490" windowHeight="8445" firstSheet="2" activeTab="5" xr2:uid="{00000000-000D-0000-FFFF-FFFF00000000}"/>
  </bookViews>
  <sheets>
    <sheet name="Planilla" sheetId="1" r:id="rId1"/>
    <sheet name="L. Mayor" sheetId="6" r:id="rId2"/>
    <sheet name="Estado de Situacion Fianc" sheetId="5" r:id="rId3"/>
    <sheet name="L.Diario Completo" sheetId="12" r:id="rId4"/>
    <sheet name="3° DEL DIARIO" sheetId="7" r:id="rId5"/>
    <sheet name="E.de Rendimiento" sheetId="8" r:id="rId6"/>
    <sheet name="E. de Cambios en el Patrimnio" sheetId="9" r:id="rId7"/>
    <sheet name="Notas a los Estados Financieros" sheetId="10" r:id="rId8"/>
    <sheet name="E. d Flujo de Efectivo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3" i="6" l="1"/>
  <c r="S43" i="6"/>
  <c r="T44" i="6"/>
  <c r="C25" i="5"/>
  <c r="Y11" i="6"/>
  <c r="C26" i="5"/>
  <c r="O55" i="6"/>
  <c r="B31" i="5"/>
  <c r="T55" i="6"/>
  <c r="B32" i="5"/>
  <c r="C27" i="5"/>
  <c r="C33" i="5"/>
  <c r="C36" i="5"/>
  <c r="E209" i="12"/>
  <c r="E210" i="12"/>
  <c r="C37" i="5"/>
  <c r="D24" i="5"/>
  <c r="C21" i="5"/>
  <c r="D16" i="5"/>
  <c r="B19" i="6"/>
  <c r="C19" i="6"/>
  <c r="B20" i="6"/>
  <c r="C8" i="5"/>
  <c r="H15" i="6"/>
  <c r="I15" i="6"/>
  <c r="H17" i="6"/>
  <c r="C9" i="5"/>
  <c r="B11" i="5"/>
  <c r="B12" i="5"/>
  <c r="C10" i="5"/>
  <c r="D7" i="5"/>
  <c r="P13" i="1"/>
  <c r="F19" i="1"/>
  <c r="E208" i="12"/>
  <c r="E213" i="12"/>
  <c r="D213" i="12"/>
  <c r="I152" i="12"/>
  <c r="I156" i="12"/>
  <c r="I157" i="12"/>
  <c r="D149" i="12"/>
  <c r="D153" i="12"/>
  <c r="E155" i="12"/>
  <c r="E15" i="9"/>
  <c r="F11" i="9"/>
  <c r="F15" i="9"/>
  <c r="G12" i="9"/>
  <c r="G15" i="9"/>
  <c r="I15" i="9"/>
  <c r="H68" i="6"/>
  <c r="H72" i="6"/>
  <c r="D12" i="8"/>
  <c r="B68" i="6"/>
  <c r="B72" i="6"/>
  <c r="D11" i="8"/>
  <c r="H88" i="6"/>
  <c r="I88" i="6"/>
  <c r="H89" i="6"/>
  <c r="I89" i="6"/>
  <c r="D8" i="8"/>
  <c r="C43" i="6"/>
  <c r="B43" i="6"/>
  <c r="C44" i="6"/>
  <c r="D7" i="8"/>
  <c r="E9" i="8"/>
  <c r="D203" i="12"/>
  <c r="C41" i="5"/>
  <c r="D39" i="5"/>
  <c r="H205" i="12"/>
  <c r="H204" i="12"/>
  <c r="H203" i="12"/>
  <c r="D196" i="12"/>
  <c r="I194" i="12"/>
  <c r="C147" i="12"/>
  <c r="C146" i="12"/>
  <c r="E145" i="12"/>
  <c r="D142" i="12"/>
  <c r="D139" i="12"/>
  <c r="E134" i="12"/>
  <c r="D127" i="12"/>
  <c r="E133" i="12"/>
  <c r="I122" i="12"/>
  <c r="I118" i="12"/>
  <c r="I113" i="12"/>
  <c r="I107" i="12"/>
  <c r="I106" i="12"/>
  <c r="I105" i="12"/>
  <c r="I109" i="12"/>
  <c r="I108" i="12"/>
  <c r="D102" i="12"/>
  <c r="E108" i="12"/>
  <c r="I98" i="12"/>
  <c r="I99" i="12"/>
  <c r="I91" i="12"/>
  <c r="E87" i="12"/>
  <c r="E82" i="12"/>
  <c r="I79" i="12"/>
  <c r="I78" i="12"/>
  <c r="I80" i="12"/>
  <c r="I81" i="12"/>
  <c r="E73" i="12"/>
  <c r="D72" i="12"/>
  <c r="D71" i="12"/>
  <c r="J63" i="12"/>
  <c r="I63" i="12"/>
  <c r="I65" i="12"/>
  <c r="I58" i="12"/>
  <c r="I60" i="12"/>
  <c r="I71" i="12"/>
  <c r="J58" i="12"/>
  <c r="J66" i="12"/>
  <c r="D62" i="12"/>
  <c r="I59" i="12"/>
  <c r="E53" i="12"/>
  <c r="I52" i="12"/>
  <c r="I53" i="12"/>
  <c r="E44" i="12"/>
  <c r="I41" i="12"/>
  <c r="I40" i="12"/>
  <c r="D32" i="12"/>
  <c r="J31" i="12"/>
  <c r="J30" i="12"/>
  <c r="J32" i="12"/>
  <c r="E28" i="12"/>
  <c r="J26" i="12"/>
  <c r="J25" i="12"/>
  <c r="J27" i="12"/>
  <c r="D23" i="12"/>
  <c r="D22" i="12"/>
  <c r="J19" i="12"/>
  <c r="J18" i="12"/>
  <c r="J20" i="12"/>
  <c r="E43" i="5"/>
  <c r="I64" i="12"/>
  <c r="I70" i="12"/>
  <c r="J22" i="12"/>
  <c r="J21" i="12"/>
  <c r="E26" i="12"/>
  <c r="D25" i="12"/>
  <c r="J33" i="12"/>
  <c r="J34" i="12"/>
  <c r="J35" i="12"/>
  <c r="J36" i="12"/>
  <c r="I66" i="12"/>
  <c r="I69" i="12"/>
  <c r="I93" i="12"/>
  <c r="I92" i="12"/>
  <c r="I94" i="12"/>
  <c r="H55" i="6"/>
  <c r="H56" i="6"/>
  <c r="B15" i="5"/>
  <c r="B55" i="6"/>
  <c r="B56" i="6"/>
  <c r="B14" i="5"/>
  <c r="E22" i="5"/>
  <c r="E56" i="7"/>
  <c r="E57" i="7"/>
  <c r="E55" i="7"/>
  <c r="H52" i="7"/>
  <c r="H51" i="7"/>
  <c r="H50" i="7"/>
  <c r="T87" i="6"/>
  <c r="S87" i="6"/>
  <c r="D43" i="7"/>
  <c r="B45" i="6"/>
  <c r="I41" i="7"/>
  <c r="H43" i="6"/>
  <c r="I43" i="6"/>
  <c r="I45" i="6"/>
  <c r="C17" i="5"/>
  <c r="I78" i="6"/>
  <c r="E11" i="8"/>
  <c r="E14" i="8"/>
  <c r="Y55" i="6"/>
  <c r="Y34" i="6"/>
  <c r="X34" i="6"/>
  <c r="T30" i="6"/>
  <c r="S30" i="6"/>
  <c r="O30" i="6"/>
  <c r="N30" i="6"/>
  <c r="I30" i="6"/>
  <c r="H30" i="6"/>
  <c r="T11" i="6"/>
  <c r="N11" i="6"/>
  <c r="E15" i="8"/>
  <c r="E16" i="8"/>
  <c r="N32" i="6"/>
  <c r="S32" i="6"/>
  <c r="X36" i="6"/>
  <c r="E17" i="8"/>
  <c r="E18" i="8"/>
  <c r="C13" i="5"/>
  <c r="F20" i="1"/>
  <c r="F21" i="1"/>
  <c r="F22" i="1"/>
  <c r="E7" i="1"/>
  <c r="E19" i="1"/>
  <c r="G19" i="1"/>
  <c r="D20" i="1"/>
  <c r="G20" i="1"/>
  <c r="G21" i="1"/>
  <c r="G22" i="1"/>
  <c r="I22" i="1"/>
  <c r="M21" i="1"/>
  <c r="M20" i="1"/>
  <c r="J21" i="1"/>
  <c r="J20" i="1"/>
  <c r="H9" i="1"/>
  <c r="I9" i="1"/>
  <c r="K9" i="1"/>
  <c r="L9" i="1"/>
  <c r="D8" i="1"/>
  <c r="H8" i="1"/>
  <c r="I8" i="1"/>
  <c r="K8" i="1"/>
  <c r="L8" i="1"/>
  <c r="H7" i="1"/>
  <c r="I7" i="1"/>
  <c r="J7" i="1"/>
  <c r="K7" i="1"/>
  <c r="L7" i="1"/>
  <c r="F9" i="1"/>
  <c r="F8" i="1"/>
  <c r="E22" i="1"/>
  <c r="D22" i="1"/>
  <c r="G10" i="1"/>
  <c r="F7" i="1"/>
  <c r="F10" i="1"/>
  <c r="E10" i="1"/>
  <c r="D10" i="1"/>
  <c r="I10" i="1"/>
  <c r="H10" i="1"/>
  <c r="J10" i="1"/>
  <c r="K10" i="1"/>
  <c r="L10" i="1"/>
</calcChain>
</file>

<file path=xl/sharedStrings.xml><?xml version="1.0" encoding="utf-8"?>
<sst xmlns="http://schemas.openxmlformats.org/spreadsheetml/2006/main" count="824" uniqueCount="588">
  <si>
    <t xml:space="preserve">    Terreno</t>
  </si>
  <si>
    <t>Gasto sobre Compras</t>
  </si>
  <si>
    <t>Debito Fiscal IVA</t>
  </si>
  <si>
    <t>Proveedores</t>
  </si>
  <si>
    <t>Gasto de Administracion</t>
  </si>
  <si>
    <t>ISSS</t>
  </si>
  <si>
    <t>AFP</t>
  </si>
  <si>
    <t>PLANILLA DE SUELDOS DE EMPLEADOS</t>
  </si>
  <si>
    <r>
      <t xml:space="preserve">MES: </t>
    </r>
    <r>
      <rPr>
        <u/>
        <sz val="12"/>
        <color theme="1"/>
        <rFont val="Calibri"/>
        <family val="2"/>
        <scheme val="minor"/>
      </rPr>
      <t>DICIEMBRE 2019</t>
    </r>
  </si>
  <si>
    <t>Nº</t>
  </si>
  <si>
    <t>CARGO</t>
  </si>
  <si>
    <t>SUELDO</t>
  </si>
  <si>
    <t>VACACION</t>
  </si>
  <si>
    <t>AGUINALDO</t>
  </si>
  <si>
    <t>INDEMNIZACION</t>
  </si>
  <si>
    <t>RETENCIONES</t>
  </si>
  <si>
    <t>TOTAL RETENCIONES</t>
  </si>
  <si>
    <t>LIQUIDO A PAGAR</t>
  </si>
  <si>
    <t>FIRMA</t>
  </si>
  <si>
    <t>ISR</t>
  </si>
  <si>
    <t>Gerente</t>
  </si>
  <si>
    <t>Total</t>
  </si>
  <si>
    <t>cajero</t>
  </si>
  <si>
    <t xml:space="preserve">Vendedor </t>
  </si>
  <si>
    <t>SIN LUCHA NO HAY TRIUNFO, SA. de C.V</t>
  </si>
  <si>
    <t>Cajero</t>
  </si>
  <si>
    <t>GV</t>
  </si>
  <si>
    <t>GA</t>
  </si>
  <si>
    <t>BA</t>
  </si>
  <si>
    <t>Gasto de venta</t>
  </si>
  <si>
    <t>SIN  LUCHA  NO  HAY   TRIUNFO, S.A DE C.V</t>
  </si>
  <si>
    <t xml:space="preserve">                LIBRO    MAYOR</t>
  </si>
  <si>
    <t xml:space="preserve">       Expresado en dolares de los estados unodos de America</t>
  </si>
  <si>
    <t xml:space="preserve">          Del 01 de diciembre al 31 de diciembre del año    2019</t>
  </si>
  <si>
    <r>
      <t xml:space="preserve">   </t>
    </r>
    <r>
      <rPr>
        <b/>
        <sz val="11"/>
        <color rgb="FF0070C0"/>
        <rFont val="Calibri"/>
        <family val="2"/>
        <scheme val="minor"/>
      </rPr>
      <t>Efectivo y equivalente</t>
    </r>
  </si>
  <si>
    <t>1)</t>
  </si>
  <si>
    <t>9)</t>
  </si>
  <si>
    <t>13)</t>
  </si>
  <si>
    <t>(2</t>
  </si>
  <si>
    <t>(4</t>
  </si>
  <si>
    <t>(5</t>
  </si>
  <si>
    <t>(6</t>
  </si>
  <si>
    <t>(7</t>
  </si>
  <si>
    <t>(10</t>
  </si>
  <si>
    <t>(14</t>
  </si>
  <si>
    <t>(16</t>
  </si>
  <si>
    <t>(17</t>
  </si>
  <si>
    <t>(18</t>
  </si>
  <si>
    <t>(20</t>
  </si>
  <si>
    <t xml:space="preserve">            Propiedades planta y Equipo</t>
  </si>
  <si>
    <t>2)</t>
  </si>
  <si>
    <t>(1</t>
  </si>
  <si>
    <t xml:space="preserve">     Capital Social</t>
  </si>
  <si>
    <t xml:space="preserve">    Acreedores Varios</t>
  </si>
  <si>
    <t xml:space="preserve"> Cuentas  por Cobrar</t>
  </si>
  <si>
    <t>Impt por recuperar(retenc.IVA 1%)</t>
  </si>
  <si>
    <t>Impt.por recuperar(perc.IVA 1%)</t>
  </si>
  <si>
    <t>Impt por recuperar(C.F.IVA 13%)</t>
  </si>
  <si>
    <t>3)</t>
  </si>
  <si>
    <t>(8</t>
  </si>
  <si>
    <t>(13</t>
  </si>
  <si>
    <t>4)</t>
  </si>
  <si>
    <t>(11</t>
  </si>
  <si>
    <t>(15</t>
  </si>
  <si>
    <t>5)</t>
  </si>
  <si>
    <t>6)</t>
  </si>
  <si>
    <t>7)</t>
  </si>
  <si>
    <t>12)</t>
  </si>
  <si>
    <t>14)</t>
  </si>
  <si>
    <t>17)</t>
  </si>
  <si>
    <t>20)</t>
  </si>
  <si>
    <t xml:space="preserve">                      Ventas</t>
  </si>
  <si>
    <t xml:space="preserve"> Debito Fiscal IVA</t>
  </si>
  <si>
    <t xml:space="preserve">                      Debito Fiscal IVA</t>
  </si>
  <si>
    <r>
      <t xml:space="preserve">              </t>
    </r>
    <r>
      <rPr>
        <sz val="11"/>
        <color rgb="FF0070C0"/>
        <rFont val="Calibri"/>
        <family val="2"/>
        <scheme val="minor"/>
      </rPr>
      <t xml:space="preserve">   Compras</t>
    </r>
  </si>
  <si>
    <t xml:space="preserve">        Proveedores</t>
  </si>
  <si>
    <t>Gasto pagado por antc.(publicidad)</t>
  </si>
  <si>
    <t>Gasto pagado por antc.(seguro)</t>
  </si>
  <si>
    <t xml:space="preserve">     Retenciones por pagar(IVA. 13%)</t>
  </si>
  <si>
    <t>Retenciones *Pagar Renta(10%)</t>
  </si>
  <si>
    <t xml:space="preserve">  Retenciones Legales(planilla)</t>
  </si>
  <si>
    <t>(3</t>
  </si>
  <si>
    <t>(9</t>
  </si>
  <si>
    <t>8)</t>
  </si>
  <si>
    <t>11)</t>
  </si>
  <si>
    <t>15)</t>
  </si>
  <si>
    <t>16)</t>
  </si>
  <si>
    <t>(12</t>
  </si>
  <si>
    <t xml:space="preserve">                     Gasto de Venta</t>
  </si>
  <si>
    <t>Devoluciones s/ compras</t>
  </si>
  <si>
    <t>10)</t>
  </si>
  <si>
    <t>18)</t>
  </si>
  <si>
    <t>19)</t>
  </si>
  <si>
    <t>Rebajas y devoluciones Sobre ventas</t>
  </si>
  <si>
    <t>Rebajas y descuentos sobre compras</t>
  </si>
  <si>
    <t xml:space="preserve"> Gastos no Deducibles(CESCC)</t>
  </si>
  <si>
    <t>Beneficio a Empleados * Pagar</t>
  </si>
  <si>
    <t>(19</t>
  </si>
  <si>
    <t>SIN LUCHA NO HAY TRIUNFO ,S.A DE C.V.</t>
  </si>
  <si>
    <t xml:space="preserve">                 DEL 01 DE DICEIMBRE AL 31 DE  DICIEMBRE DEL AÑO 2019</t>
  </si>
  <si>
    <t xml:space="preserve">                 Expresado en dolares de los Estados  Unidos de America</t>
  </si>
  <si>
    <t>ACTIVO</t>
  </si>
  <si>
    <t>ACTIVO CORREINTE</t>
  </si>
  <si>
    <t>Efectivo y Equivalentes</t>
  </si>
  <si>
    <t>Gastos pagados por Anticipado</t>
  </si>
  <si>
    <t xml:space="preserve">    publicidad</t>
  </si>
  <si>
    <t xml:space="preserve">    Seguro</t>
  </si>
  <si>
    <t>ACTIVO NO CORRIENTE</t>
  </si>
  <si>
    <t>Propiedad Planta y Equipo</t>
  </si>
  <si>
    <t xml:space="preserve">    edificacion </t>
  </si>
  <si>
    <t xml:space="preserve">    Equipo de transporte</t>
  </si>
  <si>
    <t>PASIVOS</t>
  </si>
  <si>
    <t>PASIVO CORREIENTE</t>
  </si>
  <si>
    <t>Retenciones legales</t>
  </si>
  <si>
    <t>Beneficio a Empleados</t>
  </si>
  <si>
    <t>Acreedores</t>
  </si>
  <si>
    <t xml:space="preserve">    ISSS</t>
  </si>
  <si>
    <t xml:space="preserve">    AFP</t>
  </si>
  <si>
    <t xml:space="preserve">    Renta</t>
  </si>
  <si>
    <t xml:space="preserve">    Retenciones por Pagar (IVA)</t>
  </si>
  <si>
    <t xml:space="preserve">    Retenciones por Pagar (Renta)</t>
  </si>
  <si>
    <t xml:space="preserve">     ISSS</t>
  </si>
  <si>
    <t xml:space="preserve">     AFP</t>
  </si>
  <si>
    <t>PASIVOS NO CORRIENTES</t>
  </si>
  <si>
    <t>PATRIMONIO</t>
  </si>
  <si>
    <t>Capital Social</t>
  </si>
  <si>
    <t>Ventas</t>
  </si>
  <si>
    <t>No hay niguna cuenta de este rubro.</t>
  </si>
  <si>
    <t>NOTAS IMPORTANTES</t>
  </si>
  <si>
    <t>Hay una diferencia de 0.25 centavos  verifiquen el error.</t>
  </si>
  <si>
    <t>No se registra la cuenta por cobrar ya que esta quedo saldada</t>
  </si>
  <si>
    <t>En el rubro de pasivos  no Corriente  en este ejercicio no  salio ninguna cuenta</t>
  </si>
  <si>
    <t>(21</t>
  </si>
  <si>
    <t>21)</t>
  </si>
  <si>
    <t>(24</t>
  </si>
  <si>
    <t>(25</t>
  </si>
  <si>
    <t>23)</t>
  </si>
  <si>
    <t>24)</t>
  </si>
  <si>
    <t>25)</t>
  </si>
  <si>
    <t>Impto * Recuperar(Rnte de C F IVA)</t>
  </si>
  <si>
    <t>Impto * Recuperar(antcipo a cuenta)</t>
  </si>
  <si>
    <t>Impto * pagar(anticipo a cta)</t>
  </si>
  <si>
    <t xml:space="preserve">            Depreciacion Acumulada</t>
  </si>
  <si>
    <t>22)</t>
  </si>
  <si>
    <t>(22</t>
  </si>
  <si>
    <t>(23</t>
  </si>
  <si>
    <t xml:space="preserve">      </t>
  </si>
  <si>
    <t xml:space="preserve">            Costo de  Venta</t>
  </si>
  <si>
    <t xml:space="preserve">           INVENTARIO F.</t>
  </si>
  <si>
    <t xml:space="preserve">         Perdidas o ganacias</t>
  </si>
  <si>
    <t xml:space="preserve">      Utilidad del Ejercicio</t>
  </si>
  <si>
    <t xml:space="preserve">             Reserva Legal</t>
  </si>
  <si>
    <t xml:space="preserve">      Impuesto Sobre Renta</t>
  </si>
  <si>
    <t>Elaborada por:___________________________</t>
  </si>
  <si>
    <t xml:space="preserve">                     Inventario </t>
  </si>
  <si>
    <t xml:space="preserve">                                       SIN LUCHA NO HAY TRIUNFO, S.A DE C.V.</t>
  </si>
  <si>
    <t xml:space="preserve">                                                               LIBRO  DIARIO</t>
  </si>
  <si>
    <t>lo unico que a la hora de realizar el cierre se tiene que tener cuidado.</t>
  </si>
  <si>
    <t xml:space="preserve">                             Del 01 de diciembre al 31 de diciembre del año    2019   </t>
  </si>
  <si>
    <t xml:space="preserve">                          Expresado en dolares de los estados unodos de America</t>
  </si>
  <si>
    <t>T N°21</t>
  </si>
  <si>
    <t>FECHA</t>
  </si>
  <si>
    <t xml:space="preserve">                                DESCRIPCION</t>
  </si>
  <si>
    <t>PARCIAL</t>
  </si>
  <si>
    <t>DEBE</t>
  </si>
  <si>
    <t>HABER</t>
  </si>
  <si>
    <t>en esta transaccion  hay que mayorizar las cuentas involucradas en esta</t>
  </si>
  <si>
    <t>partida  es decir sumar ambos lados de la cuenta T y luego sacar la diferencia</t>
  </si>
  <si>
    <t>de ellos y esos son los saldos que he tomado para este registro</t>
  </si>
  <si>
    <t xml:space="preserve">         Credito Fiscal IVA</t>
  </si>
  <si>
    <t xml:space="preserve">         Retencion de IVA</t>
  </si>
  <si>
    <t xml:space="preserve">         Percepcion de IVA</t>
  </si>
  <si>
    <t>Igual que en la transaccion anterior  tenemos que  ajustar la cuenta de  Venta</t>
  </si>
  <si>
    <t>Impuestos por Recuperar</t>
  </si>
  <si>
    <t>es decir quitarle el saldo de la devolucion sobre venta o descuento si hiere y</t>
  </si>
  <si>
    <t>Pago a cuenta del Impuesto sobre la Renta</t>
  </si>
  <si>
    <t xml:space="preserve">es de esa forma que he tomado el saldo y lo he multiplicado por lo que la </t>
  </si>
  <si>
    <t>Ley dice que es el 1.75%</t>
  </si>
  <si>
    <t>el valor de la venta es de $ 74,468.72</t>
  </si>
  <si>
    <t>Por determinacion y provision del pago a cuenta</t>
  </si>
  <si>
    <t>P n°3</t>
  </si>
  <si>
    <t>p n°9</t>
  </si>
  <si>
    <t>vta del mes</t>
  </si>
  <si>
    <t xml:space="preserve">        Depreciacion </t>
  </si>
  <si>
    <t>Gasto de Venta</t>
  </si>
  <si>
    <t xml:space="preserve">      depreciacion</t>
  </si>
  <si>
    <t xml:space="preserve">                    edificacion</t>
  </si>
  <si>
    <t xml:space="preserve">                     equipo de transporte</t>
  </si>
  <si>
    <t>T N° 23</t>
  </si>
  <si>
    <t>por el calculo de la depreciacion del mes</t>
  </si>
  <si>
    <t>edificacion</t>
  </si>
  <si>
    <t xml:space="preserve">              Partida n° 24</t>
  </si>
  <si>
    <t>depr. anual</t>
  </si>
  <si>
    <t>depr. Mens</t>
  </si>
  <si>
    <t xml:space="preserve">       Publicidad</t>
  </si>
  <si>
    <t>Equpo Tranp</t>
  </si>
  <si>
    <t>depr.anual</t>
  </si>
  <si>
    <t xml:space="preserve">            publicidad</t>
  </si>
  <si>
    <t>por el ajuste del gasto por anticipado de public.</t>
  </si>
  <si>
    <t xml:space="preserve">                Partida n°25</t>
  </si>
  <si>
    <t>T N°24</t>
  </si>
  <si>
    <t>public. 4m</t>
  </si>
  <si>
    <t xml:space="preserve"> </t>
  </si>
  <si>
    <t xml:space="preserve">       Seguro</t>
  </si>
  <si>
    <t>V. mensual</t>
  </si>
  <si>
    <t xml:space="preserve">            Seguro</t>
  </si>
  <si>
    <t>T N°25</t>
  </si>
  <si>
    <t>por el ajuste del gasto por anticipado de seguro</t>
  </si>
  <si>
    <t>Seguro</t>
  </si>
  <si>
    <t xml:space="preserve">Con relacion al cierre lo que puedo comentarles es que si el saldo de la </t>
  </si>
  <si>
    <t xml:space="preserve">cuenta perdidas o ganancias es acreedor tendremos una ganacia y si </t>
  </si>
  <si>
    <t>fuese lo contrario sera una perdida siempre.</t>
  </si>
  <si>
    <t>por esa razon el porcentaje para el impuesto de Renta sera el 25%</t>
  </si>
  <si>
    <t xml:space="preserve">Para calcular la reserva Legal como es un Sociedad de Capitales </t>
  </si>
  <si>
    <t>sera el 7%.</t>
  </si>
  <si>
    <t>R. Legal</t>
  </si>
  <si>
    <t>I/Renta</t>
  </si>
  <si>
    <t>U.Ejercicio</t>
  </si>
  <si>
    <t>El saldo de $1.25 que se suma  antes de calcular la R.L y I/R  es por</t>
  </si>
  <si>
    <t xml:space="preserve">ahora tenemos que agregar ese valor antes de determinar la </t>
  </si>
  <si>
    <t xml:space="preserve">                     Contador</t>
  </si>
  <si>
    <t>R.L  y la Renta.</t>
  </si>
  <si>
    <t>Tiene que ir firmando  y sellado por los  responsables</t>
  </si>
  <si>
    <r>
      <t xml:space="preserve">        </t>
    </r>
    <r>
      <rPr>
        <b/>
        <sz val="11"/>
        <color theme="1"/>
        <rFont val="Calibri"/>
        <family val="2"/>
        <scheme val="minor"/>
      </rPr>
      <t xml:space="preserve"> Partida n° 22</t>
    </r>
  </si>
  <si>
    <r>
      <t xml:space="preserve">              </t>
    </r>
    <r>
      <rPr>
        <b/>
        <sz val="11"/>
        <color theme="1"/>
        <rFont val="Calibri"/>
        <family val="2"/>
        <scheme val="minor"/>
      </rPr>
      <t>Partida n° 23</t>
    </r>
  </si>
  <si>
    <t>mnos el valor de la partida n° 8 de devolucion de la</t>
  </si>
  <si>
    <t xml:space="preserve">venta y es </t>
  </si>
  <si>
    <t xml:space="preserve">tanenos que determinar el saldo del mayor de la cuenta de  venta  para aplicar el </t>
  </si>
  <si>
    <t xml:space="preserve">porcentaje que le corresponde del  anticipo a cuenta obteniendo el valor de </t>
  </si>
  <si>
    <t xml:space="preserve">(71118.72*1.75%) y es de </t>
  </si>
  <si>
    <t>mensual</t>
  </si>
  <si>
    <t xml:space="preserve">                   partida n° 26</t>
  </si>
  <si>
    <t xml:space="preserve">Perdidas o Ganacias </t>
  </si>
  <si>
    <t>(26</t>
  </si>
  <si>
    <t>Gasto pagados por anticipado</t>
  </si>
  <si>
    <t xml:space="preserve">          Partida n° 21</t>
  </si>
  <si>
    <t xml:space="preserve">    Remanente de credito Fiscal IVA</t>
  </si>
  <si>
    <t>por el efrentamiento de IVA</t>
  </si>
  <si>
    <t>TN° 22</t>
  </si>
  <si>
    <r>
      <t xml:space="preserve">               </t>
    </r>
    <r>
      <rPr>
        <u/>
        <sz val="11"/>
        <color theme="1"/>
        <rFont val="Calibri"/>
        <family val="2"/>
        <scheme val="minor"/>
      </rPr>
      <t xml:space="preserve"> Impuestos por Pagar</t>
    </r>
  </si>
  <si>
    <r>
      <rPr>
        <u/>
        <sz val="11"/>
        <color theme="1"/>
        <rFont val="Calibri"/>
        <family val="2"/>
        <scheme val="minor"/>
      </rPr>
      <t>Impuesto por recuperar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</si>
  <si>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      </t>
    </r>
    <r>
      <rPr>
        <u/>
        <sz val="11"/>
        <color theme="1"/>
        <rFont val="Calibri"/>
        <family val="2"/>
        <scheme val="minor"/>
      </rPr>
      <t>Impuesto por Recuperar</t>
    </r>
    <r>
      <rPr>
        <sz val="11"/>
        <color theme="1"/>
        <rFont val="Calibri"/>
        <family val="2"/>
        <scheme val="minor"/>
      </rPr>
      <t xml:space="preserve"> </t>
    </r>
  </si>
  <si>
    <t xml:space="preserve">                 Pago a Cuenta por Pagar</t>
  </si>
  <si>
    <r>
      <t xml:space="preserve">             </t>
    </r>
    <r>
      <rPr>
        <u val="singleAccounting"/>
        <sz val="11"/>
        <color theme="1"/>
        <rFont val="Calibri"/>
        <family val="2"/>
        <scheme val="minor"/>
      </rPr>
      <t>Depreciacion Acumulada</t>
    </r>
  </si>
  <si>
    <t xml:space="preserve">                     Partida n° 27</t>
  </si>
  <si>
    <t>F.____________________________</t>
  </si>
  <si>
    <t>Representante legal</t>
  </si>
  <si>
    <t xml:space="preserve">                                                                                          F.________________________</t>
  </si>
  <si>
    <t xml:space="preserve">                                                                                                     Auditor</t>
  </si>
  <si>
    <t>F._________________________</t>
  </si>
  <si>
    <t>27)</t>
  </si>
  <si>
    <t>26)</t>
  </si>
  <si>
    <t>(27</t>
  </si>
  <si>
    <t xml:space="preserve">         Gasto de Administracion</t>
  </si>
  <si>
    <t xml:space="preserve">          Gastos no deducibles</t>
  </si>
  <si>
    <t xml:space="preserve">         Gasto de venta</t>
  </si>
  <si>
    <r>
      <t xml:space="preserve">           </t>
    </r>
    <r>
      <rPr>
        <u val="singleAccounting"/>
        <sz val="11"/>
        <color theme="1"/>
        <rFont val="Calibri"/>
        <family val="2"/>
        <scheme val="minor"/>
      </rPr>
      <t>Costo de Venta</t>
    </r>
  </si>
  <si>
    <t>por el cierre de gasto y costos de operación</t>
  </si>
  <si>
    <t>por el cierre de las cuenta de ventas</t>
  </si>
  <si>
    <t xml:space="preserve">        Perdidas o Ganancia</t>
  </si>
  <si>
    <t xml:space="preserve">                     Partida n° 28</t>
  </si>
  <si>
    <t xml:space="preserve">     Utilidad del Ejercicio</t>
  </si>
  <si>
    <t xml:space="preserve">       Reserva Legal</t>
  </si>
  <si>
    <t xml:space="preserve">        Impuesto sobre la Renta</t>
  </si>
  <si>
    <t xml:space="preserve">Tomando de base nuestras ventasestas  son inferiores a los $150,000 y </t>
  </si>
  <si>
    <t xml:space="preserve"> el gasto no deducible  para efectos de renta y  que lo  liquido en la partida n°26 </t>
  </si>
  <si>
    <t>28)</t>
  </si>
  <si>
    <t>($15,725.91+$1.25*0.07)</t>
  </si>
  <si>
    <t>para determinar la utilidad del ejercicio</t>
  </si>
  <si>
    <t>Inventario</t>
  </si>
  <si>
    <t>Depreciacion Acumulada®</t>
  </si>
  <si>
    <t xml:space="preserve">   Remanente de credito  fiscal IVA</t>
  </si>
  <si>
    <t xml:space="preserve">TOTAL DE PASIVO, PATRIMONIO </t>
  </si>
  <si>
    <t>E</t>
  </si>
  <si>
    <t>Con relacion a este Etado lo realizaremos con estados financieros comparativos( de dos años por lo menos) de igual forma lo evaluaremos por separado.</t>
  </si>
  <si>
    <t>Las Notas a los estados Finacieros se considera un estado por el hecho que cada nota va detallando rubros o cuentas delicadas de cada estado Financiero.</t>
  </si>
  <si>
    <t>decir el tipo de Moneda y por supuesto tiene que llevar las firmas de los reponsables.</t>
  </si>
  <si>
    <t>INGRESOS</t>
  </si>
  <si>
    <t>costo de Venta</t>
  </si>
  <si>
    <t>Utilidad Bruta</t>
  </si>
  <si>
    <t>Gastos de Opreacion</t>
  </si>
  <si>
    <t>Gasto de  Administracion</t>
  </si>
  <si>
    <t>Utilidad Antes de  Reserva e Impuesto</t>
  </si>
  <si>
    <t>Reserva Legal</t>
  </si>
  <si>
    <t>Utilidad Antes De  Impuesto</t>
  </si>
  <si>
    <t>Impuesto Sobre Renta</t>
  </si>
  <si>
    <t>Utilidad del Ejercicio</t>
  </si>
  <si>
    <t>F.</t>
  </si>
  <si>
    <r>
      <t xml:space="preserve">               </t>
    </r>
    <r>
      <rPr>
        <b/>
        <sz val="11"/>
        <rFont val="Calibri"/>
        <family val="2"/>
        <scheme val="minor"/>
      </rPr>
      <t xml:space="preserve">  DEL 01 DE DICEIMBRE AL 31 DE  DICIEMBRE DEL AÑO 2019</t>
    </r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</si>
  <si>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Expresado en dolares de los Estados  Unidos de America</t>
    </r>
  </si>
  <si>
    <t>el metodo de registro contable.</t>
  </si>
  <si>
    <t xml:space="preserve">Reserva </t>
  </si>
  <si>
    <t>Legal</t>
  </si>
  <si>
    <t>Dividendos</t>
  </si>
  <si>
    <t>pagados</t>
  </si>
  <si>
    <t xml:space="preserve">Total de </t>
  </si>
  <si>
    <t>Patrimonio</t>
  </si>
  <si>
    <t>Saldo al inicio de 2019</t>
  </si>
  <si>
    <t>Utilidad  Acumulada</t>
  </si>
  <si>
    <t xml:space="preserve">Utilidad </t>
  </si>
  <si>
    <t>Utilidad  del Ejercicio</t>
  </si>
  <si>
    <t>Saldo al final del 2019</t>
  </si>
  <si>
    <t>Acumuladas</t>
  </si>
  <si>
    <t>Dividendos Pagados</t>
  </si>
  <si>
    <r>
      <t xml:space="preserve">                  </t>
    </r>
    <r>
      <rPr>
        <b/>
        <sz val="11"/>
        <rFont val="Calibri"/>
        <family val="2"/>
        <scheme val="minor"/>
      </rPr>
      <t xml:space="preserve">          ESTADO DE RENDIMIENTO ECONOMICO</t>
    </r>
  </si>
  <si>
    <r>
      <t xml:space="preserve">                  </t>
    </r>
    <r>
      <rPr>
        <b/>
        <sz val="11"/>
        <rFont val="Calibri"/>
        <family val="2"/>
        <scheme val="minor"/>
      </rPr>
      <t xml:space="preserve">     ESTADO DE CAMBIOS EN EL PATRIMONIO</t>
    </r>
  </si>
  <si>
    <r>
      <t xml:space="preserve">                           </t>
    </r>
    <r>
      <rPr>
        <b/>
        <sz val="11"/>
        <rFont val="Calibri"/>
        <family val="2"/>
        <scheme val="minor"/>
      </rPr>
      <t xml:space="preserve">   NOTAS A LOS ESTADOS FINANCIEROS</t>
    </r>
  </si>
  <si>
    <t xml:space="preserve">                       ESTADO DE SITUACION FINANCIERA</t>
  </si>
  <si>
    <t xml:space="preserve">   Anticipo a cuenta</t>
  </si>
  <si>
    <t>TOTAL DE ACTIVOS</t>
  </si>
  <si>
    <t>(28</t>
  </si>
  <si>
    <t>Anticipo a cuenta por pagar</t>
  </si>
  <si>
    <t>Impuesto sobre la Renta</t>
  </si>
  <si>
    <t>Utilidad del ejercicio</t>
  </si>
  <si>
    <r>
      <t xml:space="preserve">                                   </t>
    </r>
    <r>
      <rPr>
        <b/>
        <sz val="11"/>
        <color theme="1"/>
        <rFont val="Calibri"/>
        <family val="2"/>
        <scheme val="minor"/>
      </rPr>
      <t xml:space="preserve"> Partida N° 1</t>
    </r>
  </si>
  <si>
    <t>T.N°.1</t>
  </si>
  <si>
    <t>Efectivo y equivalente</t>
  </si>
  <si>
    <t>Para esta transacioccion ya estan dados los datos</t>
  </si>
  <si>
    <t>Inventario Inicial</t>
  </si>
  <si>
    <t xml:space="preserve">en forma detallada. Y aseguremonos que en el inventario </t>
  </si>
  <si>
    <t>Propiedad Planta y equipo</t>
  </si>
  <si>
    <t>este detallado su costo por el metodo de registrfo que utilizaremos</t>
  </si>
  <si>
    <t xml:space="preserve">      Equipo de transporte</t>
  </si>
  <si>
    <t xml:space="preserve">      Edificacion</t>
  </si>
  <si>
    <t>T.N°2</t>
  </si>
  <si>
    <r>
      <t xml:space="preserve">           </t>
    </r>
    <r>
      <rPr>
        <u/>
        <sz val="11"/>
        <color theme="1"/>
        <rFont val="Calibri"/>
        <family val="2"/>
        <scheme val="minor"/>
      </rPr>
      <t xml:space="preserve"> Capital Social</t>
    </r>
  </si>
  <si>
    <t>En esta transaccion se realizara la adquisicion de un bien Inmueble</t>
  </si>
  <si>
    <t xml:space="preserve">             Capital social Pagado</t>
  </si>
  <si>
    <t xml:space="preserve">y de acuerdo a la ley del IVApara este bien no aplicaria de igual forma no </t>
  </si>
  <si>
    <t>Po apertura de la sociedad</t>
  </si>
  <si>
    <t>se le aplicara depreciacion es de ver el art. 30 de la Ley de Impuesto sobre</t>
  </si>
  <si>
    <r>
      <t xml:space="preserve">                               </t>
    </r>
    <r>
      <rPr>
        <b/>
        <sz val="11"/>
        <color theme="1"/>
        <rFont val="Calibri"/>
        <family val="2"/>
        <scheme val="minor"/>
      </rPr>
      <t xml:space="preserve"> Partida N°2</t>
    </r>
  </si>
  <si>
    <t>la Renta.</t>
  </si>
  <si>
    <t>T.N°3.</t>
  </si>
  <si>
    <t>U. a vender</t>
  </si>
  <si>
    <t>Prc. Venta</t>
  </si>
  <si>
    <r>
      <t xml:space="preserve">        </t>
    </r>
    <r>
      <rPr>
        <u/>
        <sz val="11"/>
        <color theme="1"/>
        <rFont val="Calibri"/>
        <family val="2"/>
        <scheme val="minor"/>
      </rPr>
      <t>Efectivo y Equivalentes</t>
    </r>
  </si>
  <si>
    <t>Lavadoras</t>
  </si>
  <si>
    <r>
      <t xml:space="preserve">       </t>
    </r>
    <r>
      <rPr>
        <u/>
        <sz val="11"/>
        <color theme="1"/>
        <rFont val="Calibri"/>
        <family val="2"/>
        <scheme val="minor"/>
      </rPr>
      <t xml:space="preserve"> Acreedores Varios</t>
    </r>
  </si>
  <si>
    <t>cosinas</t>
  </si>
  <si>
    <t>por la compra de un terreno el 50% al credito</t>
  </si>
  <si>
    <t>vta gravada</t>
  </si>
  <si>
    <r>
      <t xml:space="preserve">                       </t>
    </r>
    <r>
      <rPr>
        <b/>
        <sz val="11"/>
        <color theme="1"/>
        <rFont val="Calibri"/>
        <family val="2"/>
        <scheme val="minor"/>
      </rPr>
      <t xml:space="preserve"> Partidad n°3</t>
    </r>
  </si>
  <si>
    <t>IVA</t>
  </si>
  <si>
    <t>Cuentas por Cobrar</t>
  </si>
  <si>
    <t>Retenc. 1%</t>
  </si>
  <si>
    <t>Impuestos por recuperar</t>
  </si>
  <si>
    <t>para calcular el costo de venta se tiene que considerar el costo de adquisicion</t>
  </si>
  <si>
    <t xml:space="preserve">  rentencion de IVA 1%</t>
  </si>
  <si>
    <t>Unidades</t>
  </si>
  <si>
    <t>cto unitario</t>
  </si>
  <si>
    <t>costo total</t>
  </si>
  <si>
    <t xml:space="preserve">Este costo se puede realizar </t>
  </si>
  <si>
    <t>****</t>
  </si>
  <si>
    <t>Costo de venta</t>
  </si>
  <si>
    <t>lavadoras</t>
  </si>
  <si>
    <t>en una partida separa. O junta</t>
  </si>
  <si>
    <r>
      <t xml:space="preserve">               </t>
    </r>
    <r>
      <rPr>
        <u/>
        <sz val="11"/>
        <color theme="1"/>
        <rFont val="Calibri"/>
        <family val="2"/>
        <scheme val="minor"/>
      </rPr>
      <t xml:space="preserve"> Inventario</t>
    </r>
  </si>
  <si>
    <t>como en este caso.</t>
  </si>
  <si>
    <r>
      <t xml:space="preserve">                 </t>
    </r>
    <r>
      <rPr>
        <u/>
        <sz val="11"/>
        <color theme="1"/>
        <rFont val="Calibri"/>
        <family val="2"/>
        <scheme val="minor"/>
      </rPr>
      <t>Venta</t>
    </r>
  </si>
  <si>
    <t>Total de costo</t>
  </si>
  <si>
    <r>
      <t xml:space="preserve">                </t>
    </r>
    <r>
      <rPr>
        <u/>
        <sz val="11"/>
        <color theme="1"/>
        <rFont val="Calibri"/>
        <family val="2"/>
        <scheme val="minor"/>
      </rPr>
      <t xml:space="preserve"> Debito Fiscal IVA</t>
    </r>
  </si>
  <si>
    <t>por la venta al credito a un gran contruyente</t>
  </si>
  <si>
    <t>T.N°4</t>
  </si>
  <si>
    <r>
      <t xml:space="preserve">                        </t>
    </r>
    <r>
      <rPr>
        <b/>
        <sz val="11"/>
        <color theme="1"/>
        <rFont val="Calibri"/>
        <family val="2"/>
        <scheme val="minor"/>
      </rPr>
      <t xml:space="preserve"> partida n° 4</t>
    </r>
  </si>
  <si>
    <t>&amp;&amp;</t>
  </si>
  <si>
    <t>cocinas</t>
  </si>
  <si>
    <t xml:space="preserve">   Credito Fiscal IVA</t>
  </si>
  <si>
    <t>Percepcion de IVA 1%</t>
  </si>
  <si>
    <t>Percep. 1%</t>
  </si>
  <si>
    <r>
      <t xml:space="preserve">      </t>
    </r>
    <r>
      <rPr>
        <u/>
        <sz val="11"/>
        <color theme="1"/>
        <rFont val="Calibri"/>
        <family val="2"/>
        <scheme val="minor"/>
      </rPr>
      <t>Efectivo y Equivalentes</t>
    </r>
  </si>
  <si>
    <t>Efec y equiv</t>
  </si>
  <si>
    <r>
      <t xml:space="preserve">     </t>
    </r>
    <r>
      <rPr>
        <u/>
        <sz val="11"/>
        <color theme="1"/>
        <rFont val="Calibri"/>
        <family val="2"/>
        <scheme val="minor"/>
      </rPr>
      <t xml:space="preserve"> Proveedores</t>
    </r>
  </si>
  <si>
    <t>proveedore</t>
  </si>
  <si>
    <t>por la compra de mercaderia 50% en efectivo.</t>
  </si>
  <si>
    <r>
      <t xml:space="preserve">                       </t>
    </r>
    <r>
      <rPr>
        <b/>
        <sz val="11"/>
        <color theme="1"/>
        <rFont val="Calibri"/>
        <family val="2"/>
        <scheme val="minor"/>
      </rPr>
      <t xml:space="preserve">   Partida n°5</t>
    </r>
  </si>
  <si>
    <t>T.n° 5</t>
  </si>
  <si>
    <t>##</t>
  </si>
  <si>
    <t>transporte</t>
  </si>
  <si>
    <t xml:space="preserve">   servicios de transporte</t>
  </si>
  <si>
    <t>Rt. Iva</t>
  </si>
  <si>
    <t>Rt. I/R</t>
  </si>
  <si>
    <r>
      <t xml:space="preserve">       </t>
    </r>
    <r>
      <rPr>
        <u/>
        <sz val="11"/>
        <color theme="1"/>
        <rFont val="Calibri"/>
        <family val="2"/>
        <scheme val="minor"/>
      </rPr>
      <t>Efectivo y equivalente</t>
    </r>
  </si>
  <si>
    <r>
      <t xml:space="preserve">       </t>
    </r>
    <r>
      <rPr>
        <u/>
        <sz val="11"/>
        <color theme="1"/>
        <rFont val="Calibri"/>
        <family val="2"/>
        <scheme val="minor"/>
      </rPr>
      <t>Retenciones por pagar</t>
    </r>
  </si>
  <si>
    <t xml:space="preserve">        rentencion IVA 13%</t>
  </si>
  <si>
    <t xml:space="preserve">        retencion de I/R 10%</t>
  </si>
  <si>
    <t>por el pago de transporte a un  no contribuyente</t>
  </si>
  <si>
    <r>
      <t xml:space="preserve">                          </t>
    </r>
    <r>
      <rPr>
        <b/>
        <sz val="11"/>
        <color theme="1"/>
        <rFont val="Calibri"/>
        <family val="2"/>
        <scheme val="minor"/>
      </rPr>
      <t>Partida N° 6</t>
    </r>
    <r>
      <rPr>
        <sz val="11"/>
        <color theme="1"/>
        <rFont val="Calibri"/>
        <family val="2"/>
        <scheme val="minor"/>
      </rPr>
      <t xml:space="preserve">      </t>
    </r>
  </si>
  <si>
    <t xml:space="preserve">    Servicios de Publicidad</t>
  </si>
  <si>
    <t>T.N° 7</t>
  </si>
  <si>
    <t>Impuesto por Recuperar</t>
  </si>
  <si>
    <t>v. de seguro</t>
  </si>
  <si>
    <t xml:space="preserve">    Credito fiscal IVA</t>
  </si>
  <si>
    <r>
      <t xml:space="preserve">      </t>
    </r>
    <r>
      <rPr>
        <u/>
        <sz val="11"/>
        <color theme="1"/>
        <rFont val="Calibri"/>
        <family val="2"/>
        <scheme val="minor"/>
      </rPr>
      <t>Efectivo y Equivalente</t>
    </r>
  </si>
  <si>
    <t>E Y E</t>
  </si>
  <si>
    <t>por el pago de servicios publicitariosp/ 4 meses</t>
  </si>
  <si>
    <r>
      <t xml:space="preserve">                        </t>
    </r>
    <r>
      <rPr>
        <b/>
        <sz val="11"/>
        <color theme="1"/>
        <rFont val="Calibri"/>
        <family val="2"/>
        <scheme val="minor"/>
      </rPr>
      <t xml:space="preserve"> Partida N°7</t>
    </r>
  </si>
  <si>
    <t>Gastos pagados por anticipado</t>
  </si>
  <si>
    <t>T. N° 8</t>
  </si>
  <si>
    <t xml:space="preserve">     serv.de Seguro</t>
  </si>
  <si>
    <t>U.devueltas</t>
  </si>
  <si>
    <t>Costo vta</t>
  </si>
  <si>
    <t>el #de unidades por el precio de venta</t>
  </si>
  <si>
    <t xml:space="preserve">  credito Fiscal IVA</t>
  </si>
  <si>
    <t>el valor gravado por 13%</t>
  </si>
  <si>
    <r>
      <t xml:space="preserve">       </t>
    </r>
    <r>
      <rPr>
        <u/>
        <sz val="11"/>
        <color theme="1"/>
        <rFont val="Calibri"/>
        <family val="2"/>
        <scheme val="minor"/>
      </rPr>
      <t xml:space="preserve"> Efectivo y equivalentes </t>
    </r>
  </si>
  <si>
    <t>percep.IVA</t>
  </si>
  <si>
    <t>el valor gravado por 1%</t>
  </si>
  <si>
    <r>
      <t xml:space="preserve">                       </t>
    </r>
    <r>
      <rPr>
        <b/>
        <sz val="11"/>
        <color theme="1"/>
        <rFont val="Calibri"/>
        <family val="2"/>
        <scheme val="minor"/>
      </rPr>
      <t>Partida n°8</t>
    </r>
  </si>
  <si>
    <t>&amp;</t>
  </si>
  <si>
    <t xml:space="preserve">     Cuentas por Cobrar </t>
  </si>
  <si>
    <t xml:space="preserve">     Impuestos por recuperar</t>
  </si>
  <si>
    <t>total</t>
  </si>
  <si>
    <t xml:space="preserve">       Retencion de IVA 1%</t>
  </si>
  <si>
    <r>
      <t>el valor total de la devoluvion</t>
    </r>
    <r>
      <rPr>
        <b/>
        <sz val="11"/>
        <color theme="1"/>
        <rFont val="Calibri"/>
        <family val="2"/>
        <scheme val="minor"/>
      </rPr>
      <t>(vtd)</t>
    </r>
    <r>
      <rPr>
        <sz val="11"/>
        <color theme="1"/>
        <rFont val="Calibri"/>
        <family val="2"/>
        <scheme val="minor"/>
      </rPr>
      <t xml:space="preserve"> sera  la suma del valor gravada de la devolucion de cada producto.</t>
    </r>
  </si>
  <si>
    <r>
      <t xml:space="preserve">    </t>
    </r>
    <r>
      <rPr>
        <u/>
        <sz val="11"/>
        <color theme="1"/>
        <rFont val="Calibri"/>
        <family val="2"/>
        <scheme val="minor"/>
      </rPr>
      <t xml:space="preserve"> Costo de Venta</t>
    </r>
  </si>
  <si>
    <t>Por el registro de la devolucion de mercaderia</t>
  </si>
  <si>
    <t>VTD =</t>
  </si>
  <si>
    <r>
      <t xml:space="preserve">                      </t>
    </r>
    <r>
      <rPr>
        <b/>
        <sz val="11"/>
        <color theme="1"/>
        <rFont val="Calibri"/>
        <family val="2"/>
        <scheme val="minor"/>
      </rPr>
      <t>Partida n° 9</t>
    </r>
  </si>
  <si>
    <t>VT IVA =</t>
  </si>
  <si>
    <t>VT Percepc.</t>
  </si>
  <si>
    <t>C*C</t>
  </si>
  <si>
    <t xml:space="preserve">      Inventario</t>
  </si>
  <si>
    <t xml:space="preserve">      Venta </t>
  </si>
  <si>
    <t xml:space="preserve">      Debito fiscal IVA</t>
  </si>
  <si>
    <r>
      <t xml:space="preserve">&amp;   </t>
    </r>
    <r>
      <rPr>
        <sz val="11"/>
        <rFont val="Calibri"/>
        <family val="2"/>
        <scheme val="minor"/>
      </rPr>
      <t xml:space="preserve">esta cuenta cambioy se adicionan dos mas para este metodo en el </t>
    </r>
  </si>
  <si>
    <t>Por la venta en efectivo a un pequeño. Contrib.</t>
  </si>
  <si>
    <t>anterior  estaba dev/vta. Y las otra cuentass no se estaregitraban</t>
  </si>
  <si>
    <r>
      <t xml:space="preserve">                 </t>
    </r>
    <r>
      <rPr>
        <b/>
        <sz val="11"/>
        <color theme="1"/>
        <rFont val="Calibri"/>
        <family val="2"/>
        <scheme val="minor"/>
      </rPr>
      <t>partida N° 10</t>
    </r>
  </si>
  <si>
    <t>T N° 9</t>
  </si>
  <si>
    <t>1° Lavad.</t>
  </si>
  <si>
    <t xml:space="preserve">     Aguinaldo</t>
  </si>
  <si>
    <t>2° lavad.</t>
  </si>
  <si>
    <t>Vta.Gavada</t>
  </si>
  <si>
    <t>Aguinaldo</t>
  </si>
  <si>
    <r>
      <t xml:space="preserve">     </t>
    </r>
    <r>
      <rPr>
        <u/>
        <sz val="11"/>
        <color theme="1"/>
        <rFont val="Calibri"/>
        <family val="2"/>
        <scheme val="minor"/>
      </rPr>
      <t xml:space="preserve"> Efectivo y equivalente</t>
    </r>
  </si>
  <si>
    <t>costo/vta</t>
  </si>
  <si>
    <t>por el pago del agunaldo</t>
  </si>
  <si>
    <t>el costo se detallo en el doc. De Word que bueno algunos lo observaron q en exel no lo coloque.</t>
  </si>
  <si>
    <r>
      <t xml:space="preserve">                      </t>
    </r>
    <r>
      <rPr>
        <b/>
        <sz val="11"/>
        <color theme="1"/>
        <rFont val="Calibri"/>
        <family val="2"/>
        <scheme val="minor"/>
      </rPr>
      <t>Partida n°11</t>
    </r>
  </si>
  <si>
    <t>T N°10</t>
  </si>
  <si>
    <t xml:space="preserve">Proveedores </t>
  </si>
  <si>
    <t xml:space="preserve">para esta transaccion se toman datos de la </t>
  </si>
  <si>
    <t>°°°</t>
  </si>
  <si>
    <r>
      <t xml:space="preserve">       </t>
    </r>
    <r>
      <rPr>
        <u/>
        <sz val="11"/>
        <color theme="1"/>
        <rFont val="Calibri"/>
        <family val="2"/>
        <scheme val="minor"/>
      </rPr>
      <t xml:space="preserve"> Inventarios      </t>
    </r>
  </si>
  <si>
    <t xml:space="preserve">planilla en aguinaldo del gerente esta en gasto de </t>
  </si>
  <si>
    <r>
      <t xml:space="preserve">        </t>
    </r>
    <r>
      <rPr>
        <u/>
        <sz val="11"/>
        <color theme="1"/>
        <rFont val="Calibri"/>
        <family val="2"/>
        <scheme val="minor"/>
      </rPr>
      <t>Impuestos por Recuperar</t>
    </r>
  </si>
  <si>
    <t>Admon Financiera y la del cajero mas la del ven-</t>
  </si>
  <si>
    <t xml:space="preserve">           Credito Fiscal IVA</t>
  </si>
  <si>
    <t>dedor es el gasto de venta.</t>
  </si>
  <si>
    <t xml:space="preserve">           Percecion de IVA</t>
  </si>
  <si>
    <t>por la devolucin de la compra que realizamos</t>
  </si>
  <si>
    <t>T. N° 11</t>
  </si>
  <si>
    <r>
      <t xml:space="preserve">                    </t>
    </r>
    <r>
      <rPr>
        <b/>
        <sz val="11"/>
        <color theme="1"/>
        <rFont val="Calibri"/>
        <family val="2"/>
        <scheme val="minor"/>
      </rPr>
      <t xml:space="preserve">  Partida N° 12</t>
    </r>
  </si>
  <si>
    <t>D/compra.</t>
  </si>
  <si>
    <t>""</t>
  </si>
  <si>
    <t>Inventarios</t>
  </si>
  <si>
    <t>Percep. IVA</t>
  </si>
  <si>
    <t xml:space="preserve">       Credito Fiscal IVA</t>
  </si>
  <si>
    <r>
      <t xml:space="preserve">       </t>
    </r>
    <r>
      <rPr>
        <u/>
        <sz val="11"/>
        <color theme="1"/>
        <rFont val="Calibri"/>
        <family val="2"/>
        <scheme val="minor"/>
      </rPr>
      <t>Proveedores</t>
    </r>
  </si>
  <si>
    <t>por la compra de mercaderia al credito</t>
  </si>
  <si>
    <r>
      <rPr>
        <b/>
        <sz val="11"/>
        <color rgb="FFFF0000"/>
        <rFont val="Calibri"/>
        <family val="2"/>
        <scheme val="minor"/>
      </rPr>
      <t xml:space="preserve">°°° </t>
    </r>
    <r>
      <rPr>
        <b/>
        <sz val="11"/>
        <rFont val="Calibri"/>
        <family val="2"/>
        <scheme val="minor"/>
      </rPr>
      <t>en este metodo se utiliza Inventarios en lugar  de dev/compras</t>
    </r>
  </si>
  <si>
    <r>
      <t xml:space="preserve">                      </t>
    </r>
    <r>
      <rPr>
        <b/>
        <sz val="11"/>
        <color theme="1"/>
        <rFont val="Calibri"/>
        <family val="2"/>
        <scheme val="minor"/>
      </rPr>
      <t xml:space="preserve"> Partida n°13</t>
    </r>
  </si>
  <si>
    <t>T N° 12</t>
  </si>
  <si>
    <t>40 lavadoras</t>
  </si>
  <si>
    <t xml:space="preserve">   Cuentas por Cobrar</t>
  </si>
  <si>
    <t>por el pago que nos hizo Salgado</t>
  </si>
  <si>
    <r>
      <rPr>
        <b/>
        <sz val="11"/>
        <color rgb="FFFF0000"/>
        <rFont val="Calibri"/>
        <family val="2"/>
        <scheme val="minor"/>
      </rPr>
      <t xml:space="preserve">""  </t>
    </r>
    <r>
      <rPr>
        <b/>
        <sz val="11"/>
        <rFont val="Calibri"/>
        <family val="2"/>
        <scheme val="minor"/>
      </rPr>
      <t>por el metodo de registro que se esta utilizando es inventario y no compra</t>
    </r>
  </si>
  <si>
    <r>
      <t xml:space="preserve">                     </t>
    </r>
    <r>
      <rPr>
        <b/>
        <sz val="11"/>
        <color theme="1"/>
        <rFont val="Calibri"/>
        <family val="2"/>
        <scheme val="minor"/>
      </rPr>
      <t>Partida N° 14</t>
    </r>
  </si>
  <si>
    <t>T N° 13</t>
  </si>
  <si>
    <t>ver el archivo de Word relacionada a esta transaccion</t>
  </si>
  <si>
    <t xml:space="preserve">     combustible</t>
  </si>
  <si>
    <t xml:space="preserve">     FOVIAL</t>
  </si>
  <si>
    <t>T N° 14</t>
  </si>
  <si>
    <t xml:space="preserve">    COTRANS</t>
  </si>
  <si>
    <t>100g.comb</t>
  </si>
  <si>
    <t>FOVIAL</t>
  </si>
  <si>
    <t>COTRANS</t>
  </si>
  <si>
    <r>
      <t xml:space="preserve">       </t>
    </r>
    <r>
      <rPr>
        <u/>
        <sz val="11"/>
        <color theme="1"/>
        <rFont val="Calibri"/>
        <family val="2"/>
        <scheme val="minor"/>
      </rPr>
      <t xml:space="preserve">  Efectivo y equivalentes</t>
    </r>
  </si>
  <si>
    <t>Por compra de combustible</t>
  </si>
  <si>
    <t>V.NETO</t>
  </si>
  <si>
    <r>
      <t xml:space="preserve">                    </t>
    </r>
    <r>
      <rPr>
        <b/>
        <sz val="11"/>
        <color theme="1"/>
        <rFont val="Calibri"/>
        <family val="2"/>
        <scheme val="minor"/>
      </rPr>
      <t>Partida N° 15</t>
    </r>
  </si>
  <si>
    <r>
      <rPr>
        <u/>
        <sz val="11"/>
        <color theme="1"/>
        <rFont val="Calibri"/>
        <family val="2"/>
        <scheme val="minor"/>
      </rPr>
      <t>Proveedores</t>
    </r>
    <r>
      <rPr>
        <sz val="11"/>
        <color theme="1"/>
        <rFont val="Calibri"/>
        <family val="2"/>
        <scheme val="minor"/>
      </rPr>
      <t xml:space="preserve"> </t>
    </r>
  </si>
  <si>
    <t>T N ° 15</t>
  </si>
  <si>
    <t>!!</t>
  </si>
  <si>
    <r>
      <t xml:space="preserve">       </t>
    </r>
    <r>
      <rPr>
        <u/>
        <sz val="11"/>
        <color theme="1"/>
        <rFont val="Calibri"/>
        <family val="2"/>
        <scheme val="minor"/>
      </rPr>
      <t xml:space="preserve"> Inventarios </t>
    </r>
    <r>
      <rPr>
        <sz val="11"/>
        <color theme="1"/>
        <rFont val="Calibri"/>
        <family val="2"/>
        <scheme val="minor"/>
      </rPr>
      <t xml:space="preserve">     </t>
    </r>
  </si>
  <si>
    <t xml:space="preserve"> Inventarios</t>
  </si>
  <si>
    <t xml:space="preserve">        Impuestos por recuperar</t>
  </si>
  <si>
    <r>
      <t xml:space="preserve">!! </t>
    </r>
    <r>
      <rPr>
        <b/>
        <sz val="11"/>
        <rFont val="Calibri"/>
        <family val="2"/>
        <scheme val="minor"/>
      </rPr>
      <t>En el metodo analitico se utilizo reb y dev/comp pero aquí se utiliza Inventarios</t>
    </r>
  </si>
  <si>
    <t>Por  la rebaja que prado nos dio por la compra</t>
  </si>
  <si>
    <t>T N° 16</t>
  </si>
  <si>
    <r>
      <t xml:space="preserve">                   </t>
    </r>
    <r>
      <rPr>
        <b/>
        <sz val="11"/>
        <color theme="1"/>
        <rFont val="Calibri"/>
        <family val="2"/>
        <scheme val="minor"/>
      </rPr>
      <t>Partida N° 16</t>
    </r>
  </si>
  <si>
    <t>proveedores de partd. 11</t>
  </si>
  <si>
    <t>Inventario  partid 14</t>
  </si>
  <si>
    <t xml:space="preserve">       Efectivo y equivalente</t>
  </si>
  <si>
    <t>Valor a pagar a Prado</t>
  </si>
  <si>
    <t>por el pago de la deuda a c. Prado</t>
  </si>
  <si>
    <r>
      <t xml:space="preserve">                  </t>
    </r>
    <r>
      <rPr>
        <b/>
        <sz val="11"/>
        <color theme="1"/>
        <rFont val="Calibri"/>
        <family val="2"/>
        <scheme val="minor"/>
      </rPr>
      <t>Partida N°17</t>
    </r>
  </si>
  <si>
    <t>v. del servicio</t>
  </si>
  <si>
    <t xml:space="preserve">      H onorarios</t>
  </si>
  <si>
    <r>
      <t xml:space="preserve">     </t>
    </r>
    <r>
      <rPr>
        <u/>
        <sz val="11"/>
        <color theme="1"/>
        <rFont val="Calibri"/>
        <family val="2"/>
        <scheme val="minor"/>
      </rPr>
      <t xml:space="preserve"> Efectivo y equivalentes</t>
    </r>
  </si>
  <si>
    <t>por el pago de servicios profesionales</t>
  </si>
  <si>
    <t>T N°18</t>
  </si>
  <si>
    <r>
      <t xml:space="preserve">                 </t>
    </r>
    <r>
      <rPr>
        <b/>
        <sz val="11"/>
        <color theme="1"/>
        <rFont val="Calibri"/>
        <family val="2"/>
        <scheme val="minor"/>
      </rPr>
      <t>Partida n°  18</t>
    </r>
  </si>
  <si>
    <t>En esta transaccion los valores son extraido de la planilla.</t>
  </si>
  <si>
    <t>Gasto de Aministracion</t>
  </si>
  <si>
    <t>en los gastos de venta no se le coloco vacacion ni indemnizacion</t>
  </si>
  <si>
    <t xml:space="preserve">   sueldo </t>
  </si>
  <si>
    <t>debido a que ellos no se les asigno fecha de cumpleaños.</t>
  </si>
  <si>
    <t xml:space="preserve">   vacacion </t>
  </si>
  <si>
    <t>en sueldo de gasto de venta se tomaron los dos (cajero y vendedor)</t>
  </si>
  <si>
    <t xml:space="preserve">    Indemnizacion</t>
  </si>
  <si>
    <t>en la parte de retenciones legales se sumaran la de los tres empleados</t>
  </si>
  <si>
    <t xml:space="preserve">    sueldo </t>
  </si>
  <si>
    <t>lo del ISSS  y la AFP en el caso del impuesto sobre la renta solo aplica</t>
  </si>
  <si>
    <t xml:space="preserve">     Efectivo y equivalentes</t>
  </si>
  <si>
    <t>uno para la rentencion del referido impuesto los otros dos si lo verifican</t>
  </si>
  <si>
    <t xml:space="preserve">      Retnciones legales</t>
  </si>
  <si>
    <t>se ubican en el tramo I de la tabla  en el cual dice que estan exentos.</t>
  </si>
  <si>
    <t xml:space="preserve">         ISSS</t>
  </si>
  <si>
    <t xml:space="preserve">         AFP </t>
  </si>
  <si>
    <t>recordemos que el agunaldo se pago el dia doce aquí se coloco sola para que</t>
  </si>
  <si>
    <t xml:space="preserve">         Impuesto/ renta</t>
  </si>
  <si>
    <t>se refleje en planilla pero a la hora de pagar no se toma en cuenta.</t>
  </si>
  <si>
    <t xml:space="preserve">              Partida n° 19</t>
  </si>
  <si>
    <t>Hay una variacion de 1 ctv.  Que es por aproximacion del sistema.</t>
  </si>
  <si>
    <t>Gasto de administracion</t>
  </si>
  <si>
    <t>como dice que es pago por esa razon se abona efectivo y equivalente  y si</t>
  </si>
  <si>
    <t xml:space="preserve">   ISSS</t>
  </si>
  <si>
    <t>fuese una provision utilizariamos cuentas por pagar.</t>
  </si>
  <si>
    <t xml:space="preserve">   AFP</t>
  </si>
  <si>
    <t>esta partida  n° 19, se podria haber hecho junto a la anterior , pero para</t>
  </si>
  <si>
    <t xml:space="preserve">  ISSS</t>
  </si>
  <si>
    <t>efectos de mejor comprencion la heremos separada, utilizaremos la</t>
  </si>
  <si>
    <t xml:space="preserve">  AFP</t>
  </si>
  <si>
    <t>planilla Patronal, para este registro.</t>
  </si>
  <si>
    <t xml:space="preserve">     Beneficio a empleados por Pagar</t>
  </si>
  <si>
    <t xml:space="preserve">en el caso del registro de la planilla patronal se provisiona casi siempre </t>
  </si>
  <si>
    <t xml:space="preserve">          ISSS</t>
  </si>
  <si>
    <t>por el hecho que se paga en los primeros diez dias habiles del mes siguente</t>
  </si>
  <si>
    <t xml:space="preserve">          AFP</t>
  </si>
  <si>
    <t>y la mayoria de patrono esperan hasta el ultimo dia para realizar sus pagos.</t>
  </si>
  <si>
    <r>
      <t xml:space="preserve">                </t>
    </r>
    <r>
      <rPr>
        <b/>
        <sz val="11"/>
        <color theme="1"/>
        <rFont val="Calibri"/>
        <family val="2"/>
        <scheme val="minor"/>
      </rPr>
      <t>Partida n°20</t>
    </r>
  </si>
  <si>
    <t xml:space="preserve">  servicio de Energia electrica</t>
  </si>
  <si>
    <t>T N° 20.</t>
  </si>
  <si>
    <t xml:space="preserve">  servicion de AGUA</t>
  </si>
  <si>
    <t>EEO</t>
  </si>
  <si>
    <t xml:space="preserve">  Servicio de telefonico</t>
  </si>
  <si>
    <t>Agua</t>
  </si>
  <si>
    <t>n/aplica IVA</t>
  </si>
  <si>
    <t>Telefonia</t>
  </si>
  <si>
    <t>Credito Fiscal IVA</t>
  </si>
  <si>
    <t>por el pago de los servicios basicos</t>
  </si>
  <si>
    <t>este gasto no deducible lo podia haber colocado en el gasto de admon.</t>
  </si>
  <si>
    <t>TN°21</t>
  </si>
  <si>
    <t>encuentren el error el por que no cuadra?</t>
  </si>
  <si>
    <t>aqui les presento dos opciones puede ser utilidades acumuladas o</t>
  </si>
  <si>
    <t>o utilidad del ejercicio ya que la utilidad del presente ejercicio no</t>
  </si>
  <si>
    <t>se puede distribuir en el periodo que ocurre si no que en el trancurso</t>
  </si>
  <si>
    <t xml:space="preserve">todo es dinero debido a que hay muchas empresas que no venden en efectivo </t>
  </si>
  <si>
    <t>un alto procenteje si no que es al credito.</t>
  </si>
  <si>
    <t xml:space="preserve">del proximo ejercicio ya que toda esa utilidad que se ha tenido no </t>
  </si>
  <si>
    <t>en este esatdo  solo se hace uso de las cuentas de patrimonio, siempre van firmado y sellado</t>
  </si>
  <si>
    <t>F:</t>
  </si>
  <si>
    <t>Nota . 1</t>
  </si>
  <si>
    <t>Nota. 2</t>
  </si>
  <si>
    <t>Nota. 3.</t>
  </si>
  <si>
    <t>N.3</t>
  </si>
  <si>
    <t>y asi correlativamente van  referenciandoce las notas.</t>
  </si>
  <si>
    <t>Ret..IVA</t>
  </si>
  <si>
    <t>T.6</t>
  </si>
  <si>
    <t xml:space="preserve">es decir Agua, Energia  electrica y </t>
  </si>
  <si>
    <t>telefonia.</t>
  </si>
  <si>
    <t>IVA total</t>
  </si>
  <si>
    <r>
      <t xml:space="preserve">SI observan ustede esta </t>
    </r>
    <r>
      <rPr>
        <b/>
        <sz val="11"/>
        <color theme="1"/>
        <rFont val="Calibri"/>
        <family val="2"/>
        <scheme val="minor"/>
      </rPr>
      <t>n.3</t>
    </r>
    <r>
      <rPr>
        <sz val="11"/>
        <color theme="1"/>
        <rFont val="Calibri"/>
        <family val="2"/>
        <scheme val="minor"/>
      </rPr>
      <t xml:space="preserve"> quiere decir que esta aclarado este rubro en las notas a los estados financieros</t>
    </r>
  </si>
  <si>
    <t>Este estado  tiene que colocar todos las formalidades que llevan los demas estados es decir nombre de la empresa , el año, el tipo de moneda su exprecion es</t>
  </si>
  <si>
    <t>Lla primera Nota se refiere a la generalidades de la empresa es decir su nombre, la activida, la naturaleza su capital social.</t>
  </si>
  <si>
    <t>La segunda Nota se refiere a las politicas que la empresa asta utilizando emplo de ellas:</t>
  </si>
  <si>
    <t>la normativa es decir si son Niffpara Pymes o la NIFF completas, de igual forma el metodo de depreciacion, el metodo de valuacion de inventarios y</t>
  </si>
  <si>
    <t>Apartir de la tercera Nota se detallan los rubros delicados del primer estado Financiero que se elabora y todos sabemos que es el estdo de rendimiento Economico</t>
  </si>
  <si>
    <t>En este estado depende de la forma de redaccion es decir que cada empres tiene su propio forma para redactar las notas.</t>
  </si>
  <si>
    <t>Este balance de comprobacion no es un estado financiero  pero si un instrumento para la elaboracion de los mismos.</t>
  </si>
  <si>
    <t>Gastos financieros</t>
  </si>
  <si>
    <t>esta cuenta es donde irián el interes que se paga de algun prestamo pero en nustro caso no hay.</t>
  </si>
  <si>
    <t>N4</t>
  </si>
  <si>
    <t xml:space="preserve">           Costo de Venta</t>
  </si>
  <si>
    <t xml:space="preserve">por el cierre de las cuentas  gasto y </t>
  </si>
  <si>
    <t>costo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</si>
</sst>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\ &quot;€&quot;_-;\-* #,##0.00\ &quot;€&quot;_-;_-* &quot;-&quot;??\ &quot;€&quot;_-;_-@_-"/>
    <numFmt numFmtId="167" formatCode="_ [$$-2C0A]\ * #,##0.00_ ;_ [$$-2C0A]\ * \-#,##0.00_ ;_ [$$-2C0A]\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u val="singleAccounting"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/>
    <xf numFmtId="165" fontId="0" fillId="0" borderId="0" xfId="1" applyFont="1"/>
    <xf numFmtId="0" fontId="0" fillId="0" borderId="0" xfId="0" applyFont="1"/>
    <xf numFmtId="165" fontId="0" fillId="0" borderId="0" xfId="0" applyNumberFormat="1"/>
    <xf numFmtId="165" fontId="3" fillId="0" borderId="0" xfId="0" applyNumberFormat="1" applyFont="1"/>
    <xf numFmtId="164" fontId="0" fillId="0" borderId="0" xfId="0" applyNumberFormat="1"/>
    <xf numFmtId="0" fontId="0" fillId="0" borderId="0" xfId="0"/>
    <xf numFmtId="0" fontId="7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7" fontId="0" fillId="0" borderId="1" xfId="0" applyNumberFormat="1" applyFont="1" applyBorder="1"/>
    <xf numFmtId="0" fontId="5" fillId="0" borderId="0" xfId="0" applyFont="1" applyAlignment="1"/>
    <xf numFmtId="0" fontId="6" fillId="0" borderId="0" xfId="0" applyFont="1" applyFill="1" applyAlignment="1"/>
    <xf numFmtId="0" fontId="7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7" fontId="9" fillId="0" borderId="0" xfId="0" applyNumberFormat="1" applyFont="1" applyFill="1" applyBorder="1"/>
    <xf numFmtId="167" fontId="10" fillId="0" borderId="0" xfId="0" applyNumberFormat="1" applyFont="1" applyFill="1" applyBorder="1"/>
    <xf numFmtId="167" fontId="0" fillId="0" borderId="0" xfId="0" applyNumberFormat="1" applyFill="1" applyBorder="1"/>
    <xf numFmtId="167" fontId="11" fillId="0" borderId="0" xfId="0" applyNumberFormat="1" applyFont="1" applyFill="1" applyBorder="1"/>
    <xf numFmtId="165" fontId="2" fillId="0" borderId="0" xfId="0" applyNumberFormat="1" applyFont="1"/>
    <xf numFmtId="165" fontId="0" fillId="0" borderId="7" xfId="0" applyNumberFormat="1" applyBorder="1"/>
    <xf numFmtId="0" fontId="0" fillId="3" borderId="3" xfId="0" applyFill="1" applyBorder="1"/>
    <xf numFmtId="0" fontId="0" fillId="0" borderId="10" xfId="0" applyBorder="1"/>
    <xf numFmtId="0" fontId="17" fillId="3" borderId="10" xfId="0" applyFont="1" applyFill="1" applyBorder="1"/>
    <xf numFmtId="0" fontId="16" fillId="3" borderId="10" xfId="0" applyFont="1" applyFill="1" applyBorder="1"/>
    <xf numFmtId="165" fontId="0" fillId="0" borderId="8" xfId="0" applyNumberFormat="1" applyFont="1" applyBorder="1"/>
    <xf numFmtId="165" fontId="0" fillId="0" borderId="9" xfId="0" applyNumberFormat="1" applyFon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3" borderId="10" xfId="0" applyFill="1" applyBorder="1"/>
    <xf numFmtId="165" fontId="0" fillId="0" borderId="0" xfId="0" applyNumberFormat="1" applyBorder="1"/>
    <xf numFmtId="0" fontId="17" fillId="0" borderId="0" xfId="0" applyFont="1" applyBorder="1"/>
    <xf numFmtId="165" fontId="17" fillId="0" borderId="0" xfId="0" applyNumberFormat="1" applyFont="1" applyBorder="1"/>
    <xf numFmtId="165" fontId="17" fillId="0" borderId="12" xfId="0" applyNumberFormat="1" applyFont="1" applyBorder="1"/>
    <xf numFmtId="0" fontId="0" fillId="0" borderId="0" xfId="0" applyFill="1" applyBorder="1"/>
    <xf numFmtId="165" fontId="14" fillId="0" borderId="12" xfId="0" applyNumberFormat="1" applyFont="1" applyFill="1" applyBorder="1"/>
    <xf numFmtId="0" fontId="13" fillId="3" borderId="10" xfId="0" applyFont="1" applyFill="1" applyBorder="1"/>
    <xf numFmtId="165" fontId="17" fillId="0" borderId="12" xfId="0" applyNumberFormat="1" applyFont="1" applyFill="1" applyBorder="1"/>
    <xf numFmtId="0" fontId="15" fillId="0" borderId="0" xfId="0" applyFont="1" applyBorder="1"/>
    <xf numFmtId="165" fontId="15" fillId="0" borderId="11" xfId="0" applyNumberFormat="1" applyFont="1" applyBorder="1"/>
    <xf numFmtId="165" fontId="15" fillId="0" borderId="0" xfId="0" applyNumberFormat="1" applyFont="1" applyBorder="1"/>
    <xf numFmtId="165" fontId="15" fillId="0" borderId="12" xfId="0" applyNumberFormat="1" applyFont="1" applyBorder="1"/>
    <xf numFmtId="165" fontId="15" fillId="0" borderId="12" xfId="0" applyNumberFormat="1" applyFont="1" applyFill="1" applyBorder="1"/>
    <xf numFmtId="165" fontId="15" fillId="0" borderId="0" xfId="0" applyNumberFormat="1" applyFont="1"/>
    <xf numFmtId="165" fontId="3" fillId="0" borderId="10" xfId="0" applyNumberFormat="1" applyFont="1" applyBorder="1"/>
    <xf numFmtId="165" fontId="0" fillId="0" borderId="14" xfId="0" applyNumberFormat="1" applyFont="1" applyBorder="1"/>
    <xf numFmtId="165" fontId="0" fillId="0" borderId="3" xfId="0" applyNumberFormat="1" applyBorder="1"/>
    <xf numFmtId="165" fontId="0" fillId="0" borderId="2" xfId="0" applyNumberFormat="1" applyBorder="1"/>
    <xf numFmtId="165" fontId="0" fillId="0" borderId="13" xfId="0" applyNumberFormat="1" applyBorder="1"/>
    <xf numFmtId="165" fontId="0" fillId="0" borderId="10" xfId="0" applyNumberFormat="1" applyBorder="1"/>
    <xf numFmtId="165" fontId="15" fillId="0" borderId="13" xfId="0" applyNumberFormat="1" applyFont="1" applyBorder="1"/>
    <xf numFmtId="165" fontId="15" fillId="0" borderId="10" xfId="0" applyNumberFormat="1" applyFont="1" applyBorder="1"/>
    <xf numFmtId="165" fontId="14" fillId="0" borderId="13" xfId="0" applyNumberFormat="1" applyFont="1" applyFill="1" applyBorder="1"/>
    <xf numFmtId="165" fontId="17" fillId="0" borderId="13" xfId="0" applyNumberFormat="1" applyFont="1" applyFill="1" applyBorder="1"/>
    <xf numFmtId="164" fontId="0" fillId="0" borderId="0" xfId="0" applyNumberFormat="1" applyBorder="1"/>
    <xf numFmtId="0" fontId="18" fillId="0" borderId="0" xfId="0" applyFont="1" applyFill="1" applyBorder="1"/>
    <xf numFmtId="0" fontId="15" fillId="0" borderId="0" xfId="0" applyFont="1" applyFill="1" applyBorder="1"/>
    <xf numFmtId="165" fontId="15" fillId="0" borderId="0" xfId="1" applyFont="1" applyFill="1"/>
    <xf numFmtId="0" fontId="15" fillId="0" borderId="0" xfId="0" applyFont="1" applyFill="1"/>
    <xf numFmtId="0" fontId="2" fillId="0" borderId="0" xfId="0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165" fontId="3" fillId="0" borderId="0" xfId="0" applyNumberFormat="1" applyFont="1" applyBorder="1"/>
    <xf numFmtId="165" fontId="15" fillId="0" borderId="4" xfId="0" applyNumberFormat="1" applyFont="1" applyBorder="1"/>
    <xf numFmtId="165" fontId="15" fillId="0" borderId="3" xfId="0" applyNumberFormat="1" applyFont="1" applyBorder="1"/>
    <xf numFmtId="165" fontId="0" fillId="0" borderId="4" xfId="0" applyNumberFormat="1" applyBorder="1"/>
    <xf numFmtId="165" fontId="15" fillId="0" borderId="4" xfId="0" applyNumberFormat="1" applyFont="1" applyFill="1" applyBorder="1"/>
    <xf numFmtId="164" fontId="0" fillId="0" borderId="3" xfId="0" applyNumberFormat="1" applyBorder="1"/>
    <xf numFmtId="165" fontId="0" fillId="0" borderId="0" xfId="0" applyNumberFormat="1" applyFill="1" applyBorder="1"/>
    <xf numFmtId="165" fontId="19" fillId="0" borderId="4" xfId="0" applyNumberFormat="1" applyFont="1" applyFill="1" applyBorder="1"/>
    <xf numFmtId="165" fontId="0" fillId="0" borderId="3" xfId="0" applyNumberFormat="1" applyFont="1" applyBorder="1"/>
    <xf numFmtId="165" fontId="17" fillId="0" borderId="4" xfId="0" applyNumberFormat="1" applyFont="1" applyFill="1" applyBorder="1"/>
    <xf numFmtId="165" fontId="0" fillId="0" borderId="12" xfId="0" applyNumberFormat="1" applyFont="1" applyBorder="1"/>
    <xf numFmtId="165" fontId="15" fillId="0" borderId="11" xfId="0" applyNumberFormat="1" applyFont="1" applyFill="1" applyBorder="1"/>
    <xf numFmtId="165" fontId="0" fillId="0" borderId="8" xfId="0" applyNumberFormat="1" applyBorder="1"/>
    <xf numFmtId="0" fontId="2" fillId="0" borderId="1" xfId="0" applyFont="1" applyBorder="1"/>
    <xf numFmtId="165" fontId="0" fillId="0" borderId="1" xfId="4" applyFont="1" applyBorder="1"/>
    <xf numFmtId="14" fontId="0" fillId="0" borderId="1" xfId="0" applyNumberFormat="1" applyBorder="1"/>
    <xf numFmtId="0" fontId="20" fillId="4" borderId="1" xfId="0" applyFont="1" applyFill="1" applyBorder="1"/>
    <xf numFmtId="0" fontId="0" fillId="4" borderId="1" xfId="0" applyFill="1" applyBorder="1" applyAlignment="1">
      <alignment horizontal="left" indent="1"/>
    </xf>
    <xf numFmtId="0" fontId="0" fillId="4" borderId="1" xfId="0" applyFill="1" applyBorder="1"/>
    <xf numFmtId="165" fontId="0" fillId="0" borderId="1" xfId="0" applyNumberFormat="1" applyBorder="1"/>
    <xf numFmtId="165" fontId="3" fillId="0" borderId="1" xfId="0" applyNumberFormat="1" applyFont="1" applyBorder="1"/>
    <xf numFmtId="165" fontId="0" fillId="0" borderId="1" xfId="4" applyNumberFormat="1" applyFont="1" applyBorder="1"/>
    <xf numFmtId="165" fontId="2" fillId="0" borderId="1" xfId="0" applyNumberFormat="1" applyFont="1" applyBorder="1"/>
    <xf numFmtId="165" fontId="21" fillId="0" borderId="1" xfId="0" applyNumberFormat="1" applyFont="1" applyBorder="1"/>
    <xf numFmtId="165" fontId="0" fillId="0" borderId="1" xfId="0" applyNumberFormat="1" applyFont="1" applyBorder="1"/>
    <xf numFmtId="0" fontId="15" fillId="0" borderId="0" xfId="0" applyFont="1"/>
    <xf numFmtId="165" fontId="18" fillId="0" borderId="0" xfId="0" applyNumberFormat="1" applyFont="1"/>
    <xf numFmtId="164" fontId="15" fillId="0" borderId="0" xfId="0" applyNumberFormat="1" applyFont="1"/>
    <xf numFmtId="0" fontId="0" fillId="0" borderId="13" xfId="0" applyBorder="1"/>
    <xf numFmtId="0" fontId="0" fillId="0" borderId="12" xfId="0" applyBorder="1"/>
    <xf numFmtId="165" fontId="15" fillId="0" borderId="13" xfId="0" applyNumberFormat="1" applyFont="1" applyFill="1" applyBorder="1"/>
    <xf numFmtId="14" fontId="2" fillId="0" borderId="1" xfId="0" applyNumberFormat="1" applyFont="1" applyBorder="1"/>
    <xf numFmtId="164" fontId="0" fillId="0" borderId="1" xfId="4" applyNumberFormat="1" applyFont="1" applyBorder="1"/>
    <xf numFmtId="0" fontId="0" fillId="4" borderId="1" xfId="0" applyFont="1" applyFill="1" applyBorder="1"/>
    <xf numFmtId="0" fontId="20" fillId="0" borderId="1" xfId="0" applyFont="1" applyBorder="1"/>
    <xf numFmtId="165" fontId="18" fillId="0" borderId="0" xfId="1" applyFont="1" applyFill="1"/>
    <xf numFmtId="0" fontId="18" fillId="0" borderId="0" xfId="0" applyFont="1" applyFill="1"/>
    <xf numFmtId="164" fontId="2" fillId="0" borderId="0" xfId="0" applyNumberFormat="1" applyFont="1" applyBorder="1"/>
    <xf numFmtId="165" fontId="2" fillId="0" borderId="0" xfId="1" applyFont="1"/>
    <xf numFmtId="165" fontId="0" fillId="0" borderId="1" xfId="1" applyFont="1" applyBorder="1"/>
    <xf numFmtId="165" fontId="3" fillId="0" borderId="1" xfId="1" applyFont="1" applyBorder="1"/>
    <xf numFmtId="165" fontId="20" fillId="0" borderId="1" xfId="1" applyFont="1" applyBorder="1"/>
    <xf numFmtId="165" fontId="20" fillId="0" borderId="0" xfId="1" applyFont="1"/>
    <xf numFmtId="9" fontId="0" fillId="0" borderId="0" xfId="0" applyNumberFormat="1"/>
    <xf numFmtId="0" fontId="22" fillId="0" borderId="1" xfId="0" applyFont="1" applyBorder="1"/>
    <xf numFmtId="165" fontId="3" fillId="0" borderId="0" xfId="1" applyFont="1"/>
    <xf numFmtId="165" fontId="1" fillId="0" borderId="0" xfId="1" applyFont="1"/>
    <xf numFmtId="0" fontId="4" fillId="0" borderId="0" xfId="0" applyFont="1"/>
    <xf numFmtId="165" fontId="10" fillId="0" borderId="0" xfId="1" applyFont="1"/>
    <xf numFmtId="0" fontId="23" fillId="0" borderId="1" xfId="0" applyFont="1" applyBorder="1"/>
    <xf numFmtId="0" fontId="23" fillId="0" borderId="0" xfId="0" applyFont="1"/>
    <xf numFmtId="165" fontId="0" fillId="0" borderId="1" xfId="1" applyNumberFormat="1" applyFont="1" applyBorder="1"/>
    <xf numFmtId="0" fontId="0" fillId="0" borderId="1" xfId="0" applyFont="1" applyBorder="1"/>
    <xf numFmtId="0" fontId="24" fillId="0" borderId="1" xfId="0" applyFont="1" applyBorder="1"/>
    <xf numFmtId="165" fontId="25" fillId="0" borderId="1" xfId="0" applyNumberFormat="1" applyFont="1" applyBorder="1"/>
    <xf numFmtId="0" fontId="25" fillId="0" borderId="1" xfId="0" applyFont="1" applyBorder="1"/>
    <xf numFmtId="165" fontId="0" fillId="0" borderId="0" xfId="1" applyFont="1" applyBorder="1"/>
    <xf numFmtId="165" fontId="3" fillId="0" borderId="0" xfId="1" applyFont="1" applyBorder="1"/>
    <xf numFmtId="0" fontId="0" fillId="0" borderId="15" xfId="0" applyFill="1" applyBorder="1"/>
    <xf numFmtId="165" fontId="21" fillId="0" borderId="1" xfId="1" applyFont="1" applyBorder="1"/>
    <xf numFmtId="165" fontId="0" fillId="0" borderId="0" xfId="0" applyNumberFormat="1" applyFont="1"/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5">
    <cellStyle name="Moneda" xfId="1" builtinId="4"/>
    <cellStyle name="Moneda 2" xfId="2" xr:uid="{00000000-0005-0000-0000-000001000000}"/>
    <cellStyle name="Moneda 3" xfId="3" xr:uid="{00000000-0005-0000-0000-000002000000}"/>
    <cellStyle name="Moneda 4" xfId="4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workbookViewId="0">
      <selection activeCell="G19" sqref="G19"/>
    </sheetView>
  </sheetViews>
  <sheetFormatPr defaultColWidth="10.76171875" defaultRowHeight="15" x14ac:dyDescent="0.2"/>
  <cols>
    <col min="2" max="2" width="6.58984375" customWidth="1"/>
    <col min="3" max="3" width="10.35546875" customWidth="1"/>
    <col min="4" max="4" width="12.375" bestFit="1" customWidth="1"/>
    <col min="7" max="7" width="13.5859375" customWidth="1"/>
    <col min="8" max="8" width="9.4140625" customWidth="1"/>
    <col min="9" max="9" width="9.01171875" customWidth="1"/>
    <col min="10" max="10" width="8.609375" customWidth="1"/>
    <col min="11" max="11" width="12.10546875" customWidth="1"/>
    <col min="13" max="13" width="7.93359375" customWidth="1"/>
  </cols>
  <sheetData>
    <row r="1" spans="2:16" ht="18.75" x14ac:dyDescent="0.25">
      <c r="B1" s="127" t="s">
        <v>7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2:16" ht="18" x14ac:dyDescent="0.25">
      <c r="B2" s="126" t="s">
        <v>24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</row>
    <row r="3" spans="2:16" x14ac:dyDescent="0.2">
      <c r="B3" s="9" t="s">
        <v>153</v>
      </c>
      <c r="C3" s="10"/>
      <c r="D3" s="10"/>
      <c r="E3" s="10"/>
      <c r="F3" s="10"/>
      <c r="G3" s="10"/>
      <c r="H3" s="10"/>
      <c r="I3" s="128" t="s">
        <v>8</v>
      </c>
      <c r="J3" s="128"/>
      <c r="K3" s="128"/>
      <c r="L3" s="128"/>
      <c r="M3" s="9"/>
    </row>
    <row r="4" spans="2:16" x14ac:dyDescent="0.2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2:16" x14ac:dyDescent="0.2">
      <c r="B5" s="129" t="s">
        <v>9</v>
      </c>
      <c r="C5" s="129" t="s">
        <v>10</v>
      </c>
      <c r="D5" s="129" t="s">
        <v>11</v>
      </c>
      <c r="E5" s="129" t="s">
        <v>12</v>
      </c>
      <c r="F5" s="129" t="s">
        <v>13</v>
      </c>
      <c r="G5" s="131" t="s">
        <v>14</v>
      </c>
      <c r="H5" s="133" t="s">
        <v>15</v>
      </c>
      <c r="I5" s="134"/>
      <c r="J5" s="135"/>
      <c r="K5" s="136" t="s">
        <v>16</v>
      </c>
      <c r="L5" s="138" t="s">
        <v>17</v>
      </c>
      <c r="M5" s="129" t="s">
        <v>18</v>
      </c>
    </row>
    <row r="6" spans="2:16" x14ac:dyDescent="0.2">
      <c r="B6" s="130"/>
      <c r="C6" s="130"/>
      <c r="D6" s="130"/>
      <c r="E6" s="130"/>
      <c r="F6" s="130"/>
      <c r="G6" s="132"/>
      <c r="H6" s="11" t="s">
        <v>5</v>
      </c>
      <c r="I6" s="11" t="s">
        <v>6</v>
      </c>
      <c r="J6" s="11" t="s">
        <v>19</v>
      </c>
      <c r="K6" s="137"/>
      <c r="L6" s="139"/>
      <c r="M6" s="130"/>
    </row>
    <row r="7" spans="2:16" x14ac:dyDescent="0.2">
      <c r="B7" s="12">
        <v>1</v>
      </c>
      <c r="C7" s="1" t="s">
        <v>20</v>
      </c>
      <c r="D7" s="13">
        <v>500</v>
      </c>
      <c r="E7" s="13">
        <f>(1000/2*0.3)+1000/2</f>
        <v>650</v>
      </c>
      <c r="F7" s="13">
        <f>(1000/30)*15</f>
        <v>500.00000000000006</v>
      </c>
      <c r="G7" s="13">
        <v>1000</v>
      </c>
      <c r="H7" s="13">
        <f>IF((D7+E7)&lt;=1000,(((D7+E7)*3%)),30)</f>
        <v>30</v>
      </c>
      <c r="I7" s="13">
        <f>IF((E7+D7)&lt;=6500,((D7+E7)*7.25%),471.25)</f>
        <v>83.375</v>
      </c>
      <c r="J7" s="13">
        <f>(D7+E7-H7-I7-895.24)*0.2+60</f>
        <v>88.277000000000001</v>
      </c>
      <c r="K7" s="13">
        <f>H7+I7+J7</f>
        <v>201.65199999999999</v>
      </c>
      <c r="L7" s="13">
        <f>D7+E7+G7-K7</f>
        <v>1948.348</v>
      </c>
      <c r="M7" s="13"/>
    </row>
    <row r="8" spans="2:16" x14ac:dyDescent="0.2">
      <c r="B8" s="12">
        <v>2</v>
      </c>
      <c r="C8" s="1" t="s">
        <v>22</v>
      </c>
      <c r="D8" s="13">
        <f>700/2</f>
        <v>350</v>
      </c>
      <c r="E8" s="13"/>
      <c r="F8" s="13">
        <f>(D8/30)*15</f>
        <v>175</v>
      </c>
      <c r="G8" s="13"/>
      <c r="H8" s="13">
        <f>D8*0.03</f>
        <v>10.5</v>
      </c>
      <c r="I8" s="13">
        <f>D8*0.0725</f>
        <v>25.375</v>
      </c>
      <c r="J8" s="13"/>
      <c r="K8" s="13">
        <f t="shared" ref="K8:K9" si="0">H8+I8+J8</f>
        <v>35.875</v>
      </c>
      <c r="L8" s="13">
        <f>D8-K8</f>
        <v>314.125</v>
      </c>
      <c r="M8" s="13"/>
    </row>
    <row r="9" spans="2:16" x14ac:dyDescent="0.2">
      <c r="B9" s="12">
        <v>3</v>
      </c>
      <c r="C9" s="1" t="s">
        <v>23</v>
      </c>
      <c r="D9" s="13">
        <v>319</v>
      </c>
      <c r="E9" s="13"/>
      <c r="F9" s="13">
        <f>(D9/30)*15</f>
        <v>159.5</v>
      </c>
      <c r="G9" s="13"/>
      <c r="H9" s="13">
        <f>D9*0.03</f>
        <v>9.57</v>
      </c>
      <c r="I9" s="13">
        <f>D9*0.0725</f>
        <v>23.127499999999998</v>
      </c>
      <c r="J9" s="13"/>
      <c r="K9" s="13">
        <f t="shared" si="0"/>
        <v>32.697499999999998</v>
      </c>
      <c r="L9" s="13">
        <f>D9-K9</f>
        <v>286.30250000000001</v>
      </c>
      <c r="M9" s="13"/>
    </row>
    <row r="10" spans="2:16" x14ac:dyDescent="0.2">
      <c r="B10" s="140" t="s">
        <v>21</v>
      </c>
      <c r="C10" s="141"/>
      <c r="D10" s="13">
        <f t="shared" ref="D10:L10" si="1">D7+D8+D9</f>
        <v>1169</v>
      </c>
      <c r="E10" s="13">
        <f t="shared" si="1"/>
        <v>650</v>
      </c>
      <c r="F10" s="13">
        <f t="shared" si="1"/>
        <v>834.5</v>
      </c>
      <c r="G10" s="13">
        <f t="shared" si="1"/>
        <v>1000</v>
      </c>
      <c r="H10" s="13">
        <f t="shared" si="1"/>
        <v>50.07</v>
      </c>
      <c r="I10" s="13">
        <f t="shared" si="1"/>
        <v>131.8775</v>
      </c>
      <c r="J10" s="13">
        <f t="shared" si="1"/>
        <v>88.277000000000001</v>
      </c>
      <c r="K10" s="13">
        <f t="shared" si="1"/>
        <v>270.22449999999998</v>
      </c>
      <c r="L10" s="13">
        <f t="shared" si="1"/>
        <v>2548.7754999999997</v>
      </c>
      <c r="M10" s="13"/>
    </row>
    <row r="11" spans="2:16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6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6" ht="18.75" x14ac:dyDescent="0.25">
      <c r="B13" s="127" t="s">
        <v>7</v>
      </c>
      <c r="C13" s="127"/>
      <c r="D13" s="127"/>
      <c r="E13" s="127"/>
      <c r="F13" s="127"/>
      <c r="G13" s="127"/>
      <c r="H13" s="14"/>
      <c r="I13" s="14"/>
      <c r="J13" s="14"/>
      <c r="K13" s="14"/>
      <c r="L13" s="14"/>
      <c r="M13" s="14"/>
      <c r="P13">
        <f>O13*O14</f>
        <v>0</v>
      </c>
    </row>
    <row r="14" spans="2:16" ht="18" x14ac:dyDescent="0.25">
      <c r="B14" s="126" t="s">
        <v>24</v>
      </c>
      <c r="C14" s="126"/>
      <c r="D14" s="126"/>
      <c r="E14" s="126"/>
      <c r="F14" s="126"/>
      <c r="G14" s="126"/>
      <c r="H14" s="15"/>
      <c r="I14" s="15"/>
      <c r="J14" s="15"/>
      <c r="K14" s="15"/>
      <c r="L14" s="15"/>
      <c r="M14" s="15"/>
    </row>
    <row r="15" spans="2:16" x14ac:dyDescent="0.2">
      <c r="B15" s="9"/>
      <c r="C15" s="10"/>
      <c r="D15" s="16" t="s">
        <v>8</v>
      </c>
      <c r="E15" s="16"/>
      <c r="F15" s="16"/>
      <c r="G15" s="16"/>
      <c r="H15" s="9"/>
      <c r="I15" s="9"/>
      <c r="J15" s="9"/>
      <c r="K15" s="9"/>
      <c r="L15" s="9"/>
      <c r="M15" s="9"/>
    </row>
    <row r="16" spans="2:16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x14ac:dyDescent="0.2">
      <c r="B17" s="146" t="s">
        <v>9</v>
      </c>
      <c r="C17" s="146" t="s">
        <v>10</v>
      </c>
      <c r="D17" s="146" t="s">
        <v>11</v>
      </c>
      <c r="E17" s="129" t="s">
        <v>12</v>
      </c>
      <c r="F17" s="129" t="s">
        <v>5</v>
      </c>
      <c r="G17" s="129" t="s">
        <v>6</v>
      </c>
      <c r="H17" s="142"/>
      <c r="I17" s="142"/>
      <c r="J17" s="142"/>
      <c r="K17" s="143"/>
      <c r="L17" s="144"/>
      <c r="M17" s="142"/>
    </row>
    <row r="18" spans="2:13" x14ac:dyDescent="0.2">
      <c r="B18" s="146"/>
      <c r="C18" s="146"/>
      <c r="D18" s="146"/>
      <c r="E18" s="130"/>
      <c r="F18" s="130"/>
      <c r="G18" s="130"/>
      <c r="H18" s="17"/>
      <c r="I18" s="17"/>
      <c r="J18" s="17"/>
      <c r="K18" s="143"/>
      <c r="L18" s="144"/>
      <c r="M18" s="142"/>
    </row>
    <row r="19" spans="2:13" x14ac:dyDescent="0.2">
      <c r="B19" s="12">
        <v>1</v>
      </c>
      <c r="C19" s="1" t="s">
        <v>20</v>
      </c>
      <c r="D19" s="13">
        <v>500</v>
      </c>
      <c r="E19" s="13">
        <f>E7</f>
        <v>650</v>
      </c>
      <c r="F19" s="13">
        <f>1000*0.075</f>
        <v>75</v>
      </c>
      <c r="G19" s="13">
        <f>(D19+E19)*0.0775</f>
        <v>89.125</v>
      </c>
      <c r="H19" s="18"/>
      <c r="I19" s="18" t="s">
        <v>26</v>
      </c>
      <c r="J19" s="19"/>
      <c r="K19" s="20"/>
      <c r="L19" s="20" t="s">
        <v>27</v>
      </c>
      <c r="M19" s="20"/>
    </row>
    <row r="20" spans="2:13" x14ac:dyDescent="0.2">
      <c r="B20" s="12">
        <v>2</v>
      </c>
      <c r="C20" s="1" t="s">
        <v>25</v>
      </c>
      <c r="D20" s="13">
        <f>700/2</f>
        <v>350</v>
      </c>
      <c r="E20" s="13"/>
      <c r="F20" s="13">
        <f>350*0.075</f>
        <v>26.25</v>
      </c>
      <c r="G20" s="13">
        <f>D20*0.0775</f>
        <v>27.125</v>
      </c>
      <c r="H20" s="18"/>
      <c r="I20" s="18" t="s">
        <v>5</v>
      </c>
      <c r="J20" s="19">
        <f>F19</f>
        <v>75</v>
      </c>
      <c r="K20" s="20"/>
      <c r="L20" s="20" t="s">
        <v>5</v>
      </c>
      <c r="M20" s="20">
        <f>F20+F21</f>
        <v>50.174999999999997</v>
      </c>
    </row>
    <row r="21" spans="2:13" x14ac:dyDescent="0.2">
      <c r="B21" s="12">
        <v>3</v>
      </c>
      <c r="C21" s="1" t="s">
        <v>23</v>
      </c>
      <c r="D21" s="13">
        <v>319</v>
      </c>
      <c r="E21" s="13"/>
      <c r="F21" s="13">
        <f>D21*0.075</f>
        <v>23.925000000000001</v>
      </c>
      <c r="G21" s="13">
        <f>D21*0.0775</f>
        <v>24.7225</v>
      </c>
      <c r="H21" s="18"/>
      <c r="I21" s="18" t="s">
        <v>6</v>
      </c>
      <c r="J21" s="19">
        <f>G19</f>
        <v>89.125</v>
      </c>
      <c r="K21" s="20"/>
      <c r="L21" s="20" t="s">
        <v>6</v>
      </c>
      <c r="M21" s="20">
        <f>G20+G21</f>
        <v>51.847499999999997</v>
      </c>
    </row>
    <row r="22" spans="2:13" x14ac:dyDescent="0.2">
      <c r="B22" s="145" t="s">
        <v>21</v>
      </c>
      <c r="C22" s="145"/>
      <c r="D22" s="13">
        <f>D19+D20+D21</f>
        <v>1169</v>
      </c>
      <c r="E22" s="13">
        <f>E19+E20+E21</f>
        <v>650</v>
      </c>
      <c r="F22" s="13">
        <f>F19+F20+F21</f>
        <v>125.175</v>
      </c>
      <c r="G22" s="13">
        <f>G19+G20+G21</f>
        <v>140.9725</v>
      </c>
      <c r="H22" s="21"/>
      <c r="I22" s="21">
        <f>F22+G22</f>
        <v>266.14749999999998</v>
      </c>
      <c r="J22" s="21" t="s">
        <v>28</v>
      </c>
      <c r="K22" s="21"/>
      <c r="L22" s="21"/>
      <c r="M22" s="20"/>
    </row>
  </sheetData>
  <mergeCells count="27">
    <mergeCell ref="H17:J17"/>
    <mergeCell ref="K17:K18"/>
    <mergeCell ref="L17:L18"/>
    <mergeCell ref="M17:M18"/>
    <mergeCell ref="B22:C22"/>
    <mergeCell ref="B17:B18"/>
    <mergeCell ref="C17:C18"/>
    <mergeCell ref="D17:D18"/>
    <mergeCell ref="E17:E18"/>
    <mergeCell ref="F17:F18"/>
    <mergeCell ref="G17:G18"/>
    <mergeCell ref="B14:G14"/>
    <mergeCell ref="B1:M1"/>
    <mergeCell ref="B2:M2"/>
    <mergeCell ref="I3:L3"/>
    <mergeCell ref="B5:B6"/>
    <mergeCell ref="C5:C6"/>
    <mergeCell ref="D5:D6"/>
    <mergeCell ref="E5:E6"/>
    <mergeCell ref="F5:F6"/>
    <mergeCell ref="G5:G6"/>
    <mergeCell ref="H5:J5"/>
    <mergeCell ref="K5:K6"/>
    <mergeCell ref="L5:L6"/>
    <mergeCell ref="M5:M6"/>
    <mergeCell ref="B10:C10"/>
    <mergeCell ref="B13:G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01"/>
  <sheetViews>
    <sheetView topLeftCell="A48" workbookViewId="0">
      <selection activeCell="H62" sqref="H62"/>
    </sheetView>
  </sheetViews>
  <sheetFormatPr defaultColWidth="10.76171875" defaultRowHeight="15" x14ac:dyDescent="0.2"/>
  <cols>
    <col min="1" max="1" width="4.5703125" customWidth="1"/>
    <col min="2" max="2" width="12.5078125" bestFit="1" customWidth="1"/>
    <col min="4" max="4" width="4.83984375" customWidth="1"/>
    <col min="5" max="5" width="7.3984375" customWidth="1"/>
    <col min="6" max="6" width="1.8828125" customWidth="1"/>
    <col min="7" max="7" width="4.5703125" customWidth="1"/>
    <col min="8" max="9" width="12.5078125" bestFit="1" customWidth="1"/>
    <col min="10" max="10" width="4.9765625" customWidth="1"/>
    <col min="11" max="11" width="6.1875" customWidth="1"/>
    <col min="12" max="12" width="2.28515625" customWidth="1"/>
    <col min="13" max="13" width="5.109375" customWidth="1"/>
    <col min="14" max="14" width="12.5078125" bestFit="1" customWidth="1"/>
    <col min="16" max="16" width="5.24609375" customWidth="1"/>
    <col min="17" max="17" width="7.93359375" customWidth="1"/>
    <col min="18" max="18" width="4.5703125" customWidth="1"/>
    <col min="19" max="19" width="12.23828125" customWidth="1"/>
    <col min="20" max="20" width="13.31640625" customWidth="1"/>
    <col min="21" max="21" width="4.3046875" customWidth="1"/>
    <col min="22" max="22" width="5.51171875" customWidth="1"/>
    <col min="23" max="23" width="3.8984375" customWidth="1"/>
    <col min="24" max="24" width="11.8359375" customWidth="1"/>
    <col min="26" max="26" width="3.8984375" customWidth="1"/>
  </cols>
  <sheetData>
    <row r="2" spans="1:26" x14ac:dyDescent="0.2">
      <c r="D2" s="5" t="s">
        <v>30</v>
      </c>
      <c r="E2" s="9"/>
    </row>
    <row r="3" spans="1:26" x14ac:dyDescent="0.2">
      <c r="D3" s="9" t="s">
        <v>31</v>
      </c>
      <c r="E3" s="9"/>
    </row>
    <row r="4" spans="1:26" x14ac:dyDescent="0.2">
      <c r="C4" t="s">
        <v>33</v>
      </c>
      <c r="D4" s="9"/>
      <c r="E4" s="9"/>
    </row>
    <row r="5" spans="1:26" x14ac:dyDescent="0.2">
      <c r="C5" t="s">
        <v>32</v>
      </c>
      <c r="D5" s="9"/>
      <c r="E5" s="9"/>
    </row>
    <row r="7" spans="1:26" x14ac:dyDescent="0.2">
      <c r="A7" s="24"/>
      <c r="B7" s="24" t="s">
        <v>34</v>
      </c>
      <c r="C7" s="24"/>
      <c r="D7" s="24"/>
      <c r="G7" s="27"/>
      <c r="H7" s="27" t="s">
        <v>154</v>
      </c>
      <c r="I7" s="27"/>
      <c r="J7" s="27"/>
      <c r="M7" s="26" t="s">
        <v>49</v>
      </c>
      <c r="N7" s="26"/>
      <c r="O7" s="26"/>
      <c r="P7" s="26"/>
      <c r="R7" s="26"/>
      <c r="S7" s="26" t="s">
        <v>52</v>
      </c>
      <c r="T7" s="26"/>
      <c r="U7" s="26"/>
      <c r="W7" s="26"/>
      <c r="X7" s="26" t="s">
        <v>53</v>
      </c>
      <c r="Y7" s="26"/>
      <c r="Z7" s="26"/>
    </row>
    <row r="8" spans="1:26" x14ac:dyDescent="0.2">
      <c r="A8" t="s">
        <v>35</v>
      </c>
      <c r="B8" s="28">
        <v>130000</v>
      </c>
      <c r="C8" s="29">
        <v>10000</v>
      </c>
      <c r="D8" t="s">
        <v>38</v>
      </c>
      <c r="G8" t="s">
        <v>35</v>
      </c>
      <c r="H8" s="30">
        <v>50000</v>
      </c>
      <c r="I8" s="4">
        <v>35000</v>
      </c>
      <c r="J8" t="s">
        <v>81</v>
      </c>
      <c r="M8" t="s">
        <v>35</v>
      </c>
      <c r="N8" s="30">
        <v>70000</v>
      </c>
      <c r="O8" s="6"/>
      <c r="S8" s="30"/>
      <c r="T8" s="6">
        <v>250000</v>
      </c>
      <c r="U8" t="s">
        <v>51</v>
      </c>
      <c r="X8" s="30"/>
      <c r="Y8" s="6">
        <v>10000</v>
      </c>
      <c r="Z8" t="s">
        <v>38</v>
      </c>
    </row>
    <row r="9" spans="1:26" x14ac:dyDescent="0.2">
      <c r="A9" t="s">
        <v>36</v>
      </c>
      <c r="B9" s="6">
        <v>24429.15</v>
      </c>
      <c r="C9" s="23">
        <v>24367.5</v>
      </c>
      <c r="D9" t="s">
        <v>39</v>
      </c>
      <c r="G9" t="s">
        <v>61</v>
      </c>
      <c r="H9" s="31">
        <v>42750</v>
      </c>
      <c r="I9" s="6">
        <v>13511.7</v>
      </c>
      <c r="J9" t="s">
        <v>82</v>
      </c>
      <c r="M9" t="s">
        <v>50</v>
      </c>
      <c r="N9" s="31">
        <v>20000</v>
      </c>
      <c r="O9" s="6"/>
      <c r="S9" s="31"/>
      <c r="T9" s="6"/>
      <c r="X9" s="31"/>
      <c r="Y9" s="6"/>
    </row>
    <row r="10" spans="1:26" ht="17.25" x14ac:dyDescent="0.35">
      <c r="A10" t="s">
        <v>37</v>
      </c>
      <c r="B10" s="6">
        <v>44240</v>
      </c>
      <c r="C10" s="23">
        <v>450</v>
      </c>
      <c r="D10" t="s">
        <v>40</v>
      </c>
      <c r="G10" t="s">
        <v>64</v>
      </c>
      <c r="H10" s="75">
        <v>500</v>
      </c>
      <c r="I10" s="65">
        <v>6000</v>
      </c>
      <c r="J10" t="s">
        <v>62</v>
      </c>
      <c r="N10" s="51"/>
      <c r="O10" s="52"/>
      <c r="S10" s="51"/>
      <c r="T10" s="52"/>
      <c r="X10" s="51"/>
      <c r="Y10" s="52"/>
    </row>
    <row r="11" spans="1:26" ht="17.25" x14ac:dyDescent="0.35">
      <c r="B11" s="6"/>
      <c r="C11" s="23">
        <v>1695</v>
      </c>
      <c r="D11" t="s">
        <v>41</v>
      </c>
      <c r="G11" t="s">
        <v>83</v>
      </c>
      <c r="H11" s="75">
        <v>8750</v>
      </c>
      <c r="I11" s="65"/>
      <c r="N11" s="31">
        <f>N8+N9</f>
        <v>90000</v>
      </c>
      <c r="O11" s="6"/>
      <c r="S11" s="31"/>
      <c r="T11" s="6">
        <f>T8</f>
        <v>250000</v>
      </c>
      <c r="X11" s="31"/>
      <c r="Y11" s="6">
        <f>Y8</f>
        <v>10000</v>
      </c>
    </row>
    <row r="12" spans="1:26" x14ac:dyDescent="0.2">
      <c r="B12" s="6"/>
      <c r="C12" s="23">
        <v>1128.8699999999999</v>
      </c>
      <c r="D12" t="s">
        <v>42</v>
      </c>
      <c r="G12" t="s">
        <v>67</v>
      </c>
      <c r="H12" s="31">
        <v>40000</v>
      </c>
      <c r="I12" s="6"/>
      <c r="N12" s="31"/>
      <c r="O12" s="6"/>
      <c r="S12" s="31"/>
      <c r="T12" s="6"/>
      <c r="X12" s="31"/>
      <c r="Y12" s="6"/>
    </row>
    <row r="13" spans="1:26" x14ac:dyDescent="0.2">
      <c r="B13" s="6"/>
      <c r="C13" s="23">
        <v>834.5</v>
      </c>
      <c r="D13" t="s">
        <v>43</v>
      </c>
      <c r="G13" t="s">
        <v>85</v>
      </c>
      <c r="H13" s="31">
        <v>1000</v>
      </c>
      <c r="I13" s="6"/>
      <c r="N13" s="31"/>
      <c r="O13" s="6"/>
      <c r="S13" s="31"/>
      <c r="T13" s="6"/>
      <c r="X13" s="31"/>
      <c r="Y13" s="6"/>
    </row>
    <row r="14" spans="1:26" x14ac:dyDescent="0.2">
      <c r="B14" s="6"/>
      <c r="C14" s="23">
        <v>315</v>
      </c>
      <c r="D14" t="s">
        <v>44</v>
      </c>
      <c r="G14" s="25"/>
      <c r="H14" s="51"/>
      <c r="I14" s="52"/>
      <c r="J14" s="25"/>
      <c r="N14" s="31"/>
      <c r="O14" s="6"/>
      <c r="S14" s="31"/>
      <c r="T14" s="6"/>
      <c r="X14" s="31"/>
      <c r="Y14" s="6"/>
    </row>
    <row r="15" spans="1:26" x14ac:dyDescent="0.2">
      <c r="B15" s="6"/>
      <c r="C15" s="23">
        <v>44070</v>
      </c>
      <c r="D15" t="s">
        <v>45</v>
      </c>
      <c r="H15" s="30">
        <f>H8+H9+H10+H11+H12+H13</f>
        <v>143000</v>
      </c>
      <c r="I15" s="6">
        <f>I8+I9+I10</f>
        <v>54511.7</v>
      </c>
      <c r="N15" s="31"/>
      <c r="O15" s="6"/>
      <c r="S15" s="31"/>
      <c r="T15" s="6"/>
      <c r="X15" s="31"/>
      <c r="Y15" s="6"/>
    </row>
    <row r="16" spans="1:26" x14ac:dyDescent="0.2">
      <c r="B16" s="6"/>
      <c r="C16" s="23">
        <v>226</v>
      </c>
      <c r="D16" t="s">
        <v>46</v>
      </c>
      <c r="G16" s="25"/>
      <c r="H16" s="93"/>
      <c r="I16" s="25"/>
      <c r="J16" s="25"/>
    </row>
    <row r="17" spans="2:26" x14ac:dyDescent="0.2">
      <c r="B17" s="6"/>
      <c r="C17" s="23">
        <v>2548.77</v>
      </c>
      <c r="D17" t="s">
        <v>47</v>
      </c>
      <c r="H17" s="31">
        <f>H15-I15</f>
        <v>88488.3</v>
      </c>
    </row>
    <row r="18" spans="2:26" ht="17.25" x14ac:dyDescent="0.35">
      <c r="B18" s="47"/>
      <c r="C18" s="48">
        <v>158.6</v>
      </c>
      <c r="D18" t="s">
        <v>48</v>
      </c>
      <c r="H18" s="94"/>
    </row>
    <row r="19" spans="2:26" x14ac:dyDescent="0.2">
      <c r="B19" s="49">
        <f>B8+B9+B10</f>
        <v>198669.15</v>
      </c>
      <c r="C19" s="50">
        <f>C8+C9+C10+C11+C12+C13+C14+C15+C16+C17+C18</f>
        <v>85794.240000000005</v>
      </c>
    </row>
    <row r="20" spans="2:26" x14ac:dyDescent="0.2">
      <c r="B20" s="6">
        <f>B19-C19</f>
        <v>112874.90999999999</v>
      </c>
      <c r="C20" s="23"/>
    </row>
    <row r="21" spans="2:26" x14ac:dyDescent="0.2">
      <c r="B21" s="6"/>
      <c r="C21" s="23"/>
    </row>
    <row r="22" spans="2:26" x14ac:dyDescent="0.2">
      <c r="B22" s="6"/>
      <c r="C22" s="23"/>
    </row>
    <row r="23" spans="2:26" x14ac:dyDescent="0.2">
      <c r="B23" s="6"/>
      <c r="C23" s="23"/>
    </row>
    <row r="24" spans="2:26" x14ac:dyDescent="0.2">
      <c r="B24" s="6"/>
      <c r="C24" s="23"/>
    </row>
    <row r="25" spans="2:26" x14ac:dyDescent="0.2">
      <c r="B25" s="33"/>
      <c r="C25" s="33"/>
      <c r="G25" s="26"/>
      <c r="H25" s="26" t="s">
        <v>54</v>
      </c>
      <c r="I25" s="26"/>
      <c r="J25" s="26"/>
      <c r="M25" s="26" t="s">
        <v>55</v>
      </c>
      <c r="N25" s="26"/>
      <c r="O25" s="26"/>
      <c r="P25" s="26"/>
      <c r="R25" s="26" t="s">
        <v>56</v>
      </c>
      <c r="S25" s="26"/>
      <c r="T25" s="26"/>
      <c r="U25" s="26"/>
      <c r="W25" s="26" t="s">
        <v>57</v>
      </c>
      <c r="X25" s="26"/>
      <c r="Y25" s="26"/>
      <c r="Z25" s="26"/>
    </row>
    <row r="26" spans="2:26" x14ac:dyDescent="0.2">
      <c r="B26" s="33"/>
      <c r="C26" s="33"/>
      <c r="G26" t="s">
        <v>58</v>
      </c>
      <c r="H26" s="30">
        <v>59192</v>
      </c>
      <c r="I26" s="6">
        <v>14952</v>
      </c>
      <c r="J26" t="s">
        <v>59</v>
      </c>
      <c r="M26" t="s">
        <v>58</v>
      </c>
      <c r="N26" s="30">
        <v>528.5</v>
      </c>
      <c r="O26" s="6">
        <v>133.5</v>
      </c>
      <c r="P26" t="s">
        <v>59</v>
      </c>
      <c r="R26" t="s">
        <v>61</v>
      </c>
      <c r="S26" s="30">
        <v>427.5</v>
      </c>
      <c r="T26" s="6">
        <v>60</v>
      </c>
      <c r="U26" t="s">
        <v>62</v>
      </c>
      <c r="W26" t="s">
        <v>61</v>
      </c>
      <c r="X26" s="30">
        <v>5557.5</v>
      </c>
      <c r="Y26" s="6">
        <v>780</v>
      </c>
      <c r="Z26" t="s">
        <v>62</v>
      </c>
    </row>
    <row r="27" spans="2:26" x14ac:dyDescent="0.2">
      <c r="B27" s="33"/>
      <c r="C27" s="33"/>
      <c r="H27" s="31"/>
      <c r="I27" s="6">
        <v>44240</v>
      </c>
      <c r="J27" t="s">
        <v>60</v>
      </c>
      <c r="N27" s="31"/>
      <c r="O27" s="6"/>
      <c r="S27" s="31"/>
      <c r="T27" s="6"/>
      <c r="W27" t="s">
        <v>64</v>
      </c>
      <c r="X27" s="31">
        <v>65</v>
      </c>
      <c r="Y27" s="6">
        <v>130</v>
      </c>
      <c r="Z27" t="s">
        <v>63</v>
      </c>
    </row>
    <row r="28" spans="2:26" x14ac:dyDescent="0.2">
      <c r="B28" s="2"/>
      <c r="C28" s="2"/>
      <c r="H28" s="31"/>
      <c r="I28" s="6"/>
      <c r="N28" s="31"/>
      <c r="O28" s="6"/>
      <c r="S28" s="31"/>
      <c r="T28" s="6"/>
      <c r="W28" t="s">
        <v>65</v>
      </c>
      <c r="X28" s="31">
        <v>195</v>
      </c>
      <c r="Y28" s="6"/>
    </row>
    <row r="29" spans="2:26" x14ac:dyDescent="0.2">
      <c r="B29" s="2"/>
      <c r="C29" s="2"/>
      <c r="H29" s="51"/>
      <c r="I29" s="52"/>
      <c r="N29" s="51"/>
      <c r="O29" s="52"/>
      <c r="S29" s="51"/>
      <c r="T29" s="52"/>
      <c r="W29" t="s">
        <v>66</v>
      </c>
      <c r="X29" s="31">
        <v>129.87</v>
      </c>
      <c r="Y29" s="6"/>
    </row>
    <row r="30" spans="2:26" x14ac:dyDescent="0.2">
      <c r="H30" s="31">
        <f>H26</f>
        <v>59192</v>
      </c>
      <c r="I30" s="6">
        <f>I26+I27</f>
        <v>59192</v>
      </c>
      <c r="N30" s="31">
        <f>N26</f>
        <v>528.5</v>
      </c>
      <c r="O30" s="6">
        <f>O26</f>
        <v>133.5</v>
      </c>
      <c r="S30" s="31">
        <f>S26</f>
        <v>427.5</v>
      </c>
      <c r="T30" s="6">
        <f>T26</f>
        <v>60</v>
      </c>
      <c r="W30" t="s">
        <v>67</v>
      </c>
      <c r="X30" s="31">
        <v>5200</v>
      </c>
      <c r="Y30" s="6"/>
    </row>
    <row r="31" spans="2:26" x14ac:dyDescent="0.2">
      <c r="H31" s="51"/>
      <c r="I31" s="52"/>
      <c r="N31" s="51"/>
      <c r="O31" s="52"/>
      <c r="S31" s="51"/>
      <c r="T31" s="52"/>
      <c r="W31" t="s">
        <v>68</v>
      </c>
      <c r="X31" s="31">
        <v>32.79</v>
      </c>
      <c r="Y31" s="6"/>
    </row>
    <row r="32" spans="2:26" x14ac:dyDescent="0.2">
      <c r="H32" s="31">
        <v>0</v>
      </c>
      <c r="I32" s="6"/>
      <c r="N32" s="68">
        <f>N30-O30</f>
        <v>395</v>
      </c>
      <c r="O32" s="49">
        <v>395</v>
      </c>
      <c r="P32" t="s">
        <v>132</v>
      </c>
      <c r="S32" s="68">
        <f>S30-T30</f>
        <v>367.5</v>
      </c>
      <c r="T32" s="49">
        <v>367.5</v>
      </c>
      <c r="U32" t="s">
        <v>132</v>
      </c>
      <c r="W32" t="s">
        <v>69</v>
      </c>
      <c r="X32" s="31">
        <v>26</v>
      </c>
      <c r="Y32" s="6"/>
    </row>
    <row r="33" spans="1:26" x14ac:dyDescent="0.2">
      <c r="H33" s="31"/>
      <c r="I33" s="6"/>
      <c r="N33" s="31">
        <v>0</v>
      </c>
      <c r="O33" s="6"/>
      <c r="S33" s="31">
        <v>0</v>
      </c>
      <c r="T33" s="6"/>
      <c r="W33" t="s">
        <v>70</v>
      </c>
      <c r="X33" s="51">
        <v>12.35</v>
      </c>
      <c r="Y33" s="52"/>
    </row>
    <row r="34" spans="1:26" x14ac:dyDescent="0.2">
      <c r="H34" s="31"/>
      <c r="I34" s="6"/>
      <c r="N34" s="31"/>
      <c r="O34" s="6"/>
      <c r="S34" s="31"/>
      <c r="T34" s="6"/>
      <c r="X34" s="31">
        <f>SUM(X26:X33)</f>
        <v>11218.51</v>
      </c>
      <c r="Y34" s="6">
        <f>Y26+Y27</f>
        <v>910</v>
      </c>
    </row>
    <row r="35" spans="1:26" x14ac:dyDescent="0.2">
      <c r="H35" s="31"/>
      <c r="I35" s="6"/>
      <c r="N35" s="31"/>
      <c r="O35" s="6"/>
      <c r="S35" s="31"/>
      <c r="T35" s="6"/>
      <c r="X35" s="51"/>
      <c r="Y35" s="52"/>
    </row>
    <row r="36" spans="1:26" x14ac:dyDescent="0.2">
      <c r="X36" s="68">
        <f>X34-Y34</f>
        <v>10308.51</v>
      </c>
      <c r="Y36" s="49">
        <v>10308.51</v>
      </c>
      <c r="Z36" t="s">
        <v>132</v>
      </c>
    </row>
    <row r="37" spans="1:26" x14ac:dyDescent="0.2">
      <c r="X37" s="31">
        <v>0</v>
      </c>
      <c r="Y37" s="6"/>
    </row>
    <row r="39" spans="1:26" x14ac:dyDescent="0.2">
      <c r="A39" s="26"/>
      <c r="B39" s="26" t="s">
        <v>71</v>
      </c>
      <c r="C39" s="26"/>
      <c r="D39" s="26"/>
      <c r="G39" s="26" t="s">
        <v>73</v>
      </c>
      <c r="H39" s="26" t="s">
        <v>72</v>
      </c>
      <c r="I39" s="26"/>
      <c r="J39" s="26"/>
      <c r="M39" s="32"/>
      <c r="N39" s="32" t="s">
        <v>74</v>
      </c>
      <c r="O39" s="32"/>
      <c r="P39" s="32"/>
      <c r="R39" s="26"/>
      <c r="S39" s="26" t="s">
        <v>75</v>
      </c>
      <c r="T39" s="26"/>
      <c r="U39" s="26"/>
      <c r="W39" s="26"/>
      <c r="X39" s="26" t="s">
        <v>1</v>
      </c>
      <c r="Y39" s="26"/>
      <c r="Z39" s="26"/>
    </row>
    <row r="40" spans="1:26" x14ac:dyDescent="0.2">
      <c r="A40" t="s">
        <v>83</v>
      </c>
      <c r="B40" s="30">
        <v>13350</v>
      </c>
      <c r="C40" s="6">
        <v>52850</v>
      </c>
      <c r="D40" t="s">
        <v>81</v>
      </c>
      <c r="G40" t="s">
        <v>83</v>
      </c>
      <c r="H40" s="30">
        <v>1735.5</v>
      </c>
      <c r="I40" s="6">
        <v>6870.5</v>
      </c>
      <c r="J40" t="s">
        <v>81</v>
      </c>
      <c r="N40" s="30"/>
      <c r="O40" s="6"/>
      <c r="R40" s="41" t="s">
        <v>84</v>
      </c>
      <c r="S40" s="42">
        <v>6840</v>
      </c>
      <c r="T40" s="43">
        <v>24367.5</v>
      </c>
      <c r="U40" s="41" t="s">
        <v>39</v>
      </c>
      <c r="X40" s="30"/>
      <c r="Y40" s="6"/>
    </row>
    <row r="41" spans="1:26" x14ac:dyDescent="0.2">
      <c r="B41" s="31"/>
      <c r="C41" s="6">
        <v>21618.720000000001</v>
      </c>
      <c r="D41" t="s">
        <v>82</v>
      </c>
      <c r="H41" s="31"/>
      <c r="I41" s="6">
        <v>2810.43</v>
      </c>
      <c r="J41" t="s">
        <v>82</v>
      </c>
      <c r="N41" s="31"/>
      <c r="O41" s="6"/>
      <c r="R41" s="41" t="s">
        <v>85</v>
      </c>
      <c r="S41" s="44">
        <v>1130</v>
      </c>
      <c r="T41" s="43">
        <v>45200</v>
      </c>
      <c r="U41" s="41" t="s">
        <v>87</v>
      </c>
      <c r="X41" s="31"/>
      <c r="Y41" s="6"/>
    </row>
    <row r="42" spans="1:26" x14ac:dyDescent="0.2">
      <c r="B42" s="51"/>
      <c r="C42" s="52"/>
      <c r="H42" s="51"/>
      <c r="I42" s="52"/>
      <c r="N42" s="51"/>
      <c r="O42" s="52"/>
      <c r="R42" s="41" t="s">
        <v>86</v>
      </c>
      <c r="S42" s="53">
        <v>44070</v>
      </c>
      <c r="T42" s="54"/>
      <c r="U42" s="41"/>
      <c r="X42" s="51"/>
      <c r="Y42" s="52"/>
    </row>
    <row r="43" spans="1:26" x14ac:dyDescent="0.2">
      <c r="B43" s="68">
        <f>B40</f>
        <v>13350</v>
      </c>
      <c r="C43" s="49">
        <f>C40+C41</f>
        <v>74468.72</v>
      </c>
      <c r="H43" s="31">
        <f>H40</f>
        <v>1735.5</v>
      </c>
      <c r="I43" s="6">
        <f>I40+I41</f>
        <v>9680.93</v>
      </c>
      <c r="N43" s="31"/>
      <c r="O43" s="6"/>
      <c r="R43" s="34"/>
      <c r="S43" s="66">
        <f>S40+S41+S42</f>
        <v>52040</v>
      </c>
      <c r="T43" s="67">
        <f>T40+T41</f>
        <v>69567.5</v>
      </c>
      <c r="U43" s="34"/>
      <c r="X43" s="68"/>
      <c r="Y43" s="49"/>
    </row>
    <row r="44" spans="1:26" x14ac:dyDescent="0.2">
      <c r="A44" t="s">
        <v>250</v>
      </c>
      <c r="B44" s="68">
        <v>61118.720000000001</v>
      </c>
      <c r="C44" s="49">
        <f>C43-B43</f>
        <v>61118.720000000001</v>
      </c>
      <c r="H44" s="51"/>
      <c r="I44" s="52"/>
      <c r="N44" s="51"/>
      <c r="O44" s="52"/>
      <c r="R44" s="34"/>
      <c r="S44" s="36"/>
      <c r="T44" s="43">
        <f>T43-S43</f>
        <v>17527.5</v>
      </c>
      <c r="U44" s="34"/>
      <c r="X44" s="31"/>
      <c r="Y44" s="6"/>
    </row>
    <row r="45" spans="1:26" x14ac:dyDescent="0.2">
      <c r="B45" s="31">
        <f>0</f>
        <v>0</v>
      </c>
      <c r="C45" s="6"/>
      <c r="G45" t="s">
        <v>133</v>
      </c>
      <c r="H45" s="68">
        <v>7945.43</v>
      </c>
      <c r="I45" s="49">
        <f>I43-H43</f>
        <v>7945.43</v>
      </c>
      <c r="N45" s="31"/>
      <c r="O45" s="6"/>
      <c r="R45" s="34"/>
      <c r="S45" s="36"/>
      <c r="T45" s="35"/>
      <c r="U45" s="34"/>
      <c r="X45" s="31"/>
      <c r="Y45" s="6"/>
    </row>
    <row r="46" spans="1:26" x14ac:dyDescent="0.2">
      <c r="B46" s="31"/>
      <c r="C46" s="6"/>
      <c r="H46" s="31"/>
      <c r="I46" s="6">
        <v>0</v>
      </c>
      <c r="N46" s="31"/>
      <c r="O46" s="6"/>
      <c r="R46" s="34"/>
      <c r="S46" s="36"/>
      <c r="T46" s="35"/>
      <c r="U46" s="34"/>
      <c r="X46" s="31"/>
      <c r="Y46" s="6"/>
    </row>
    <row r="47" spans="1:26" x14ac:dyDescent="0.2">
      <c r="B47" s="31"/>
      <c r="C47" s="6"/>
      <c r="H47" s="31"/>
      <c r="I47" s="6"/>
      <c r="N47" s="31"/>
      <c r="O47" s="6"/>
      <c r="R47" s="34"/>
      <c r="S47" s="36"/>
      <c r="T47" s="35"/>
      <c r="U47" s="34"/>
      <c r="X47" s="31"/>
      <c r="Y47" s="6"/>
    </row>
    <row r="48" spans="1:26" x14ac:dyDescent="0.2">
      <c r="B48" s="31"/>
      <c r="C48" s="6"/>
      <c r="H48" s="31"/>
      <c r="I48" s="6"/>
      <c r="N48" s="31"/>
      <c r="O48" s="6"/>
      <c r="R48" s="34"/>
      <c r="S48" s="36"/>
      <c r="T48" s="35"/>
      <c r="U48" s="34"/>
      <c r="X48" s="31"/>
      <c r="Y48" s="6"/>
    </row>
    <row r="52" spans="1:26" x14ac:dyDescent="0.2">
      <c r="A52" s="26" t="s">
        <v>76</v>
      </c>
      <c r="B52" s="26"/>
      <c r="C52" s="26"/>
      <c r="D52" s="26"/>
      <c r="G52" s="26" t="s">
        <v>77</v>
      </c>
      <c r="H52" s="26"/>
      <c r="I52" s="26"/>
      <c r="J52" s="26"/>
      <c r="M52" s="26" t="s">
        <v>78</v>
      </c>
      <c r="N52" s="26"/>
      <c r="O52" s="26"/>
      <c r="P52" s="26"/>
      <c r="R52" s="26" t="s">
        <v>79</v>
      </c>
      <c r="S52" s="39"/>
      <c r="T52" s="39"/>
      <c r="U52" s="39"/>
      <c r="W52" s="26" t="s">
        <v>80</v>
      </c>
      <c r="X52" s="39"/>
      <c r="Y52" s="39"/>
      <c r="Z52" s="39"/>
    </row>
    <row r="53" spans="1:26" x14ac:dyDescent="0.2">
      <c r="A53" t="s">
        <v>65</v>
      </c>
      <c r="B53" s="31">
        <v>1500</v>
      </c>
      <c r="C53" s="6"/>
      <c r="G53" t="s">
        <v>66</v>
      </c>
      <c r="H53" s="30">
        <v>999</v>
      </c>
      <c r="I53" s="6"/>
      <c r="M53" s="37"/>
      <c r="N53" s="38"/>
      <c r="O53" s="6">
        <v>65</v>
      </c>
      <c r="P53" t="s">
        <v>40</v>
      </c>
      <c r="S53" s="30"/>
      <c r="T53" s="6">
        <v>50</v>
      </c>
      <c r="U53" t="s">
        <v>40</v>
      </c>
      <c r="X53" s="30"/>
      <c r="Y53" s="6">
        <v>270.23</v>
      </c>
      <c r="Z53" t="s">
        <v>47</v>
      </c>
    </row>
    <row r="54" spans="1:26" x14ac:dyDescent="0.2">
      <c r="A54" s="25"/>
      <c r="B54" s="51"/>
      <c r="C54" s="52"/>
      <c r="H54" s="51"/>
      <c r="I54" s="52"/>
      <c r="M54" s="37"/>
      <c r="N54" s="55"/>
      <c r="O54" s="52"/>
      <c r="S54" s="51"/>
      <c r="T54" s="52"/>
      <c r="X54" s="51"/>
      <c r="Y54" s="52"/>
    </row>
    <row r="55" spans="1:26" x14ac:dyDescent="0.2">
      <c r="B55" s="68">
        <f>B53</f>
        <v>1500</v>
      </c>
      <c r="C55" s="49">
        <v>375</v>
      </c>
      <c r="D55" t="s">
        <v>134</v>
      </c>
      <c r="H55" s="68">
        <f>H53</f>
        <v>999</v>
      </c>
      <c r="I55" s="49">
        <v>83.25</v>
      </c>
      <c r="J55" t="s">
        <v>135</v>
      </c>
      <c r="M55" s="37"/>
      <c r="N55" s="38"/>
      <c r="O55" s="6">
        <f>O53</f>
        <v>65</v>
      </c>
      <c r="S55" s="31"/>
      <c r="T55" s="6">
        <f>T53</f>
        <v>50</v>
      </c>
      <c r="X55" s="31"/>
      <c r="Y55" s="6">
        <f>Y53</f>
        <v>270.23</v>
      </c>
    </row>
    <row r="56" spans="1:26" x14ac:dyDescent="0.2">
      <c r="B56" s="31">
        <f>B55-C55</f>
        <v>1125</v>
      </c>
      <c r="C56" s="6"/>
      <c r="H56" s="31">
        <f>H55-I55</f>
        <v>915.75</v>
      </c>
      <c r="I56" s="6"/>
      <c r="M56" s="37"/>
      <c r="N56" s="38"/>
      <c r="O56" s="6"/>
      <c r="S56" s="31"/>
      <c r="T56" s="6"/>
      <c r="X56" s="31"/>
      <c r="Y56" s="6"/>
    </row>
    <row r="57" spans="1:26" x14ac:dyDescent="0.2">
      <c r="B57" s="31"/>
      <c r="C57" s="6"/>
      <c r="H57" s="31"/>
      <c r="I57" s="6"/>
      <c r="M57" s="37"/>
      <c r="N57" s="38"/>
      <c r="O57" s="6"/>
      <c r="S57" s="31"/>
      <c r="T57" s="6"/>
      <c r="X57" s="31"/>
      <c r="Y57" s="6"/>
    </row>
    <row r="61" spans="1:26" x14ac:dyDescent="0.2">
      <c r="A61" s="26" t="s">
        <v>88</v>
      </c>
      <c r="B61" s="26"/>
      <c r="C61" s="26"/>
      <c r="D61" s="26"/>
      <c r="G61" s="26"/>
      <c r="H61" s="26" t="s">
        <v>4</v>
      </c>
      <c r="I61" s="26"/>
      <c r="J61" s="26"/>
      <c r="M61" s="26" t="s">
        <v>93</v>
      </c>
      <c r="N61" s="26"/>
      <c r="O61" s="26"/>
      <c r="P61" s="26"/>
      <c r="R61" s="26" t="s">
        <v>94</v>
      </c>
      <c r="S61" s="26"/>
      <c r="T61" s="26"/>
      <c r="U61" s="26"/>
      <c r="W61" s="26" t="s">
        <v>89</v>
      </c>
      <c r="X61" s="26"/>
      <c r="Y61" s="26"/>
      <c r="Z61" s="26"/>
    </row>
    <row r="62" spans="1:26" x14ac:dyDescent="0.2">
      <c r="A62" t="s">
        <v>90</v>
      </c>
      <c r="B62" s="30">
        <v>334.5</v>
      </c>
      <c r="C62" s="6"/>
      <c r="G62" t="s">
        <v>90</v>
      </c>
      <c r="H62" s="45">
        <v>500</v>
      </c>
      <c r="I62" s="46"/>
      <c r="N62" s="30"/>
      <c r="O62" s="6"/>
      <c r="S62" s="30"/>
      <c r="T62" s="6"/>
      <c r="X62" s="30"/>
      <c r="Y62" s="6"/>
    </row>
    <row r="63" spans="1:26" x14ac:dyDescent="0.2">
      <c r="A63" t="s">
        <v>68</v>
      </c>
      <c r="B63" s="31">
        <v>282</v>
      </c>
      <c r="C63" s="6"/>
      <c r="G63" t="s">
        <v>86</v>
      </c>
      <c r="H63" s="45">
        <v>200</v>
      </c>
      <c r="I63" s="46"/>
      <c r="N63" s="31"/>
      <c r="O63" s="6"/>
      <c r="S63" s="31"/>
      <c r="T63" s="6"/>
      <c r="X63" s="31"/>
      <c r="Y63" s="6"/>
    </row>
    <row r="64" spans="1:26" x14ac:dyDescent="0.2">
      <c r="A64" t="s">
        <v>91</v>
      </c>
      <c r="B64" s="31">
        <v>669</v>
      </c>
      <c r="C64" s="6"/>
      <c r="G64" t="s">
        <v>91</v>
      </c>
      <c r="H64" s="45">
        <v>2150</v>
      </c>
      <c r="I64" s="46"/>
      <c r="N64" s="31"/>
      <c r="O64" s="6"/>
      <c r="S64" s="31"/>
      <c r="T64" s="6"/>
      <c r="X64" s="31"/>
      <c r="Y64" s="6"/>
    </row>
    <row r="65" spans="1:26" x14ac:dyDescent="0.2">
      <c r="A65" t="s">
        <v>92</v>
      </c>
      <c r="B65" s="31">
        <v>101.98</v>
      </c>
      <c r="C65" s="6"/>
      <c r="G65" t="s">
        <v>92</v>
      </c>
      <c r="H65" s="45">
        <v>164.13</v>
      </c>
      <c r="I65" s="46"/>
      <c r="N65" s="31"/>
      <c r="O65" s="6"/>
      <c r="S65" s="31"/>
      <c r="T65" s="6"/>
      <c r="X65" s="31"/>
      <c r="Y65" s="6"/>
    </row>
    <row r="66" spans="1:26" x14ac:dyDescent="0.2">
      <c r="B66" s="31"/>
      <c r="C66" s="6"/>
      <c r="G66" t="s">
        <v>70</v>
      </c>
      <c r="H66" s="45">
        <v>145</v>
      </c>
      <c r="I66" s="46"/>
      <c r="N66" s="31"/>
      <c r="O66" s="6"/>
      <c r="S66" s="31"/>
      <c r="T66" s="6"/>
      <c r="X66" s="31"/>
      <c r="Y66" s="6"/>
    </row>
    <row r="67" spans="1:26" x14ac:dyDescent="0.2">
      <c r="B67" s="51"/>
      <c r="C67" s="52"/>
      <c r="H67" s="56"/>
      <c r="I67" s="52"/>
      <c r="N67" s="51"/>
      <c r="O67" s="52"/>
      <c r="S67" s="51"/>
      <c r="T67" s="52"/>
      <c r="X67" s="51"/>
      <c r="Y67" s="52"/>
    </row>
    <row r="68" spans="1:26" x14ac:dyDescent="0.2">
      <c r="B68" s="31">
        <f>B62+B63+B64+B65</f>
        <v>1387.48</v>
      </c>
      <c r="C68" s="6"/>
      <c r="H68" s="45">
        <f>H62+H63+H64+H65+H66</f>
        <v>3159.13</v>
      </c>
      <c r="I68" s="6"/>
      <c r="N68" s="31"/>
      <c r="O68" s="6"/>
      <c r="S68" s="31"/>
      <c r="T68" s="6"/>
      <c r="X68" s="31"/>
      <c r="Y68" s="6"/>
    </row>
    <row r="69" spans="1:26" x14ac:dyDescent="0.2">
      <c r="A69" t="s">
        <v>136</v>
      </c>
      <c r="B69" s="31">
        <v>312.5</v>
      </c>
      <c r="C69" s="6"/>
      <c r="G69" t="s">
        <v>136</v>
      </c>
      <c r="H69" s="45">
        <v>312.5</v>
      </c>
      <c r="I69" s="6"/>
      <c r="N69" s="31"/>
      <c r="O69" s="6"/>
      <c r="S69" s="31"/>
      <c r="T69" s="6"/>
      <c r="X69" s="31"/>
      <c r="Y69" s="6"/>
    </row>
    <row r="70" spans="1:26" x14ac:dyDescent="0.2">
      <c r="A70" t="s">
        <v>137</v>
      </c>
      <c r="B70" s="31">
        <v>375</v>
      </c>
      <c r="C70" s="6"/>
      <c r="H70" s="40"/>
      <c r="I70" s="6"/>
      <c r="N70" s="31"/>
      <c r="O70" s="6"/>
      <c r="S70" s="31"/>
      <c r="T70" s="6"/>
      <c r="X70" s="31"/>
      <c r="Y70" s="6"/>
    </row>
    <row r="71" spans="1:26" x14ac:dyDescent="0.2">
      <c r="A71" t="s">
        <v>138</v>
      </c>
      <c r="B71" s="51">
        <v>83.25</v>
      </c>
      <c r="C71" s="52"/>
      <c r="H71" s="56"/>
      <c r="I71" s="52"/>
      <c r="N71" s="31"/>
      <c r="O71" s="6"/>
      <c r="S71" s="31"/>
      <c r="T71" s="6"/>
      <c r="X71" s="31"/>
      <c r="Y71" s="6"/>
    </row>
    <row r="72" spans="1:26" x14ac:dyDescent="0.2">
      <c r="B72" s="49">
        <f>B68+B69+B70+B71</f>
        <v>2158.23</v>
      </c>
      <c r="C72" s="70">
        <v>2158.23</v>
      </c>
      <c r="D72" t="s">
        <v>233</v>
      </c>
      <c r="H72" s="49">
        <f>H68+H69</f>
        <v>3471.63</v>
      </c>
      <c r="I72" s="70">
        <v>3471.63</v>
      </c>
      <c r="J72" t="s">
        <v>233</v>
      </c>
    </row>
    <row r="73" spans="1:26" x14ac:dyDescent="0.2">
      <c r="B73" s="71">
        <v>0</v>
      </c>
      <c r="H73" s="4">
        <v>0</v>
      </c>
    </row>
    <row r="75" spans="1:26" x14ac:dyDescent="0.2">
      <c r="A75" s="26" t="s">
        <v>95</v>
      </c>
      <c r="B75" s="26"/>
      <c r="C75" s="26"/>
      <c r="D75" s="26"/>
      <c r="G75" s="26" t="s">
        <v>96</v>
      </c>
      <c r="H75" s="26"/>
      <c r="I75" s="26"/>
      <c r="J75" s="26"/>
      <c r="M75" s="26" t="s">
        <v>139</v>
      </c>
      <c r="N75" s="26"/>
      <c r="O75" s="26"/>
      <c r="P75" s="26"/>
      <c r="R75" s="26" t="s">
        <v>140</v>
      </c>
      <c r="S75" s="26"/>
      <c r="T75" s="26"/>
      <c r="U75" s="26"/>
      <c r="W75" s="26" t="s">
        <v>141</v>
      </c>
      <c r="X75" s="26"/>
      <c r="Y75" s="26"/>
      <c r="Z75" s="26"/>
    </row>
    <row r="76" spans="1:26" x14ac:dyDescent="0.2">
      <c r="B76" s="30"/>
      <c r="C76" s="6"/>
      <c r="H76" s="40"/>
      <c r="I76" s="6">
        <v>266.14999999999998</v>
      </c>
      <c r="J76" t="s">
        <v>97</v>
      </c>
      <c r="M76" s="9" t="s">
        <v>133</v>
      </c>
      <c r="N76" s="45">
        <v>3125.58</v>
      </c>
      <c r="O76" s="6"/>
      <c r="P76" s="9"/>
      <c r="R76" s="9" t="s">
        <v>143</v>
      </c>
      <c r="S76" s="45">
        <v>1069.58</v>
      </c>
      <c r="T76" s="6"/>
      <c r="U76" s="9"/>
      <c r="W76" s="9"/>
      <c r="X76" s="40"/>
      <c r="Y76" s="6">
        <v>1069.58</v>
      </c>
      <c r="Z76" s="9" t="s">
        <v>144</v>
      </c>
    </row>
    <row r="77" spans="1:26" x14ac:dyDescent="0.2">
      <c r="B77" s="51"/>
      <c r="C77" s="52"/>
      <c r="H77" s="56"/>
      <c r="I77" s="52"/>
      <c r="M77" s="9"/>
      <c r="N77" s="40"/>
      <c r="O77" s="6"/>
      <c r="P77" s="9"/>
      <c r="R77" s="9"/>
      <c r="S77" s="40"/>
      <c r="T77" s="6"/>
      <c r="U77" s="9"/>
      <c r="W77" s="9"/>
      <c r="X77" s="40"/>
      <c r="Y77" s="6"/>
      <c r="Z77" s="9"/>
    </row>
    <row r="78" spans="1:26" x14ac:dyDescent="0.2">
      <c r="B78" s="68"/>
      <c r="C78" s="49"/>
      <c r="H78" s="40"/>
      <c r="I78" s="6">
        <f>I76</f>
        <v>266.14999999999998</v>
      </c>
      <c r="M78" s="9"/>
      <c r="N78" s="40"/>
      <c r="O78" s="6"/>
      <c r="P78" s="9"/>
      <c r="R78" s="9"/>
      <c r="S78" s="40"/>
      <c r="T78" s="6"/>
      <c r="U78" s="9"/>
      <c r="W78" s="9"/>
      <c r="X78" s="40"/>
      <c r="Y78" s="6"/>
      <c r="Z78" s="9"/>
    </row>
    <row r="79" spans="1:26" x14ac:dyDescent="0.2">
      <c r="B79" s="31"/>
      <c r="C79" s="6"/>
      <c r="H79" s="40"/>
      <c r="I79" s="6"/>
      <c r="M79" s="9"/>
      <c r="N79" s="40"/>
      <c r="O79" s="6"/>
      <c r="P79" s="9"/>
      <c r="R79" s="9"/>
      <c r="S79" s="40"/>
      <c r="T79" s="6"/>
      <c r="U79" s="9"/>
      <c r="W79" s="9"/>
      <c r="X79" s="40"/>
      <c r="Y79" s="6"/>
      <c r="Z79" s="9"/>
    </row>
    <row r="80" spans="1:26" x14ac:dyDescent="0.2">
      <c r="B80" s="31"/>
      <c r="C80" s="6"/>
      <c r="H80" s="40"/>
      <c r="I80" s="6"/>
      <c r="M80" s="9"/>
      <c r="N80" s="40"/>
      <c r="O80" s="6"/>
      <c r="P80" s="9"/>
      <c r="R80" s="9"/>
      <c r="S80" s="40"/>
      <c r="T80" s="6"/>
      <c r="U80" s="9"/>
      <c r="W80" s="9"/>
      <c r="X80" s="40"/>
      <c r="Y80" s="6"/>
      <c r="Z80" s="9"/>
    </row>
    <row r="81" spans="1:26" x14ac:dyDescent="0.2">
      <c r="B81" s="31"/>
      <c r="C81" s="6"/>
      <c r="H81" s="40"/>
      <c r="I81" s="6"/>
      <c r="M81" s="9"/>
      <c r="N81" s="40"/>
      <c r="O81" s="6"/>
      <c r="P81" s="9"/>
      <c r="R81" s="9"/>
      <c r="S81" s="40"/>
      <c r="T81" s="6"/>
      <c r="U81" s="9"/>
      <c r="W81" s="9"/>
      <c r="X81" s="40"/>
      <c r="Y81" s="6"/>
      <c r="Z81" s="9"/>
    </row>
    <row r="85" spans="1:26" x14ac:dyDescent="0.2">
      <c r="A85" s="26" t="s">
        <v>142</v>
      </c>
      <c r="B85" s="26"/>
      <c r="C85" s="26"/>
      <c r="D85" s="26"/>
      <c r="G85" s="26" t="s">
        <v>146</v>
      </c>
      <c r="H85" s="26" t="s">
        <v>147</v>
      </c>
      <c r="I85" s="26"/>
      <c r="J85" s="26"/>
      <c r="M85" s="26"/>
      <c r="N85" s="26" t="s">
        <v>148</v>
      </c>
      <c r="O85" s="26"/>
      <c r="P85" s="26"/>
      <c r="R85" s="26"/>
      <c r="S85" s="26" t="s">
        <v>149</v>
      </c>
      <c r="T85" s="26"/>
      <c r="U85" s="26"/>
      <c r="W85" s="26"/>
      <c r="X85" s="26" t="s">
        <v>150</v>
      </c>
      <c r="Y85" s="26"/>
      <c r="Z85" s="26"/>
    </row>
    <row r="86" spans="1:26" x14ac:dyDescent="0.2">
      <c r="A86" s="9"/>
      <c r="B86" s="40"/>
      <c r="C86" s="6">
        <v>625</v>
      </c>
      <c r="D86" s="9" t="s">
        <v>145</v>
      </c>
      <c r="G86" s="9" t="s">
        <v>58</v>
      </c>
      <c r="H86" s="76">
        <v>35000</v>
      </c>
      <c r="I86" s="77">
        <v>8750</v>
      </c>
      <c r="J86" s="9" t="s">
        <v>59</v>
      </c>
      <c r="M86" s="9"/>
      <c r="N86" s="69"/>
      <c r="O86" s="49"/>
      <c r="P86" s="9"/>
      <c r="R86" s="9" t="s">
        <v>251</v>
      </c>
      <c r="S86" s="69">
        <v>45392.81</v>
      </c>
      <c r="T86" s="49">
        <v>61118.720000000001</v>
      </c>
      <c r="U86" s="9" t="s">
        <v>252</v>
      </c>
      <c r="W86" s="9"/>
      <c r="X86" s="74"/>
      <c r="Y86" s="49"/>
      <c r="Z86" s="9"/>
    </row>
    <row r="87" spans="1:26" x14ac:dyDescent="0.2">
      <c r="A87" s="9"/>
      <c r="B87" s="40"/>
      <c r="C87" s="6"/>
      <c r="D87" s="9"/>
      <c r="G87" s="9" t="s">
        <v>36</v>
      </c>
      <c r="H87" s="95">
        <v>13511.7</v>
      </c>
      <c r="I87" s="52"/>
      <c r="J87" s="9"/>
      <c r="M87" s="9"/>
      <c r="N87" s="45"/>
      <c r="O87" s="6"/>
      <c r="P87" s="9"/>
      <c r="R87" s="9" t="s">
        <v>266</v>
      </c>
      <c r="S87" s="69">
        <f>T87</f>
        <v>15725.910000000003</v>
      </c>
      <c r="T87" s="49">
        <f>T86-S86</f>
        <v>15725.910000000003</v>
      </c>
      <c r="U87" s="9"/>
      <c r="W87" s="9"/>
      <c r="X87" s="40"/>
      <c r="Y87" s="6">
        <v>10968.44</v>
      </c>
      <c r="Z87" s="9" t="s">
        <v>310</v>
      </c>
    </row>
    <row r="88" spans="1:26" x14ac:dyDescent="0.2">
      <c r="A88" s="9"/>
      <c r="B88" s="40"/>
      <c r="C88" s="6"/>
      <c r="D88" s="9"/>
      <c r="G88" s="9"/>
      <c r="H88" s="45">
        <f>H86+H87</f>
        <v>48511.7</v>
      </c>
      <c r="I88" s="6">
        <f>I86</f>
        <v>8750</v>
      </c>
      <c r="J88" s="9"/>
      <c r="M88" s="9"/>
      <c r="N88" s="40"/>
      <c r="O88" s="6"/>
      <c r="P88" s="9"/>
      <c r="R88" s="9"/>
      <c r="S88" s="40"/>
      <c r="T88" s="6">
        <v>0</v>
      </c>
      <c r="U88" s="9"/>
      <c r="W88" s="9"/>
      <c r="X88" s="40"/>
      <c r="Y88" s="6"/>
      <c r="Z88" s="9"/>
    </row>
    <row r="89" spans="1:26" x14ac:dyDescent="0.2">
      <c r="A89" s="9"/>
      <c r="B89" s="40"/>
      <c r="C89" s="6"/>
      <c r="D89" s="9"/>
      <c r="G89" s="9"/>
      <c r="H89" s="95">
        <f>H88-I88</f>
        <v>39761.699999999997</v>
      </c>
      <c r="I89" s="52">
        <f>H89</f>
        <v>39761.699999999997</v>
      </c>
      <c r="J89" s="9" t="s">
        <v>233</v>
      </c>
      <c r="M89" s="9"/>
      <c r="N89" s="40"/>
      <c r="O89" s="6"/>
      <c r="P89" s="9"/>
      <c r="R89" s="9"/>
      <c r="S89" s="40"/>
      <c r="T89" s="6"/>
      <c r="U89" s="9"/>
      <c r="W89" s="9"/>
      <c r="X89" s="40"/>
      <c r="Y89" s="6"/>
      <c r="Z89" s="9"/>
    </row>
    <row r="90" spans="1:26" x14ac:dyDescent="0.2">
      <c r="A90" s="9"/>
      <c r="B90" s="40"/>
      <c r="C90" s="6"/>
      <c r="D90" s="9"/>
      <c r="G90" s="9"/>
      <c r="H90" s="40">
        <v>0</v>
      </c>
      <c r="I90" s="6"/>
      <c r="J90" s="9"/>
      <c r="M90" s="9"/>
      <c r="N90" s="40"/>
      <c r="O90" s="6"/>
      <c r="P90" s="9"/>
      <c r="R90" s="9"/>
      <c r="S90" s="40"/>
      <c r="T90" s="6"/>
      <c r="U90" s="9"/>
      <c r="W90" s="9"/>
      <c r="X90" s="40"/>
      <c r="Y90" s="6"/>
      <c r="Z90" s="9"/>
    </row>
    <row r="91" spans="1:26" x14ac:dyDescent="0.2">
      <c r="A91" s="9"/>
      <c r="B91" s="40"/>
      <c r="C91" s="6"/>
      <c r="D91" s="9"/>
      <c r="G91" s="9"/>
      <c r="H91" s="40"/>
      <c r="I91" s="6"/>
      <c r="J91" s="9"/>
      <c r="M91" s="9"/>
      <c r="N91" s="40"/>
      <c r="O91" s="6"/>
      <c r="P91" s="9"/>
      <c r="R91" s="9"/>
      <c r="S91" s="40"/>
      <c r="T91" s="6"/>
      <c r="U91" s="9"/>
      <c r="W91" s="9"/>
      <c r="X91" s="40"/>
      <c r="Y91" s="6"/>
      <c r="Z91" s="9"/>
    </row>
    <row r="95" spans="1:26" x14ac:dyDescent="0.2">
      <c r="A95" s="26"/>
      <c r="B95" s="26" t="s">
        <v>151</v>
      </c>
      <c r="C95" s="26"/>
      <c r="D95" s="26"/>
      <c r="G95" s="26"/>
      <c r="H95" s="26" t="s">
        <v>152</v>
      </c>
      <c r="I95" s="26"/>
      <c r="J95" s="26"/>
    </row>
    <row r="96" spans="1:26" ht="17.25" x14ac:dyDescent="0.35">
      <c r="A96" s="9"/>
      <c r="B96" s="72"/>
      <c r="C96" s="73"/>
      <c r="D96" s="9"/>
      <c r="G96" s="9"/>
      <c r="H96" s="74"/>
      <c r="I96" s="49"/>
      <c r="J96" s="9"/>
    </row>
    <row r="97" spans="1:10" x14ac:dyDescent="0.2">
      <c r="A97" s="9"/>
      <c r="B97" s="40"/>
      <c r="C97" s="6">
        <v>1100.9000000000001</v>
      </c>
      <c r="D97" s="9" t="s">
        <v>310</v>
      </c>
      <c r="G97" s="9"/>
      <c r="H97" s="40"/>
      <c r="I97" s="6">
        <v>3656.56</v>
      </c>
      <c r="J97" s="9" t="s">
        <v>310</v>
      </c>
    </row>
    <row r="98" spans="1:10" x14ac:dyDescent="0.2">
      <c r="A98" s="9"/>
      <c r="B98" s="40"/>
      <c r="C98" s="6"/>
      <c r="D98" s="9"/>
      <c r="G98" s="9"/>
      <c r="H98" s="40"/>
      <c r="I98" s="6"/>
      <c r="J98" s="9"/>
    </row>
    <row r="99" spans="1:10" x14ac:dyDescent="0.2">
      <c r="A99" s="9"/>
      <c r="B99" s="40"/>
      <c r="C99" s="6"/>
      <c r="D99" s="9"/>
      <c r="G99" s="9"/>
      <c r="H99" s="40"/>
      <c r="I99" s="6"/>
      <c r="J99" s="9"/>
    </row>
    <row r="100" spans="1:10" x14ac:dyDescent="0.2">
      <c r="A100" s="9"/>
      <c r="B100" s="40"/>
      <c r="C100" s="6"/>
      <c r="D100" s="9"/>
      <c r="G100" s="9"/>
      <c r="H100" s="40"/>
      <c r="I100" s="6"/>
      <c r="J100" s="9"/>
    </row>
    <row r="101" spans="1:10" x14ac:dyDescent="0.2">
      <c r="A101" s="9"/>
      <c r="B101" s="40"/>
      <c r="C101" s="6"/>
      <c r="D101" s="9"/>
      <c r="G101" s="9"/>
      <c r="H101" s="40"/>
      <c r="I101" s="6"/>
      <c r="J101" s="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"/>
  <sheetViews>
    <sheetView workbookViewId="0">
      <selection activeCell="G1" sqref="G1"/>
    </sheetView>
  </sheetViews>
  <sheetFormatPr defaultColWidth="10.76171875" defaultRowHeight="15" x14ac:dyDescent="0.2"/>
  <cols>
    <col min="1" max="1" width="65.109375" customWidth="1"/>
    <col min="2" max="2" width="13.44921875" customWidth="1"/>
    <col min="3" max="3" width="14.2578125" customWidth="1"/>
    <col min="4" max="4" width="12.9140625" customWidth="1"/>
    <col min="5" max="5" width="12.5078125" bestFit="1" customWidth="1"/>
  </cols>
  <sheetData>
    <row r="1" spans="1:6" x14ac:dyDescent="0.2">
      <c r="B1" s="3"/>
      <c r="C1" s="3" t="s">
        <v>98</v>
      </c>
      <c r="D1" s="3"/>
      <c r="E1" s="3"/>
      <c r="F1" s="3"/>
    </row>
    <row r="2" spans="1:6" x14ac:dyDescent="0.2">
      <c r="A2" s="58"/>
      <c r="B2" s="58" t="s">
        <v>307</v>
      </c>
      <c r="C2" s="100"/>
      <c r="D2" s="101"/>
      <c r="E2" s="101"/>
      <c r="F2" s="101"/>
    </row>
    <row r="3" spans="1:6" x14ac:dyDescent="0.2">
      <c r="A3" s="2"/>
      <c r="B3" s="102" t="s">
        <v>99</v>
      </c>
      <c r="C3" s="103"/>
      <c r="D3" s="3"/>
      <c r="E3" s="3"/>
      <c r="F3" s="3"/>
    </row>
    <row r="4" spans="1:6" x14ac:dyDescent="0.2">
      <c r="A4" s="2"/>
      <c r="B4" s="63" t="s">
        <v>100</v>
      </c>
      <c r="C4" s="103"/>
      <c r="D4" s="3"/>
      <c r="E4" s="3"/>
      <c r="F4" s="3"/>
    </row>
    <row r="5" spans="1:6" x14ac:dyDescent="0.2">
      <c r="A5" s="2"/>
      <c r="B5" s="2"/>
    </row>
    <row r="6" spans="1:6" x14ac:dyDescent="0.2">
      <c r="A6" s="63" t="s">
        <v>101</v>
      </c>
      <c r="B6" s="64"/>
      <c r="C6" s="6"/>
      <c r="D6" s="6"/>
    </row>
    <row r="7" spans="1:6" x14ac:dyDescent="0.2">
      <c r="A7" s="63" t="s">
        <v>102</v>
      </c>
      <c r="B7" s="64"/>
      <c r="C7" s="6"/>
      <c r="D7" s="6">
        <f>C8+C9+C10</f>
        <v>205558.37</v>
      </c>
      <c r="E7" s="6"/>
      <c r="F7" s="6"/>
    </row>
    <row r="8" spans="1:6" x14ac:dyDescent="0.2">
      <c r="A8" s="2" t="s">
        <v>103</v>
      </c>
      <c r="B8" s="33"/>
      <c r="C8" s="6">
        <f>'L. Mayor'!B20</f>
        <v>112874.90999999999</v>
      </c>
      <c r="D8" s="6"/>
      <c r="E8" s="6"/>
      <c r="F8" s="6"/>
    </row>
    <row r="9" spans="1:6" x14ac:dyDescent="0.2">
      <c r="A9" s="37" t="s">
        <v>269</v>
      </c>
      <c r="B9" s="33"/>
      <c r="C9" s="6">
        <f>'L. Mayor'!H17</f>
        <v>88488.3</v>
      </c>
      <c r="D9" s="6"/>
      <c r="E9" s="6"/>
      <c r="F9" s="6"/>
    </row>
    <row r="10" spans="1:6" x14ac:dyDescent="0.2">
      <c r="A10" s="37" t="s">
        <v>173</v>
      </c>
      <c r="B10" s="33"/>
      <c r="C10" s="6">
        <f>B11+B12</f>
        <v>4195.16</v>
      </c>
      <c r="D10" s="6"/>
      <c r="E10" s="6"/>
      <c r="F10" s="6"/>
    </row>
    <row r="11" spans="1:6" x14ac:dyDescent="0.2">
      <c r="A11" s="37" t="s">
        <v>271</v>
      </c>
      <c r="B11" s="33">
        <f>'L. Mayor'!N76</f>
        <v>3125.58</v>
      </c>
      <c r="C11" s="6"/>
      <c r="D11" s="6"/>
      <c r="E11" s="6"/>
      <c r="F11" s="6"/>
    </row>
    <row r="12" spans="1:6" s="9" customFormat="1" ht="17.25" x14ac:dyDescent="0.35">
      <c r="A12" s="37" t="s">
        <v>308</v>
      </c>
      <c r="B12" s="65">
        <f>'L. Mayor'!S76</f>
        <v>1069.58</v>
      </c>
      <c r="C12" s="6"/>
      <c r="D12" s="6"/>
      <c r="E12" s="6"/>
      <c r="F12" s="6"/>
    </row>
    <row r="13" spans="1:6" x14ac:dyDescent="0.2">
      <c r="A13" s="37" t="s">
        <v>104</v>
      </c>
      <c r="B13" s="33"/>
      <c r="C13" s="6">
        <f>B14+B15</f>
        <v>2040.75</v>
      </c>
      <c r="D13" s="6"/>
      <c r="E13" s="6"/>
      <c r="F13" s="6"/>
    </row>
    <row r="14" spans="1:6" x14ac:dyDescent="0.2">
      <c r="A14" s="37" t="s">
        <v>105</v>
      </c>
      <c r="B14" s="33">
        <f>'L. Mayor'!B56</f>
        <v>1125</v>
      </c>
      <c r="C14" s="6"/>
      <c r="D14" s="6"/>
      <c r="E14" s="6"/>
      <c r="F14" s="6"/>
    </row>
    <row r="15" spans="1:6" ht="17.25" x14ac:dyDescent="0.35">
      <c r="A15" s="37" t="s">
        <v>106</v>
      </c>
      <c r="B15" s="65">
        <f>'L. Mayor'!H56</f>
        <v>915.75</v>
      </c>
      <c r="C15" s="6"/>
      <c r="D15" s="6"/>
      <c r="E15" s="6"/>
      <c r="F15" s="6"/>
    </row>
    <row r="16" spans="1:6" x14ac:dyDescent="0.2">
      <c r="A16" s="62" t="s">
        <v>107</v>
      </c>
      <c r="B16" s="33"/>
      <c r="C16" s="6"/>
      <c r="D16" s="6">
        <f>B18+B19+B20-C21</f>
        <v>89375</v>
      </c>
      <c r="E16" s="6"/>
      <c r="F16" s="6"/>
    </row>
    <row r="17" spans="1:6" x14ac:dyDescent="0.2">
      <c r="A17" s="37" t="s">
        <v>108</v>
      </c>
      <c r="B17" s="33"/>
      <c r="C17" s="6">
        <f>B18+B19+B20</f>
        <v>90000</v>
      </c>
      <c r="D17" s="6"/>
      <c r="E17" s="6"/>
      <c r="F17" s="6"/>
    </row>
    <row r="18" spans="1:6" x14ac:dyDescent="0.2">
      <c r="A18" s="37" t="s">
        <v>0</v>
      </c>
      <c r="B18" s="33">
        <v>20000</v>
      </c>
      <c r="C18" s="6"/>
      <c r="D18" s="6"/>
      <c r="E18" s="6"/>
      <c r="F18" s="6"/>
    </row>
    <row r="19" spans="1:6" x14ac:dyDescent="0.2">
      <c r="A19" s="37" t="s">
        <v>109</v>
      </c>
      <c r="B19" s="33">
        <v>50000</v>
      </c>
      <c r="C19" s="6"/>
      <c r="D19" s="6"/>
      <c r="E19" s="6"/>
      <c r="F19" s="6"/>
    </row>
    <row r="20" spans="1:6" ht="17.25" x14ac:dyDescent="0.35">
      <c r="A20" s="37" t="s">
        <v>110</v>
      </c>
      <c r="B20" s="65">
        <v>20000</v>
      </c>
      <c r="C20" s="6"/>
      <c r="D20" s="6"/>
      <c r="E20" s="6"/>
      <c r="F20" s="6"/>
    </row>
    <row r="21" spans="1:6" s="9" customFormat="1" ht="17.25" x14ac:dyDescent="0.35">
      <c r="A21" s="37" t="s">
        <v>270</v>
      </c>
      <c r="B21" s="65"/>
      <c r="C21" s="6">
        <f>'L. Mayor'!C86</f>
        <v>625</v>
      </c>
      <c r="D21" s="6"/>
      <c r="E21" s="6"/>
      <c r="F21" s="6"/>
    </row>
    <row r="22" spans="1:6" s="9" customFormat="1" ht="17.25" x14ac:dyDescent="0.35">
      <c r="A22" s="62" t="s">
        <v>309</v>
      </c>
      <c r="B22" s="65"/>
      <c r="C22" s="6"/>
      <c r="D22" s="6"/>
      <c r="E22" s="6">
        <f>D7+D16</f>
        <v>294933.37</v>
      </c>
      <c r="F22" s="6"/>
    </row>
    <row r="23" spans="1:6" x14ac:dyDescent="0.2">
      <c r="A23" s="62" t="s">
        <v>111</v>
      </c>
      <c r="B23" s="6"/>
      <c r="C23" s="6"/>
      <c r="D23" s="6"/>
      <c r="E23" s="6"/>
      <c r="F23" s="6"/>
    </row>
    <row r="24" spans="1:6" x14ac:dyDescent="0.2">
      <c r="A24" s="62" t="s">
        <v>112</v>
      </c>
      <c r="B24" s="22"/>
      <c r="C24" s="6"/>
      <c r="D24" s="6">
        <f>C25+C26+C27+C33+C36+C37</f>
        <v>32905.022300000004</v>
      </c>
      <c r="E24" s="6"/>
      <c r="F24" s="6"/>
    </row>
    <row r="25" spans="1:6" s="9" customFormat="1" x14ac:dyDescent="0.2">
      <c r="A25" s="37" t="s">
        <v>3</v>
      </c>
      <c r="B25" s="6"/>
      <c r="C25" s="6">
        <f>'L. Mayor'!T44</f>
        <v>17527.5</v>
      </c>
      <c r="D25" s="6"/>
      <c r="E25" s="6"/>
      <c r="F25" s="6"/>
    </row>
    <row r="26" spans="1:6" s="9" customFormat="1" x14ac:dyDescent="0.2">
      <c r="A26" s="37" t="s">
        <v>115</v>
      </c>
      <c r="B26" s="6"/>
      <c r="C26" s="6">
        <f>'L. Mayor'!Y11</f>
        <v>10000</v>
      </c>
      <c r="D26" s="6"/>
      <c r="E26" s="6"/>
      <c r="F26" s="6"/>
    </row>
    <row r="27" spans="1:6" s="9" customFormat="1" x14ac:dyDescent="0.2">
      <c r="A27" s="37" t="s">
        <v>113</v>
      </c>
      <c r="B27" s="6"/>
      <c r="C27" s="6">
        <f>B28+B29+B30+B31+B32</f>
        <v>385.23</v>
      </c>
      <c r="D27" s="6"/>
      <c r="E27" s="6"/>
      <c r="F27" s="6"/>
    </row>
    <row r="28" spans="1:6" s="9" customFormat="1" x14ac:dyDescent="0.2">
      <c r="A28" s="37" t="s">
        <v>116</v>
      </c>
      <c r="B28" s="6">
        <v>50.07</v>
      </c>
      <c r="C28" s="6"/>
      <c r="D28" s="6"/>
      <c r="E28" s="6"/>
      <c r="F28" s="121"/>
    </row>
    <row r="29" spans="1:6" s="9" customFormat="1" x14ac:dyDescent="0.2">
      <c r="A29" s="37" t="s">
        <v>117</v>
      </c>
      <c r="B29" s="6">
        <v>131.88</v>
      </c>
      <c r="C29" s="6"/>
      <c r="D29" s="6"/>
      <c r="E29" s="6"/>
      <c r="F29" s="121"/>
    </row>
    <row r="30" spans="1:6" s="9" customFormat="1" ht="17.25" x14ac:dyDescent="0.35">
      <c r="A30" s="37" t="s">
        <v>118</v>
      </c>
      <c r="B30" s="6">
        <v>88.28</v>
      </c>
      <c r="C30" s="6"/>
      <c r="D30" s="6"/>
      <c r="E30" s="6"/>
      <c r="F30" s="122"/>
    </row>
    <row r="31" spans="1:6" x14ac:dyDescent="0.2">
      <c r="A31" s="37" t="s">
        <v>119</v>
      </c>
      <c r="B31" s="6">
        <f>'L. Mayor'!O55</f>
        <v>65</v>
      </c>
      <c r="C31" s="6"/>
      <c r="D31" s="6"/>
      <c r="E31" s="6"/>
      <c r="F31" s="6"/>
    </row>
    <row r="32" spans="1:6" ht="17.25" x14ac:dyDescent="0.35">
      <c r="A32" s="37" t="s">
        <v>120</v>
      </c>
      <c r="B32" s="7">
        <f>'L. Mayor'!T55</f>
        <v>50</v>
      </c>
      <c r="C32" s="6"/>
      <c r="D32" s="6"/>
      <c r="E32" s="6"/>
      <c r="F32" s="6"/>
    </row>
    <row r="33" spans="1:9" x14ac:dyDescent="0.2">
      <c r="A33" s="37" t="s">
        <v>114</v>
      </c>
      <c r="B33" s="6"/>
      <c r="C33" s="6">
        <f>B35+B34</f>
        <v>266.14999999999998</v>
      </c>
      <c r="D33" s="6"/>
      <c r="E33" s="6"/>
      <c r="F33" s="6"/>
    </row>
    <row r="34" spans="1:9" s="9" customFormat="1" x14ac:dyDescent="0.2">
      <c r="A34" s="37" t="s">
        <v>121</v>
      </c>
      <c r="B34" s="6">
        <v>125.18</v>
      </c>
      <c r="C34" s="6"/>
      <c r="D34" s="6"/>
      <c r="E34" s="6"/>
      <c r="F34" s="6"/>
    </row>
    <row r="35" spans="1:9" s="9" customFormat="1" x14ac:dyDescent="0.2">
      <c r="A35" s="37" t="s">
        <v>122</v>
      </c>
      <c r="B35" s="6">
        <v>140.97</v>
      </c>
      <c r="C35" s="6"/>
      <c r="D35" s="6"/>
      <c r="E35" s="6"/>
      <c r="F35" s="6"/>
    </row>
    <row r="36" spans="1:9" s="9" customFormat="1" x14ac:dyDescent="0.2">
      <c r="A36" s="37" t="s">
        <v>311</v>
      </c>
      <c r="B36" s="6"/>
      <c r="C36" s="6">
        <f>'L.Diario Completo'!E171</f>
        <v>1069.5776000000001</v>
      </c>
      <c r="D36" s="6"/>
      <c r="E36" s="6"/>
      <c r="F36" s="6"/>
    </row>
    <row r="37" spans="1:9" s="9" customFormat="1" x14ac:dyDescent="0.2">
      <c r="A37" s="37" t="s">
        <v>312</v>
      </c>
      <c r="B37" s="6"/>
      <c r="C37" s="6">
        <f>'L.Diario Completo'!E210</f>
        <v>3656.5646999999999</v>
      </c>
      <c r="D37" s="6"/>
      <c r="E37" s="6"/>
      <c r="F37" s="6"/>
    </row>
    <row r="38" spans="1:9" x14ac:dyDescent="0.2">
      <c r="A38" s="37" t="s">
        <v>123</v>
      </c>
      <c r="B38" s="6"/>
      <c r="C38" s="6"/>
      <c r="D38" s="6"/>
      <c r="E38" s="6"/>
      <c r="F38" s="6"/>
      <c r="H38" t="s">
        <v>127</v>
      </c>
    </row>
    <row r="39" spans="1:9" x14ac:dyDescent="0.2">
      <c r="A39" s="62" t="s">
        <v>124</v>
      </c>
      <c r="B39" s="22"/>
      <c r="C39" s="6"/>
      <c r="D39" s="6">
        <f>C40+C41+C42</f>
        <v>262069.34409999999</v>
      </c>
      <c r="E39" s="6"/>
      <c r="F39" s="6"/>
    </row>
    <row r="40" spans="1:9" x14ac:dyDescent="0.2">
      <c r="A40" s="37" t="s">
        <v>125</v>
      </c>
      <c r="B40" s="6"/>
      <c r="C40" s="6">
        <v>250000</v>
      </c>
      <c r="D40" s="6"/>
      <c r="E40" s="6"/>
      <c r="F40" s="6"/>
    </row>
    <row r="41" spans="1:9" s="9" customFormat="1" x14ac:dyDescent="0.2">
      <c r="A41" s="37" t="s">
        <v>313</v>
      </c>
      <c r="B41" s="6"/>
      <c r="C41" s="6">
        <f>'L.Diario Completo'!E208</f>
        <v>10968.444100000001</v>
      </c>
      <c r="D41" s="6"/>
      <c r="E41" s="6"/>
      <c r="F41" s="6"/>
    </row>
    <row r="42" spans="1:9" s="9" customFormat="1" x14ac:dyDescent="0.2">
      <c r="A42" s="37" t="s">
        <v>283</v>
      </c>
      <c r="B42" s="6"/>
      <c r="C42" s="6">
        <v>1100.9000000000001</v>
      </c>
      <c r="D42" s="6"/>
      <c r="E42" s="6"/>
      <c r="F42" s="6"/>
    </row>
    <row r="43" spans="1:9" x14ac:dyDescent="0.2">
      <c r="A43" s="62" t="s">
        <v>272</v>
      </c>
      <c r="B43" s="6"/>
      <c r="C43" s="6"/>
      <c r="D43" s="22"/>
      <c r="E43" s="6">
        <f>D24+D39</f>
        <v>294974.3664</v>
      </c>
      <c r="F43" s="6"/>
      <c r="G43" s="119"/>
      <c r="H43" s="120" t="s">
        <v>555</v>
      </c>
      <c r="I43" s="120"/>
    </row>
    <row r="49" spans="1:1" x14ac:dyDescent="0.2">
      <c r="A49" s="3" t="s">
        <v>128</v>
      </c>
    </row>
    <row r="50" spans="1:1" x14ac:dyDescent="0.2">
      <c r="A50" t="s">
        <v>129</v>
      </c>
    </row>
    <row r="51" spans="1:1" x14ac:dyDescent="0.2">
      <c r="A51" t="s">
        <v>130</v>
      </c>
    </row>
    <row r="52" spans="1:1" x14ac:dyDescent="0.2">
      <c r="A52" t="s">
        <v>131</v>
      </c>
    </row>
    <row r="53" spans="1:1" x14ac:dyDescent="0.2">
      <c r="A53" t="s">
        <v>581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4"/>
  <sheetViews>
    <sheetView topLeftCell="A165" workbookViewId="0">
      <selection activeCell="D227" sqref="D227"/>
    </sheetView>
  </sheetViews>
  <sheetFormatPr defaultColWidth="10.76171875" defaultRowHeight="15" x14ac:dyDescent="0.2"/>
  <cols>
    <col min="2" max="2" width="43.71875" customWidth="1"/>
    <col min="3" max="3" width="14.390625" customWidth="1"/>
    <col min="4" max="4" width="12.5078125" customWidth="1"/>
    <col min="5" max="5" width="13.44921875" customWidth="1"/>
  </cols>
  <sheetData>
    <row r="1" spans="1:13" x14ac:dyDescent="0.2">
      <c r="A1" s="9" t="s">
        <v>155</v>
      </c>
      <c r="B1" s="5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">
      <c r="A2" s="9" t="s">
        <v>156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">
      <c r="A3" s="9" t="s">
        <v>158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">
      <c r="A4" s="9" t="s">
        <v>159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">
      <c r="A5" s="78" t="s">
        <v>161</v>
      </c>
      <c r="B5" s="78" t="s">
        <v>162</v>
      </c>
      <c r="C5" s="78" t="s">
        <v>163</v>
      </c>
      <c r="D5" s="78" t="s">
        <v>164</v>
      </c>
      <c r="E5" s="78" t="s">
        <v>165</v>
      </c>
      <c r="F5" s="2"/>
      <c r="G5" s="9"/>
      <c r="H5" s="9"/>
      <c r="I5" s="9"/>
      <c r="J5" s="9"/>
      <c r="K5" s="9"/>
      <c r="L5" s="9"/>
      <c r="M5" s="9"/>
    </row>
    <row r="6" spans="1:13" x14ac:dyDescent="0.2">
      <c r="A6" s="80">
        <v>43799</v>
      </c>
      <c r="B6" s="1" t="s">
        <v>314</v>
      </c>
      <c r="C6" s="104"/>
      <c r="D6" s="104"/>
      <c r="E6" s="104"/>
      <c r="F6" s="2"/>
      <c r="G6" s="3" t="s">
        <v>315</v>
      </c>
      <c r="H6" s="9"/>
      <c r="I6" s="9"/>
      <c r="J6" s="9"/>
      <c r="K6" s="9"/>
      <c r="L6" s="9"/>
      <c r="M6" s="9"/>
    </row>
    <row r="7" spans="1:13" x14ac:dyDescent="0.2">
      <c r="A7" s="1"/>
      <c r="B7" s="99" t="s">
        <v>316</v>
      </c>
      <c r="C7" s="104"/>
      <c r="D7" s="104">
        <v>130000</v>
      </c>
      <c r="E7" s="104"/>
      <c r="F7" s="2"/>
      <c r="G7" s="9" t="s">
        <v>317</v>
      </c>
      <c r="H7" s="9"/>
      <c r="I7" s="9"/>
      <c r="J7" s="9"/>
      <c r="K7" s="9"/>
      <c r="L7" s="9"/>
      <c r="M7" s="9"/>
    </row>
    <row r="8" spans="1:13" x14ac:dyDescent="0.2">
      <c r="A8" s="1"/>
      <c r="B8" s="99" t="s">
        <v>318</v>
      </c>
      <c r="C8" s="104"/>
      <c r="D8" s="104">
        <v>50000</v>
      </c>
      <c r="E8" s="104"/>
      <c r="F8" s="2"/>
      <c r="G8" s="9" t="s">
        <v>319</v>
      </c>
      <c r="H8" s="9"/>
      <c r="I8" s="9"/>
      <c r="J8" s="9"/>
      <c r="K8" s="9"/>
      <c r="L8" s="9"/>
      <c r="M8" s="9"/>
    </row>
    <row r="9" spans="1:13" x14ac:dyDescent="0.2">
      <c r="A9" s="1"/>
      <c r="B9" s="99" t="s">
        <v>320</v>
      </c>
      <c r="C9" s="104"/>
      <c r="D9" s="104">
        <v>70000</v>
      </c>
      <c r="E9" s="104"/>
      <c r="F9" s="2"/>
      <c r="G9" s="9" t="s">
        <v>321</v>
      </c>
      <c r="H9" s="9"/>
      <c r="I9" s="9"/>
      <c r="J9" s="9"/>
      <c r="K9" s="9"/>
      <c r="L9" s="9"/>
      <c r="M9" s="9"/>
    </row>
    <row r="10" spans="1:13" x14ac:dyDescent="0.2">
      <c r="A10" s="1"/>
      <c r="B10" s="1" t="s">
        <v>322</v>
      </c>
      <c r="C10" s="104">
        <v>20000</v>
      </c>
      <c r="D10" s="104"/>
      <c r="E10" s="104"/>
      <c r="F10" s="2"/>
      <c r="G10" s="9"/>
      <c r="H10" s="9"/>
      <c r="I10" s="9"/>
      <c r="J10" s="9"/>
      <c r="K10" s="9"/>
      <c r="L10" s="9"/>
      <c r="M10" s="9"/>
    </row>
    <row r="11" spans="1:13" x14ac:dyDescent="0.2">
      <c r="A11" s="1"/>
      <c r="B11" s="1" t="s">
        <v>323</v>
      </c>
      <c r="C11" s="106">
        <v>50000</v>
      </c>
      <c r="D11" s="104"/>
      <c r="E11" s="104"/>
      <c r="F11" s="2"/>
      <c r="G11" s="3" t="s">
        <v>324</v>
      </c>
      <c r="H11" s="9"/>
      <c r="I11" s="9"/>
      <c r="J11" s="9"/>
      <c r="K11" s="9"/>
      <c r="L11" s="9"/>
      <c r="M11" s="9"/>
    </row>
    <row r="12" spans="1:13" x14ac:dyDescent="0.2">
      <c r="A12" s="1"/>
      <c r="B12" s="1" t="s">
        <v>325</v>
      </c>
      <c r="C12" s="104"/>
      <c r="D12" s="104"/>
      <c r="E12" s="104">
        <v>250000</v>
      </c>
      <c r="F12" s="2"/>
      <c r="G12" s="9" t="s">
        <v>326</v>
      </c>
      <c r="H12" s="9"/>
      <c r="I12" s="9"/>
      <c r="J12" s="9"/>
      <c r="K12" s="9"/>
      <c r="L12" s="9"/>
      <c r="M12" s="9"/>
    </row>
    <row r="13" spans="1:13" x14ac:dyDescent="0.2">
      <c r="A13" s="1"/>
      <c r="B13" s="1" t="s">
        <v>327</v>
      </c>
      <c r="C13" s="104">
        <v>250000</v>
      </c>
      <c r="D13" s="104"/>
      <c r="E13" s="104"/>
      <c r="F13" s="2"/>
      <c r="G13" s="9" t="s">
        <v>328</v>
      </c>
      <c r="H13" s="9"/>
      <c r="I13" s="9"/>
      <c r="J13" s="9"/>
      <c r="K13" s="9"/>
      <c r="L13" s="9"/>
      <c r="M13" s="9"/>
    </row>
    <row r="14" spans="1:13" x14ac:dyDescent="0.2">
      <c r="A14" s="1"/>
      <c r="B14" s="1" t="s">
        <v>329</v>
      </c>
      <c r="C14" s="104"/>
      <c r="D14" s="104"/>
      <c r="E14" s="104"/>
      <c r="F14" s="2"/>
      <c r="G14" s="9" t="s">
        <v>330</v>
      </c>
      <c r="H14" s="9"/>
      <c r="I14" s="9"/>
      <c r="J14" s="9"/>
      <c r="K14" s="9"/>
      <c r="L14" s="9"/>
      <c r="M14" s="9"/>
    </row>
    <row r="15" spans="1:13" x14ac:dyDescent="0.2">
      <c r="A15" s="1"/>
      <c r="B15" s="1" t="s">
        <v>331</v>
      </c>
      <c r="C15" s="104"/>
      <c r="D15" s="104"/>
      <c r="E15" s="104"/>
      <c r="F15" s="2"/>
      <c r="G15" s="9" t="s">
        <v>332</v>
      </c>
      <c r="H15" s="9"/>
      <c r="I15" s="9"/>
      <c r="J15" s="9"/>
      <c r="K15" s="9"/>
      <c r="L15" s="9"/>
      <c r="M15" s="9"/>
    </row>
    <row r="16" spans="1:13" x14ac:dyDescent="0.2">
      <c r="A16" s="80">
        <v>43800</v>
      </c>
      <c r="B16" s="99" t="s">
        <v>320</v>
      </c>
      <c r="C16" s="104"/>
      <c r="D16" s="104">
        <v>20000</v>
      </c>
      <c r="E16" s="104"/>
      <c r="F16" s="2"/>
      <c r="G16" s="9"/>
      <c r="H16" s="9"/>
      <c r="I16" s="9"/>
      <c r="J16" s="9"/>
      <c r="K16" s="9"/>
      <c r="L16" s="9"/>
      <c r="M16" s="9"/>
    </row>
    <row r="17" spans="1:13" x14ac:dyDescent="0.2">
      <c r="A17" s="1"/>
      <c r="B17" s="1" t="s">
        <v>0</v>
      </c>
      <c r="C17" s="104">
        <v>20000</v>
      </c>
      <c r="D17" s="104"/>
      <c r="E17" s="104"/>
      <c r="F17" s="2"/>
      <c r="G17" s="3" t="s">
        <v>333</v>
      </c>
      <c r="H17" s="9" t="s">
        <v>334</v>
      </c>
      <c r="I17" s="9" t="s">
        <v>335</v>
      </c>
      <c r="J17" s="9"/>
      <c r="K17" s="9"/>
      <c r="L17" s="9"/>
      <c r="M17" s="9"/>
    </row>
    <row r="18" spans="1:13" x14ac:dyDescent="0.2">
      <c r="A18" s="1"/>
      <c r="B18" s="1" t="s">
        <v>336</v>
      </c>
      <c r="C18" s="104"/>
      <c r="D18" s="104"/>
      <c r="E18" s="104">
        <v>10000</v>
      </c>
      <c r="F18" s="2"/>
      <c r="G18" s="9" t="s">
        <v>337</v>
      </c>
      <c r="H18" s="9">
        <v>35</v>
      </c>
      <c r="I18" s="4">
        <v>810</v>
      </c>
      <c r="J18" s="4">
        <f>H18*I18</f>
        <v>28350</v>
      </c>
      <c r="K18" s="9"/>
      <c r="L18" s="9"/>
      <c r="M18" s="9"/>
    </row>
    <row r="19" spans="1:13" x14ac:dyDescent="0.2">
      <c r="A19" s="1"/>
      <c r="B19" s="1" t="s">
        <v>338</v>
      </c>
      <c r="C19" s="104"/>
      <c r="D19" s="104"/>
      <c r="E19" s="104">
        <v>10000</v>
      </c>
      <c r="F19" s="2"/>
      <c r="G19" s="9" t="s">
        <v>339</v>
      </c>
      <c r="H19" s="9">
        <v>28</v>
      </c>
      <c r="I19" s="4">
        <v>875</v>
      </c>
      <c r="J19" s="107">
        <f>H19*I19</f>
        <v>24500</v>
      </c>
      <c r="K19" s="9"/>
      <c r="L19" s="9"/>
      <c r="M19" s="9"/>
    </row>
    <row r="20" spans="1:13" x14ac:dyDescent="0.2">
      <c r="A20" s="1"/>
      <c r="B20" s="1" t="s">
        <v>340</v>
      </c>
      <c r="C20" s="104"/>
      <c r="D20" s="104"/>
      <c r="E20" s="104"/>
      <c r="F20" s="2"/>
      <c r="G20" s="9" t="s">
        <v>341</v>
      </c>
      <c r="H20" s="9"/>
      <c r="I20" s="9"/>
      <c r="J20" s="4">
        <f>J18+J19</f>
        <v>52850</v>
      </c>
      <c r="K20" s="9"/>
      <c r="L20" s="9"/>
      <c r="M20" s="9"/>
    </row>
    <row r="21" spans="1:13" x14ac:dyDescent="0.2">
      <c r="A21" s="80">
        <v>43800</v>
      </c>
      <c r="B21" s="1" t="s">
        <v>342</v>
      </c>
      <c r="C21" s="104"/>
      <c r="D21" s="104"/>
      <c r="E21" s="104"/>
      <c r="F21" s="2"/>
      <c r="G21" s="9" t="s">
        <v>343</v>
      </c>
      <c r="H21" s="9"/>
      <c r="I21" s="9"/>
      <c r="J21" s="4">
        <f>J20*0.13</f>
        <v>6870.5</v>
      </c>
      <c r="K21" s="9"/>
      <c r="L21" s="9"/>
      <c r="M21" s="9"/>
    </row>
    <row r="22" spans="1:13" x14ac:dyDescent="0.2">
      <c r="A22" s="1"/>
      <c r="B22" s="99" t="s">
        <v>344</v>
      </c>
      <c r="C22" s="104"/>
      <c r="D22" s="104">
        <f>E27+E28-D23</f>
        <v>59192</v>
      </c>
      <c r="E22" s="104"/>
      <c r="F22" s="2"/>
      <c r="G22" s="9" t="s">
        <v>345</v>
      </c>
      <c r="H22" s="108"/>
      <c r="I22" s="9"/>
      <c r="J22" s="4">
        <f>J20*0.01</f>
        <v>528.5</v>
      </c>
      <c r="K22" s="9"/>
      <c r="L22" s="9"/>
      <c r="M22" s="9"/>
    </row>
    <row r="23" spans="1:13" x14ac:dyDescent="0.2">
      <c r="A23" s="1"/>
      <c r="B23" s="99" t="s">
        <v>346</v>
      </c>
      <c r="C23" s="104"/>
      <c r="D23" s="104">
        <f>E27*0.01</f>
        <v>528.5</v>
      </c>
      <c r="E23" s="104"/>
      <c r="F23" s="2"/>
      <c r="G23" s="9" t="s">
        <v>347</v>
      </c>
      <c r="H23" s="9"/>
      <c r="I23" s="9"/>
      <c r="J23" s="9"/>
      <c r="K23" s="9"/>
      <c r="L23" s="9"/>
      <c r="M23" s="9"/>
    </row>
    <row r="24" spans="1:13" x14ac:dyDescent="0.2">
      <c r="A24" s="1"/>
      <c r="B24" s="1" t="s">
        <v>348</v>
      </c>
      <c r="C24" s="104"/>
      <c r="D24" s="104"/>
      <c r="E24" s="104"/>
      <c r="F24" s="2"/>
      <c r="G24" s="9"/>
      <c r="H24" s="9" t="s">
        <v>349</v>
      </c>
      <c r="I24" s="9" t="s">
        <v>350</v>
      </c>
      <c r="J24" s="9" t="s">
        <v>351</v>
      </c>
      <c r="K24" s="9" t="s">
        <v>352</v>
      </c>
      <c r="L24" s="9"/>
      <c r="M24" s="9"/>
    </row>
    <row r="25" spans="1:13" x14ac:dyDescent="0.2">
      <c r="A25" s="109" t="s">
        <v>353</v>
      </c>
      <c r="B25" s="99" t="s">
        <v>354</v>
      </c>
      <c r="C25" s="104"/>
      <c r="D25" s="104">
        <f>J27</f>
        <v>35000</v>
      </c>
      <c r="E25" s="104"/>
      <c r="F25" s="2"/>
      <c r="G25" s="9" t="s">
        <v>355</v>
      </c>
      <c r="H25" s="9">
        <v>35</v>
      </c>
      <c r="I25" s="4">
        <v>500</v>
      </c>
      <c r="J25" s="4">
        <f>I25*H25</f>
        <v>17500</v>
      </c>
      <c r="K25" s="9" t="s">
        <v>356</v>
      </c>
      <c r="L25" s="9"/>
      <c r="M25" s="9"/>
    </row>
    <row r="26" spans="1:13" ht="17.25" x14ac:dyDescent="0.35">
      <c r="A26" s="109" t="s">
        <v>353</v>
      </c>
      <c r="B26" s="1" t="s">
        <v>357</v>
      </c>
      <c r="C26" s="104"/>
      <c r="D26" s="104"/>
      <c r="E26" s="104">
        <f>J27</f>
        <v>35000</v>
      </c>
      <c r="F26" s="2"/>
      <c r="G26" s="9" t="s">
        <v>339</v>
      </c>
      <c r="H26" s="9">
        <v>28</v>
      </c>
      <c r="I26" s="4">
        <v>625</v>
      </c>
      <c r="J26" s="110">
        <f>I26*H26</f>
        <v>17500</v>
      </c>
      <c r="K26" s="9" t="s">
        <v>358</v>
      </c>
      <c r="L26" s="9"/>
      <c r="M26" s="9"/>
    </row>
    <row r="27" spans="1:13" x14ac:dyDescent="0.2">
      <c r="A27" s="1"/>
      <c r="B27" s="1" t="s">
        <v>359</v>
      </c>
      <c r="C27" s="104"/>
      <c r="D27" s="104"/>
      <c r="E27" s="104">
        <v>52850</v>
      </c>
      <c r="F27" s="2"/>
      <c r="G27" s="9" t="s">
        <v>360</v>
      </c>
      <c r="H27" s="9"/>
      <c r="I27" s="4"/>
      <c r="J27" s="4">
        <f>J25+J26</f>
        <v>35000</v>
      </c>
      <c r="K27" s="9"/>
      <c r="L27" s="9"/>
      <c r="M27" s="9"/>
    </row>
    <row r="28" spans="1:13" x14ac:dyDescent="0.2">
      <c r="A28" s="1"/>
      <c r="B28" s="1" t="s">
        <v>361</v>
      </c>
      <c r="C28" s="104"/>
      <c r="D28" s="104"/>
      <c r="E28" s="104">
        <f>E27*0.13</f>
        <v>6870.5</v>
      </c>
      <c r="F28" s="2"/>
      <c r="G28" s="9"/>
      <c r="H28" s="9"/>
      <c r="I28" s="9"/>
      <c r="J28" s="9"/>
      <c r="K28" s="9"/>
      <c r="L28" s="9"/>
      <c r="M28" s="9"/>
    </row>
    <row r="29" spans="1:13" x14ac:dyDescent="0.2">
      <c r="A29" s="1"/>
      <c r="B29" s="1" t="s">
        <v>362</v>
      </c>
      <c r="C29" s="104"/>
      <c r="D29" s="104"/>
      <c r="E29" s="104"/>
      <c r="F29" s="2"/>
      <c r="G29" s="3" t="s">
        <v>363</v>
      </c>
      <c r="H29" s="9"/>
      <c r="I29" s="9"/>
      <c r="J29" s="9"/>
      <c r="K29" s="9"/>
      <c r="L29" s="9"/>
      <c r="M29" s="9"/>
    </row>
    <row r="30" spans="1:13" x14ac:dyDescent="0.2">
      <c r="A30" s="80">
        <v>43801</v>
      </c>
      <c r="B30" s="1" t="s">
        <v>364</v>
      </c>
      <c r="C30" s="104"/>
      <c r="D30" s="104"/>
      <c r="E30" s="104"/>
      <c r="F30" s="2"/>
      <c r="G30" s="9" t="s">
        <v>337</v>
      </c>
      <c r="H30" s="9">
        <v>45</v>
      </c>
      <c r="I30" s="4">
        <v>500</v>
      </c>
      <c r="J30" s="4">
        <f>H30*I30</f>
        <v>22500</v>
      </c>
      <c r="K30" s="9"/>
      <c r="L30" s="9"/>
      <c r="M30" s="9"/>
    </row>
    <row r="31" spans="1:13" ht="17.25" x14ac:dyDescent="0.35">
      <c r="A31" s="109" t="s">
        <v>365</v>
      </c>
      <c r="B31" s="99" t="s">
        <v>269</v>
      </c>
      <c r="C31" s="104"/>
      <c r="D31" s="104">
        <v>42750</v>
      </c>
      <c r="E31" s="104"/>
      <c r="F31" s="2"/>
      <c r="G31" s="9" t="s">
        <v>366</v>
      </c>
      <c r="H31" s="9">
        <v>45</v>
      </c>
      <c r="I31" s="4">
        <v>450</v>
      </c>
      <c r="J31" s="110">
        <f>H31*I31</f>
        <v>20250</v>
      </c>
      <c r="K31" s="9"/>
      <c r="L31" s="9"/>
      <c r="M31" s="9"/>
    </row>
    <row r="32" spans="1:13" x14ac:dyDescent="0.2">
      <c r="A32" s="1"/>
      <c r="B32" s="99" t="s">
        <v>346</v>
      </c>
      <c r="C32" s="104"/>
      <c r="D32" s="104">
        <f>C33+C34</f>
        <v>5985</v>
      </c>
      <c r="E32" s="104"/>
      <c r="F32" s="2"/>
      <c r="G32" s="9" t="s">
        <v>269</v>
      </c>
      <c r="H32" s="9"/>
      <c r="I32" s="4"/>
      <c r="J32" s="4">
        <f>J30+J31</f>
        <v>42750</v>
      </c>
      <c r="K32" s="9"/>
      <c r="L32" s="9"/>
      <c r="M32" s="9"/>
    </row>
    <row r="33" spans="1:13" x14ac:dyDescent="0.2">
      <c r="A33" s="1"/>
      <c r="B33" s="1" t="s">
        <v>367</v>
      </c>
      <c r="C33" s="104">
        <v>5557.5</v>
      </c>
      <c r="D33" s="104"/>
      <c r="E33" s="104"/>
      <c r="F33" s="2"/>
      <c r="G33" s="9" t="s">
        <v>343</v>
      </c>
      <c r="H33" s="9"/>
      <c r="I33" s="4"/>
      <c r="J33" s="4">
        <f>J32*0.13</f>
        <v>5557.5</v>
      </c>
      <c r="K33" s="9"/>
      <c r="L33" s="9"/>
      <c r="M33" s="9"/>
    </row>
    <row r="34" spans="1:13" ht="17.25" x14ac:dyDescent="0.35">
      <c r="A34" s="1"/>
      <c r="B34" s="1" t="s">
        <v>368</v>
      </c>
      <c r="C34" s="105">
        <v>427.5</v>
      </c>
      <c r="D34" s="104"/>
      <c r="E34" s="104"/>
      <c r="F34" s="2"/>
      <c r="G34" s="9" t="s">
        <v>369</v>
      </c>
      <c r="H34" s="9"/>
      <c r="I34" s="4"/>
      <c r="J34" s="4">
        <f>J32*0.01</f>
        <v>427.5</v>
      </c>
      <c r="K34" s="9"/>
      <c r="L34" s="9"/>
      <c r="M34" s="9"/>
    </row>
    <row r="35" spans="1:13" x14ac:dyDescent="0.2">
      <c r="A35" s="1"/>
      <c r="B35" s="1" t="s">
        <v>370</v>
      </c>
      <c r="C35" s="104"/>
      <c r="D35" s="104"/>
      <c r="E35" s="104">
        <v>24367.5</v>
      </c>
      <c r="F35" s="2"/>
      <c r="G35" s="9" t="s">
        <v>371</v>
      </c>
      <c r="H35" s="9"/>
      <c r="I35" s="9"/>
      <c r="J35" s="4">
        <f>(J32+J33+J34)*0.5</f>
        <v>24367.5</v>
      </c>
      <c r="K35" s="9"/>
      <c r="L35" s="9"/>
      <c r="M35" s="9"/>
    </row>
    <row r="36" spans="1:13" x14ac:dyDescent="0.2">
      <c r="A36" s="1"/>
      <c r="B36" s="1" t="s">
        <v>372</v>
      </c>
      <c r="C36" s="104"/>
      <c r="D36" s="104"/>
      <c r="E36" s="104">
        <v>24367.5</v>
      </c>
      <c r="F36" s="9"/>
      <c r="G36" s="9" t="s">
        <v>373</v>
      </c>
      <c r="H36" s="9"/>
      <c r="I36" s="9"/>
      <c r="J36" s="4">
        <f>(J32+J33+J34)*0.5</f>
        <v>24367.5</v>
      </c>
      <c r="K36" s="9"/>
      <c r="L36" s="9"/>
      <c r="M36" s="9"/>
    </row>
    <row r="37" spans="1:13" x14ac:dyDescent="0.2">
      <c r="A37" s="1"/>
      <c r="B37" s="1" t="s">
        <v>374</v>
      </c>
      <c r="C37" s="104"/>
      <c r="D37" s="104"/>
      <c r="E37" s="104"/>
      <c r="F37" s="9"/>
      <c r="G37" s="9"/>
      <c r="H37" s="9"/>
      <c r="I37" s="9"/>
      <c r="J37" s="9"/>
      <c r="K37" s="9"/>
      <c r="L37" s="9"/>
      <c r="M37" s="9"/>
    </row>
    <row r="38" spans="1:13" x14ac:dyDescent="0.2">
      <c r="A38" s="80">
        <v>43802</v>
      </c>
      <c r="B38" s="1" t="s">
        <v>375</v>
      </c>
      <c r="C38" s="104"/>
      <c r="D38" s="104"/>
      <c r="E38" s="104"/>
      <c r="F38" s="9"/>
      <c r="G38" s="3" t="s">
        <v>376</v>
      </c>
      <c r="H38" s="9"/>
      <c r="I38" s="9"/>
      <c r="J38" s="9"/>
      <c r="K38" s="9"/>
      <c r="L38" s="9"/>
      <c r="M38" s="9"/>
    </row>
    <row r="39" spans="1:13" x14ac:dyDescent="0.2">
      <c r="A39" s="109" t="s">
        <v>377</v>
      </c>
      <c r="B39" s="99" t="s">
        <v>269</v>
      </c>
      <c r="C39" s="104"/>
      <c r="D39" s="104">
        <v>500</v>
      </c>
      <c r="E39" s="104"/>
      <c r="F39" s="9"/>
      <c r="G39" s="9" t="s">
        <v>378</v>
      </c>
      <c r="H39" s="9"/>
      <c r="I39" s="4">
        <v>500</v>
      </c>
      <c r="J39" s="4"/>
      <c r="K39" s="9"/>
      <c r="L39" s="9"/>
      <c r="M39" s="9"/>
    </row>
    <row r="40" spans="1:13" x14ac:dyDescent="0.2">
      <c r="A40" s="1"/>
      <c r="B40" s="1" t="s">
        <v>379</v>
      </c>
      <c r="C40" s="104"/>
      <c r="D40" s="104"/>
      <c r="E40" s="104"/>
      <c r="F40" s="9"/>
      <c r="G40" s="9" t="s">
        <v>380</v>
      </c>
      <c r="H40" s="9"/>
      <c r="I40" s="4">
        <f>I39*0.13</f>
        <v>65</v>
      </c>
      <c r="J40" s="4"/>
      <c r="K40" s="9"/>
      <c r="L40" s="9"/>
      <c r="M40" s="9"/>
    </row>
    <row r="41" spans="1:13" x14ac:dyDescent="0.2">
      <c r="A41" s="1"/>
      <c r="B41" s="99" t="s">
        <v>346</v>
      </c>
      <c r="C41" s="104"/>
      <c r="D41" s="104">
        <v>65</v>
      </c>
      <c r="E41" s="104"/>
      <c r="F41" s="9"/>
      <c r="G41" s="9" t="s">
        <v>381</v>
      </c>
      <c r="H41" s="9"/>
      <c r="I41" s="4">
        <f>I39*0.1</f>
        <v>50</v>
      </c>
      <c r="J41" s="4"/>
      <c r="K41" s="9"/>
      <c r="L41" s="9"/>
      <c r="M41" s="9"/>
    </row>
    <row r="42" spans="1:13" x14ac:dyDescent="0.2">
      <c r="A42" s="1"/>
      <c r="B42" s="1" t="s">
        <v>367</v>
      </c>
      <c r="C42" s="104"/>
      <c r="D42" s="104"/>
      <c r="E42" s="104"/>
      <c r="F42" s="9"/>
      <c r="G42" s="9"/>
      <c r="H42" s="9"/>
      <c r="I42" s="4"/>
      <c r="J42" s="4"/>
      <c r="K42" s="9"/>
      <c r="L42" s="9"/>
      <c r="M42" s="9"/>
    </row>
    <row r="43" spans="1:13" x14ac:dyDescent="0.2">
      <c r="A43" s="1"/>
      <c r="B43" s="1" t="s">
        <v>382</v>
      </c>
      <c r="C43" s="104"/>
      <c r="D43" s="104"/>
      <c r="E43" s="104">
        <v>450</v>
      </c>
      <c r="F43" s="9"/>
      <c r="G43" s="3" t="s">
        <v>570</v>
      </c>
      <c r="H43" s="9"/>
      <c r="I43" s="4"/>
      <c r="J43" s="4"/>
      <c r="K43" s="9"/>
      <c r="L43" s="9"/>
      <c r="M43" s="9"/>
    </row>
    <row r="44" spans="1:13" x14ac:dyDescent="0.2">
      <c r="A44" s="1"/>
      <c r="B44" s="1" t="s">
        <v>383</v>
      </c>
      <c r="C44" s="104"/>
      <c r="D44" s="104"/>
      <c r="E44" s="104">
        <f>C45+C46</f>
        <v>115</v>
      </c>
      <c r="F44" s="9"/>
      <c r="G44" s="3"/>
      <c r="H44" s="9"/>
      <c r="I44" s="4"/>
      <c r="J44" s="4"/>
      <c r="K44" s="9"/>
      <c r="L44" s="9"/>
      <c r="M44" s="9"/>
    </row>
    <row r="45" spans="1:13" x14ac:dyDescent="0.2">
      <c r="A45" s="1"/>
      <c r="B45" s="1" t="s">
        <v>384</v>
      </c>
      <c r="C45" s="104">
        <v>65</v>
      </c>
      <c r="D45" s="104"/>
      <c r="E45" s="104"/>
      <c r="F45" s="9"/>
      <c r="G45" s="9"/>
      <c r="H45" s="9"/>
      <c r="I45" s="4"/>
      <c r="J45" s="4"/>
      <c r="K45" s="9"/>
      <c r="L45" s="9"/>
      <c r="M45" s="9"/>
    </row>
    <row r="46" spans="1:13" ht="17.25" x14ac:dyDescent="0.35">
      <c r="A46" s="1"/>
      <c r="B46" s="1" t="s">
        <v>385</v>
      </c>
      <c r="C46" s="105">
        <v>50</v>
      </c>
      <c r="D46" s="104"/>
      <c r="E46" s="104"/>
      <c r="F46" s="9"/>
      <c r="G46" s="9"/>
      <c r="H46" s="9"/>
      <c r="I46" s="7"/>
      <c r="J46" s="9"/>
      <c r="K46" s="9"/>
      <c r="L46" s="9"/>
      <c r="M46" s="9"/>
    </row>
    <row r="47" spans="1:13" x14ac:dyDescent="0.2">
      <c r="A47" s="1"/>
      <c r="B47" s="1" t="s">
        <v>386</v>
      </c>
      <c r="C47" s="104"/>
      <c r="D47" s="104"/>
      <c r="E47" s="104"/>
      <c r="F47" s="9"/>
      <c r="G47" s="9"/>
      <c r="H47" s="9"/>
      <c r="I47" s="6"/>
      <c r="J47" s="9"/>
      <c r="K47" s="9"/>
      <c r="L47" s="9"/>
      <c r="M47" s="9"/>
    </row>
    <row r="48" spans="1:13" x14ac:dyDescent="0.2">
      <c r="A48" s="80">
        <v>43802</v>
      </c>
      <c r="B48" s="1" t="s">
        <v>387</v>
      </c>
      <c r="C48" s="104"/>
      <c r="D48" s="104"/>
      <c r="E48" s="104"/>
      <c r="F48" s="9"/>
      <c r="G48" s="9"/>
      <c r="H48" s="9"/>
      <c r="I48" s="9"/>
      <c r="J48" s="9"/>
      <c r="K48" s="9"/>
      <c r="L48" s="9"/>
      <c r="M48" s="9"/>
    </row>
    <row r="49" spans="1:13" x14ac:dyDescent="0.2">
      <c r="A49" s="1"/>
      <c r="B49" s="99" t="s">
        <v>234</v>
      </c>
      <c r="C49" s="104"/>
      <c r="D49" s="104">
        <v>1500</v>
      </c>
      <c r="E49" s="104"/>
      <c r="F49" s="9"/>
      <c r="G49" s="9"/>
      <c r="H49" s="9"/>
      <c r="I49" s="9"/>
      <c r="J49" s="9"/>
      <c r="K49" s="9"/>
      <c r="L49" s="9"/>
      <c r="M49" s="9"/>
    </row>
    <row r="50" spans="1:13" x14ac:dyDescent="0.2">
      <c r="A50" s="1"/>
      <c r="B50" s="1" t="s">
        <v>388</v>
      </c>
      <c r="C50" s="104"/>
      <c r="D50" s="104"/>
      <c r="E50" s="104"/>
      <c r="F50" s="9"/>
      <c r="G50" s="3" t="s">
        <v>389</v>
      </c>
      <c r="H50" s="9"/>
      <c r="I50" s="9"/>
      <c r="J50" s="9"/>
      <c r="K50" s="9"/>
      <c r="L50" s="9"/>
      <c r="M50" s="9"/>
    </row>
    <row r="51" spans="1:13" x14ac:dyDescent="0.2">
      <c r="A51" s="1"/>
      <c r="B51" s="99" t="s">
        <v>390</v>
      </c>
      <c r="C51" s="104"/>
      <c r="D51" s="104">
        <v>195</v>
      </c>
      <c r="E51" s="104"/>
      <c r="F51" s="9"/>
      <c r="G51" s="9" t="s">
        <v>391</v>
      </c>
      <c r="H51" s="9"/>
      <c r="I51" s="4">
        <v>999</v>
      </c>
      <c r="J51" s="9"/>
      <c r="K51" s="9"/>
      <c r="L51" s="9"/>
      <c r="M51" s="9"/>
    </row>
    <row r="52" spans="1:13" x14ac:dyDescent="0.2">
      <c r="A52" s="1"/>
      <c r="B52" s="1" t="s">
        <v>392</v>
      </c>
      <c r="C52" s="104"/>
      <c r="D52" s="104"/>
      <c r="E52" s="104"/>
      <c r="F52" s="9"/>
      <c r="G52" s="9" t="s">
        <v>343</v>
      </c>
      <c r="H52" s="9"/>
      <c r="I52" s="4">
        <f>I51*0.13</f>
        <v>129.87</v>
      </c>
      <c r="J52" s="9"/>
      <c r="K52" s="9"/>
      <c r="L52" s="9"/>
      <c r="M52" s="9"/>
    </row>
    <row r="53" spans="1:13" x14ac:dyDescent="0.2">
      <c r="A53" s="1"/>
      <c r="B53" s="1" t="s">
        <v>393</v>
      </c>
      <c r="C53" s="104"/>
      <c r="D53" s="104"/>
      <c r="E53" s="104">
        <f>D49+D51</f>
        <v>1695</v>
      </c>
      <c r="F53" s="9"/>
      <c r="G53" s="9" t="s">
        <v>394</v>
      </c>
      <c r="H53" s="9"/>
      <c r="I53" s="4">
        <f>I51+I52</f>
        <v>1128.8699999999999</v>
      </c>
      <c r="J53" s="9"/>
      <c r="K53" s="9"/>
      <c r="L53" s="9"/>
      <c r="M53" s="9"/>
    </row>
    <row r="54" spans="1:13" x14ac:dyDescent="0.2">
      <c r="A54" s="1"/>
      <c r="B54" s="1" t="s">
        <v>395</v>
      </c>
      <c r="C54" s="104"/>
      <c r="D54" s="104"/>
      <c r="E54" s="104"/>
      <c r="F54" s="9"/>
      <c r="G54" s="9"/>
      <c r="H54" s="9"/>
      <c r="I54" s="9"/>
      <c r="J54" s="9"/>
      <c r="K54" s="9"/>
      <c r="L54" s="9"/>
      <c r="M54" s="9"/>
    </row>
    <row r="55" spans="1:13" x14ac:dyDescent="0.2">
      <c r="A55" s="80">
        <v>43803</v>
      </c>
      <c r="B55" s="1" t="s">
        <v>396</v>
      </c>
      <c r="C55" s="104"/>
      <c r="D55" s="104"/>
      <c r="E55" s="104"/>
      <c r="F55" s="9"/>
      <c r="G55" s="9"/>
      <c r="H55" s="9"/>
      <c r="I55" s="9"/>
      <c r="J55" s="9"/>
      <c r="K55" s="9"/>
      <c r="L55" s="9"/>
      <c r="M55" s="9"/>
    </row>
    <row r="56" spans="1:13" x14ac:dyDescent="0.2">
      <c r="A56" s="1"/>
      <c r="B56" s="99" t="s">
        <v>397</v>
      </c>
      <c r="C56" s="104"/>
      <c r="D56" s="104">
        <v>999</v>
      </c>
      <c r="E56" s="104"/>
      <c r="F56" s="9"/>
      <c r="G56" s="3" t="s">
        <v>398</v>
      </c>
      <c r="H56" s="9"/>
      <c r="I56" s="9"/>
      <c r="J56" s="9"/>
      <c r="K56" s="9"/>
      <c r="L56" s="9"/>
      <c r="M56" s="9"/>
    </row>
    <row r="57" spans="1:13" x14ac:dyDescent="0.2">
      <c r="A57" s="1"/>
      <c r="B57" s="1" t="s">
        <v>399</v>
      </c>
      <c r="C57" s="104"/>
      <c r="D57" s="104"/>
      <c r="E57" s="104"/>
      <c r="F57" s="9"/>
      <c r="G57" s="9" t="s">
        <v>400</v>
      </c>
      <c r="H57" s="9"/>
      <c r="I57" s="9"/>
      <c r="J57" s="9" t="s">
        <v>401</v>
      </c>
      <c r="K57" s="9"/>
      <c r="L57" s="9"/>
      <c r="M57" s="9"/>
    </row>
    <row r="58" spans="1:13" x14ac:dyDescent="0.2">
      <c r="A58" s="1"/>
      <c r="B58" s="99" t="s">
        <v>390</v>
      </c>
      <c r="C58" s="104"/>
      <c r="D58" s="104">
        <v>129.87</v>
      </c>
      <c r="E58" s="104"/>
      <c r="F58" s="9"/>
      <c r="G58" s="9" t="s">
        <v>337</v>
      </c>
      <c r="H58" s="9">
        <v>10</v>
      </c>
      <c r="I58" s="4">
        <f>H58*810</f>
        <v>8100</v>
      </c>
      <c r="J58" s="111">
        <f>H58*500</f>
        <v>5000</v>
      </c>
      <c r="K58" s="112" t="s">
        <v>402</v>
      </c>
      <c r="L58" s="112"/>
      <c r="M58" s="9"/>
    </row>
    <row r="59" spans="1:13" x14ac:dyDescent="0.2">
      <c r="A59" s="1"/>
      <c r="B59" s="1" t="s">
        <v>403</v>
      </c>
      <c r="C59" s="104"/>
      <c r="D59" s="104"/>
      <c r="E59" s="104"/>
      <c r="F59" s="9"/>
      <c r="G59" s="9" t="s">
        <v>343</v>
      </c>
      <c r="H59" s="9"/>
      <c r="I59" s="4">
        <f>I58*0.13</f>
        <v>1053</v>
      </c>
      <c r="J59" s="113"/>
      <c r="K59" s="112" t="s">
        <v>404</v>
      </c>
      <c r="L59" s="9"/>
      <c r="M59" s="9"/>
    </row>
    <row r="60" spans="1:13" x14ac:dyDescent="0.2">
      <c r="A60" s="1"/>
      <c r="B60" s="1" t="s">
        <v>405</v>
      </c>
      <c r="C60" s="104"/>
      <c r="D60" s="104"/>
      <c r="E60" s="104">
        <v>1128.8699999999999</v>
      </c>
      <c r="F60" s="9"/>
      <c r="G60" s="9" t="s">
        <v>569</v>
      </c>
      <c r="H60" s="9"/>
      <c r="I60" s="4">
        <f>I58*0.01</f>
        <v>81</v>
      </c>
      <c r="J60" s="113"/>
      <c r="K60" s="112" t="s">
        <v>407</v>
      </c>
      <c r="L60" s="9"/>
      <c r="M60" s="9"/>
    </row>
    <row r="61" spans="1:13" x14ac:dyDescent="0.2">
      <c r="A61" s="80">
        <v>43804</v>
      </c>
      <c r="B61" s="1" t="s">
        <v>408</v>
      </c>
      <c r="C61" s="104"/>
      <c r="D61" s="104"/>
      <c r="E61" s="104"/>
      <c r="F61" s="9"/>
      <c r="G61" s="9" t="s">
        <v>400</v>
      </c>
      <c r="H61" s="9"/>
      <c r="I61" s="4"/>
      <c r="J61" s="113"/>
      <c r="K61" s="9"/>
      <c r="L61" s="9"/>
      <c r="M61" s="9"/>
    </row>
    <row r="62" spans="1:13" x14ac:dyDescent="0.2">
      <c r="A62" s="80"/>
      <c r="B62" s="99" t="s">
        <v>269</v>
      </c>
      <c r="C62" s="104"/>
      <c r="D62" s="104">
        <f>J66</f>
        <v>8750</v>
      </c>
      <c r="E62" s="104"/>
      <c r="F62" s="9"/>
      <c r="G62" s="9"/>
      <c r="H62" s="9"/>
      <c r="I62" s="4"/>
      <c r="J62" s="113"/>
      <c r="K62" s="9"/>
      <c r="L62" s="9"/>
      <c r="M62" s="9"/>
    </row>
    <row r="63" spans="1:13" x14ac:dyDescent="0.2">
      <c r="A63" s="114" t="s">
        <v>409</v>
      </c>
      <c r="B63" s="99" t="s">
        <v>126</v>
      </c>
      <c r="C63" s="104"/>
      <c r="D63" s="104">
        <v>13350</v>
      </c>
      <c r="E63" s="104"/>
      <c r="F63" s="9"/>
      <c r="G63" s="9" t="s">
        <v>366</v>
      </c>
      <c r="H63" s="9">
        <v>6</v>
      </c>
      <c r="I63" s="4">
        <f>H63*875</f>
        <v>5250</v>
      </c>
      <c r="J63" s="4">
        <f>H63*625</f>
        <v>3750</v>
      </c>
      <c r="K63" s="9"/>
      <c r="L63" s="9"/>
      <c r="M63" s="9"/>
    </row>
    <row r="64" spans="1:13" x14ac:dyDescent="0.2">
      <c r="A64" s="1"/>
      <c r="B64" s="99" t="s">
        <v>2</v>
      </c>
      <c r="C64" s="104"/>
      <c r="D64" s="104">
        <v>1735.5</v>
      </c>
      <c r="E64" s="104"/>
      <c r="F64" s="9"/>
      <c r="G64" s="9" t="s">
        <v>343</v>
      </c>
      <c r="H64" s="9"/>
      <c r="I64" s="4">
        <f>I63*0.13</f>
        <v>682.5</v>
      </c>
      <c r="J64" s="4"/>
      <c r="K64" s="9"/>
      <c r="L64" s="9"/>
      <c r="M64" s="9"/>
    </row>
    <row r="65" spans="1:13" x14ac:dyDescent="0.2">
      <c r="A65" s="1"/>
      <c r="B65" s="99" t="s">
        <v>410</v>
      </c>
      <c r="C65" s="104"/>
      <c r="D65" s="104"/>
      <c r="E65" s="104">
        <v>14952</v>
      </c>
      <c r="F65" s="9"/>
      <c r="G65" s="9" t="s">
        <v>406</v>
      </c>
      <c r="H65" s="9"/>
      <c r="I65" s="4">
        <f>I63*0.01</f>
        <v>52.5</v>
      </c>
      <c r="J65" s="4"/>
      <c r="K65" s="9"/>
      <c r="L65" s="9"/>
      <c r="M65" s="9"/>
    </row>
    <row r="66" spans="1:13" x14ac:dyDescent="0.2">
      <c r="A66" s="1"/>
      <c r="B66" s="99" t="s">
        <v>411</v>
      </c>
      <c r="C66" s="104"/>
      <c r="D66" s="104"/>
      <c r="E66" s="104">
        <v>133.5</v>
      </c>
      <c r="F66" s="9"/>
      <c r="G66" s="3" t="s">
        <v>412</v>
      </c>
      <c r="H66" s="3"/>
      <c r="I66" s="22">
        <f>I58+I63</f>
        <v>13350</v>
      </c>
      <c r="J66" s="22">
        <f>J58+J63</f>
        <v>8750</v>
      </c>
      <c r="K66" s="9"/>
      <c r="L66" s="9"/>
      <c r="M66" s="9"/>
    </row>
    <row r="67" spans="1:13" x14ac:dyDescent="0.2">
      <c r="A67" s="1"/>
      <c r="B67" s="1" t="s">
        <v>413</v>
      </c>
      <c r="C67" s="104"/>
      <c r="D67" s="104"/>
      <c r="E67" s="104"/>
      <c r="F67" s="9"/>
      <c r="G67" s="9" t="s">
        <v>414</v>
      </c>
      <c r="H67" s="9"/>
      <c r="I67" s="9"/>
      <c r="J67" s="9"/>
      <c r="K67" s="9"/>
      <c r="L67" s="9"/>
      <c r="M67" s="9"/>
    </row>
    <row r="68" spans="1:13" x14ac:dyDescent="0.2">
      <c r="A68" s="1"/>
      <c r="B68" s="1" t="s">
        <v>415</v>
      </c>
      <c r="C68" s="104"/>
      <c r="D68" s="104"/>
      <c r="E68" s="104">
        <v>8750</v>
      </c>
      <c r="F68" s="9"/>
      <c r="G68" s="9"/>
      <c r="H68" s="9"/>
      <c r="I68" s="9"/>
      <c r="J68" s="9"/>
      <c r="K68" s="9"/>
      <c r="L68" s="9"/>
      <c r="M68" s="9"/>
    </row>
    <row r="69" spans="1:13" x14ac:dyDescent="0.2">
      <c r="A69" s="1"/>
      <c r="B69" s="1" t="s">
        <v>416</v>
      </c>
      <c r="C69" s="104"/>
      <c r="D69" s="104"/>
      <c r="E69" s="104"/>
      <c r="F69" s="9"/>
      <c r="G69" s="9" t="s">
        <v>417</v>
      </c>
      <c r="H69" s="9"/>
      <c r="I69" s="6">
        <f>I58+I63</f>
        <v>13350</v>
      </c>
      <c r="J69" s="9"/>
      <c r="K69" s="9"/>
      <c r="L69" s="9"/>
      <c r="M69" s="9"/>
    </row>
    <row r="70" spans="1:13" x14ac:dyDescent="0.2">
      <c r="A70" s="80">
        <v>43809</v>
      </c>
      <c r="B70" s="1" t="s">
        <v>418</v>
      </c>
      <c r="C70" s="104"/>
      <c r="D70" s="104"/>
      <c r="E70" s="104"/>
      <c r="F70" s="9"/>
      <c r="G70" s="9" t="s">
        <v>419</v>
      </c>
      <c r="H70" s="9"/>
      <c r="I70" s="6">
        <f>I59+I64</f>
        <v>1735.5</v>
      </c>
      <c r="J70" s="9"/>
      <c r="K70" s="9"/>
      <c r="L70" s="9"/>
      <c r="M70" s="9"/>
    </row>
    <row r="71" spans="1:13" x14ac:dyDescent="0.2">
      <c r="A71" s="1"/>
      <c r="B71" s="99" t="s">
        <v>316</v>
      </c>
      <c r="C71" s="104"/>
      <c r="D71" s="104">
        <f>E74+E75</f>
        <v>24429.15</v>
      </c>
      <c r="E71" s="104"/>
      <c r="F71" s="9"/>
      <c r="G71" s="9" t="s">
        <v>420</v>
      </c>
      <c r="H71" s="9"/>
      <c r="I71" s="6">
        <f>I60+I65</f>
        <v>133.5</v>
      </c>
      <c r="J71" s="9"/>
      <c r="K71" s="9"/>
      <c r="L71" s="9"/>
      <c r="M71" s="9"/>
    </row>
    <row r="72" spans="1:13" x14ac:dyDescent="0.2">
      <c r="A72" s="1"/>
      <c r="B72" s="99" t="s">
        <v>278</v>
      </c>
      <c r="C72" s="104"/>
      <c r="D72" s="104">
        <f>I82</f>
        <v>13511.7</v>
      </c>
      <c r="E72" s="104"/>
      <c r="F72" s="9"/>
      <c r="G72" s="9" t="s">
        <v>421</v>
      </c>
      <c r="H72" s="9"/>
      <c r="I72" s="6">
        <v>14952</v>
      </c>
      <c r="J72" s="9"/>
      <c r="K72" s="9"/>
      <c r="L72" s="9"/>
      <c r="M72" s="9"/>
    </row>
    <row r="73" spans="1:13" x14ac:dyDescent="0.2">
      <c r="A73" s="1"/>
      <c r="B73" s="99" t="s">
        <v>422</v>
      </c>
      <c r="C73" s="104"/>
      <c r="D73" s="104"/>
      <c r="E73" s="104">
        <f>I82</f>
        <v>13511.7</v>
      </c>
      <c r="F73" s="9"/>
      <c r="G73" s="9"/>
      <c r="H73" s="9"/>
      <c r="I73" s="6"/>
      <c r="J73" s="9"/>
      <c r="K73" s="9"/>
      <c r="L73" s="9"/>
      <c r="M73" s="9"/>
    </row>
    <row r="74" spans="1:13" x14ac:dyDescent="0.2">
      <c r="A74" s="1"/>
      <c r="B74" s="99" t="s">
        <v>423</v>
      </c>
      <c r="C74" s="104"/>
      <c r="D74" s="104"/>
      <c r="E74" s="104">
        <v>21618.720000000001</v>
      </c>
      <c r="F74" s="9"/>
      <c r="G74" s="9"/>
      <c r="H74" s="9"/>
      <c r="I74" s="6"/>
      <c r="J74" s="9"/>
      <c r="K74" s="9"/>
      <c r="L74" s="9"/>
      <c r="M74" s="9"/>
    </row>
    <row r="75" spans="1:13" x14ac:dyDescent="0.2">
      <c r="A75" s="1"/>
      <c r="B75" s="99" t="s">
        <v>424</v>
      </c>
      <c r="C75" s="104"/>
      <c r="D75" s="104"/>
      <c r="E75" s="104">
        <v>2810.43</v>
      </c>
      <c r="F75" s="9"/>
      <c r="G75" s="115" t="s">
        <v>425</v>
      </c>
      <c r="H75" s="9"/>
      <c r="I75" s="9"/>
      <c r="J75" s="9"/>
      <c r="K75" s="9"/>
      <c r="L75" s="9"/>
      <c r="M75" s="9"/>
    </row>
    <row r="76" spans="1:13" x14ac:dyDescent="0.2">
      <c r="A76" s="1"/>
      <c r="B76" s="1" t="s">
        <v>426</v>
      </c>
      <c r="C76" s="104"/>
      <c r="D76" s="104"/>
      <c r="E76" s="104"/>
      <c r="F76" s="9"/>
      <c r="G76" s="9" t="s">
        <v>427</v>
      </c>
      <c r="H76" s="9"/>
      <c r="I76" s="9"/>
      <c r="J76" s="9"/>
      <c r="K76" s="9"/>
      <c r="L76" s="9"/>
      <c r="M76" s="9"/>
    </row>
    <row r="77" spans="1:13" x14ac:dyDescent="0.2">
      <c r="A77" s="80">
        <v>43811</v>
      </c>
      <c r="B77" s="1" t="s">
        <v>428</v>
      </c>
      <c r="C77" s="104"/>
      <c r="D77" s="104"/>
      <c r="E77" s="104"/>
      <c r="F77" s="9"/>
      <c r="G77" s="3" t="s">
        <v>429</v>
      </c>
      <c r="H77" s="9"/>
      <c r="I77" s="9"/>
      <c r="J77" s="9"/>
      <c r="K77" s="9"/>
      <c r="L77" s="9"/>
      <c r="M77" s="9"/>
    </row>
    <row r="78" spans="1:13" x14ac:dyDescent="0.2">
      <c r="A78" s="80"/>
      <c r="B78" s="99" t="s">
        <v>4</v>
      </c>
      <c r="C78" s="116"/>
      <c r="D78" s="116">
        <v>500</v>
      </c>
      <c r="E78" s="116"/>
      <c r="F78" s="9"/>
      <c r="G78" s="9" t="s">
        <v>430</v>
      </c>
      <c r="H78" s="9">
        <v>25</v>
      </c>
      <c r="I78" s="4">
        <f>H78*800</f>
        <v>20000</v>
      </c>
      <c r="J78" s="9"/>
      <c r="K78" s="9"/>
      <c r="L78" s="9"/>
      <c r="M78" s="9"/>
    </row>
    <row r="79" spans="1:13" x14ac:dyDescent="0.2">
      <c r="A79" s="80"/>
      <c r="B79" s="1" t="s">
        <v>431</v>
      </c>
      <c r="C79" s="116"/>
      <c r="D79" s="116"/>
      <c r="E79" s="116"/>
      <c r="F79" s="9"/>
      <c r="G79" s="9" t="s">
        <v>432</v>
      </c>
      <c r="H79" s="9">
        <v>2</v>
      </c>
      <c r="I79" s="4">
        <f>H79*809.36</f>
        <v>1618.72</v>
      </c>
      <c r="J79" s="9"/>
      <c r="K79" s="9"/>
      <c r="L79" s="9"/>
      <c r="M79" s="9"/>
    </row>
    <row r="80" spans="1:13" x14ac:dyDescent="0.2">
      <c r="A80" s="1"/>
      <c r="B80" s="99" t="s">
        <v>184</v>
      </c>
      <c r="C80" s="116"/>
      <c r="D80" s="116">
        <v>334.5</v>
      </c>
      <c r="E80" s="116"/>
      <c r="F80" s="9"/>
      <c r="G80" s="9" t="s">
        <v>433</v>
      </c>
      <c r="H80" s="9"/>
      <c r="I80" s="4">
        <f>I78+I79</f>
        <v>21618.720000000001</v>
      </c>
      <c r="J80" s="9"/>
      <c r="K80" s="9"/>
      <c r="L80" s="9"/>
      <c r="M80" s="9"/>
    </row>
    <row r="81" spans="1:13" x14ac:dyDescent="0.2">
      <c r="A81" s="1"/>
      <c r="B81" s="1" t="s">
        <v>434</v>
      </c>
      <c r="C81" s="116"/>
      <c r="D81" s="116"/>
      <c r="E81" s="116"/>
      <c r="F81" s="9"/>
      <c r="G81" s="9" t="s">
        <v>343</v>
      </c>
      <c r="H81" s="9"/>
      <c r="I81" s="4">
        <f>I80*0.13</f>
        <v>2810.4336000000003</v>
      </c>
      <c r="J81" s="9"/>
      <c r="K81" s="9"/>
      <c r="L81" s="9"/>
      <c r="M81" s="9"/>
    </row>
    <row r="82" spans="1:13" x14ac:dyDescent="0.2">
      <c r="A82" s="1"/>
      <c r="B82" s="1" t="s">
        <v>435</v>
      </c>
      <c r="C82" s="116"/>
      <c r="D82" s="116"/>
      <c r="E82" s="116">
        <f>D78+D80</f>
        <v>834.5</v>
      </c>
      <c r="F82" s="9"/>
      <c r="G82" s="9" t="s">
        <v>436</v>
      </c>
      <c r="H82" s="9"/>
      <c r="I82" s="4">
        <v>13511.7</v>
      </c>
      <c r="J82" s="9"/>
      <c r="K82" s="9"/>
      <c r="L82" s="9"/>
      <c r="M82" s="9"/>
    </row>
    <row r="83" spans="1:13" x14ac:dyDescent="0.2">
      <c r="A83" s="1"/>
      <c r="B83" s="1" t="s">
        <v>437</v>
      </c>
      <c r="C83" s="116"/>
      <c r="D83" s="116"/>
      <c r="E83" s="116"/>
      <c r="F83" s="9"/>
      <c r="G83" s="9" t="s">
        <v>438</v>
      </c>
      <c r="H83" s="9"/>
      <c r="I83" s="9"/>
      <c r="J83" s="9"/>
      <c r="K83" s="9"/>
      <c r="L83" s="9"/>
      <c r="M83" s="9"/>
    </row>
    <row r="84" spans="1:13" x14ac:dyDescent="0.2">
      <c r="A84" s="80">
        <v>43814</v>
      </c>
      <c r="B84" s="1" t="s">
        <v>439</v>
      </c>
      <c r="C84" s="104"/>
      <c r="D84" s="104"/>
      <c r="E84" s="104"/>
      <c r="F84" s="9"/>
      <c r="G84" s="3" t="s">
        <v>440</v>
      </c>
      <c r="H84" s="9"/>
      <c r="I84" s="9"/>
      <c r="J84" s="9"/>
      <c r="K84" s="9"/>
      <c r="L84" s="9"/>
      <c r="M84" s="9"/>
    </row>
    <row r="85" spans="1:13" x14ac:dyDescent="0.2">
      <c r="A85" s="1"/>
      <c r="B85" s="99" t="s">
        <v>441</v>
      </c>
      <c r="C85" s="104"/>
      <c r="D85" s="104">
        <v>6840</v>
      </c>
      <c r="E85" s="104"/>
      <c r="F85" s="9"/>
      <c r="G85" s="9" t="s">
        <v>442</v>
      </c>
      <c r="H85" s="9"/>
      <c r="I85" s="9"/>
      <c r="J85" s="9"/>
      <c r="K85" s="9"/>
      <c r="L85" s="9"/>
      <c r="M85" s="9"/>
    </row>
    <row r="86" spans="1:13" x14ac:dyDescent="0.2">
      <c r="A86" s="114" t="s">
        <v>443</v>
      </c>
      <c r="B86" s="1" t="s">
        <v>444</v>
      </c>
      <c r="C86" s="104"/>
      <c r="D86" s="104"/>
      <c r="E86" s="104">
        <v>6000</v>
      </c>
      <c r="F86" s="9"/>
      <c r="G86" s="9" t="s">
        <v>445</v>
      </c>
      <c r="H86" s="9"/>
      <c r="I86" s="9"/>
      <c r="J86" s="9"/>
      <c r="K86" s="9"/>
      <c r="L86" s="9"/>
      <c r="M86" s="9"/>
    </row>
    <row r="87" spans="1:13" x14ac:dyDescent="0.2">
      <c r="A87" s="1"/>
      <c r="B87" s="1" t="s">
        <v>446</v>
      </c>
      <c r="C87" s="104"/>
      <c r="D87" s="104"/>
      <c r="E87" s="104">
        <f>C88+C89</f>
        <v>840</v>
      </c>
      <c r="F87" s="9"/>
      <c r="G87" s="9" t="s">
        <v>447</v>
      </c>
      <c r="H87" s="9"/>
      <c r="I87" s="9"/>
      <c r="J87" s="9"/>
      <c r="K87" s="9"/>
      <c r="L87" s="9"/>
      <c r="M87" s="9"/>
    </row>
    <row r="88" spans="1:13" x14ac:dyDescent="0.2">
      <c r="A88" s="1"/>
      <c r="B88" s="1" t="s">
        <v>448</v>
      </c>
      <c r="C88" s="104">
        <v>780</v>
      </c>
      <c r="D88" s="104"/>
      <c r="E88" s="104"/>
      <c r="F88" s="9"/>
      <c r="G88" s="9" t="s">
        <v>449</v>
      </c>
      <c r="H88" s="9"/>
      <c r="I88" s="9"/>
      <c r="J88" s="9"/>
      <c r="K88" s="9"/>
      <c r="L88" s="9"/>
      <c r="M88" s="9"/>
    </row>
    <row r="89" spans="1:13" ht="17.25" x14ac:dyDescent="0.35">
      <c r="A89" s="1"/>
      <c r="B89" s="1" t="s">
        <v>450</v>
      </c>
      <c r="C89" s="105">
        <v>60</v>
      </c>
      <c r="D89" s="104"/>
      <c r="E89" s="104"/>
      <c r="F89" s="9"/>
      <c r="G89" s="9"/>
      <c r="H89" s="9"/>
      <c r="I89" s="4"/>
      <c r="J89" s="9"/>
      <c r="K89" s="9"/>
      <c r="L89" s="9"/>
      <c r="M89" s="9"/>
    </row>
    <row r="90" spans="1:13" x14ac:dyDescent="0.2">
      <c r="A90" s="1"/>
      <c r="B90" s="1" t="s">
        <v>451</v>
      </c>
      <c r="C90" s="104"/>
      <c r="D90" s="104"/>
      <c r="E90" s="104"/>
      <c r="F90" s="9"/>
      <c r="G90" s="3" t="s">
        <v>452</v>
      </c>
      <c r="H90" s="9"/>
      <c r="I90" s="4"/>
      <c r="J90" s="9"/>
      <c r="K90" s="9"/>
      <c r="L90" s="9"/>
      <c r="M90" s="9"/>
    </row>
    <row r="91" spans="1:13" x14ac:dyDescent="0.2">
      <c r="A91" s="80">
        <v>43819</v>
      </c>
      <c r="B91" s="1" t="s">
        <v>453</v>
      </c>
      <c r="C91" s="104"/>
      <c r="D91" s="104"/>
      <c r="E91" s="104"/>
      <c r="F91" s="9"/>
      <c r="G91" s="9" t="s">
        <v>454</v>
      </c>
      <c r="H91" s="9">
        <v>12</v>
      </c>
      <c r="I91" s="4">
        <f>H91*500</f>
        <v>6000</v>
      </c>
      <c r="J91" s="9"/>
      <c r="K91" s="9"/>
      <c r="L91" s="9"/>
      <c r="M91" s="9"/>
    </row>
    <row r="92" spans="1:13" x14ac:dyDescent="0.2">
      <c r="A92" s="114" t="s">
        <v>455</v>
      </c>
      <c r="B92" s="99" t="s">
        <v>456</v>
      </c>
      <c r="C92" s="104"/>
      <c r="D92" s="104">
        <v>40000</v>
      </c>
      <c r="E92" s="104"/>
      <c r="F92" s="9"/>
      <c r="G92" s="9" t="s">
        <v>343</v>
      </c>
      <c r="H92" s="9"/>
      <c r="I92" s="4">
        <f>I91*0.13</f>
        <v>780</v>
      </c>
      <c r="J92" s="9"/>
      <c r="K92" s="9"/>
      <c r="L92" s="9"/>
      <c r="M92" s="9"/>
    </row>
    <row r="93" spans="1:13" x14ac:dyDescent="0.2">
      <c r="A93" s="1"/>
      <c r="B93" s="99" t="s">
        <v>346</v>
      </c>
      <c r="C93" s="104"/>
      <c r="D93" s="104">
        <v>5200</v>
      </c>
      <c r="E93" s="104"/>
      <c r="F93" s="9"/>
      <c r="G93" s="9" t="s">
        <v>457</v>
      </c>
      <c r="H93" s="9"/>
      <c r="I93" s="4">
        <f>I91*0.01</f>
        <v>60</v>
      </c>
      <c r="J93" s="9"/>
      <c r="K93" s="9"/>
      <c r="L93" s="9"/>
      <c r="M93" s="9"/>
    </row>
    <row r="94" spans="1:13" x14ac:dyDescent="0.2">
      <c r="A94" s="1"/>
      <c r="B94" s="1" t="s">
        <v>458</v>
      </c>
      <c r="C94" s="104"/>
      <c r="D94" s="104"/>
      <c r="E94" s="104"/>
      <c r="F94" s="9"/>
      <c r="G94" s="9" t="s">
        <v>3</v>
      </c>
      <c r="H94" s="9"/>
      <c r="I94" s="4">
        <f>I91+I92+I93</f>
        <v>6840</v>
      </c>
      <c r="J94" s="9"/>
      <c r="K94" s="9"/>
      <c r="L94" s="9"/>
      <c r="M94" s="9"/>
    </row>
    <row r="95" spans="1:13" x14ac:dyDescent="0.2">
      <c r="A95" s="1"/>
      <c r="B95" s="1" t="s">
        <v>459</v>
      </c>
      <c r="C95" s="104"/>
      <c r="D95" s="104"/>
      <c r="E95" s="104">
        <v>45200</v>
      </c>
      <c r="F95" s="9"/>
      <c r="G95" s="9"/>
      <c r="H95" s="9"/>
      <c r="I95" s="9"/>
      <c r="J95" s="9"/>
      <c r="K95" s="9"/>
      <c r="L95" s="9"/>
      <c r="M95" s="9"/>
    </row>
    <row r="96" spans="1:13" x14ac:dyDescent="0.2">
      <c r="A96" s="1"/>
      <c r="B96" s="1" t="s">
        <v>460</v>
      </c>
      <c r="C96" s="104"/>
      <c r="D96" s="104"/>
      <c r="E96" s="104"/>
      <c r="F96" s="9"/>
      <c r="G96" s="3" t="s">
        <v>461</v>
      </c>
      <c r="H96" s="9"/>
      <c r="I96" s="9"/>
      <c r="J96" s="9"/>
      <c r="K96" s="9"/>
      <c r="L96" s="9"/>
      <c r="M96" s="9"/>
    </row>
    <row r="97" spans="1:13" x14ac:dyDescent="0.2">
      <c r="A97" s="80">
        <v>43820</v>
      </c>
      <c r="B97" s="1" t="s">
        <v>462</v>
      </c>
      <c r="C97" s="104"/>
      <c r="D97" s="104"/>
      <c r="E97" s="104"/>
      <c r="F97" s="9"/>
      <c r="G97" s="3" t="s">
        <v>463</v>
      </c>
      <c r="H97" s="9"/>
      <c r="I97" s="4"/>
      <c r="J97" s="9"/>
      <c r="K97" s="9"/>
      <c r="L97" s="9"/>
      <c r="M97" s="9"/>
    </row>
    <row r="98" spans="1:13" x14ac:dyDescent="0.2">
      <c r="A98" s="1"/>
      <c r="B98" s="1" t="s">
        <v>316</v>
      </c>
      <c r="C98" s="104"/>
      <c r="D98" s="104">
        <v>44240</v>
      </c>
      <c r="E98" s="104"/>
      <c r="F98" s="9"/>
      <c r="G98" s="9" t="s">
        <v>464</v>
      </c>
      <c r="H98" s="8">
        <v>1000</v>
      </c>
      <c r="I98" s="4">
        <f>H98*40</f>
        <v>40000</v>
      </c>
      <c r="J98" s="9"/>
      <c r="K98" s="9"/>
      <c r="L98" s="9"/>
      <c r="M98" s="9"/>
    </row>
    <row r="99" spans="1:13" x14ac:dyDescent="0.2">
      <c r="A99" s="1"/>
      <c r="B99" s="1" t="s">
        <v>465</v>
      </c>
      <c r="C99" s="104"/>
      <c r="D99" s="104"/>
      <c r="E99" s="104">
        <v>44240</v>
      </c>
      <c r="F99" s="9"/>
      <c r="G99" s="9" t="s">
        <v>343</v>
      </c>
      <c r="H99" s="9"/>
      <c r="I99" s="4">
        <f>I98*0.13</f>
        <v>5200</v>
      </c>
      <c r="J99" s="9"/>
      <c r="K99" s="9"/>
      <c r="L99" s="9"/>
      <c r="M99" s="9"/>
    </row>
    <row r="100" spans="1:13" x14ac:dyDescent="0.2">
      <c r="A100" s="1"/>
      <c r="B100" s="1" t="s">
        <v>466</v>
      </c>
      <c r="C100" s="104"/>
      <c r="D100" s="104"/>
      <c r="E100" s="104"/>
      <c r="F100" s="9"/>
      <c r="G100" s="3" t="s">
        <v>467</v>
      </c>
      <c r="H100" s="9"/>
      <c r="I100" s="4"/>
      <c r="J100" s="9"/>
      <c r="K100" s="9"/>
      <c r="L100" s="9"/>
      <c r="M100" s="9"/>
    </row>
    <row r="101" spans="1:13" x14ac:dyDescent="0.2">
      <c r="A101" s="80">
        <v>43821</v>
      </c>
      <c r="B101" s="1" t="s">
        <v>468</v>
      </c>
      <c r="C101" s="104"/>
      <c r="D101" s="104"/>
      <c r="E101" s="104"/>
      <c r="F101" s="9"/>
      <c r="G101" s="3" t="s">
        <v>469</v>
      </c>
      <c r="H101" s="9"/>
      <c r="I101" s="4"/>
      <c r="J101" s="9"/>
      <c r="K101" s="9"/>
      <c r="L101" s="9"/>
      <c r="M101" s="9"/>
    </row>
    <row r="102" spans="1:13" x14ac:dyDescent="0.2">
      <c r="A102" s="1"/>
      <c r="B102" s="99" t="s">
        <v>184</v>
      </c>
      <c r="C102" s="104"/>
      <c r="D102" s="104">
        <f>C103+C104+C105</f>
        <v>282.21000000000004</v>
      </c>
      <c r="E102" s="104"/>
      <c r="F102" s="9"/>
      <c r="G102" s="9" t="s">
        <v>470</v>
      </c>
      <c r="H102" s="9"/>
      <c r="I102" s="4"/>
      <c r="J102" s="9"/>
      <c r="K102" s="9"/>
      <c r="L102" s="9"/>
      <c r="M102" s="9"/>
    </row>
    <row r="103" spans="1:13" x14ac:dyDescent="0.2">
      <c r="A103" s="1"/>
      <c r="B103" s="1" t="s">
        <v>471</v>
      </c>
      <c r="C103" s="104">
        <v>252.21</v>
      </c>
      <c r="D103" s="104"/>
      <c r="E103" s="104"/>
      <c r="F103" s="9"/>
      <c r="G103" s="9"/>
      <c r="H103" s="9"/>
      <c r="I103" s="4"/>
      <c r="J103" s="9"/>
      <c r="K103" s="9"/>
      <c r="L103" s="9"/>
      <c r="M103" s="9"/>
    </row>
    <row r="104" spans="1:13" x14ac:dyDescent="0.2">
      <c r="A104" s="1"/>
      <c r="B104" s="1" t="s">
        <v>472</v>
      </c>
      <c r="C104" s="104">
        <v>20</v>
      </c>
      <c r="D104" s="104"/>
      <c r="E104" s="104"/>
      <c r="F104" s="9"/>
      <c r="G104" s="3" t="s">
        <v>473</v>
      </c>
      <c r="H104" s="9"/>
      <c r="I104" s="4"/>
      <c r="J104" s="9"/>
      <c r="K104" s="9"/>
      <c r="L104" s="9"/>
      <c r="M104" s="9"/>
    </row>
    <row r="105" spans="1:13" ht="17.25" x14ac:dyDescent="0.35">
      <c r="A105" s="1"/>
      <c r="B105" s="1" t="s">
        <v>474</v>
      </c>
      <c r="C105" s="105">
        <v>10</v>
      </c>
      <c r="D105" s="104"/>
      <c r="E105" s="104"/>
      <c r="F105" s="9"/>
      <c r="G105" s="9" t="s">
        <v>475</v>
      </c>
      <c r="H105" s="8">
        <v>3.15</v>
      </c>
      <c r="I105" s="4">
        <f>H105*100</f>
        <v>315</v>
      </c>
      <c r="J105" s="9"/>
      <c r="K105" s="9"/>
      <c r="L105" s="9"/>
      <c r="M105" s="9"/>
    </row>
    <row r="106" spans="1:13" x14ac:dyDescent="0.2">
      <c r="A106" s="1"/>
      <c r="B106" s="99" t="s">
        <v>173</v>
      </c>
      <c r="C106" s="104"/>
      <c r="D106" s="104">
        <v>32.79</v>
      </c>
      <c r="E106" s="104"/>
      <c r="F106" s="9"/>
      <c r="G106" s="9" t="s">
        <v>476</v>
      </c>
      <c r="H106" s="9"/>
      <c r="I106" s="4">
        <f>100*0.2</f>
        <v>20</v>
      </c>
      <c r="J106" s="9"/>
      <c r="K106" s="9"/>
      <c r="L106" s="9"/>
      <c r="M106" s="9"/>
    </row>
    <row r="107" spans="1:13" x14ac:dyDescent="0.2">
      <c r="A107" s="1"/>
      <c r="B107" s="1" t="s">
        <v>392</v>
      </c>
      <c r="C107" s="104"/>
      <c r="D107" s="104"/>
      <c r="E107" s="104"/>
      <c r="F107" s="9"/>
      <c r="G107" s="9" t="s">
        <v>477</v>
      </c>
      <c r="H107" s="9"/>
      <c r="I107" s="4">
        <f>100*0.1</f>
        <v>10</v>
      </c>
      <c r="J107" s="9"/>
      <c r="K107" s="9"/>
      <c r="L107" s="9"/>
      <c r="M107" s="9"/>
    </row>
    <row r="108" spans="1:13" x14ac:dyDescent="0.2">
      <c r="A108" s="1"/>
      <c r="B108" s="1" t="s">
        <v>478</v>
      </c>
      <c r="C108" s="104"/>
      <c r="D108" s="104"/>
      <c r="E108" s="104">
        <f>D102+D106</f>
        <v>315.00000000000006</v>
      </c>
      <c r="F108" s="9"/>
      <c r="G108" s="9" t="s">
        <v>343</v>
      </c>
      <c r="H108" s="9"/>
      <c r="I108" s="4">
        <f>((I105-I106-I107)/1.13)*0.13</f>
        <v>32.787610619469028</v>
      </c>
      <c r="J108" s="9"/>
      <c r="K108" s="9"/>
      <c r="L108" s="9"/>
      <c r="M108" s="9"/>
    </row>
    <row r="109" spans="1:13" x14ac:dyDescent="0.2">
      <c r="A109" s="1"/>
      <c r="B109" s="1" t="s">
        <v>479</v>
      </c>
      <c r="C109" s="104"/>
      <c r="D109" s="104"/>
      <c r="E109" s="104"/>
      <c r="F109" s="9"/>
      <c r="G109" s="9" t="s">
        <v>480</v>
      </c>
      <c r="H109" s="9"/>
      <c r="I109" s="4">
        <f>(I105-I106-I107)/1.13</f>
        <v>252.21238938053099</v>
      </c>
      <c r="J109" s="9"/>
      <c r="K109" s="9"/>
      <c r="L109" s="9"/>
      <c r="M109" s="9"/>
    </row>
    <row r="110" spans="1:13" x14ac:dyDescent="0.2">
      <c r="A110" s="80">
        <v>43823</v>
      </c>
      <c r="B110" s="1" t="s">
        <v>481</v>
      </c>
      <c r="C110" s="104"/>
      <c r="D110" s="104"/>
      <c r="E110" s="104"/>
      <c r="F110" s="9"/>
      <c r="G110" s="9"/>
      <c r="H110" s="9"/>
      <c r="I110" s="4"/>
      <c r="J110" s="9"/>
      <c r="K110" s="9"/>
      <c r="L110" s="9"/>
      <c r="M110" s="9"/>
    </row>
    <row r="111" spans="1:13" x14ac:dyDescent="0.2">
      <c r="A111" s="1"/>
      <c r="B111" s="1" t="s">
        <v>482</v>
      </c>
      <c r="C111" s="104"/>
      <c r="D111" s="104">
        <v>1130</v>
      </c>
      <c r="E111" s="104"/>
      <c r="F111" s="9"/>
      <c r="G111" s="3" t="s">
        <v>483</v>
      </c>
      <c r="H111" s="9"/>
      <c r="I111" s="4"/>
      <c r="J111" s="9"/>
      <c r="K111" s="9"/>
      <c r="L111" s="9"/>
      <c r="M111" s="9"/>
    </row>
    <row r="112" spans="1:13" x14ac:dyDescent="0.2">
      <c r="A112" s="114" t="s">
        <v>484</v>
      </c>
      <c r="B112" s="117" t="s">
        <v>485</v>
      </c>
      <c r="C112" s="104"/>
      <c r="D112" s="104"/>
      <c r="E112" s="104">
        <v>1000</v>
      </c>
      <c r="F112" s="9"/>
      <c r="G112" s="9" t="s">
        <v>486</v>
      </c>
      <c r="H112" s="9"/>
      <c r="I112" s="4">
        <v>1000</v>
      </c>
      <c r="J112" s="9"/>
      <c r="K112" s="9"/>
      <c r="L112" s="9"/>
      <c r="M112" s="9"/>
    </row>
    <row r="113" spans="1:13" x14ac:dyDescent="0.2">
      <c r="A113" s="1"/>
      <c r="B113" s="99" t="s">
        <v>487</v>
      </c>
      <c r="C113" s="104"/>
      <c r="D113" s="104"/>
      <c r="E113" s="104">
        <v>130</v>
      </c>
      <c r="F113" s="9"/>
      <c r="G113" s="9" t="s">
        <v>343</v>
      </c>
      <c r="H113" s="9"/>
      <c r="I113" s="4">
        <f>I112*0.13</f>
        <v>130</v>
      </c>
      <c r="J113" s="9"/>
      <c r="K113" s="9"/>
      <c r="L113" s="9"/>
      <c r="M113" s="9"/>
    </row>
    <row r="114" spans="1:13" x14ac:dyDescent="0.2">
      <c r="A114" s="1"/>
      <c r="B114" s="1" t="s">
        <v>448</v>
      </c>
      <c r="C114" s="104"/>
      <c r="D114" s="104"/>
      <c r="E114" s="104"/>
      <c r="F114" s="9"/>
      <c r="G114" s="115" t="s">
        <v>488</v>
      </c>
      <c r="H114" s="9"/>
      <c r="I114" s="4"/>
      <c r="J114" s="9"/>
      <c r="K114" s="9"/>
      <c r="L114" s="9"/>
      <c r="M114" s="9"/>
    </row>
    <row r="115" spans="1:13" x14ac:dyDescent="0.2">
      <c r="A115" s="1"/>
      <c r="B115" s="1" t="s">
        <v>489</v>
      </c>
      <c r="C115" s="104"/>
      <c r="D115" s="104"/>
      <c r="E115" s="104"/>
      <c r="F115" s="9"/>
      <c r="G115" s="3" t="s">
        <v>490</v>
      </c>
      <c r="H115" s="9"/>
      <c r="I115" s="4"/>
      <c r="J115" s="9"/>
      <c r="K115" s="9"/>
      <c r="L115" s="9"/>
      <c r="M115" s="9"/>
    </row>
    <row r="116" spans="1:13" x14ac:dyDescent="0.2">
      <c r="A116" s="80">
        <v>43825</v>
      </c>
      <c r="B116" s="1" t="s">
        <v>491</v>
      </c>
      <c r="C116" s="104"/>
      <c r="D116" s="104"/>
      <c r="E116" s="104"/>
      <c r="F116" s="9"/>
      <c r="G116" s="9" t="s">
        <v>492</v>
      </c>
      <c r="H116" s="9"/>
      <c r="I116" s="4">
        <v>45200</v>
      </c>
      <c r="J116" s="9"/>
      <c r="K116" s="9"/>
      <c r="L116" s="9"/>
      <c r="M116" s="9"/>
    </row>
    <row r="117" spans="1:13" x14ac:dyDescent="0.2">
      <c r="A117" s="1"/>
      <c r="B117" s="1" t="s">
        <v>441</v>
      </c>
      <c r="C117" s="104"/>
      <c r="D117" s="104">
        <v>44070</v>
      </c>
      <c r="E117" s="104"/>
      <c r="F117" s="9"/>
      <c r="G117" s="9" t="s">
        <v>493</v>
      </c>
      <c r="H117" s="9"/>
      <c r="I117" s="4">
        <v>1130</v>
      </c>
      <c r="J117" s="9"/>
      <c r="K117" s="9"/>
      <c r="L117" s="9"/>
      <c r="M117" s="9"/>
    </row>
    <row r="118" spans="1:13" x14ac:dyDescent="0.2">
      <c r="A118" s="1"/>
      <c r="B118" s="1" t="s">
        <v>494</v>
      </c>
      <c r="C118" s="104"/>
      <c r="D118" s="104"/>
      <c r="E118" s="104">
        <v>44070</v>
      </c>
      <c r="F118" s="9"/>
      <c r="G118" s="9" t="s">
        <v>495</v>
      </c>
      <c r="H118" s="9"/>
      <c r="I118" s="4">
        <f>I116-I117</f>
        <v>44070</v>
      </c>
      <c r="J118" s="9"/>
      <c r="K118" s="9"/>
      <c r="L118" s="9"/>
      <c r="M118" s="9"/>
    </row>
    <row r="119" spans="1:13" x14ac:dyDescent="0.2">
      <c r="A119" s="1"/>
      <c r="B119" s="1" t="s">
        <v>496</v>
      </c>
      <c r="C119" s="104"/>
      <c r="D119" s="104"/>
      <c r="E119" s="104"/>
      <c r="F119" s="9"/>
      <c r="G119" s="9"/>
      <c r="H119" s="9"/>
      <c r="I119" s="4"/>
      <c r="J119" s="9"/>
      <c r="K119" s="9"/>
      <c r="L119" s="9"/>
      <c r="M119" s="9"/>
    </row>
    <row r="120" spans="1:13" x14ac:dyDescent="0.2">
      <c r="A120" s="80">
        <v>43827</v>
      </c>
      <c r="B120" s="1" t="s">
        <v>497</v>
      </c>
      <c r="C120" s="104"/>
      <c r="D120" s="104"/>
      <c r="E120" s="104"/>
      <c r="F120" s="9"/>
      <c r="G120" s="3"/>
      <c r="H120" s="9"/>
      <c r="I120" s="4"/>
      <c r="J120" s="9"/>
      <c r="K120" s="9"/>
      <c r="L120" s="9"/>
      <c r="M120" s="9"/>
    </row>
    <row r="121" spans="1:13" x14ac:dyDescent="0.2">
      <c r="A121" s="1"/>
      <c r="B121" s="99" t="s">
        <v>4</v>
      </c>
      <c r="C121" s="104"/>
      <c r="D121" s="104">
        <v>200</v>
      </c>
      <c r="E121" s="104"/>
      <c r="F121" s="9"/>
      <c r="G121" s="9" t="s">
        <v>498</v>
      </c>
      <c r="H121" s="9"/>
      <c r="I121" s="4">
        <v>200</v>
      </c>
      <c r="J121" s="9"/>
      <c r="K121" s="9"/>
      <c r="L121" s="9"/>
      <c r="M121" s="9"/>
    </row>
    <row r="122" spans="1:13" x14ac:dyDescent="0.2">
      <c r="A122" s="1"/>
      <c r="B122" s="1" t="s">
        <v>499</v>
      </c>
      <c r="C122" s="104"/>
      <c r="D122" s="104"/>
      <c r="E122" s="104"/>
      <c r="F122" s="9"/>
      <c r="G122" s="9" t="s">
        <v>343</v>
      </c>
      <c r="H122" s="9"/>
      <c r="I122" s="4">
        <f>I121*0.13</f>
        <v>26</v>
      </c>
      <c r="J122" s="9"/>
      <c r="K122" s="9"/>
      <c r="L122" s="9"/>
      <c r="M122" s="9"/>
    </row>
    <row r="123" spans="1:13" x14ac:dyDescent="0.2">
      <c r="A123" s="1"/>
      <c r="B123" s="99" t="s">
        <v>346</v>
      </c>
      <c r="C123" s="104"/>
      <c r="D123" s="104">
        <v>26</v>
      </c>
      <c r="E123" s="104"/>
      <c r="F123" s="9"/>
      <c r="G123" s="9"/>
      <c r="H123" s="9"/>
      <c r="I123" s="4"/>
      <c r="J123" s="9"/>
      <c r="K123" s="9"/>
      <c r="L123" s="9"/>
      <c r="M123" s="9"/>
    </row>
    <row r="124" spans="1:13" x14ac:dyDescent="0.2">
      <c r="A124" s="1"/>
      <c r="B124" s="1" t="s">
        <v>500</v>
      </c>
      <c r="C124" s="104"/>
      <c r="D124" s="104"/>
      <c r="E124" s="104">
        <v>226</v>
      </c>
      <c r="F124" s="9"/>
      <c r="G124" s="9"/>
      <c r="H124" s="9"/>
      <c r="I124" s="4"/>
      <c r="J124" s="9"/>
      <c r="K124" s="9"/>
      <c r="L124" s="9"/>
      <c r="M124" s="9"/>
    </row>
    <row r="125" spans="1:13" x14ac:dyDescent="0.2">
      <c r="A125" s="1"/>
      <c r="B125" s="1" t="s">
        <v>501</v>
      </c>
      <c r="C125" s="104"/>
      <c r="D125" s="104"/>
      <c r="E125" s="104"/>
      <c r="F125" s="9"/>
      <c r="G125" s="3" t="s">
        <v>502</v>
      </c>
      <c r="H125" s="9"/>
      <c r="I125" s="4"/>
      <c r="J125" s="9"/>
      <c r="K125" s="9"/>
      <c r="L125" s="9"/>
      <c r="M125" s="9"/>
    </row>
    <row r="126" spans="1:13" x14ac:dyDescent="0.2">
      <c r="A126" s="80">
        <v>43829</v>
      </c>
      <c r="B126" s="1" t="s">
        <v>503</v>
      </c>
      <c r="C126" s="104"/>
      <c r="D126" s="104"/>
      <c r="E126" s="104"/>
      <c r="F126" s="9"/>
      <c r="G126" s="9" t="s">
        <v>504</v>
      </c>
      <c r="H126" s="9"/>
      <c r="I126" s="9"/>
      <c r="J126" s="9"/>
      <c r="K126" s="9"/>
      <c r="L126" s="9"/>
      <c r="M126" s="9"/>
    </row>
    <row r="127" spans="1:13" x14ac:dyDescent="0.2">
      <c r="A127" s="80"/>
      <c r="B127" s="99" t="s">
        <v>505</v>
      </c>
      <c r="C127" s="104"/>
      <c r="D127" s="104">
        <f>C128+C129+C130</f>
        <v>2150</v>
      </c>
      <c r="E127" s="104"/>
      <c r="F127" s="9"/>
      <c r="G127" s="9" t="s">
        <v>506</v>
      </c>
      <c r="H127" s="9"/>
      <c r="I127" s="9"/>
      <c r="J127" s="9"/>
      <c r="K127" s="9"/>
      <c r="L127" s="9"/>
      <c r="M127" s="9"/>
    </row>
    <row r="128" spans="1:13" x14ac:dyDescent="0.2">
      <c r="A128" s="1"/>
      <c r="B128" s="117" t="s">
        <v>507</v>
      </c>
      <c r="C128" s="104">
        <v>500</v>
      </c>
      <c r="D128" s="104"/>
      <c r="E128" s="104"/>
      <c r="F128" s="9"/>
      <c r="G128" s="9" t="s">
        <v>508</v>
      </c>
      <c r="H128" s="9"/>
      <c r="I128" s="9"/>
      <c r="J128" s="9"/>
      <c r="K128" s="9"/>
      <c r="L128" s="9"/>
      <c r="M128" s="9"/>
    </row>
    <row r="129" spans="1:13" x14ac:dyDescent="0.2">
      <c r="A129" s="1"/>
      <c r="B129" s="1" t="s">
        <v>509</v>
      </c>
      <c r="C129" s="104">
        <v>650</v>
      </c>
      <c r="D129" s="104"/>
      <c r="E129" s="104"/>
      <c r="F129" s="9"/>
      <c r="G129" s="9" t="s">
        <v>510</v>
      </c>
      <c r="H129" s="9"/>
      <c r="I129" s="9"/>
      <c r="J129" s="9"/>
      <c r="K129" s="9"/>
      <c r="L129" s="9"/>
      <c r="M129" s="9"/>
    </row>
    <row r="130" spans="1:13" ht="17.25" x14ac:dyDescent="0.35">
      <c r="A130" s="1"/>
      <c r="B130" s="1" t="s">
        <v>511</v>
      </c>
      <c r="C130" s="105">
        <v>1000</v>
      </c>
      <c r="D130" s="104"/>
      <c r="E130" s="104"/>
      <c r="F130" s="9"/>
      <c r="G130" s="9"/>
      <c r="H130" s="9"/>
      <c r="I130" s="9"/>
      <c r="J130" s="9"/>
      <c r="K130" s="9"/>
      <c r="L130" s="9"/>
      <c r="M130" s="9"/>
    </row>
    <row r="131" spans="1:13" x14ac:dyDescent="0.2">
      <c r="A131" s="1"/>
      <c r="B131" s="99" t="s">
        <v>184</v>
      </c>
      <c r="C131" s="104"/>
      <c r="D131" s="104">
        <v>669</v>
      </c>
      <c r="E131" s="104"/>
      <c r="F131" s="9"/>
      <c r="G131" s="9" t="s">
        <v>512</v>
      </c>
      <c r="H131" s="9"/>
      <c r="I131" s="9"/>
      <c r="J131" s="9"/>
      <c r="K131" s="9"/>
      <c r="L131" s="9"/>
      <c r="M131" s="9"/>
    </row>
    <row r="132" spans="1:13" x14ac:dyDescent="0.2">
      <c r="A132" s="1"/>
      <c r="B132" s="1" t="s">
        <v>513</v>
      </c>
      <c r="C132" s="104">
        <v>669</v>
      </c>
      <c r="D132" s="104"/>
      <c r="E132" s="104"/>
      <c r="F132" s="9"/>
      <c r="G132" s="9" t="s">
        <v>514</v>
      </c>
      <c r="H132" s="9"/>
      <c r="I132" s="9"/>
      <c r="J132" s="9"/>
      <c r="K132" s="9"/>
      <c r="L132" s="9"/>
      <c r="M132" s="9"/>
    </row>
    <row r="133" spans="1:13" x14ac:dyDescent="0.2">
      <c r="A133" s="1"/>
      <c r="B133" s="99" t="s">
        <v>515</v>
      </c>
      <c r="C133" s="104"/>
      <c r="D133" s="104"/>
      <c r="E133" s="104">
        <f>D127+D131-E134</f>
        <v>2548.77</v>
      </c>
      <c r="F133" s="9"/>
      <c r="G133" s="9" t="s">
        <v>516</v>
      </c>
      <c r="H133" s="9"/>
      <c r="I133" s="9"/>
      <c r="J133" s="9"/>
      <c r="K133" s="9"/>
      <c r="L133" s="9"/>
      <c r="M133" s="9"/>
    </row>
    <row r="134" spans="1:13" x14ac:dyDescent="0.2">
      <c r="A134" s="1"/>
      <c r="B134" s="99" t="s">
        <v>517</v>
      </c>
      <c r="C134" s="104"/>
      <c r="D134" s="104"/>
      <c r="E134" s="104">
        <f>C135+C136+C137</f>
        <v>270.23</v>
      </c>
      <c r="F134" s="9"/>
      <c r="G134" s="9" t="s">
        <v>518</v>
      </c>
      <c r="H134" s="9"/>
      <c r="I134" s="9"/>
      <c r="J134" s="9"/>
      <c r="K134" s="9"/>
      <c r="L134" s="9"/>
      <c r="M134" s="9"/>
    </row>
    <row r="135" spans="1:13" x14ac:dyDescent="0.2">
      <c r="A135" s="1"/>
      <c r="B135" s="1" t="s">
        <v>519</v>
      </c>
      <c r="C135" s="104">
        <v>50.07</v>
      </c>
      <c r="D135" s="104"/>
      <c r="E135" s="104"/>
      <c r="F135" s="9"/>
      <c r="G135" s="9"/>
      <c r="H135" s="9"/>
      <c r="I135" s="9"/>
      <c r="J135" s="9"/>
      <c r="K135" s="9"/>
      <c r="L135" s="9"/>
      <c r="M135" s="9"/>
    </row>
    <row r="136" spans="1:13" x14ac:dyDescent="0.2">
      <c r="A136" s="1"/>
      <c r="B136" s="1" t="s">
        <v>520</v>
      </c>
      <c r="C136" s="104">
        <v>131.88</v>
      </c>
      <c r="D136" s="104"/>
      <c r="E136" s="104"/>
      <c r="F136" s="9"/>
      <c r="G136" s="9" t="s">
        <v>521</v>
      </c>
      <c r="H136" s="9"/>
      <c r="I136" s="9"/>
      <c r="J136" s="9"/>
      <c r="K136" s="9"/>
      <c r="L136" s="9"/>
      <c r="M136" s="9"/>
    </row>
    <row r="137" spans="1:13" ht="17.25" x14ac:dyDescent="0.35">
      <c r="A137" s="1"/>
      <c r="B137" s="1" t="s">
        <v>522</v>
      </c>
      <c r="C137" s="105">
        <v>88.28</v>
      </c>
      <c r="D137" s="104"/>
      <c r="E137" s="104"/>
      <c r="F137" s="9"/>
      <c r="G137" s="9" t="s">
        <v>523</v>
      </c>
      <c r="H137" s="9"/>
      <c r="I137" s="9"/>
      <c r="J137" s="9"/>
      <c r="K137" s="9"/>
      <c r="L137" s="9"/>
      <c r="M137" s="9"/>
    </row>
    <row r="138" spans="1:13" x14ac:dyDescent="0.2">
      <c r="A138" s="80">
        <v>43829</v>
      </c>
      <c r="B138" s="118" t="s">
        <v>524</v>
      </c>
      <c r="C138" s="104"/>
      <c r="D138" s="104"/>
      <c r="E138" s="104"/>
      <c r="F138" s="9"/>
      <c r="G138" s="9" t="s">
        <v>525</v>
      </c>
      <c r="H138" s="9"/>
      <c r="I138" s="9"/>
      <c r="J138" s="9"/>
      <c r="K138" s="9"/>
      <c r="L138" s="9"/>
      <c r="M138" s="9"/>
    </row>
    <row r="139" spans="1:13" x14ac:dyDescent="0.2">
      <c r="A139" s="1"/>
      <c r="B139" s="99" t="s">
        <v>526</v>
      </c>
      <c r="C139" s="104"/>
      <c r="D139" s="104">
        <f>C140+C141</f>
        <v>164.13</v>
      </c>
      <c r="E139" s="104"/>
      <c r="F139" s="9"/>
      <c r="G139" s="9" t="s">
        <v>527</v>
      </c>
      <c r="H139" s="9"/>
      <c r="I139" s="9"/>
      <c r="J139" s="9"/>
      <c r="K139" s="9"/>
      <c r="L139" s="9"/>
      <c r="M139" s="9"/>
    </row>
    <row r="140" spans="1:13" x14ac:dyDescent="0.2">
      <c r="A140" s="1"/>
      <c r="B140" s="1" t="s">
        <v>528</v>
      </c>
      <c r="C140" s="104">
        <v>75</v>
      </c>
      <c r="D140" s="104"/>
      <c r="E140" s="104"/>
      <c r="F140" s="9"/>
      <c r="G140" s="9" t="s">
        <v>529</v>
      </c>
      <c r="H140" s="9"/>
      <c r="I140" s="9"/>
      <c r="J140" s="9"/>
      <c r="K140" s="9"/>
      <c r="L140" s="9"/>
      <c r="M140" s="9"/>
    </row>
    <row r="141" spans="1:13" ht="17.25" x14ac:dyDescent="0.35">
      <c r="A141" s="1"/>
      <c r="B141" s="1" t="s">
        <v>530</v>
      </c>
      <c r="C141" s="105">
        <v>89.13</v>
      </c>
      <c r="D141" s="104"/>
      <c r="E141" s="104"/>
      <c r="F141" s="9"/>
      <c r="G141" s="9"/>
      <c r="H141" s="9"/>
      <c r="I141" s="9"/>
      <c r="J141" s="9"/>
      <c r="K141" s="9"/>
      <c r="L141" s="9"/>
      <c r="M141" s="9"/>
    </row>
    <row r="142" spans="1:13" x14ac:dyDescent="0.2">
      <c r="A142" s="1"/>
      <c r="B142" s="99" t="s">
        <v>184</v>
      </c>
      <c r="C142" s="104"/>
      <c r="D142" s="104">
        <f>C143+C144</f>
        <v>101.97999999999999</v>
      </c>
      <c r="E142" s="104"/>
      <c r="F142" s="9"/>
      <c r="G142" s="3" t="s">
        <v>531</v>
      </c>
      <c r="H142" s="9"/>
      <c r="I142" s="9"/>
      <c r="J142" s="9"/>
      <c r="K142" s="9"/>
      <c r="L142" s="9"/>
      <c r="M142" s="9"/>
    </row>
    <row r="143" spans="1:13" x14ac:dyDescent="0.2">
      <c r="A143" s="1"/>
      <c r="B143" s="1" t="s">
        <v>532</v>
      </c>
      <c r="C143" s="104">
        <v>50.18</v>
      </c>
      <c r="D143" s="104"/>
      <c r="E143" s="104"/>
      <c r="F143" s="9"/>
      <c r="G143" s="9" t="s">
        <v>533</v>
      </c>
      <c r="H143" s="9"/>
      <c r="I143" s="9"/>
      <c r="J143" s="9"/>
      <c r="K143" s="9"/>
      <c r="L143" s="9"/>
      <c r="M143" s="9"/>
    </row>
    <row r="144" spans="1:13" ht="17.25" x14ac:dyDescent="0.35">
      <c r="A144" s="1"/>
      <c r="B144" s="1" t="s">
        <v>534</v>
      </c>
      <c r="C144" s="105">
        <v>51.8</v>
      </c>
      <c r="D144" s="104"/>
      <c r="E144" s="104"/>
      <c r="F144" s="9"/>
      <c r="G144" s="9" t="s">
        <v>535</v>
      </c>
      <c r="H144" s="9"/>
      <c r="I144" s="9"/>
      <c r="J144" s="9"/>
      <c r="K144" s="9"/>
      <c r="L144" s="9"/>
      <c r="M144" s="9"/>
    </row>
    <row r="145" spans="1:13" x14ac:dyDescent="0.2">
      <c r="A145" s="1"/>
      <c r="B145" s="99" t="s">
        <v>536</v>
      </c>
      <c r="C145" s="104"/>
      <c r="D145" s="104"/>
      <c r="E145" s="104">
        <f>C146+C147</f>
        <v>266.11</v>
      </c>
      <c r="F145" s="9"/>
      <c r="G145" s="9" t="s">
        <v>537</v>
      </c>
      <c r="H145" s="9"/>
      <c r="I145" s="9"/>
      <c r="J145" s="9"/>
      <c r="K145" s="9"/>
      <c r="L145" s="9"/>
      <c r="M145" s="9"/>
    </row>
    <row r="146" spans="1:13" x14ac:dyDescent="0.2">
      <c r="A146" s="1"/>
      <c r="B146" s="1" t="s">
        <v>538</v>
      </c>
      <c r="C146" s="104">
        <f>C140+C143</f>
        <v>125.18</v>
      </c>
      <c r="D146" s="104"/>
      <c r="E146" s="104"/>
      <c r="F146" s="9"/>
      <c r="G146" s="9" t="s">
        <v>539</v>
      </c>
      <c r="H146" s="9"/>
      <c r="I146" s="9"/>
      <c r="J146" s="9"/>
      <c r="K146" s="9"/>
      <c r="L146" s="9"/>
      <c r="M146" s="9"/>
    </row>
    <row r="147" spans="1:13" ht="17.25" x14ac:dyDescent="0.35">
      <c r="A147" s="1"/>
      <c r="B147" s="1" t="s">
        <v>540</v>
      </c>
      <c r="C147" s="105">
        <f>C141+C144</f>
        <v>140.93</v>
      </c>
      <c r="D147" s="104"/>
      <c r="E147" s="104"/>
      <c r="F147" s="9"/>
      <c r="G147" s="9" t="s">
        <v>541</v>
      </c>
      <c r="H147" s="9"/>
      <c r="I147" s="9"/>
      <c r="J147" s="9"/>
      <c r="K147" s="9"/>
      <c r="L147" s="9"/>
      <c r="M147" s="9"/>
    </row>
    <row r="148" spans="1:13" x14ac:dyDescent="0.2">
      <c r="A148" s="80">
        <v>43829</v>
      </c>
      <c r="B148" s="1" t="s">
        <v>542</v>
      </c>
      <c r="C148" s="104"/>
      <c r="D148" s="104"/>
      <c r="E148" s="104"/>
      <c r="F148" s="9"/>
      <c r="G148" s="9"/>
      <c r="H148" s="9"/>
      <c r="I148" s="9"/>
      <c r="J148" s="9"/>
      <c r="K148" s="9"/>
      <c r="L148" s="9"/>
      <c r="M148" s="9"/>
    </row>
    <row r="149" spans="1:13" x14ac:dyDescent="0.2">
      <c r="A149" s="1"/>
      <c r="B149" s="99" t="s">
        <v>4</v>
      </c>
      <c r="C149" s="104"/>
      <c r="D149" s="104">
        <f>C150+C151+C152</f>
        <v>145</v>
      </c>
      <c r="E149" s="104"/>
      <c r="F149" s="9"/>
      <c r="G149" s="9"/>
      <c r="H149" s="9"/>
      <c r="I149" s="9"/>
      <c r="J149" s="9"/>
      <c r="K149" s="9"/>
      <c r="L149" s="9"/>
      <c r="M149" s="9"/>
    </row>
    <row r="150" spans="1:13" x14ac:dyDescent="0.2">
      <c r="A150" s="1"/>
      <c r="B150" s="1" t="s">
        <v>543</v>
      </c>
      <c r="C150" s="104">
        <v>70</v>
      </c>
      <c r="D150" s="104"/>
      <c r="E150" s="104"/>
      <c r="F150" s="9"/>
      <c r="G150" s="3" t="s">
        <v>544</v>
      </c>
      <c r="H150" s="9"/>
      <c r="I150" s="9"/>
      <c r="J150" s="9"/>
      <c r="K150" s="9"/>
      <c r="L150" s="9"/>
      <c r="M150" s="9"/>
    </row>
    <row r="151" spans="1:13" x14ac:dyDescent="0.2">
      <c r="A151" s="1"/>
      <c r="B151" s="1" t="s">
        <v>545</v>
      </c>
      <c r="C151" s="104">
        <v>50</v>
      </c>
      <c r="D151" s="104"/>
      <c r="E151" s="104"/>
      <c r="F151" s="9"/>
      <c r="G151" s="9" t="s">
        <v>546</v>
      </c>
      <c r="H151" s="9"/>
      <c r="I151" s="6">
        <v>70</v>
      </c>
      <c r="J151" s="9"/>
      <c r="K151" s="9"/>
      <c r="L151" s="9"/>
      <c r="M151" s="9"/>
    </row>
    <row r="152" spans="1:13" ht="17.25" x14ac:dyDescent="0.35">
      <c r="A152" s="1"/>
      <c r="B152" s="1" t="s">
        <v>547</v>
      </c>
      <c r="C152" s="105">
        <v>25</v>
      </c>
      <c r="D152" s="104"/>
      <c r="E152" s="104"/>
      <c r="F152" s="9"/>
      <c r="G152" s="9" t="s">
        <v>343</v>
      </c>
      <c r="H152" s="9"/>
      <c r="I152" s="6">
        <f>I151*0.13</f>
        <v>9.1</v>
      </c>
      <c r="J152" s="9"/>
      <c r="K152" s="9"/>
      <c r="L152" s="9"/>
      <c r="M152" s="9"/>
    </row>
    <row r="153" spans="1:13" x14ac:dyDescent="0.2">
      <c r="A153" s="1"/>
      <c r="B153" s="99" t="s">
        <v>346</v>
      </c>
      <c r="C153" s="104"/>
      <c r="D153" s="104">
        <f>I152+I156</f>
        <v>12.35</v>
      </c>
      <c r="E153" s="104"/>
      <c r="F153" s="9"/>
      <c r="G153" s="9" t="s">
        <v>548</v>
      </c>
      <c r="H153" s="9"/>
      <c r="I153" s="6">
        <v>50</v>
      </c>
      <c r="J153" s="9"/>
      <c r="K153" s="9"/>
      <c r="L153" s="9"/>
      <c r="M153" s="9"/>
    </row>
    <row r="154" spans="1:13" x14ac:dyDescent="0.2">
      <c r="A154" s="1"/>
      <c r="B154" s="1" t="s">
        <v>551</v>
      </c>
      <c r="C154" s="104"/>
      <c r="D154" s="104"/>
      <c r="E154" s="104"/>
      <c r="F154" s="9"/>
      <c r="G154" s="9" t="s">
        <v>549</v>
      </c>
      <c r="H154" s="9"/>
      <c r="I154" s="6"/>
      <c r="J154" s="9"/>
      <c r="K154" s="9"/>
      <c r="L154" s="9"/>
      <c r="M154" s="9"/>
    </row>
    <row r="155" spans="1:13" x14ac:dyDescent="0.2">
      <c r="A155" s="1"/>
      <c r="B155" s="1" t="s">
        <v>370</v>
      </c>
      <c r="C155" s="104"/>
      <c r="D155" s="104"/>
      <c r="E155" s="104">
        <f>D149+D153</f>
        <v>157.35</v>
      </c>
      <c r="F155" s="9"/>
      <c r="G155" s="9" t="s">
        <v>550</v>
      </c>
      <c r="H155" s="9"/>
      <c r="I155" s="6">
        <v>25</v>
      </c>
      <c r="J155" s="9"/>
      <c r="K155" s="9"/>
      <c r="L155" s="9"/>
      <c r="M155" s="9"/>
    </row>
    <row r="156" spans="1:13" x14ac:dyDescent="0.2">
      <c r="A156" s="1"/>
      <c r="B156" s="1" t="s">
        <v>552</v>
      </c>
      <c r="C156" s="104"/>
      <c r="D156" s="104"/>
      <c r="E156" s="104"/>
      <c r="F156" s="9"/>
      <c r="G156" s="9" t="s">
        <v>343</v>
      </c>
      <c r="H156" s="9"/>
      <c r="I156" s="6">
        <f>I155*0.13</f>
        <v>3.25</v>
      </c>
      <c r="J156" s="9"/>
      <c r="K156" s="9"/>
      <c r="L156" s="9"/>
      <c r="M156" s="9"/>
    </row>
    <row r="157" spans="1:13" x14ac:dyDescent="0.2">
      <c r="A157" s="1"/>
      <c r="B157" s="123" t="s">
        <v>571</v>
      </c>
      <c r="C157" s="104"/>
      <c r="D157" s="104"/>
      <c r="E157" s="104"/>
      <c r="F157" s="9"/>
      <c r="G157" s="9" t="s">
        <v>573</v>
      </c>
      <c r="H157" s="9"/>
      <c r="I157" s="6">
        <f>I152+I156</f>
        <v>12.35</v>
      </c>
      <c r="J157" s="9"/>
      <c r="K157" s="9"/>
      <c r="L157" s="9"/>
      <c r="M157" s="9"/>
    </row>
    <row r="158" spans="1:13" x14ac:dyDescent="0.2">
      <c r="A158" s="1"/>
      <c r="B158" s="123" t="s">
        <v>572</v>
      </c>
      <c r="C158" s="104"/>
      <c r="D158" s="104"/>
      <c r="E158" s="104"/>
      <c r="F158" s="9"/>
      <c r="G158" s="9" t="s">
        <v>553</v>
      </c>
      <c r="H158" s="9"/>
      <c r="I158" s="6"/>
      <c r="J158" s="9"/>
      <c r="K158" s="9"/>
      <c r="L158" s="9"/>
      <c r="M158" s="9"/>
    </row>
    <row r="159" spans="1:13" x14ac:dyDescent="0.2">
      <c r="A159" s="96">
        <v>43830</v>
      </c>
      <c r="B159" s="78" t="s">
        <v>235</v>
      </c>
      <c r="C159" s="78"/>
      <c r="D159" s="78"/>
      <c r="E159" s="78"/>
      <c r="F159" s="9"/>
      <c r="G159" s="9" t="s">
        <v>157</v>
      </c>
      <c r="H159" s="9"/>
      <c r="I159" s="9"/>
      <c r="J159" s="9"/>
      <c r="K159" s="9"/>
      <c r="L159" s="9"/>
      <c r="M159" s="9"/>
    </row>
    <row r="160" spans="1:13" x14ac:dyDescent="0.2">
      <c r="A160" s="1"/>
      <c r="B160" s="99" t="s">
        <v>2</v>
      </c>
      <c r="C160" s="104"/>
      <c r="D160" s="104">
        <v>7945.43</v>
      </c>
      <c r="E160" s="104"/>
      <c r="F160" s="9"/>
      <c r="G160" s="9"/>
      <c r="H160" s="9"/>
      <c r="I160" s="9"/>
      <c r="J160" s="9"/>
      <c r="K160" s="9"/>
      <c r="L160" s="9"/>
      <c r="M160" s="9"/>
    </row>
    <row r="161" spans="1:13" x14ac:dyDescent="0.2">
      <c r="A161" s="1"/>
      <c r="B161" s="1" t="s">
        <v>240</v>
      </c>
      <c r="C161" s="104"/>
      <c r="D161" s="104">
        <v>3125.58</v>
      </c>
      <c r="E161" s="104"/>
      <c r="F161" s="9"/>
      <c r="G161" s="3" t="s">
        <v>554</v>
      </c>
      <c r="H161" s="9"/>
      <c r="I161" s="9"/>
      <c r="J161" s="9"/>
      <c r="K161" s="9"/>
      <c r="L161" s="9"/>
      <c r="M161" s="9"/>
    </row>
    <row r="162" spans="1:13" x14ac:dyDescent="0.2">
      <c r="A162" s="1"/>
      <c r="B162" s="1" t="s">
        <v>236</v>
      </c>
      <c r="C162" s="104"/>
      <c r="D162" s="104"/>
      <c r="E162" s="104"/>
      <c r="F162" s="9"/>
      <c r="G162" s="9" t="s">
        <v>166</v>
      </c>
      <c r="H162" s="9"/>
      <c r="I162" s="9"/>
      <c r="J162" s="9"/>
      <c r="K162" s="9"/>
      <c r="L162" s="9"/>
      <c r="M162" s="9"/>
    </row>
    <row r="163" spans="1:13" x14ac:dyDescent="0.2">
      <c r="A163" s="1"/>
      <c r="B163" s="1" t="s">
        <v>241</v>
      </c>
      <c r="C163" s="104"/>
      <c r="D163" s="104"/>
      <c r="E163" s="104">
        <v>11071.01</v>
      </c>
      <c r="F163" s="9"/>
      <c r="G163" s="9" t="s">
        <v>167</v>
      </c>
      <c r="H163" s="9"/>
      <c r="I163" s="9"/>
      <c r="J163" s="9"/>
      <c r="K163" s="9"/>
      <c r="L163" s="9"/>
      <c r="M163" s="9"/>
    </row>
    <row r="164" spans="1:13" x14ac:dyDescent="0.2">
      <c r="A164" s="1"/>
      <c r="B164" s="1" t="s">
        <v>169</v>
      </c>
      <c r="C164" s="104">
        <v>10308.51</v>
      </c>
      <c r="D164" s="104"/>
      <c r="E164" s="104"/>
      <c r="F164" s="9"/>
      <c r="G164" s="9" t="s">
        <v>168</v>
      </c>
      <c r="H164" s="9"/>
      <c r="I164" s="9"/>
      <c r="J164" s="9"/>
      <c r="K164" s="9"/>
      <c r="L164" s="9"/>
      <c r="M164" s="9"/>
    </row>
    <row r="165" spans="1:13" x14ac:dyDescent="0.2">
      <c r="A165" s="1"/>
      <c r="B165" s="1" t="s">
        <v>170</v>
      </c>
      <c r="C165" s="104">
        <v>395</v>
      </c>
      <c r="D165" s="104"/>
      <c r="E165" s="104"/>
      <c r="F165" s="9"/>
      <c r="G165" s="9"/>
      <c r="H165" s="9"/>
      <c r="I165" s="9"/>
      <c r="J165" s="9"/>
      <c r="K165" s="9"/>
      <c r="L165" s="9"/>
      <c r="M165" s="9"/>
    </row>
    <row r="166" spans="1:13" x14ac:dyDescent="0.2">
      <c r="A166" s="1"/>
      <c r="B166" s="1" t="s">
        <v>171</v>
      </c>
      <c r="C166" s="104">
        <v>367.5</v>
      </c>
      <c r="D166" s="104"/>
      <c r="E166" s="104"/>
      <c r="F166" s="9"/>
      <c r="G166" s="9"/>
      <c r="H166" s="9"/>
      <c r="I166" s="9"/>
      <c r="J166" s="9"/>
      <c r="K166" s="9"/>
      <c r="L166" s="9"/>
      <c r="M166" s="9"/>
    </row>
    <row r="167" spans="1:13" x14ac:dyDescent="0.2">
      <c r="A167" s="1"/>
      <c r="B167" s="1" t="s">
        <v>237</v>
      </c>
      <c r="C167" s="104"/>
      <c r="D167" s="104"/>
      <c r="E167" s="104"/>
      <c r="F167" s="9"/>
      <c r="G167" s="3" t="s">
        <v>238</v>
      </c>
      <c r="H167" s="9"/>
      <c r="I167" s="9"/>
      <c r="J167" s="9"/>
      <c r="K167" s="9"/>
      <c r="L167" s="9"/>
      <c r="M167" s="9"/>
    </row>
    <row r="168" spans="1:13" x14ac:dyDescent="0.2">
      <c r="A168" s="80">
        <v>43830</v>
      </c>
      <c r="B168" s="1" t="s">
        <v>223</v>
      </c>
      <c r="C168" s="104"/>
      <c r="D168" s="104"/>
      <c r="E168" s="104"/>
      <c r="F168" s="9"/>
      <c r="G168" s="9" t="s">
        <v>172</v>
      </c>
      <c r="H168" s="9"/>
      <c r="I168" s="9"/>
      <c r="J168" s="9"/>
      <c r="K168" s="9"/>
      <c r="L168" s="9"/>
      <c r="M168" s="9"/>
    </row>
    <row r="169" spans="1:13" x14ac:dyDescent="0.2">
      <c r="A169" s="1"/>
      <c r="B169" s="81" t="s">
        <v>173</v>
      </c>
      <c r="C169" s="104"/>
      <c r="D169" s="104">
        <v>1069.5776000000001</v>
      </c>
      <c r="E169" s="104"/>
      <c r="F169" s="9"/>
      <c r="G169" s="9" t="s">
        <v>174</v>
      </c>
      <c r="H169" s="9"/>
      <c r="I169" s="9"/>
      <c r="J169" s="9"/>
      <c r="K169" s="9"/>
      <c r="L169" s="9"/>
      <c r="M169" s="9"/>
    </row>
    <row r="170" spans="1:13" x14ac:dyDescent="0.2">
      <c r="A170" s="1"/>
      <c r="B170" s="82" t="s">
        <v>175</v>
      </c>
      <c r="C170" s="104"/>
      <c r="D170" s="104"/>
      <c r="E170" s="104"/>
      <c r="F170" s="9"/>
      <c r="G170" s="9" t="s">
        <v>176</v>
      </c>
      <c r="H170" s="9"/>
      <c r="I170" s="9"/>
      <c r="J170" s="9"/>
      <c r="K170" s="9"/>
      <c r="L170" s="9"/>
      <c r="M170" s="9"/>
    </row>
    <row r="171" spans="1:13" x14ac:dyDescent="0.2">
      <c r="A171" s="1"/>
      <c r="B171" s="98" t="s">
        <v>239</v>
      </c>
      <c r="C171" s="104"/>
      <c r="D171" s="104"/>
      <c r="E171" s="104">
        <v>1069.5776000000001</v>
      </c>
      <c r="F171" s="9"/>
      <c r="G171" s="9" t="s">
        <v>177</v>
      </c>
      <c r="H171" s="9"/>
      <c r="I171" s="9"/>
      <c r="J171" s="9"/>
      <c r="K171" s="9"/>
      <c r="L171" s="9"/>
      <c r="M171" s="9"/>
    </row>
    <row r="172" spans="1:13" x14ac:dyDescent="0.2">
      <c r="A172" s="1"/>
      <c r="B172" s="82" t="s">
        <v>242</v>
      </c>
      <c r="C172" s="104"/>
      <c r="D172" s="104"/>
      <c r="E172" s="104"/>
      <c r="F172" s="9"/>
      <c r="G172" s="9" t="s">
        <v>178</v>
      </c>
      <c r="H172" s="9"/>
      <c r="I172" s="9"/>
      <c r="J172" s="9"/>
      <c r="K172" s="9"/>
      <c r="L172" s="9"/>
      <c r="M172" s="9"/>
    </row>
    <row r="173" spans="1:13" x14ac:dyDescent="0.2">
      <c r="A173" s="1"/>
      <c r="B173" s="83" t="s">
        <v>179</v>
      </c>
      <c r="C173" s="104"/>
      <c r="D173" s="104"/>
      <c r="E173" s="104"/>
      <c r="F173" s="9"/>
      <c r="G173" s="9" t="s">
        <v>180</v>
      </c>
      <c r="H173" s="6">
        <v>52850</v>
      </c>
      <c r="I173" s="9"/>
      <c r="J173" s="9"/>
      <c r="K173" s="9"/>
      <c r="L173" s="9"/>
      <c r="M173" s="9"/>
    </row>
    <row r="174" spans="1:13" ht="17.25" x14ac:dyDescent="0.35">
      <c r="A174" s="80">
        <v>43830</v>
      </c>
      <c r="B174" s="1" t="s">
        <v>224</v>
      </c>
      <c r="C174" s="104"/>
      <c r="D174" s="104"/>
      <c r="E174" s="104"/>
      <c r="F174" s="9"/>
      <c r="G174" s="9" t="s">
        <v>181</v>
      </c>
      <c r="H174" s="7">
        <v>21618.720000000001</v>
      </c>
      <c r="I174" s="9"/>
      <c r="J174" s="9"/>
      <c r="K174" s="9"/>
      <c r="L174" s="9"/>
      <c r="M174" s="9"/>
    </row>
    <row r="175" spans="1:13" ht="17.25" x14ac:dyDescent="0.35">
      <c r="A175" s="84"/>
      <c r="B175" s="85" t="s">
        <v>4</v>
      </c>
      <c r="C175" s="104"/>
      <c r="D175" s="104">
        <v>312.5</v>
      </c>
      <c r="E175" s="104"/>
      <c r="F175" s="9"/>
      <c r="G175" s="9" t="s">
        <v>182</v>
      </c>
      <c r="H175" s="6">
        <v>74468.72</v>
      </c>
      <c r="I175" s="9" t="s">
        <v>225</v>
      </c>
      <c r="J175" s="9"/>
      <c r="K175" s="9"/>
      <c r="L175" s="9"/>
      <c r="M175" s="9"/>
    </row>
    <row r="176" spans="1:13" x14ac:dyDescent="0.2">
      <c r="A176" s="84"/>
      <c r="B176" s="84" t="s">
        <v>183</v>
      </c>
      <c r="C176" s="104"/>
      <c r="D176" s="104"/>
      <c r="E176" s="104"/>
      <c r="F176" s="9"/>
      <c r="G176" s="90" t="s">
        <v>226</v>
      </c>
      <c r="H176" s="46">
        <v>13350</v>
      </c>
      <c r="I176" s="90"/>
      <c r="J176" s="90"/>
      <c r="K176" s="90"/>
      <c r="L176" s="90"/>
      <c r="M176" s="90"/>
    </row>
    <row r="177" spans="1:13" ht="17.25" x14ac:dyDescent="0.35">
      <c r="A177" s="84"/>
      <c r="B177" s="85" t="s">
        <v>184</v>
      </c>
      <c r="C177" s="104"/>
      <c r="D177" s="104">
        <v>312.5</v>
      </c>
      <c r="E177" s="104"/>
      <c r="F177" s="9"/>
      <c r="G177" s="90" t="s">
        <v>227</v>
      </c>
      <c r="H177" s="46"/>
      <c r="I177" s="90"/>
      <c r="J177" s="90"/>
      <c r="K177" s="90"/>
      <c r="L177" s="90"/>
      <c r="M177" s="90"/>
    </row>
    <row r="178" spans="1:13" x14ac:dyDescent="0.2">
      <c r="A178" s="84"/>
      <c r="B178" s="84" t="s">
        <v>185</v>
      </c>
      <c r="C178" s="104"/>
      <c r="D178" s="104"/>
      <c r="E178" s="104"/>
      <c r="F178" s="9"/>
      <c r="G178" s="90" t="s">
        <v>228</v>
      </c>
      <c r="H178" s="90"/>
      <c r="I178" s="90"/>
      <c r="J178" s="90"/>
      <c r="K178" s="90"/>
      <c r="L178" s="90"/>
      <c r="M178" s="90"/>
    </row>
    <row r="179" spans="1:13" ht="17.25" x14ac:dyDescent="0.35">
      <c r="A179" s="84"/>
      <c r="B179" s="89" t="s">
        <v>243</v>
      </c>
      <c r="C179" s="104"/>
      <c r="D179" s="104"/>
      <c r="E179" s="104">
        <v>625</v>
      </c>
      <c r="F179" s="9"/>
      <c r="G179" s="90" t="s">
        <v>229</v>
      </c>
      <c r="H179" s="91"/>
      <c r="I179" s="92">
        <v>1069.58</v>
      </c>
      <c r="J179" s="90"/>
      <c r="K179" s="90"/>
      <c r="L179" s="90"/>
      <c r="M179" s="90"/>
    </row>
    <row r="180" spans="1:13" x14ac:dyDescent="0.2">
      <c r="A180" s="84"/>
      <c r="B180" s="84" t="s">
        <v>186</v>
      </c>
      <c r="C180" s="104">
        <v>208.33333333333334</v>
      </c>
      <c r="D180" s="104"/>
      <c r="E180" s="104"/>
      <c r="F180" s="9"/>
      <c r="G180" s="9"/>
      <c r="H180" s="9"/>
      <c r="I180" s="9"/>
      <c r="J180" s="9"/>
      <c r="K180" s="9"/>
      <c r="L180" s="9"/>
      <c r="M180" s="9"/>
    </row>
    <row r="181" spans="1:13" x14ac:dyDescent="0.2">
      <c r="A181" s="84"/>
      <c r="B181" s="84" t="s">
        <v>187</v>
      </c>
      <c r="C181" s="104">
        <v>416.66666666666669</v>
      </c>
      <c r="D181" s="104"/>
      <c r="E181" s="104"/>
      <c r="F181" s="9"/>
      <c r="G181" s="3" t="s">
        <v>188</v>
      </c>
      <c r="H181" s="9"/>
      <c r="I181" s="9"/>
      <c r="J181" s="9"/>
      <c r="K181" s="9"/>
      <c r="L181" s="9"/>
      <c r="M181" s="9"/>
    </row>
    <row r="182" spans="1:13" x14ac:dyDescent="0.2">
      <c r="A182" s="84"/>
      <c r="B182" s="84" t="s">
        <v>189</v>
      </c>
      <c r="C182" s="104"/>
      <c r="D182" s="104"/>
      <c r="E182" s="104"/>
      <c r="F182" s="9"/>
      <c r="G182" s="3" t="s">
        <v>190</v>
      </c>
      <c r="H182" s="6"/>
      <c r="I182" s="6">
        <v>50000</v>
      </c>
      <c r="J182" s="9"/>
      <c r="K182" s="9"/>
      <c r="L182" s="9"/>
      <c r="M182" s="9"/>
    </row>
    <row r="183" spans="1:13" x14ac:dyDescent="0.2">
      <c r="A183" s="80">
        <v>43830</v>
      </c>
      <c r="B183" s="87" t="s">
        <v>191</v>
      </c>
      <c r="C183" s="104"/>
      <c r="D183" s="104"/>
      <c r="E183" s="104"/>
      <c r="F183" s="9"/>
      <c r="G183" s="9" t="s">
        <v>192</v>
      </c>
      <c r="H183" s="6"/>
      <c r="I183" s="6">
        <v>2500</v>
      </c>
      <c r="J183" s="9"/>
      <c r="K183" s="9"/>
      <c r="L183" s="9"/>
      <c r="M183" s="9"/>
    </row>
    <row r="184" spans="1:13" ht="17.25" x14ac:dyDescent="0.35">
      <c r="A184" s="84"/>
      <c r="B184" s="85" t="s">
        <v>29</v>
      </c>
      <c r="C184" s="104"/>
      <c r="D184" s="104">
        <v>375</v>
      </c>
      <c r="E184" s="104"/>
      <c r="F184" s="9"/>
      <c r="G184" s="9" t="s">
        <v>193</v>
      </c>
      <c r="H184" s="6"/>
      <c r="I184" s="6">
        <v>208.33333333333334</v>
      </c>
      <c r="J184" s="9"/>
      <c r="K184" s="9"/>
      <c r="L184" s="9"/>
      <c r="M184" s="9"/>
    </row>
    <row r="185" spans="1:13" x14ac:dyDescent="0.2">
      <c r="A185" s="84"/>
      <c r="B185" s="84" t="s">
        <v>194</v>
      </c>
      <c r="C185" s="104"/>
      <c r="D185" s="104"/>
      <c r="E185" s="104"/>
      <c r="F185" s="9"/>
      <c r="G185" s="3" t="s">
        <v>195</v>
      </c>
      <c r="H185" s="6"/>
      <c r="I185" s="6">
        <v>20000</v>
      </c>
      <c r="J185" s="9"/>
      <c r="K185" s="9"/>
      <c r="L185" s="9"/>
      <c r="M185" s="9"/>
    </row>
    <row r="186" spans="1:13" x14ac:dyDescent="0.2">
      <c r="A186" s="84"/>
      <c r="B186" s="89" t="s">
        <v>234</v>
      </c>
      <c r="C186" s="104"/>
      <c r="D186" s="104"/>
      <c r="E186" s="104">
        <v>375</v>
      </c>
      <c r="F186" s="9"/>
      <c r="G186" s="5" t="s">
        <v>196</v>
      </c>
      <c r="H186" s="6"/>
      <c r="I186" s="6">
        <v>5000</v>
      </c>
      <c r="J186" s="9"/>
      <c r="K186" s="9"/>
      <c r="L186" s="9"/>
      <c r="M186" s="9"/>
    </row>
    <row r="187" spans="1:13" x14ac:dyDescent="0.2">
      <c r="A187" s="84"/>
      <c r="B187" s="84" t="s">
        <v>197</v>
      </c>
      <c r="C187" s="104"/>
      <c r="D187" s="104"/>
      <c r="E187" s="104"/>
      <c r="F187" s="9"/>
      <c r="G187" s="5" t="s">
        <v>193</v>
      </c>
      <c r="H187" s="6"/>
      <c r="I187" s="6">
        <v>416.66666666666669</v>
      </c>
      <c r="J187" s="9"/>
      <c r="K187" s="9"/>
      <c r="L187" s="9"/>
      <c r="M187" s="9"/>
    </row>
    <row r="188" spans="1:13" x14ac:dyDescent="0.2">
      <c r="A188" s="84"/>
      <c r="B188" s="84" t="s">
        <v>198</v>
      </c>
      <c r="C188" s="104"/>
      <c r="D188" s="104"/>
      <c r="E188" s="104"/>
      <c r="F188" s="9"/>
      <c r="G188" s="9"/>
      <c r="H188" s="6"/>
      <c r="I188" s="6"/>
      <c r="J188" s="9"/>
      <c r="K188" s="9"/>
      <c r="L188" s="9"/>
      <c r="M188" s="9"/>
    </row>
    <row r="189" spans="1:13" x14ac:dyDescent="0.2">
      <c r="A189" s="80">
        <v>43830</v>
      </c>
      <c r="B189" s="87" t="s">
        <v>199</v>
      </c>
      <c r="C189" s="104"/>
      <c r="D189" s="104"/>
      <c r="E189" s="104"/>
      <c r="F189" s="9"/>
      <c r="G189" s="3" t="s">
        <v>200</v>
      </c>
      <c r="H189" s="6"/>
      <c r="I189" s="6"/>
      <c r="J189" s="9"/>
      <c r="K189" s="9"/>
      <c r="L189" s="9"/>
      <c r="M189" s="9"/>
    </row>
    <row r="190" spans="1:13" x14ac:dyDescent="0.2">
      <c r="A190" s="84"/>
      <c r="B190" s="89" t="s">
        <v>29</v>
      </c>
      <c r="C190" s="104"/>
      <c r="D190" s="104">
        <v>83.25</v>
      </c>
      <c r="E190" s="104"/>
      <c r="F190" s="9"/>
      <c r="G190" s="9" t="s">
        <v>201</v>
      </c>
      <c r="H190" s="6" t="s">
        <v>202</v>
      </c>
      <c r="I190" s="6">
        <v>1500</v>
      </c>
      <c r="J190" s="9"/>
      <c r="K190" s="9"/>
      <c r="L190" s="9"/>
      <c r="M190" s="9"/>
    </row>
    <row r="191" spans="1:13" x14ac:dyDescent="0.2">
      <c r="A191" s="84"/>
      <c r="B191" s="84" t="s">
        <v>203</v>
      </c>
      <c r="C191" s="104"/>
      <c r="D191" s="104"/>
      <c r="E191" s="104"/>
      <c r="F191" s="9"/>
      <c r="G191" s="9" t="s">
        <v>204</v>
      </c>
      <c r="H191" s="6"/>
      <c r="I191" s="6">
        <v>375</v>
      </c>
      <c r="J191" s="9"/>
      <c r="K191" s="9"/>
      <c r="L191" s="9"/>
      <c r="M191" s="9"/>
    </row>
    <row r="192" spans="1:13" x14ac:dyDescent="0.2">
      <c r="A192" s="84"/>
      <c r="B192" s="89" t="s">
        <v>234</v>
      </c>
      <c r="C192" s="104"/>
      <c r="D192" s="104"/>
      <c r="E192" s="104">
        <v>83.25</v>
      </c>
      <c r="F192" s="9"/>
      <c r="G192" s="9"/>
      <c r="H192" s="6"/>
      <c r="I192" s="6"/>
      <c r="J192" s="9"/>
      <c r="K192" s="9"/>
      <c r="L192" s="9"/>
      <c r="M192" s="9"/>
    </row>
    <row r="193" spans="1:13" x14ac:dyDescent="0.2">
      <c r="A193" s="84"/>
      <c r="B193" s="84" t="s">
        <v>205</v>
      </c>
      <c r="C193" s="104"/>
      <c r="D193" s="104"/>
      <c r="E193" s="104"/>
      <c r="F193" s="9"/>
      <c r="G193" s="3" t="s">
        <v>206</v>
      </c>
      <c r="H193" s="6"/>
      <c r="I193" s="6" t="s">
        <v>230</v>
      </c>
      <c r="J193" s="9"/>
      <c r="K193" s="9"/>
      <c r="L193" s="9"/>
      <c r="M193" s="9"/>
    </row>
    <row r="194" spans="1:13" x14ac:dyDescent="0.2">
      <c r="A194" s="84"/>
      <c r="B194" s="84" t="s">
        <v>207</v>
      </c>
      <c r="C194" s="104"/>
      <c r="D194" s="104"/>
      <c r="E194" s="104"/>
      <c r="F194" s="9"/>
      <c r="G194" s="9" t="s">
        <v>208</v>
      </c>
      <c r="H194" s="8">
        <v>999</v>
      </c>
      <c r="I194" s="6">
        <f>H194/12</f>
        <v>83.25</v>
      </c>
      <c r="J194" s="9"/>
      <c r="K194" s="9"/>
      <c r="L194" s="9"/>
      <c r="M194" s="9"/>
    </row>
    <row r="195" spans="1:13" x14ac:dyDescent="0.2">
      <c r="A195" s="80">
        <v>43830</v>
      </c>
      <c r="B195" s="87" t="s">
        <v>231</v>
      </c>
      <c r="C195" s="104"/>
      <c r="D195" s="104"/>
      <c r="E195" s="104"/>
      <c r="F195" s="9"/>
      <c r="G195" s="9" t="s">
        <v>209</v>
      </c>
      <c r="H195" s="6"/>
      <c r="I195" s="6"/>
      <c r="J195" s="9"/>
      <c r="K195" s="9"/>
      <c r="L195" s="9"/>
      <c r="M195" s="9"/>
    </row>
    <row r="196" spans="1:13" x14ac:dyDescent="0.2">
      <c r="A196" s="84"/>
      <c r="B196" s="89" t="s">
        <v>232</v>
      </c>
      <c r="C196" s="104"/>
      <c r="D196" s="104">
        <f>E197+E198+E199+E200</f>
        <v>45391.56</v>
      </c>
      <c r="E196" s="104"/>
      <c r="F196" s="9"/>
      <c r="G196" s="9" t="s">
        <v>210</v>
      </c>
      <c r="H196" s="6"/>
      <c r="I196" s="6"/>
      <c r="J196" s="9"/>
      <c r="K196" s="9"/>
      <c r="L196" s="9"/>
      <c r="M196" s="9"/>
    </row>
    <row r="197" spans="1:13" x14ac:dyDescent="0.2">
      <c r="A197" s="84"/>
      <c r="B197" s="89" t="s">
        <v>255</v>
      </c>
      <c r="C197" s="104"/>
      <c r="D197" s="104"/>
      <c r="E197" s="104">
        <v>2158.23</v>
      </c>
      <c r="F197" s="9"/>
      <c r="G197" s="9" t="s">
        <v>211</v>
      </c>
      <c r="H197" s="6"/>
      <c r="I197" s="6"/>
      <c r="J197" s="9"/>
      <c r="K197" s="9"/>
      <c r="L197" s="9"/>
      <c r="M197" s="9"/>
    </row>
    <row r="198" spans="1:13" ht="17.25" x14ac:dyDescent="0.35">
      <c r="A198" s="84"/>
      <c r="B198" s="89" t="s">
        <v>253</v>
      </c>
      <c r="C198" s="104"/>
      <c r="D198" s="105"/>
      <c r="E198" s="104">
        <v>3471.63</v>
      </c>
      <c r="F198" s="9"/>
      <c r="G198" s="9" t="s">
        <v>264</v>
      </c>
      <c r="H198" s="6"/>
      <c r="I198" s="6"/>
      <c r="J198" s="9"/>
      <c r="K198" s="9"/>
      <c r="L198" s="9"/>
      <c r="M198" s="9"/>
    </row>
    <row r="199" spans="1:13" ht="17.25" x14ac:dyDescent="0.35">
      <c r="A199" s="84"/>
      <c r="B199" s="89" t="s">
        <v>585</v>
      </c>
      <c r="C199" s="104"/>
      <c r="D199" s="124"/>
      <c r="E199" s="104">
        <v>39761.699999999997</v>
      </c>
      <c r="F199" s="9"/>
      <c r="G199" s="9" t="s">
        <v>212</v>
      </c>
      <c r="H199" s="6"/>
      <c r="I199" s="6"/>
      <c r="J199" s="9"/>
      <c r="K199" s="9"/>
      <c r="L199" s="9"/>
      <c r="M199" s="9"/>
    </row>
    <row r="200" spans="1:13" x14ac:dyDescent="0.2">
      <c r="A200" s="84"/>
      <c r="B200" s="84" t="s">
        <v>586</v>
      </c>
      <c r="C200" s="104"/>
      <c r="D200" s="104"/>
      <c r="E200" s="104"/>
      <c r="F200" s="9"/>
      <c r="G200" s="9" t="s">
        <v>213</v>
      </c>
      <c r="H200" s="6"/>
      <c r="I200" s="6"/>
      <c r="J200" s="9"/>
      <c r="K200" s="9"/>
      <c r="L200" s="9"/>
      <c r="M200" s="9"/>
    </row>
    <row r="201" spans="1:13" x14ac:dyDescent="0.2">
      <c r="A201" s="84"/>
      <c r="B201" s="84" t="s">
        <v>587</v>
      </c>
      <c r="C201" s="104"/>
      <c r="D201" s="104"/>
      <c r="E201" s="104"/>
      <c r="F201" s="9"/>
      <c r="G201" s="9"/>
      <c r="H201" s="6"/>
      <c r="I201" s="6"/>
      <c r="J201" s="9"/>
      <c r="K201" s="9"/>
      <c r="L201" s="9"/>
      <c r="M201" s="9"/>
    </row>
    <row r="202" spans="1:13" x14ac:dyDescent="0.2">
      <c r="A202" s="80">
        <v>43830</v>
      </c>
      <c r="B202" s="87" t="s">
        <v>244</v>
      </c>
      <c r="C202" s="104"/>
      <c r="D202" s="104"/>
      <c r="E202" s="104"/>
      <c r="F202" s="9"/>
      <c r="G202" s="9" t="s">
        <v>214</v>
      </c>
      <c r="H202" s="6"/>
      <c r="I202" s="6"/>
      <c r="J202" s="9"/>
      <c r="K202" s="9"/>
      <c r="L202" s="9"/>
      <c r="M202" s="9"/>
    </row>
    <row r="203" spans="1:13" x14ac:dyDescent="0.2">
      <c r="A203" s="50"/>
      <c r="B203" s="84" t="s">
        <v>126</v>
      </c>
      <c r="C203" s="104"/>
      <c r="D203" s="104">
        <f>'L. Mayor'!C44</f>
        <v>61118.720000000001</v>
      </c>
      <c r="E203" s="104"/>
      <c r="F203" s="9"/>
      <c r="G203" s="9" t="s">
        <v>215</v>
      </c>
      <c r="H203" s="6">
        <f>E209</f>
        <v>1100.9012</v>
      </c>
      <c r="I203" s="6" t="s">
        <v>267</v>
      </c>
      <c r="J203" s="9"/>
      <c r="K203" s="9"/>
      <c r="L203" s="9"/>
      <c r="M203" s="9"/>
    </row>
    <row r="204" spans="1:13" x14ac:dyDescent="0.2">
      <c r="A204" s="84"/>
      <c r="B204" s="84" t="s">
        <v>259</v>
      </c>
      <c r="C204" s="104"/>
      <c r="D204" s="104"/>
      <c r="E204" s="104">
        <v>61118.720000000001</v>
      </c>
      <c r="F204" s="9"/>
      <c r="G204" s="9" t="s">
        <v>216</v>
      </c>
      <c r="H204" s="6">
        <f>E210</f>
        <v>3656.5646999999999</v>
      </c>
      <c r="I204" s="6"/>
      <c r="J204" s="9"/>
      <c r="K204" s="9"/>
      <c r="L204" s="9"/>
      <c r="M204" s="9"/>
    </row>
    <row r="205" spans="1:13" x14ac:dyDescent="0.2">
      <c r="A205" s="84"/>
      <c r="B205" s="84" t="s">
        <v>258</v>
      </c>
      <c r="C205" s="104"/>
      <c r="D205" s="104"/>
      <c r="E205" s="104"/>
      <c r="F205" s="9"/>
      <c r="G205" s="9" t="s">
        <v>217</v>
      </c>
      <c r="H205" s="6">
        <f>D207-E209-E210</f>
        <v>10968.444100000001</v>
      </c>
      <c r="I205" s="6"/>
      <c r="J205" s="9"/>
      <c r="K205" s="9"/>
      <c r="L205" s="9"/>
      <c r="M205" s="9"/>
    </row>
    <row r="206" spans="1:13" x14ac:dyDescent="0.2">
      <c r="A206" s="80">
        <v>43830</v>
      </c>
      <c r="B206" s="87" t="s">
        <v>260</v>
      </c>
      <c r="C206" s="104"/>
      <c r="D206" s="104"/>
      <c r="E206" s="104"/>
      <c r="F206" s="9"/>
      <c r="G206" s="9"/>
      <c r="H206" s="6"/>
      <c r="I206" s="6"/>
      <c r="J206" s="9"/>
      <c r="K206" s="9"/>
      <c r="L206" s="9"/>
      <c r="M206" s="9"/>
    </row>
    <row r="207" spans="1:13" x14ac:dyDescent="0.2">
      <c r="A207" s="84"/>
      <c r="B207" s="84" t="s">
        <v>232</v>
      </c>
      <c r="C207" s="104"/>
      <c r="D207" s="104">
        <v>15725.91</v>
      </c>
      <c r="E207" s="104"/>
      <c r="F207" s="9"/>
      <c r="G207" s="9" t="s">
        <v>218</v>
      </c>
      <c r="H207" s="6"/>
      <c r="I207" s="6"/>
      <c r="J207" s="9"/>
      <c r="K207" s="9"/>
      <c r="L207" s="9"/>
      <c r="M207" s="9"/>
    </row>
    <row r="208" spans="1:13" x14ac:dyDescent="0.2">
      <c r="A208" s="84"/>
      <c r="B208" s="84" t="s">
        <v>261</v>
      </c>
      <c r="C208" s="104"/>
      <c r="D208" s="104"/>
      <c r="E208" s="104">
        <f>D207-E209-E210</f>
        <v>10968.444100000001</v>
      </c>
      <c r="F208" s="9"/>
      <c r="G208" s="9" t="s">
        <v>265</v>
      </c>
      <c r="H208" s="6"/>
      <c r="I208" s="6"/>
      <c r="J208" s="9"/>
      <c r="K208" s="9"/>
      <c r="L208" s="9"/>
      <c r="M208" s="9"/>
    </row>
    <row r="209" spans="1:13" x14ac:dyDescent="0.2">
      <c r="A209" s="84"/>
      <c r="B209" s="84" t="s">
        <v>262</v>
      </c>
      <c r="C209" s="104"/>
      <c r="D209" s="104"/>
      <c r="E209" s="104">
        <f>(D207+1.25)*0.07</f>
        <v>1100.9012</v>
      </c>
      <c r="F209" s="9"/>
      <c r="G209" s="9" t="s">
        <v>219</v>
      </c>
      <c r="H209" s="6"/>
      <c r="I209" s="6"/>
      <c r="J209" s="9"/>
      <c r="K209" s="9"/>
      <c r="L209" s="9"/>
      <c r="M209" s="9"/>
    </row>
    <row r="210" spans="1:13" x14ac:dyDescent="0.2">
      <c r="A210" s="84"/>
      <c r="B210" s="84" t="s">
        <v>263</v>
      </c>
      <c r="C210" s="104"/>
      <c r="D210" s="104"/>
      <c r="E210" s="104">
        <f>(D207+1.25-E209)*0.25</f>
        <v>3656.5646999999999</v>
      </c>
      <c r="F210" s="9"/>
      <c r="G210" s="9" t="s">
        <v>221</v>
      </c>
      <c r="H210" s="6"/>
      <c r="I210" s="6"/>
      <c r="J210" s="9"/>
      <c r="K210" s="9"/>
      <c r="L210" s="9"/>
      <c r="M210" s="9"/>
    </row>
    <row r="211" spans="1:13" x14ac:dyDescent="0.2">
      <c r="A211" s="84"/>
      <c r="B211" s="84" t="s">
        <v>268</v>
      </c>
      <c r="C211" s="104"/>
      <c r="D211" s="104"/>
      <c r="E211" s="104"/>
      <c r="F211" s="9"/>
      <c r="G211" s="9"/>
      <c r="H211" s="6"/>
      <c r="I211" s="6"/>
      <c r="J211" s="9"/>
      <c r="K211" s="9"/>
      <c r="L211" s="9"/>
      <c r="M211" s="9"/>
    </row>
    <row r="212" spans="1:13" x14ac:dyDescent="0.2">
      <c r="A212" s="84"/>
      <c r="B212" s="84"/>
      <c r="C212" s="104"/>
      <c r="D212" s="104"/>
      <c r="E212" s="104"/>
      <c r="F212" s="9"/>
      <c r="G212" s="9"/>
      <c r="H212" s="6"/>
      <c r="I212" s="6"/>
      <c r="J212" s="9"/>
      <c r="K212" s="9"/>
      <c r="L212" s="9"/>
      <c r="M212" s="9"/>
    </row>
    <row r="213" spans="1:13" x14ac:dyDescent="0.2">
      <c r="A213" s="84"/>
      <c r="B213" s="84"/>
      <c r="C213" s="104"/>
      <c r="D213" s="104">
        <f>SUM(D207:D212)</f>
        <v>15725.91</v>
      </c>
      <c r="E213" s="104">
        <f>SUM(E208:E212)</f>
        <v>15725.91</v>
      </c>
      <c r="F213" s="9"/>
      <c r="G213" s="9" t="s">
        <v>222</v>
      </c>
      <c r="H213" s="6"/>
      <c r="I213" s="6"/>
      <c r="J213" s="9"/>
      <c r="K213" s="9"/>
      <c r="L213" s="9"/>
      <c r="M213" s="9"/>
    </row>
    <row r="214" spans="1:13" x14ac:dyDescent="0.2">
      <c r="A214" s="1"/>
      <c r="B214" s="1"/>
      <c r="C214" s="104"/>
      <c r="D214" s="104"/>
      <c r="E214" s="104"/>
      <c r="F214" s="9"/>
      <c r="G214" s="9"/>
      <c r="H214" s="9"/>
      <c r="I214" s="9"/>
      <c r="J214" s="9"/>
      <c r="K214" s="9"/>
      <c r="L214" s="9"/>
      <c r="M214" s="9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4"/>
  <sheetViews>
    <sheetView topLeftCell="A50" workbookViewId="0">
      <selection activeCell="K76" sqref="K76"/>
    </sheetView>
  </sheetViews>
  <sheetFormatPr defaultColWidth="10.76171875" defaultRowHeight="15" x14ac:dyDescent="0.2"/>
  <cols>
    <col min="1" max="1" width="10.89453125" customWidth="1"/>
    <col min="2" max="2" width="44.12109375" customWidth="1"/>
    <col min="4" max="4" width="13.31640625" customWidth="1"/>
    <col min="5" max="5" width="13.046875" customWidth="1"/>
  </cols>
  <sheetData>
    <row r="1" spans="1:12" x14ac:dyDescent="0.2">
      <c r="A1" s="9" t="s">
        <v>155</v>
      </c>
      <c r="B1" s="5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">
      <c r="A2" s="9" t="s">
        <v>156</v>
      </c>
      <c r="B2" s="9"/>
      <c r="C2" s="9"/>
      <c r="D2" s="9"/>
      <c r="E2" s="9"/>
      <c r="F2" s="9"/>
      <c r="G2" s="9" t="s">
        <v>157</v>
      </c>
      <c r="H2" s="9"/>
      <c r="I2" s="9"/>
      <c r="J2" s="9"/>
      <c r="K2" s="9"/>
      <c r="L2" s="9"/>
    </row>
    <row r="3" spans="1:12" x14ac:dyDescent="0.2">
      <c r="A3" s="9" t="s">
        <v>158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">
      <c r="A4" s="9" t="s">
        <v>159</v>
      </c>
      <c r="B4" s="9"/>
      <c r="C4" s="9"/>
      <c r="D4" s="9"/>
      <c r="E4" s="9"/>
      <c r="F4" s="9"/>
      <c r="G4" s="3" t="s">
        <v>160</v>
      </c>
      <c r="H4" s="9"/>
      <c r="I4" s="9"/>
      <c r="J4" s="9"/>
      <c r="K4" s="9"/>
      <c r="L4" s="9"/>
    </row>
    <row r="5" spans="1:12" x14ac:dyDescent="0.2">
      <c r="A5" s="78" t="s">
        <v>161</v>
      </c>
      <c r="B5" s="78" t="s">
        <v>162</v>
      </c>
      <c r="C5" s="78" t="s">
        <v>163</v>
      </c>
      <c r="D5" s="78" t="s">
        <v>164</v>
      </c>
      <c r="E5" s="78" t="s">
        <v>165</v>
      </c>
      <c r="F5" s="9"/>
      <c r="G5" s="9" t="s">
        <v>166</v>
      </c>
      <c r="H5" s="9"/>
      <c r="I5" s="9"/>
      <c r="J5" s="9"/>
      <c r="K5" s="9"/>
      <c r="L5" s="9"/>
    </row>
    <row r="6" spans="1:12" x14ac:dyDescent="0.2">
      <c r="A6" s="96">
        <v>43830</v>
      </c>
      <c r="B6" s="78" t="s">
        <v>235</v>
      </c>
      <c r="C6" s="78"/>
      <c r="D6" s="78"/>
      <c r="E6" s="78"/>
      <c r="F6" s="9"/>
      <c r="G6" s="9" t="s">
        <v>167</v>
      </c>
      <c r="H6" s="9"/>
      <c r="I6" s="9"/>
      <c r="J6" s="9"/>
      <c r="K6" s="9"/>
      <c r="L6" s="9"/>
    </row>
    <row r="7" spans="1:12" x14ac:dyDescent="0.2">
      <c r="A7" s="1"/>
      <c r="B7" s="99" t="s">
        <v>2</v>
      </c>
      <c r="C7" s="79"/>
      <c r="D7" s="97">
        <v>7945.43</v>
      </c>
      <c r="E7" s="79"/>
      <c r="F7" s="9"/>
      <c r="G7" s="9" t="s">
        <v>168</v>
      </c>
      <c r="H7" s="9"/>
      <c r="I7" s="9"/>
      <c r="J7" s="9"/>
      <c r="K7" s="9"/>
      <c r="L7" s="9"/>
    </row>
    <row r="8" spans="1:12" s="9" customFormat="1" x14ac:dyDescent="0.2">
      <c r="A8" s="1"/>
      <c r="B8" s="1" t="s">
        <v>240</v>
      </c>
      <c r="C8" s="79"/>
      <c r="D8" s="97">
        <v>3125.58</v>
      </c>
      <c r="E8" s="79"/>
    </row>
    <row r="9" spans="1:12" x14ac:dyDescent="0.2">
      <c r="A9" s="1"/>
      <c r="B9" s="1" t="s">
        <v>236</v>
      </c>
      <c r="C9" s="79"/>
      <c r="D9" s="79"/>
      <c r="E9" s="79"/>
      <c r="F9" s="9"/>
      <c r="G9" s="9"/>
      <c r="H9" s="9"/>
      <c r="I9" s="9"/>
      <c r="J9" s="9"/>
      <c r="K9" s="9"/>
      <c r="L9" s="9"/>
    </row>
    <row r="10" spans="1:12" s="9" customFormat="1" x14ac:dyDescent="0.2">
      <c r="A10" s="1"/>
      <c r="B10" s="1" t="s">
        <v>241</v>
      </c>
      <c r="C10" s="79"/>
      <c r="D10" s="79"/>
      <c r="E10" s="97">
        <v>11071.01</v>
      </c>
    </row>
    <row r="11" spans="1:12" s="9" customFormat="1" x14ac:dyDescent="0.2">
      <c r="A11" s="1"/>
      <c r="B11" s="1" t="s">
        <v>169</v>
      </c>
      <c r="C11" s="97">
        <v>10308.51</v>
      </c>
      <c r="D11" s="79"/>
      <c r="E11" s="79"/>
    </row>
    <row r="12" spans="1:12" s="9" customFormat="1" x14ac:dyDescent="0.2">
      <c r="A12" s="1"/>
      <c r="B12" s="1" t="s">
        <v>170</v>
      </c>
      <c r="C12" s="97">
        <v>395</v>
      </c>
      <c r="D12" s="79"/>
      <c r="E12" s="79"/>
    </row>
    <row r="13" spans="1:12" x14ac:dyDescent="0.2">
      <c r="A13" s="1"/>
      <c r="B13" s="1" t="s">
        <v>171</v>
      </c>
      <c r="C13" s="97">
        <v>367.5</v>
      </c>
      <c r="D13" s="79"/>
      <c r="E13" s="79"/>
      <c r="F13" s="9"/>
      <c r="G13" s="9"/>
      <c r="H13" s="9"/>
      <c r="I13" s="9"/>
      <c r="J13" s="9"/>
      <c r="K13" s="9"/>
      <c r="L13" s="9"/>
    </row>
    <row r="14" spans="1:12" x14ac:dyDescent="0.2">
      <c r="A14" s="1"/>
      <c r="B14" s="1" t="s">
        <v>237</v>
      </c>
      <c r="C14" s="79"/>
      <c r="D14" s="79"/>
      <c r="E14" s="79"/>
      <c r="F14" s="9"/>
      <c r="G14" s="3" t="s">
        <v>238</v>
      </c>
      <c r="H14" s="9"/>
      <c r="I14" s="9"/>
      <c r="J14" s="9"/>
      <c r="K14" s="9"/>
      <c r="L14" s="9"/>
    </row>
    <row r="15" spans="1:12" x14ac:dyDescent="0.2">
      <c r="A15" s="80">
        <v>43830</v>
      </c>
      <c r="B15" s="1" t="s">
        <v>223</v>
      </c>
      <c r="C15" s="79"/>
      <c r="D15" s="79"/>
      <c r="E15" s="79"/>
      <c r="F15" s="9"/>
      <c r="G15" s="9" t="s">
        <v>172</v>
      </c>
      <c r="H15" s="9"/>
      <c r="I15" s="9"/>
      <c r="J15" s="9"/>
      <c r="K15" s="9"/>
      <c r="L15" s="9"/>
    </row>
    <row r="16" spans="1:12" x14ac:dyDescent="0.2">
      <c r="A16" s="1"/>
      <c r="B16" s="81" t="s">
        <v>173</v>
      </c>
      <c r="C16" s="79"/>
      <c r="D16" s="79">
        <v>1069.5776000000001</v>
      </c>
      <c r="E16" s="79"/>
      <c r="F16" s="9"/>
      <c r="G16" s="9" t="s">
        <v>174</v>
      </c>
      <c r="H16" s="9"/>
      <c r="I16" s="9"/>
      <c r="J16" s="9"/>
      <c r="K16" s="9"/>
      <c r="L16" s="9"/>
    </row>
    <row r="17" spans="1:13" x14ac:dyDescent="0.2">
      <c r="A17" s="1"/>
      <c r="B17" s="82" t="s">
        <v>175</v>
      </c>
      <c r="C17" s="79"/>
      <c r="D17" s="79"/>
      <c r="E17" s="79"/>
      <c r="F17" s="9"/>
      <c r="G17" s="9" t="s">
        <v>176</v>
      </c>
      <c r="H17" s="9"/>
      <c r="I17" s="9"/>
      <c r="J17" s="9"/>
      <c r="K17" s="9"/>
      <c r="L17" s="9"/>
    </row>
    <row r="18" spans="1:13" x14ac:dyDescent="0.2">
      <c r="A18" s="1"/>
      <c r="B18" s="98" t="s">
        <v>239</v>
      </c>
      <c r="C18" s="79"/>
      <c r="D18" s="79"/>
      <c r="E18" s="79">
        <v>1069.5776000000001</v>
      </c>
      <c r="F18" s="9"/>
      <c r="G18" s="9" t="s">
        <v>177</v>
      </c>
      <c r="H18" s="9"/>
      <c r="I18" s="9"/>
      <c r="J18" s="9"/>
      <c r="K18" s="9"/>
      <c r="L18" s="9"/>
    </row>
    <row r="19" spans="1:13" x14ac:dyDescent="0.2">
      <c r="A19" s="1"/>
      <c r="B19" s="82" t="s">
        <v>242</v>
      </c>
      <c r="C19" s="79"/>
      <c r="D19" s="79"/>
      <c r="E19" s="79"/>
      <c r="F19" s="9"/>
      <c r="G19" s="9" t="s">
        <v>178</v>
      </c>
      <c r="H19" s="9"/>
      <c r="I19" s="9"/>
      <c r="J19" s="9"/>
      <c r="K19" s="9"/>
      <c r="L19" s="9"/>
    </row>
    <row r="20" spans="1:13" x14ac:dyDescent="0.2">
      <c r="A20" s="1"/>
      <c r="B20" s="83" t="s">
        <v>179</v>
      </c>
      <c r="C20" s="79"/>
      <c r="D20" s="79"/>
      <c r="E20" s="79"/>
      <c r="F20" s="9"/>
      <c r="G20" s="9" t="s">
        <v>180</v>
      </c>
      <c r="H20" s="6">
        <v>52850</v>
      </c>
      <c r="I20" s="9"/>
      <c r="J20" s="9"/>
      <c r="K20" s="9"/>
      <c r="L20" s="9"/>
    </row>
    <row r="21" spans="1:13" ht="17.25" x14ac:dyDescent="0.35">
      <c r="A21" s="80">
        <v>43830</v>
      </c>
      <c r="B21" s="1" t="s">
        <v>224</v>
      </c>
      <c r="C21" s="79"/>
      <c r="D21" s="79"/>
      <c r="E21" s="79"/>
      <c r="F21" s="9"/>
      <c r="G21" s="9" t="s">
        <v>181</v>
      </c>
      <c r="H21" s="7">
        <v>21618.720000000001</v>
      </c>
      <c r="I21" s="9"/>
      <c r="J21" s="9"/>
      <c r="K21" s="9"/>
      <c r="L21" s="9"/>
    </row>
    <row r="22" spans="1:13" ht="17.25" x14ac:dyDescent="0.35">
      <c r="A22" s="84"/>
      <c r="B22" s="85" t="s">
        <v>4</v>
      </c>
      <c r="C22" s="86"/>
      <c r="D22" s="86">
        <v>312.5</v>
      </c>
      <c r="E22" s="86"/>
      <c r="F22" s="9"/>
      <c r="G22" s="9" t="s">
        <v>182</v>
      </c>
      <c r="H22" s="6">
        <v>74468.72</v>
      </c>
      <c r="I22" s="9" t="s">
        <v>225</v>
      </c>
      <c r="J22" s="9"/>
      <c r="K22" s="9"/>
      <c r="L22" s="9"/>
    </row>
    <row r="23" spans="1:13" x14ac:dyDescent="0.2">
      <c r="A23" s="84"/>
      <c r="B23" s="84" t="s">
        <v>183</v>
      </c>
      <c r="C23" s="86"/>
      <c r="D23" s="86"/>
      <c r="E23" s="86"/>
      <c r="F23" s="9"/>
      <c r="G23" s="90" t="s">
        <v>226</v>
      </c>
      <c r="H23" s="46">
        <v>13350</v>
      </c>
      <c r="I23" s="90"/>
      <c r="J23" s="90"/>
      <c r="K23" s="90"/>
      <c r="L23" s="90"/>
      <c r="M23" s="90"/>
    </row>
    <row r="24" spans="1:13" ht="17.25" x14ac:dyDescent="0.35">
      <c r="A24" s="84"/>
      <c r="B24" s="85" t="s">
        <v>184</v>
      </c>
      <c r="C24" s="86"/>
      <c r="D24" s="86">
        <v>312.5</v>
      </c>
      <c r="E24" s="86"/>
      <c r="F24" s="9"/>
      <c r="G24" s="90" t="s">
        <v>227</v>
      </c>
      <c r="H24" s="46"/>
      <c r="I24" s="90"/>
      <c r="J24" s="90"/>
      <c r="K24" s="90"/>
      <c r="L24" s="90"/>
      <c r="M24" s="90"/>
    </row>
    <row r="25" spans="1:13" x14ac:dyDescent="0.2">
      <c r="A25" s="84"/>
      <c r="B25" s="84" t="s">
        <v>185</v>
      </c>
      <c r="C25" s="86"/>
      <c r="D25" s="86"/>
      <c r="E25" s="86"/>
      <c r="F25" s="9"/>
      <c r="G25" s="90" t="s">
        <v>228</v>
      </c>
      <c r="H25" s="90"/>
      <c r="I25" s="90"/>
      <c r="J25" s="90"/>
      <c r="K25" s="90"/>
      <c r="L25" s="90"/>
      <c r="M25" s="90"/>
    </row>
    <row r="26" spans="1:13" ht="17.25" x14ac:dyDescent="0.35">
      <c r="A26" s="84"/>
      <c r="B26" s="89" t="s">
        <v>243</v>
      </c>
      <c r="C26" s="86"/>
      <c r="D26" s="86"/>
      <c r="E26" s="86">
        <v>625</v>
      </c>
      <c r="F26" s="9"/>
      <c r="G26" s="90" t="s">
        <v>229</v>
      </c>
      <c r="H26" s="91"/>
      <c r="I26" s="92">
        <v>1069.58</v>
      </c>
      <c r="J26" s="90"/>
      <c r="K26" s="90"/>
      <c r="L26" s="90"/>
      <c r="M26" s="90"/>
    </row>
    <row r="27" spans="1:13" x14ac:dyDescent="0.2">
      <c r="A27" s="84"/>
      <c r="B27" s="84" t="s">
        <v>186</v>
      </c>
      <c r="C27" s="86">
        <v>208.33333333333334</v>
      </c>
      <c r="D27" s="86"/>
      <c r="E27" s="86"/>
      <c r="F27" s="9"/>
      <c r="G27" s="9"/>
      <c r="H27" s="9"/>
      <c r="I27" s="9"/>
      <c r="J27" s="9"/>
      <c r="K27" s="9"/>
      <c r="L27" s="9"/>
    </row>
    <row r="28" spans="1:13" x14ac:dyDescent="0.2">
      <c r="A28" s="84"/>
      <c r="B28" s="84" t="s">
        <v>187</v>
      </c>
      <c r="C28" s="84">
        <v>416.66666666666669</v>
      </c>
      <c r="D28" s="84"/>
      <c r="E28" s="84"/>
      <c r="F28" s="9"/>
      <c r="G28" s="3" t="s">
        <v>188</v>
      </c>
      <c r="H28" s="9"/>
      <c r="I28" s="9"/>
      <c r="J28" s="9"/>
      <c r="K28" s="9"/>
      <c r="L28" s="9"/>
    </row>
    <row r="29" spans="1:13" x14ac:dyDescent="0.2">
      <c r="A29" s="84"/>
      <c r="B29" s="84" t="s">
        <v>189</v>
      </c>
      <c r="C29" s="84"/>
      <c r="D29" s="84"/>
      <c r="E29" s="84"/>
      <c r="F29" s="9"/>
      <c r="G29" s="3" t="s">
        <v>190</v>
      </c>
      <c r="H29" s="6"/>
      <c r="I29" s="6">
        <v>50000</v>
      </c>
      <c r="J29" s="9"/>
      <c r="K29" s="9"/>
      <c r="L29" s="9"/>
    </row>
    <row r="30" spans="1:13" x14ac:dyDescent="0.2">
      <c r="A30" s="80">
        <v>43830</v>
      </c>
      <c r="B30" s="87" t="s">
        <v>191</v>
      </c>
      <c r="C30" s="84"/>
      <c r="D30" s="84"/>
      <c r="E30" s="84"/>
      <c r="F30" s="9"/>
      <c r="G30" s="9" t="s">
        <v>192</v>
      </c>
      <c r="H30" s="6"/>
      <c r="I30" s="6">
        <v>2500</v>
      </c>
      <c r="J30" s="9"/>
      <c r="K30" s="9"/>
      <c r="L30" s="9"/>
    </row>
    <row r="31" spans="1:13" ht="17.25" x14ac:dyDescent="0.35">
      <c r="A31" s="84"/>
      <c r="B31" s="85" t="s">
        <v>29</v>
      </c>
      <c r="C31" s="84"/>
      <c r="D31" s="84">
        <v>375</v>
      </c>
      <c r="E31" s="84"/>
      <c r="F31" s="9"/>
      <c r="G31" s="9" t="s">
        <v>193</v>
      </c>
      <c r="H31" s="6"/>
      <c r="I31" s="6">
        <v>208.33333333333334</v>
      </c>
      <c r="J31" s="9"/>
      <c r="K31" s="9"/>
      <c r="L31" s="9"/>
    </row>
    <row r="32" spans="1:13" x14ac:dyDescent="0.2">
      <c r="A32" s="84"/>
      <c r="B32" s="84" t="s">
        <v>194</v>
      </c>
      <c r="C32" s="84"/>
      <c r="D32" s="84"/>
      <c r="E32" s="84"/>
      <c r="F32" s="9"/>
      <c r="G32" s="3" t="s">
        <v>195</v>
      </c>
      <c r="H32" s="6"/>
      <c r="I32" s="6">
        <v>20000</v>
      </c>
      <c r="J32" s="9"/>
      <c r="K32" s="9"/>
      <c r="L32" s="9"/>
    </row>
    <row r="33" spans="1:12" x14ac:dyDescent="0.2">
      <c r="A33" s="84"/>
      <c r="B33" s="89" t="s">
        <v>234</v>
      </c>
      <c r="C33" s="84"/>
      <c r="D33" s="84"/>
      <c r="E33" s="84">
        <v>375</v>
      </c>
      <c r="F33" s="9"/>
      <c r="G33" s="5" t="s">
        <v>196</v>
      </c>
      <c r="H33" s="6"/>
      <c r="I33" s="6">
        <v>5000</v>
      </c>
      <c r="J33" s="9"/>
      <c r="K33" s="9"/>
      <c r="L33" s="9"/>
    </row>
    <row r="34" spans="1:12" x14ac:dyDescent="0.2">
      <c r="A34" s="84"/>
      <c r="B34" s="84" t="s">
        <v>197</v>
      </c>
      <c r="C34" s="84"/>
      <c r="D34" s="84"/>
      <c r="E34" s="84"/>
      <c r="F34" s="9"/>
      <c r="G34" s="5" t="s">
        <v>193</v>
      </c>
      <c r="H34" s="6"/>
      <c r="I34" s="6">
        <v>416.66666666666669</v>
      </c>
      <c r="J34" s="9"/>
      <c r="K34" s="9"/>
      <c r="L34" s="9"/>
    </row>
    <row r="35" spans="1:12" x14ac:dyDescent="0.2">
      <c r="A35" s="84"/>
      <c r="B35" s="84" t="s">
        <v>198</v>
      </c>
      <c r="C35" s="84"/>
      <c r="D35" s="84"/>
      <c r="E35" s="84"/>
      <c r="F35" s="9"/>
      <c r="G35" s="9"/>
      <c r="H35" s="6"/>
      <c r="I35" s="6"/>
      <c r="J35" s="9"/>
      <c r="K35" s="9"/>
      <c r="L35" s="9"/>
    </row>
    <row r="36" spans="1:12" x14ac:dyDescent="0.2">
      <c r="A36" s="80">
        <v>43830</v>
      </c>
      <c r="B36" s="87" t="s">
        <v>199</v>
      </c>
      <c r="C36" s="84"/>
      <c r="D36" s="84"/>
      <c r="E36" s="84"/>
      <c r="F36" s="9"/>
      <c r="G36" s="3" t="s">
        <v>200</v>
      </c>
      <c r="H36" s="6"/>
      <c r="I36" s="6"/>
      <c r="J36" s="9"/>
      <c r="K36" s="9"/>
      <c r="L36" s="9"/>
    </row>
    <row r="37" spans="1:12" x14ac:dyDescent="0.2">
      <c r="A37" s="84"/>
      <c r="B37" s="89" t="s">
        <v>29</v>
      </c>
      <c r="C37" s="84"/>
      <c r="D37" s="84">
        <v>83.25</v>
      </c>
      <c r="E37" s="84"/>
      <c r="F37" s="9"/>
      <c r="G37" s="9" t="s">
        <v>201</v>
      </c>
      <c r="H37" s="6" t="s">
        <v>202</v>
      </c>
      <c r="I37" s="6">
        <v>1500</v>
      </c>
      <c r="J37" s="9"/>
      <c r="K37" s="9"/>
      <c r="L37" s="9"/>
    </row>
    <row r="38" spans="1:12" x14ac:dyDescent="0.2">
      <c r="A38" s="84"/>
      <c r="B38" s="84" t="s">
        <v>203</v>
      </c>
      <c r="C38" s="84"/>
      <c r="D38" s="84"/>
      <c r="E38" s="84"/>
      <c r="F38" s="9"/>
      <c r="G38" s="9" t="s">
        <v>204</v>
      </c>
      <c r="H38" s="6"/>
      <c r="I38" s="6">
        <v>375</v>
      </c>
      <c r="J38" s="9"/>
      <c r="K38" s="9"/>
      <c r="L38" s="9"/>
    </row>
    <row r="39" spans="1:12" x14ac:dyDescent="0.2">
      <c r="A39" s="84"/>
      <c r="B39" s="89" t="s">
        <v>234</v>
      </c>
      <c r="C39" s="84"/>
      <c r="D39" s="84"/>
      <c r="E39" s="84">
        <v>83.25</v>
      </c>
      <c r="F39" s="9"/>
      <c r="G39" s="9"/>
      <c r="H39" s="6"/>
      <c r="I39" s="6"/>
      <c r="J39" s="9"/>
      <c r="K39" s="9"/>
      <c r="L39" s="9"/>
    </row>
    <row r="40" spans="1:12" x14ac:dyDescent="0.2">
      <c r="A40" s="84"/>
      <c r="B40" s="84" t="s">
        <v>205</v>
      </c>
      <c r="C40" s="84"/>
      <c r="D40" s="84"/>
      <c r="E40" s="84"/>
      <c r="F40" s="9"/>
      <c r="G40" s="3" t="s">
        <v>206</v>
      </c>
      <c r="H40" s="6"/>
      <c r="I40" s="6" t="s">
        <v>230</v>
      </c>
      <c r="J40" s="9"/>
      <c r="K40" s="9"/>
      <c r="L40" s="9"/>
    </row>
    <row r="41" spans="1:12" x14ac:dyDescent="0.2">
      <c r="A41" s="84"/>
      <c r="B41" s="84" t="s">
        <v>207</v>
      </c>
      <c r="C41" s="84"/>
      <c r="D41" s="84"/>
      <c r="E41" s="84"/>
      <c r="F41" s="9"/>
      <c r="G41" s="9" t="s">
        <v>208</v>
      </c>
      <c r="H41" s="8">
        <v>999</v>
      </c>
      <c r="I41" s="6">
        <f>H41/12</f>
        <v>83.25</v>
      </c>
      <c r="J41" s="9"/>
      <c r="K41" s="9"/>
      <c r="L41" s="9"/>
    </row>
    <row r="42" spans="1:12" x14ac:dyDescent="0.2">
      <c r="A42" s="80">
        <v>43830</v>
      </c>
      <c r="B42" s="87" t="s">
        <v>231</v>
      </c>
      <c r="C42" s="84"/>
      <c r="D42" s="84"/>
      <c r="E42" s="84"/>
      <c r="F42" s="9"/>
      <c r="G42" s="9" t="s">
        <v>209</v>
      </c>
      <c r="H42" s="6"/>
      <c r="I42" s="6"/>
      <c r="J42" s="9"/>
      <c r="K42" s="9"/>
      <c r="L42" s="9"/>
    </row>
    <row r="43" spans="1:12" x14ac:dyDescent="0.2">
      <c r="A43" s="84"/>
      <c r="B43" s="89" t="s">
        <v>232</v>
      </c>
      <c r="C43" s="84"/>
      <c r="D43" s="84">
        <f>E44+E45+E46+E47</f>
        <v>45392.81</v>
      </c>
      <c r="E43" s="84"/>
      <c r="F43" s="9"/>
      <c r="G43" s="9" t="s">
        <v>210</v>
      </c>
      <c r="H43" s="6"/>
      <c r="I43" s="6"/>
      <c r="J43" s="9"/>
      <c r="K43" s="9"/>
      <c r="L43" s="9"/>
    </row>
    <row r="44" spans="1:12" x14ac:dyDescent="0.2">
      <c r="A44" s="84"/>
      <c r="B44" s="89" t="s">
        <v>255</v>
      </c>
      <c r="C44" s="84"/>
      <c r="D44" s="84"/>
      <c r="E44" s="84">
        <v>2158.23</v>
      </c>
      <c r="F44" s="9"/>
      <c r="G44" s="9" t="s">
        <v>211</v>
      </c>
      <c r="H44" s="6"/>
      <c r="I44" s="6"/>
      <c r="J44" s="9"/>
      <c r="K44" s="9"/>
      <c r="L44" s="9"/>
    </row>
    <row r="45" spans="1:12" ht="17.25" x14ac:dyDescent="0.35">
      <c r="A45" s="84"/>
      <c r="B45" s="89" t="s">
        <v>253</v>
      </c>
      <c r="C45" s="84"/>
      <c r="D45" s="85"/>
      <c r="E45" s="84">
        <v>3471.63</v>
      </c>
      <c r="F45" s="9"/>
      <c r="G45" s="9" t="s">
        <v>264</v>
      </c>
      <c r="H45" s="6"/>
      <c r="I45" s="6"/>
      <c r="J45" s="9"/>
      <c r="K45" s="9"/>
      <c r="L45" s="9"/>
    </row>
    <row r="46" spans="1:12" ht="17.25" x14ac:dyDescent="0.35">
      <c r="A46" s="84"/>
      <c r="B46" s="89" t="s">
        <v>254</v>
      </c>
      <c r="C46" s="84"/>
      <c r="D46" s="88"/>
      <c r="E46" s="89">
        <v>1.25</v>
      </c>
      <c r="F46" s="9"/>
      <c r="G46" s="9" t="s">
        <v>212</v>
      </c>
      <c r="H46" s="6"/>
      <c r="I46" s="6"/>
      <c r="J46" s="9"/>
      <c r="K46" s="9"/>
      <c r="L46" s="9"/>
    </row>
    <row r="47" spans="1:12" ht="17.25" x14ac:dyDescent="0.35">
      <c r="A47" s="84"/>
      <c r="B47" s="84" t="s">
        <v>256</v>
      </c>
      <c r="C47" s="84"/>
      <c r="D47" s="84"/>
      <c r="E47" s="84">
        <v>39761.699999999997</v>
      </c>
      <c r="F47" s="9"/>
      <c r="G47" s="9" t="s">
        <v>213</v>
      </c>
      <c r="H47" s="6"/>
      <c r="I47" s="6"/>
      <c r="J47" s="9"/>
      <c r="K47" s="9"/>
      <c r="L47" s="9"/>
    </row>
    <row r="48" spans="1:12" s="9" customFormat="1" x14ac:dyDescent="0.2">
      <c r="A48" s="84"/>
      <c r="B48" s="84" t="s">
        <v>257</v>
      </c>
      <c r="C48" s="84"/>
      <c r="D48" s="84"/>
      <c r="E48" s="84"/>
      <c r="H48" s="6"/>
      <c r="I48" s="6"/>
    </row>
    <row r="49" spans="1:12" x14ac:dyDescent="0.2">
      <c r="A49" s="80">
        <v>43830</v>
      </c>
      <c r="B49" s="87" t="s">
        <v>244</v>
      </c>
      <c r="C49" s="84"/>
      <c r="D49" s="84"/>
      <c r="E49" s="84"/>
      <c r="F49" s="9"/>
      <c r="G49" s="9" t="s">
        <v>214</v>
      </c>
      <c r="H49" s="6"/>
      <c r="I49" s="6"/>
      <c r="J49" s="9"/>
      <c r="K49" s="9"/>
      <c r="L49" s="9"/>
    </row>
    <row r="50" spans="1:12" x14ac:dyDescent="0.2">
      <c r="A50" s="50"/>
      <c r="B50" s="84" t="s">
        <v>126</v>
      </c>
      <c r="C50" s="84"/>
      <c r="D50" s="84">
        <v>61118.720000000001</v>
      </c>
      <c r="E50" s="84"/>
      <c r="F50" s="9"/>
      <c r="G50" s="9" t="s">
        <v>215</v>
      </c>
      <c r="H50" s="6">
        <f>E56</f>
        <v>1100.9012</v>
      </c>
      <c r="I50" s="6" t="s">
        <v>267</v>
      </c>
      <c r="J50" s="9"/>
      <c r="K50" s="9"/>
      <c r="L50" s="9"/>
    </row>
    <row r="51" spans="1:12" x14ac:dyDescent="0.2">
      <c r="A51" s="84"/>
      <c r="B51" s="84" t="s">
        <v>259</v>
      </c>
      <c r="C51" s="84"/>
      <c r="D51" s="84"/>
      <c r="E51" s="84">
        <v>61118.720000000001</v>
      </c>
      <c r="F51" s="9"/>
      <c r="G51" s="9" t="s">
        <v>216</v>
      </c>
      <c r="H51" s="6">
        <f>E57</f>
        <v>3656.5646999999999</v>
      </c>
      <c r="I51" s="6"/>
      <c r="J51" s="9"/>
      <c r="K51" s="9"/>
      <c r="L51" s="9"/>
    </row>
    <row r="52" spans="1:12" x14ac:dyDescent="0.2">
      <c r="A52" s="84"/>
      <c r="B52" s="84" t="s">
        <v>258</v>
      </c>
      <c r="C52" s="84"/>
      <c r="D52" s="84"/>
      <c r="E52" s="84"/>
      <c r="F52" s="9"/>
      <c r="G52" s="9" t="s">
        <v>217</v>
      </c>
      <c r="H52" s="6">
        <f>D54-E56-E57</f>
        <v>10968.444100000001</v>
      </c>
      <c r="I52" s="6"/>
      <c r="J52" s="9"/>
      <c r="K52" s="9"/>
      <c r="L52" s="9"/>
    </row>
    <row r="53" spans="1:12" x14ac:dyDescent="0.2">
      <c r="A53" s="80">
        <v>43830</v>
      </c>
      <c r="B53" s="87" t="s">
        <v>260</v>
      </c>
      <c r="C53" s="84"/>
      <c r="D53" s="84"/>
      <c r="E53" s="84"/>
      <c r="F53" s="9"/>
      <c r="G53" s="9"/>
      <c r="H53" s="6"/>
      <c r="I53" s="6"/>
      <c r="J53" s="9"/>
      <c r="K53" s="9"/>
      <c r="L53" s="9"/>
    </row>
    <row r="54" spans="1:12" x14ac:dyDescent="0.2">
      <c r="A54" s="84"/>
      <c r="B54" s="84" t="s">
        <v>232</v>
      </c>
      <c r="C54" s="84"/>
      <c r="D54" s="84">
        <v>15725.91</v>
      </c>
      <c r="E54" s="84"/>
      <c r="F54" s="9"/>
      <c r="G54" s="9" t="s">
        <v>218</v>
      </c>
      <c r="H54" s="6"/>
      <c r="I54" s="6"/>
      <c r="J54" s="9"/>
      <c r="K54" s="9"/>
      <c r="L54" s="9"/>
    </row>
    <row r="55" spans="1:12" x14ac:dyDescent="0.2">
      <c r="A55" s="84"/>
      <c r="B55" s="84" t="s">
        <v>261</v>
      </c>
      <c r="C55" s="84"/>
      <c r="D55" s="84"/>
      <c r="E55" s="84">
        <f>D54-E56-E57</f>
        <v>10968.444100000001</v>
      </c>
      <c r="F55" s="9"/>
      <c r="G55" s="9" t="s">
        <v>265</v>
      </c>
      <c r="H55" s="6"/>
      <c r="I55" s="6"/>
      <c r="J55" s="9"/>
      <c r="K55" s="9"/>
      <c r="L55" s="9"/>
    </row>
    <row r="56" spans="1:12" x14ac:dyDescent="0.2">
      <c r="A56" s="84"/>
      <c r="B56" s="84" t="s">
        <v>262</v>
      </c>
      <c r="C56" s="84"/>
      <c r="D56" s="84"/>
      <c r="E56" s="84">
        <f>(D54+1.25)*0.07</f>
        <v>1100.9012</v>
      </c>
      <c r="F56" s="9"/>
      <c r="G56" s="9" t="s">
        <v>219</v>
      </c>
      <c r="H56" s="6"/>
      <c r="I56" s="6"/>
      <c r="J56" s="9"/>
      <c r="K56" s="9"/>
      <c r="L56" s="9"/>
    </row>
    <row r="57" spans="1:12" x14ac:dyDescent="0.2">
      <c r="A57" s="84"/>
      <c r="B57" s="84" t="s">
        <v>263</v>
      </c>
      <c r="C57" s="84"/>
      <c r="D57" s="84"/>
      <c r="E57" s="84">
        <f>(D54+1.25-E56)*0.25</f>
        <v>3656.5646999999999</v>
      </c>
      <c r="F57" s="9"/>
      <c r="G57" s="9" t="s">
        <v>221</v>
      </c>
      <c r="H57" s="6"/>
      <c r="I57" s="6"/>
      <c r="J57" s="9"/>
      <c r="K57" s="9"/>
      <c r="L57" s="9"/>
    </row>
    <row r="58" spans="1:12" x14ac:dyDescent="0.2">
      <c r="A58" s="84"/>
      <c r="B58" s="84" t="s">
        <v>268</v>
      </c>
      <c r="C58" s="84"/>
      <c r="D58" s="84"/>
      <c r="E58" s="84"/>
      <c r="F58" s="9"/>
      <c r="G58" s="9"/>
      <c r="H58" s="6"/>
      <c r="I58" s="6"/>
      <c r="J58" s="9"/>
      <c r="K58" s="9"/>
      <c r="L58" s="9"/>
    </row>
    <row r="59" spans="1:12" x14ac:dyDescent="0.2">
      <c r="A59" s="84"/>
      <c r="B59" s="84"/>
      <c r="C59" s="84"/>
      <c r="D59" s="84"/>
      <c r="E59" s="84"/>
      <c r="F59" s="9"/>
      <c r="G59" s="9"/>
      <c r="H59" s="6"/>
      <c r="I59" s="6"/>
      <c r="J59" s="9"/>
      <c r="K59" s="9"/>
      <c r="L59" s="9"/>
    </row>
    <row r="60" spans="1:12" x14ac:dyDescent="0.2">
      <c r="A60" s="84"/>
      <c r="B60" s="84"/>
      <c r="C60" s="84"/>
      <c r="D60" s="84"/>
      <c r="E60" s="84"/>
      <c r="F60" s="9"/>
      <c r="G60" s="9" t="s">
        <v>222</v>
      </c>
      <c r="H60" s="6"/>
      <c r="I60" s="6"/>
      <c r="J60" s="9"/>
      <c r="K60" s="9"/>
      <c r="L60" s="9"/>
    </row>
    <row r="61" spans="1:12" x14ac:dyDescent="0.2">
      <c r="A61" s="1"/>
      <c r="B61" s="1"/>
      <c r="C61" s="1"/>
      <c r="D61" s="1"/>
      <c r="E61" s="1"/>
    </row>
    <row r="62" spans="1:12" x14ac:dyDescent="0.2">
      <c r="A62" s="1"/>
      <c r="B62" s="1"/>
      <c r="C62" s="1"/>
      <c r="D62" s="1"/>
      <c r="E62" s="1"/>
    </row>
    <row r="63" spans="1:12" x14ac:dyDescent="0.2">
      <c r="A63" s="1"/>
      <c r="B63" s="1"/>
      <c r="C63" s="1"/>
      <c r="D63" s="1"/>
      <c r="E63" s="1"/>
    </row>
    <row r="64" spans="1:12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70" spans="1:5" x14ac:dyDescent="0.2">
      <c r="B70" t="s">
        <v>245</v>
      </c>
      <c r="D70" t="s">
        <v>249</v>
      </c>
    </row>
    <row r="71" spans="1:5" x14ac:dyDescent="0.2">
      <c r="B71" t="s">
        <v>246</v>
      </c>
      <c r="D71" t="s">
        <v>220</v>
      </c>
    </row>
    <row r="73" spans="1:5" x14ac:dyDescent="0.2">
      <c r="B73" t="s">
        <v>247</v>
      </c>
    </row>
    <row r="74" spans="1:5" x14ac:dyDescent="0.2">
      <c r="B74" t="s">
        <v>248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24"/>
  <sheetViews>
    <sheetView tabSelected="1" topLeftCell="B1" workbookViewId="0">
      <selection activeCell="F11" sqref="F11"/>
    </sheetView>
  </sheetViews>
  <sheetFormatPr defaultColWidth="10.76171875" defaultRowHeight="15" x14ac:dyDescent="0.2"/>
  <sheetData>
    <row r="2" spans="1:7" x14ac:dyDescent="0.2">
      <c r="A2" s="9"/>
      <c r="B2" s="3" t="s">
        <v>98</v>
      </c>
      <c r="C2" s="9"/>
      <c r="D2" s="9"/>
      <c r="E2" s="9"/>
    </row>
    <row r="3" spans="1:7" x14ac:dyDescent="0.2">
      <c r="A3" s="59" t="s">
        <v>304</v>
      </c>
      <c r="B3" s="60"/>
      <c r="C3" s="61"/>
      <c r="D3" s="61"/>
      <c r="E3" s="61"/>
    </row>
    <row r="4" spans="1:7" x14ac:dyDescent="0.2">
      <c r="A4" s="57" t="s">
        <v>288</v>
      </c>
      <c r="B4" s="4"/>
      <c r="C4" s="9"/>
      <c r="D4" s="9"/>
      <c r="E4" s="9"/>
    </row>
    <row r="5" spans="1:7" x14ac:dyDescent="0.2">
      <c r="A5" s="2" t="s">
        <v>289</v>
      </c>
      <c r="B5" s="4"/>
      <c r="C5" s="9"/>
      <c r="D5" s="9"/>
      <c r="E5" s="9"/>
    </row>
    <row r="6" spans="1:7" x14ac:dyDescent="0.2">
      <c r="A6" s="3" t="s">
        <v>277</v>
      </c>
    </row>
    <row r="7" spans="1:7" x14ac:dyDescent="0.2">
      <c r="A7" t="s">
        <v>126</v>
      </c>
      <c r="D7" s="6">
        <f>'L. Mayor'!C44</f>
        <v>61118.720000000001</v>
      </c>
      <c r="F7" s="3" t="s">
        <v>567</v>
      </c>
      <c r="G7" t="s">
        <v>574</v>
      </c>
    </row>
    <row r="8" spans="1:7" ht="17.25" x14ac:dyDescent="0.35">
      <c r="A8" t="s">
        <v>278</v>
      </c>
      <c r="D8" s="7">
        <f>'L. Mayor'!I89</f>
        <v>39761.699999999997</v>
      </c>
      <c r="G8" t="s">
        <v>568</v>
      </c>
    </row>
    <row r="9" spans="1:7" x14ac:dyDescent="0.2">
      <c r="A9" t="s">
        <v>279</v>
      </c>
      <c r="E9" s="6">
        <f>D7-D8</f>
        <v>21357.020000000004</v>
      </c>
    </row>
    <row r="10" spans="1:7" x14ac:dyDescent="0.2">
      <c r="A10" s="3" t="s">
        <v>280</v>
      </c>
    </row>
    <row r="11" spans="1:7" x14ac:dyDescent="0.2">
      <c r="A11" t="s">
        <v>184</v>
      </c>
      <c r="D11" s="6">
        <f>'L. Mayor'!B72</f>
        <v>2158.23</v>
      </c>
      <c r="E11" s="6">
        <f>D11+D12+D13</f>
        <v>5629.8600000000006</v>
      </c>
      <c r="F11" t="s">
        <v>584</v>
      </c>
    </row>
    <row r="12" spans="1:7" x14ac:dyDescent="0.2">
      <c r="A12" t="s">
        <v>281</v>
      </c>
      <c r="D12" s="125">
        <f>'L. Mayor'!H72</f>
        <v>3471.63</v>
      </c>
    </row>
    <row r="13" spans="1:7" ht="17.25" x14ac:dyDescent="0.35">
      <c r="A13" t="s">
        <v>582</v>
      </c>
      <c r="D13" s="7">
        <v>0</v>
      </c>
      <c r="G13" t="s">
        <v>583</v>
      </c>
    </row>
    <row r="14" spans="1:7" x14ac:dyDescent="0.2">
      <c r="A14" t="s">
        <v>282</v>
      </c>
      <c r="E14" s="4">
        <f>E9-E11</f>
        <v>15727.160000000003</v>
      </c>
    </row>
    <row r="15" spans="1:7" x14ac:dyDescent="0.2">
      <c r="A15" t="s">
        <v>283</v>
      </c>
      <c r="E15" s="4">
        <f>(E14+D13)*0.07</f>
        <v>1100.9012000000002</v>
      </c>
    </row>
    <row r="16" spans="1:7" x14ac:dyDescent="0.2">
      <c r="A16" t="s">
        <v>284</v>
      </c>
      <c r="E16" s="4">
        <f>E14-E15</f>
        <v>14626.258800000003</v>
      </c>
    </row>
    <row r="17" spans="1:7" x14ac:dyDescent="0.2">
      <c r="A17" t="s">
        <v>285</v>
      </c>
      <c r="E17" s="4">
        <f>(E14+D13-E15)*0.25</f>
        <v>3656.5647000000008</v>
      </c>
    </row>
    <row r="18" spans="1:7" x14ac:dyDescent="0.2">
      <c r="A18" s="3" t="s">
        <v>286</v>
      </c>
      <c r="E18" s="4">
        <f>E14-E15-E17</f>
        <v>10969.694100000002</v>
      </c>
    </row>
    <row r="22" spans="1:7" x14ac:dyDescent="0.2">
      <c r="C22" t="s">
        <v>287</v>
      </c>
      <c r="G22" t="s">
        <v>287</v>
      </c>
    </row>
    <row r="24" spans="1:7" x14ac:dyDescent="0.2">
      <c r="E24" t="s">
        <v>287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1"/>
  <sheetViews>
    <sheetView topLeftCell="C1" workbookViewId="0">
      <selection activeCell="G24" sqref="G24"/>
    </sheetView>
  </sheetViews>
  <sheetFormatPr defaultColWidth="10.76171875" defaultRowHeight="15" x14ac:dyDescent="0.2"/>
  <cols>
    <col min="5" max="5" width="12.375" customWidth="1"/>
    <col min="9" max="9" width="12.5078125" bestFit="1" customWidth="1"/>
  </cols>
  <sheetData>
    <row r="1" spans="1:11" x14ac:dyDescent="0.2">
      <c r="A1" t="s">
        <v>273</v>
      </c>
    </row>
    <row r="3" spans="1:11" x14ac:dyDescent="0.2">
      <c r="F3" s="9"/>
      <c r="G3" s="3" t="s">
        <v>98</v>
      </c>
      <c r="H3" s="9"/>
      <c r="I3" s="9"/>
      <c r="J3" s="9"/>
    </row>
    <row r="4" spans="1:11" x14ac:dyDescent="0.2">
      <c r="F4" s="59" t="s">
        <v>305</v>
      </c>
      <c r="G4" s="60"/>
      <c r="H4" s="61"/>
      <c r="I4" s="61"/>
      <c r="J4" s="61"/>
    </row>
    <row r="5" spans="1:11" x14ac:dyDescent="0.2">
      <c r="F5" s="57" t="s">
        <v>288</v>
      </c>
      <c r="G5" s="4"/>
      <c r="H5" s="9"/>
      <c r="I5" s="9"/>
      <c r="J5" s="9"/>
    </row>
    <row r="6" spans="1:11" x14ac:dyDescent="0.2">
      <c r="F6" s="2" t="s">
        <v>289</v>
      </c>
      <c r="G6" s="4"/>
      <c r="H6" s="9"/>
      <c r="I6" s="9"/>
      <c r="J6" s="9"/>
    </row>
    <row r="8" spans="1:11" x14ac:dyDescent="0.2">
      <c r="E8" t="s">
        <v>125</v>
      </c>
      <c r="F8" t="s">
        <v>299</v>
      </c>
      <c r="G8" t="s">
        <v>291</v>
      </c>
      <c r="H8" t="s">
        <v>293</v>
      </c>
      <c r="I8" t="s">
        <v>295</v>
      </c>
    </row>
    <row r="9" spans="1:11" x14ac:dyDescent="0.2">
      <c r="F9" t="s">
        <v>302</v>
      </c>
      <c r="G9" t="s">
        <v>292</v>
      </c>
      <c r="H9" t="s">
        <v>294</v>
      </c>
      <c r="I9" t="s">
        <v>296</v>
      </c>
    </row>
    <row r="10" spans="1:11" x14ac:dyDescent="0.2">
      <c r="C10" t="s">
        <v>297</v>
      </c>
      <c r="E10" s="4">
        <v>250000</v>
      </c>
      <c r="F10" s="4"/>
      <c r="G10" s="4"/>
      <c r="H10" s="4"/>
      <c r="I10" s="4"/>
      <c r="K10" t="s">
        <v>556</v>
      </c>
    </row>
    <row r="11" spans="1:11" x14ac:dyDescent="0.2">
      <c r="C11" t="s">
        <v>298</v>
      </c>
      <c r="E11" s="4"/>
      <c r="F11" s="4">
        <f>'L. Mayor'!Y87</f>
        <v>10968.44</v>
      </c>
      <c r="G11" s="4"/>
      <c r="H11" s="4"/>
      <c r="I11" s="4"/>
      <c r="K11" t="s">
        <v>557</v>
      </c>
    </row>
    <row r="12" spans="1:11" x14ac:dyDescent="0.2">
      <c r="C12" t="s">
        <v>283</v>
      </c>
      <c r="E12" s="4"/>
      <c r="F12" s="4"/>
      <c r="G12" s="4">
        <f>'L. Mayor'!C97</f>
        <v>1100.9000000000001</v>
      </c>
      <c r="H12" s="4"/>
      <c r="I12" s="4"/>
      <c r="K12" t="s">
        <v>558</v>
      </c>
    </row>
    <row r="13" spans="1:11" s="9" customFormat="1" x14ac:dyDescent="0.2">
      <c r="C13" s="9" t="s">
        <v>303</v>
      </c>
      <c r="E13" s="4"/>
      <c r="F13" s="4"/>
      <c r="G13" s="4"/>
      <c r="H13" s="4"/>
      <c r="I13" s="4"/>
      <c r="K13" s="9" t="s">
        <v>561</v>
      </c>
    </row>
    <row r="14" spans="1:11" x14ac:dyDescent="0.2">
      <c r="C14" t="s">
        <v>300</v>
      </c>
      <c r="E14" s="4"/>
      <c r="F14" s="4"/>
      <c r="G14" s="4"/>
      <c r="H14" s="4"/>
      <c r="I14" s="4"/>
      <c r="K14" t="s">
        <v>559</v>
      </c>
    </row>
    <row r="15" spans="1:11" x14ac:dyDescent="0.2">
      <c r="C15" t="s">
        <v>301</v>
      </c>
      <c r="E15" s="4">
        <f>E10</f>
        <v>250000</v>
      </c>
      <c r="F15" s="4">
        <f>F11</f>
        <v>10968.44</v>
      </c>
      <c r="G15" s="4">
        <f>G12</f>
        <v>1100.9000000000001</v>
      </c>
      <c r="H15" s="4"/>
      <c r="I15" s="4">
        <f>E15+F15+G15</f>
        <v>262069.34</v>
      </c>
      <c r="K15" t="s">
        <v>560</v>
      </c>
    </row>
    <row r="17" spans="4:11" x14ac:dyDescent="0.2">
      <c r="K17" t="s">
        <v>562</v>
      </c>
    </row>
    <row r="19" spans="4:11" x14ac:dyDescent="0.2">
      <c r="D19" t="s">
        <v>563</v>
      </c>
      <c r="H19" t="s">
        <v>563</v>
      </c>
    </row>
    <row r="21" spans="4:11" x14ac:dyDescent="0.2">
      <c r="F21" t="s">
        <v>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5"/>
  <sheetViews>
    <sheetView topLeftCell="A2" workbookViewId="0">
      <selection activeCell="J17" sqref="J17"/>
    </sheetView>
  </sheetViews>
  <sheetFormatPr defaultColWidth="10.76171875" defaultRowHeight="15" x14ac:dyDescent="0.2"/>
  <sheetData>
    <row r="1" spans="1:8" x14ac:dyDescent="0.2">
      <c r="A1" t="s">
        <v>275</v>
      </c>
    </row>
    <row r="2" spans="1:8" x14ac:dyDescent="0.2">
      <c r="A2" t="s">
        <v>575</v>
      </c>
    </row>
    <row r="3" spans="1:8" x14ac:dyDescent="0.2">
      <c r="A3" t="s">
        <v>276</v>
      </c>
    </row>
    <row r="4" spans="1:8" x14ac:dyDescent="0.2">
      <c r="A4" t="s">
        <v>576</v>
      </c>
    </row>
    <row r="5" spans="1:8" x14ac:dyDescent="0.2">
      <c r="A5" t="s">
        <v>577</v>
      </c>
    </row>
    <row r="6" spans="1:8" x14ac:dyDescent="0.2">
      <c r="A6" t="s">
        <v>578</v>
      </c>
    </row>
    <row r="7" spans="1:8" x14ac:dyDescent="0.2">
      <c r="A7" t="s">
        <v>290</v>
      </c>
    </row>
    <row r="8" spans="1:8" x14ac:dyDescent="0.2">
      <c r="A8" t="s">
        <v>579</v>
      </c>
    </row>
    <row r="9" spans="1:8" x14ac:dyDescent="0.2">
      <c r="A9" t="s">
        <v>580</v>
      </c>
    </row>
    <row r="10" spans="1:8" x14ac:dyDescent="0.2">
      <c r="D10" s="9"/>
      <c r="E10" s="3" t="s">
        <v>98</v>
      </c>
      <c r="F10" s="9"/>
      <c r="G10" s="9"/>
      <c r="H10" s="9"/>
    </row>
    <row r="11" spans="1:8" x14ac:dyDescent="0.2">
      <c r="D11" s="59" t="s">
        <v>306</v>
      </c>
      <c r="E11" s="60"/>
      <c r="F11" s="61"/>
      <c r="G11" s="61"/>
      <c r="H11" s="61"/>
    </row>
    <row r="12" spans="1:8" x14ac:dyDescent="0.2">
      <c r="D12" s="57" t="s">
        <v>288</v>
      </c>
      <c r="E12" s="4"/>
      <c r="F12" s="9"/>
      <c r="G12" s="9"/>
      <c r="H12" s="9"/>
    </row>
    <row r="13" spans="1:8" x14ac:dyDescent="0.2">
      <c r="D13" s="2" t="s">
        <v>289</v>
      </c>
      <c r="E13" s="4"/>
      <c r="F13" s="9"/>
      <c r="G13" s="9"/>
      <c r="H13" s="9"/>
    </row>
    <row r="15" spans="1:8" x14ac:dyDescent="0.2">
      <c r="A15" t="s">
        <v>564</v>
      </c>
    </row>
    <row r="20" spans="1:1" x14ac:dyDescent="0.2">
      <c r="A20" t="s">
        <v>565</v>
      </c>
    </row>
    <row r="25" spans="1:1" x14ac:dyDescent="0.2">
      <c r="A25" t="s">
        <v>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0.76171875" defaultRowHeight="15" x14ac:dyDescent="0.2"/>
  <sheetData>
    <row r="1" spans="1:1" x14ac:dyDescent="0.2">
      <c r="A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Planilla</vt:lpstr>
      <vt:lpstr>L. Mayor</vt:lpstr>
      <vt:lpstr>Estado de Situacion Fianc</vt:lpstr>
      <vt:lpstr>L.Diario Completo</vt:lpstr>
      <vt:lpstr>3° DEL DIARIO</vt:lpstr>
      <vt:lpstr>E.de Rendimiento</vt:lpstr>
      <vt:lpstr>E. de Cambios en el Patrimnio</vt:lpstr>
      <vt:lpstr>Notas a los Estados Financieros</vt:lpstr>
      <vt:lpstr>E. d Flujo de Efectivo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2020-05-22T17:49:01Z</dcterms:created>
  <dcterms:modified xsi:type="dcterms:W3CDTF">2021-08-19T20:27:18Z</dcterms:modified>
</cp:coreProperties>
</file>