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6. Junho\01. Fiscal\"/>
    </mc:Choice>
  </mc:AlternateContent>
  <bookViews>
    <workbookView xWindow="2445" yWindow="1380" windowWidth="22335" windowHeight="14085" tabRatio="880" firstSheet="1" activeTab="10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FCV - Carregamento" sheetId="32" state="hidden" r:id="rId9"/>
    <sheet name="Densidade corrigida - Carregame" sheetId="31" state="hidden" r:id="rId10"/>
    <sheet name="Volumes de água" sheetId="26" r:id="rId11"/>
    <sheet name="Apropriação diária" sheetId="9" r:id="rId12"/>
    <sheet name="Relatório fiscal" sheetId="24" r:id="rId13"/>
    <sheet name="Relatório fiscal LP" sheetId="29" r:id="rId14"/>
    <sheet name="Relatório fiscal LPB" sheetId="30" r:id="rId15"/>
    <sheet name="Índices de Produção" sheetId="33" state="hidden" r:id="rId16"/>
    <sheet name="Apropriação mensal" sheetId="20" r:id="rId17"/>
    <sheet name="Apropriação mensal LP" sheetId="27" r:id="rId18"/>
    <sheet name="Apropriação mensal LPB" sheetId="28" r:id="rId19"/>
  </sheets>
  <externalReferences>
    <externalReference r:id="rId20"/>
  </externalReferences>
  <definedNames>
    <definedName name="_xlnm._FilterDatabase" localSheetId="7" hidden="1">'Banco de dados'!$L$3:$O$499</definedName>
    <definedName name="_xlnm.Print_Area" localSheetId="11">'Apropriação diária'!$A$1:$W$388</definedName>
    <definedName name="_xlnm.Print_Area" localSheetId="16">'Apropriação mensal'!$A$1:$M$22</definedName>
    <definedName name="_xlnm.Print_Area" localSheetId="17">'Apropriação mensal LP'!$A$1:$M$20</definedName>
    <definedName name="_xlnm.Print_Area" localSheetId="18">'Apropriação mensal LPB'!$A$1:$M$12</definedName>
    <definedName name="_xlnm.Print_Area" localSheetId="3">'Gás fiscal'!$A$1:$I$34</definedName>
    <definedName name="_xlnm.Print_Area" localSheetId="12">'Relatório fiscal'!$A$1:$P$38</definedName>
    <definedName name="_xlnm.Print_Area" localSheetId="13">'Relatório fiscal LP'!$A$1:$R$38</definedName>
    <definedName name="_xlnm.Print_Area" localSheetId="14">'Relatório fiscal LPB'!$A$1:$P$38</definedName>
    <definedName name="_xlnm.Print_Area" localSheetId="10">'Volumes de água'!$A$1:$C$43</definedName>
    <definedName name="cargaa">[1]JB01!$L$6:$L$7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7" l="1"/>
  <c r="U37" i="7" s="1"/>
  <c r="AD37" i="7" l="1"/>
  <c r="O259" i="9" l="1"/>
  <c r="O260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A35" i="26" l="1"/>
  <c r="A33" i="26"/>
  <c r="A34" i="26"/>
  <c r="B51" i="26" l="1"/>
  <c r="P324" i="9"/>
  <c r="P292" i="9"/>
  <c r="P260" i="9"/>
  <c r="P228" i="9"/>
  <c r="P196" i="9"/>
  <c r="P164" i="9"/>
  <c r="P132" i="9"/>
  <c r="P71" i="9"/>
  <c r="P72" i="9"/>
  <c r="P73" i="9"/>
  <c r="P74" i="9"/>
  <c r="P75" i="9"/>
  <c r="P76" i="9"/>
  <c r="P77" i="9"/>
  <c r="P78" i="9"/>
  <c r="P79" i="9"/>
  <c r="P80" i="9"/>
  <c r="P100" i="9"/>
  <c r="P70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36" i="9"/>
  <c r="O359" i="9" l="1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58" i="9"/>
  <c r="O356" i="9"/>
  <c r="O324" i="9"/>
  <c r="O292" i="9"/>
  <c r="O228" i="9"/>
  <c r="O196" i="9"/>
  <c r="O164" i="9"/>
  <c r="O132" i="9"/>
  <c r="O71" i="9"/>
  <c r="O72" i="9"/>
  <c r="O73" i="9"/>
  <c r="O74" i="9"/>
  <c r="O75" i="9"/>
  <c r="O76" i="9"/>
  <c r="O77" i="9"/>
  <c r="O78" i="9"/>
  <c r="O79" i="9"/>
  <c r="O80" i="9"/>
  <c r="O100" i="9"/>
  <c r="O70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6" i="9"/>
  <c r="D3" i="33" l="1"/>
  <c r="D4" i="33"/>
  <c r="D5" i="33"/>
  <c r="D6" i="33"/>
  <c r="D7" i="33"/>
  <c r="D8" i="33"/>
  <c r="D9" i="33"/>
  <c r="D10" i="33"/>
  <c r="D11" i="33"/>
  <c r="K34" i="30" l="1"/>
  <c r="K35" i="30"/>
  <c r="K34" i="29"/>
  <c r="K35" i="29"/>
  <c r="K34" i="24"/>
  <c r="K35" i="24"/>
  <c r="AO36" i="17" l="1"/>
  <c r="D65" i="32" s="1"/>
  <c r="A65" i="32"/>
  <c r="A63" i="32"/>
  <c r="A61" i="32"/>
  <c r="A59" i="32"/>
  <c r="A57" i="32"/>
  <c r="A55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5" i="32"/>
  <c r="A3" i="32"/>
  <c r="E2" i="32"/>
  <c r="D2" i="32"/>
  <c r="C2" i="32"/>
  <c r="B2" i="32"/>
  <c r="B65" i="31"/>
  <c r="B63" i="31"/>
  <c r="B61" i="31"/>
  <c r="B59" i="31"/>
  <c r="B57" i="31"/>
  <c r="B55" i="31"/>
  <c r="B53" i="31"/>
  <c r="B51" i="31"/>
  <c r="B49" i="31"/>
  <c r="B47" i="31"/>
  <c r="B45" i="31"/>
  <c r="B43" i="31"/>
  <c r="B41" i="31"/>
  <c r="B39" i="31"/>
  <c r="B37" i="31"/>
  <c r="B35" i="31"/>
  <c r="B33" i="31"/>
  <c r="B31" i="31"/>
  <c r="B29" i="31"/>
  <c r="B27" i="31"/>
  <c r="B25" i="31"/>
  <c r="B23" i="31"/>
  <c r="B21" i="31"/>
  <c r="B19" i="31"/>
  <c r="B17" i="31"/>
  <c r="B15" i="31"/>
  <c r="B13" i="31"/>
  <c r="B11" i="31"/>
  <c r="B9" i="31"/>
  <c r="B7" i="31"/>
  <c r="B5" i="31"/>
  <c r="B3" i="31"/>
  <c r="D64" i="31"/>
  <c r="C64" i="31"/>
  <c r="B64" i="31"/>
  <c r="D62" i="31"/>
  <c r="C62" i="31"/>
  <c r="B62" i="31"/>
  <c r="D60" i="31"/>
  <c r="C60" i="31"/>
  <c r="B60" i="31"/>
  <c r="D58" i="31"/>
  <c r="C58" i="31"/>
  <c r="B58" i="31"/>
  <c r="D56" i="31"/>
  <c r="C56" i="31"/>
  <c r="B56" i="31"/>
  <c r="D54" i="31"/>
  <c r="C54" i="31"/>
  <c r="B54" i="31"/>
  <c r="D52" i="31"/>
  <c r="C52" i="31"/>
  <c r="B52" i="31"/>
  <c r="D50" i="31"/>
  <c r="C50" i="31"/>
  <c r="B50" i="31"/>
  <c r="D48" i="31"/>
  <c r="C48" i="31"/>
  <c r="B48" i="31"/>
  <c r="D46" i="31"/>
  <c r="C46" i="31"/>
  <c r="B46" i="31"/>
  <c r="D44" i="31"/>
  <c r="C44" i="31"/>
  <c r="B44" i="31"/>
  <c r="D42" i="31"/>
  <c r="C42" i="31"/>
  <c r="B42" i="31"/>
  <c r="D40" i="31"/>
  <c r="C40" i="31"/>
  <c r="B40" i="31"/>
  <c r="D38" i="31"/>
  <c r="C38" i="31"/>
  <c r="B38" i="31"/>
  <c r="D36" i="31"/>
  <c r="C36" i="31"/>
  <c r="B36" i="31"/>
  <c r="D34" i="31"/>
  <c r="C34" i="31"/>
  <c r="B34" i="31"/>
  <c r="D32" i="31"/>
  <c r="C32" i="31"/>
  <c r="B32" i="31"/>
  <c r="D30" i="31"/>
  <c r="C30" i="31"/>
  <c r="B30" i="31"/>
  <c r="D28" i="31"/>
  <c r="C28" i="31"/>
  <c r="B28" i="31"/>
  <c r="D26" i="31"/>
  <c r="C26" i="31"/>
  <c r="B26" i="31"/>
  <c r="D24" i="31"/>
  <c r="C24" i="31"/>
  <c r="B24" i="31"/>
  <c r="D22" i="31"/>
  <c r="C22" i="31"/>
  <c r="B22" i="31"/>
  <c r="D20" i="31"/>
  <c r="C20" i="31"/>
  <c r="B20" i="31"/>
  <c r="D18" i="31"/>
  <c r="C18" i="31"/>
  <c r="B18" i="31"/>
  <c r="D16" i="31"/>
  <c r="C16" i="31"/>
  <c r="B16" i="31"/>
  <c r="D14" i="31"/>
  <c r="C14" i="31"/>
  <c r="B14" i="31"/>
  <c r="D12" i="31"/>
  <c r="C12" i="31"/>
  <c r="B12" i="31"/>
  <c r="D10" i="31"/>
  <c r="C10" i="31"/>
  <c r="B10" i="31"/>
  <c r="D8" i="31"/>
  <c r="C8" i="31"/>
  <c r="B8" i="31"/>
  <c r="D6" i="31"/>
  <c r="C6" i="31"/>
  <c r="B6" i="31"/>
  <c r="D4" i="31"/>
  <c r="C4" i="31"/>
  <c r="B4" i="31"/>
  <c r="D2" i="31"/>
  <c r="C2" i="31"/>
  <c r="B2" i="31"/>
  <c r="E5" i="17" l="1"/>
  <c r="F5" i="17" s="1"/>
  <c r="E6" i="17"/>
  <c r="F6" i="17" s="1"/>
  <c r="A50" i="26" l="1"/>
  <c r="A49" i="26"/>
  <c r="A48" i="26"/>
  <c r="A47" i="26"/>
  <c r="A46" i="26"/>
  <c r="C36" i="26" l="1"/>
  <c r="AN6" i="17" l="1"/>
  <c r="C5" i="32" s="1"/>
  <c r="AN7" i="17"/>
  <c r="C7" i="32" s="1"/>
  <c r="AN8" i="17"/>
  <c r="C9" i="32" s="1"/>
  <c r="AN9" i="17"/>
  <c r="C11" i="32" s="1"/>
  <c r="AN10" i="17"/>
  <c r="C13" i="32" s="1"/>
  <c r="AN11" i="17"/>
  <c r="C15" i="32" s="1"/>
  <c r="AN12" i="17"/>
  <c r="C17" i="32" s="1"/>
  <c r="AN13" i="17"/>
  <c r="C19" i="32" s="1"/>
  <c r="AN14" i="17"/>
  <c r="C21" i="32" s="1"/>
  <c r="AN15" i="17"/>
  <c r="C23" i="32" s="1"/>
  <c r="AN16" i="17"/>
  <c r="C25" i="32" s="1"/>
  <c r="AN17" i="17"/>
  <c r="C27" i="32" s="1"/>
  <c r="AN18" i="17"/>
  <c r="C29" i="32" s="1"/>
  <c r="AN19" i="17"/>
  <c r="C31" i="32" s="1"/>
  <c r="AN20" i="17"/>
  <c r="C33" i="32" s="1"/>
  <c r="AN21" i="17"/>
  <c r="C35" i="32" s="1"/>
  <c r="AN22" i="17"/>
  <c r="C37" i="32" s="1"/>
  <c r="AN23" i="17"/>
  <c r="C39" i="32" s="1"/>
  <c r="AN24" i="17"/>
  <c r="C41" i="32" s="1"/>
  <c r="AN25" i="17"/>
  <c r="C43" i="32" s="1"/>
  <c r="AN26" i="17"/>
  <c r="C45" i="32" s="1"/>
  <c r="AN27" i="17"/>
  <c r="C47" i="32" s="1"/>
  <c r="AN28" i="17"/>
  <c r="C49" i="32" s="1"/>
  <c r="AN29" i="17"/>
  <c r="C51" i="32" s="1"/>
  <c r="AN30" i="17"/>
  <c r="C53" i="32" s="1"/>
  <c r="AN31" i="17"/>
  <c r="C55" i="32" s="1"/>
  <c r="AN32" i="17"/>
  <c r="C57" i="32" s="1"/>
  <c r="AN33" i="17"/>
  <c r="C59" i="32" s="1"/>
  <c r="AN34" i="17"/>
  <c r="C61" i="32" s="1"/>
  <c r="AN35" i="17"/>
  <c r="C63" i="32" s="1"/>
  <c r="AN36" i="17"/>
  <c r="C65" i="32" s="1"/>
  <c r="AP36" i="17" s="1"/>
  <c r="E65" i="32" s="1"/>
  <c r="AN5" i="17"/>
  <c r="C3" i="32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5" i="17"/>
  <c r="T5" i="17" s="1"/>
  <c r="C5" i="17"/>
  <c r="C6" i="17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S36" i="9" s="1"/>
  <c r="H4" i="25"/>
  <c r="H3" i="25"/>
  <c r="D34" i="25"/>
  <c r="E34" i="25"/>
  <c r="C34" i="25"/>
  <c r="B34" i="25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C65" i="31" s="1"/>
  <c r="AM35" i="17"/>
  <c r="C63" i="31" s="1"/>
  <c r="AM34" i="17"/>
  <c r="C61" i="31" s="1"/>
  <c r="AM33" i="17"/>
  <c r="C59" i="31" s="1"/>
  <c r="AM32" i="17"/>
  <c r="C57" i="31" s="1"/>
  <c r="AM31" i="17"/>
  <c r="C55" i="31" s="1"/>
  <c r="AM30" i="17"/>
  <c r="C53" i="31" s="1"/>
  <c r="AM29" i="17"/>
  <c r="C51" i="31" s="1"/>
  <c r="AM28" i="17"/>
  <c r="C49" i="31" s="1"/>
  <c r="AM27" i="17"/>
  <c r="C47" i="31" s="1"/>
  <c r="AM26" i="17"/>
  <c r="C45" i="31" s="1"/>
  <c r="AM25" i="17"/>
  <c r="C43" i="31" s="1"/>
  <c r="AM24" i="17"/>
  <c r="C41" i="31" s="1"/>
  <c r="AM23" i="17"/>
  <c r="C39" i="31" s="1"/>
  <c r="AM22" i="17"/>
  <c r="C37" i="31" s="1"/>
  <c r="AM21" i="17"/>
  <c r="C35" i="31" s="1"/>
  <c r="AM20" i="17"/>
  <c r="C33" i="31" s="1"/>
  <c r="AM19" i="17"/>
  <c r="C31" i="31" s="1"/>
  <c r="AM18" i="17"/>
  <c r="C29" i="31" s="1"/>
  <c r="AM17" i="17"/>
  <c r="C27" i="31" s="1"/>
  <c r="AM16" i="17"/>
  <c r="C25" i="31" s="1"/>
  <c r="AM15" i="17"/>
  <c r="C23" i="31" s="1"/>
  <c r="AM14" i="17"/>
  <c r="C21" i="31" s="1"/>
  <c r="AM13" i="17"/>
  <c r="C19" i="31" s="1"/>
  <c r="AM12" i="17"/>
  <c r="C17" i="31" s="1"/>
  <c r="AM11" i="17"/>
  <c r="C15" i="31" s="1"/>
  <c r="AM10" i="17"/>
  <c r="C13" i="31" s="1"/>
  <c r="AM9" i="17"/>
  <c r="C11" i="31" s="1"/>
  <c r="AM8" i="17"/>
  <c r="C9" i="31" s="1"/>
  <c r="AM7" i="17"/>
  <c r="C7" i="31" s="1"/>
  <c r="AM6" i="17"/>
  <c r="C5" i="31" s="1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C3" i="31" l="1"/>
  <c r="S68" i="9"/>
  <c r="S260" i="9"/>
  <c r="S64" i="9"/>
  <c r="S60" i="9"/>
  <c r="S44" i="9"/>
  <c r="S40" i="9"/>
  <c r="S65" i="9"/>
  <c r="S61" i="9"/>
  <c r="S53" i="9"/>
  <c r="S49" i="9"/>
  <c r="S45" i="9"/>
  <c r="S196" i="9"/>
  <c r="S292" i="9"/>
  <c r="S228" i="9"/>
  <c r="S324" i="9"/>
  <c r="S57" i="9"/>
  <c r="S56" i="9"/>
  <c r="S52" i="9"/>
  <c r="S48" i="9"/>
  <c r="S41" i="9"/>
  <c r="S39" i="9"/>
  <c r="S67" i="9"/>
  <c r="S59" i="9"/>
  <c r="S51" i="9"/>
  <c r="S43" i="9"/>
  <c r="H34" i="25"/>
  <c r="S66" i="9"/>
  <c r="S62" i="9"/>
  <c r="S58" i="9"/>
  <c r="S54" i="9"/>
  <c r="S50" i="9"/>
  <c r="S46" i="9"/>
  <c r="S42" i="9"/>
  <c r="S63" i="9"/>
  <c r="S55" i="9"/>
  <c r="S47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B65" i="32" s="1"/>
  <c r="AF36" i="17" l="1"/>
  <c r="AG36" i="17" s="1"/>
  <c r="L36" i="17"/>
  <c r="K36" i="17"/>
  <c r="N36" i="17" s="1"/>
  <c r="U36" i="17"/>
  <c r="V36" i="17"/>
  <c r="AC36" i="17"/>
  <c r="D65" i="31" s="1"/>
  <c r="M36" i="17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J8" i="29"/>
  <c r="P8" i="29"/>
  <c r="J12" i="29"/>
  <c r="P12" i="29"/>
  <c r="J19" i="29"/>
  <c r="P19" i="29"/>
  <c r="J23" i="29"/>
  <c r="P23" i="29"/>
  <c r="P27" i="29"/>
  <c r="J31" i="29"/>
  <c r="P31" i="29"/>
  <c r="J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E20" i="27"/>
  <c r="X36" i="17" l="1"/>
  <c r="B36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Q36" i="9" s="1"/>
  <c r="G36" i="9"/>
  <c r="L36" i="9" s="1"/>
  <c r="H36" i="9"/>
  <c r="N36" i="9" s="1"/>
  <c r="F68" i="9"/>
  <c r="Q68" i="9" s="1"/>
  <c r="G68" i="9"/>
  <c r="L68" i="9" s="1"/>
  <c r="H68" i="9"/>
  <c r="N68" i="9" s="1"/>
  <c r="F100" i="9"/>
  <c r="Q100" i="9" s="1"/>
  <c r="G100" i="9"/>
  <c r="L100" i="9" s="1"/>
  <c r="H100" i="9"/>
  <c r="N100" i="9" s="1"/>
  <c r="F132" i="9"/>
  <c r="Q132" i="9" s="1"/>
  <c r="G132" i="9"/>
  <c r="L132" i="9" s="1"/>
  <c r="H132" i="9"/>
  <c r="N132" i="9" s="1"/>
  <c r="F164" i="9"/>
  <c r="Q164" i="9" s="1"/>
  <c r="G164" i="9"/>
  <c r="L164" i="9" s="1"/>
  <c r="H164" i="9"/>
  <c r="N164" i="9" s="1"/>
  <c r="F196" i="9"/>
  <c r="Q196" i="9" s="1"/>
  <c r="G196" i="9"/>
  <c r="L196" i="9" s="1"/>
  <c r="H196" i="9"/>
  <c r="N196" i="9" s="1"/>
  <c r="F228" i="9"/>
  <c r="Q228" i="9" s="1"/>
  <c r="G228" i="9"/>
  <c r="L228" i="9" s="1"/>
  <c r="H228" i="9"/>
  <c r="N228" i="9" s="1"/>
  <c r="F260" i="9"/>
  <c r="Q260" i="9" s="1"/>
  <c r="L260" i="9"/>
  <c r="N260" i="9"/>
  <c r="F292" i="9"/>
  <c r="Q292" i="9" s="1"/>
  <c r="G292" i="9"/>
  <c r="L292" i="9" s="1"/>
  <c r="H292" i="9"/>
  <c r="N292" i="9" s="1"/>
  <c r="F324" i="9"/>
  <c r="Q324" i="9" s="1"/>
  <c r="G324" i="9"/>
  <c r="L324" i="9" s="1"/>
  <c r="H324" i="9"/>
  <c r="N324" i="9" s="1"/>
  <c r="F356" i="9"/>
  <c r="Q356" i="9" s="1"/>
  <c r="G356" i="9"/>
  <c r="L356" i="9" s="1"/>
  <c r="H356" i="9"/>
  <c r="N356" i="9" s="1"/>
  <c r="F388" i="9"/>
  <c r="Q388" i="9" s="1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Q387" i="9" s="1"/>
  <c r="H386" i="9"/>
  <c r="N386" i="9" s="1"/>
  <c r="G386" i="9"/>
  <c r="L386" i="9" s="1"/>
  <c r="F386" i="9"/>
  <c r="Q386" i="9" s="1"/>
  <c r="H385" i="9"/>
  <c r="N385" i="9" s="1"/>
  <c r="G385" i="9"/>
  <c r="L385" i="9" s="1"/>
  <c r="F385" i="9"/>
  <c r="Q385" i="9" s="1"/>
  <c r="H384" i="9"/>
  <c r="N384" i="9" s="1"/>
  <c r="G384" i="9"/>
  <c r="L384" i="9" s="1"/>
  <c r="F384" i="9"/>
  <c r="Q384" i="9" s="1"/>
  <c r="H383" i="9"/>
  <c r="N383" i="9" s="1"/>
  <c r="G383" i="9"/>
  <c r="L383" i="9" s="1"/>
  <c r="F383" i="9"/>
  <c r="Q383" i="9" s="1"/>
  <c r="H382" i="9"/>
  <c r="N382" i="9" s="1"/>
  <c r="G382" i="9"/>
  <c r="L382" i="9" s="1"/>
  <c r="F382" i="9"/>
  <c r="Q382" i="9" s="1"/>
  <c r="H381" i="9"/>
  <c r="N381" i="9" s="1"/>
  <c r="G381" i="9"/>
  <c r="L381" i="9" s="1"/>
  <c r="F381" i="9"/>
  <c r="Q381" i="9" s="1"/>
  <c r="H380" i="9"/>
  <c r="N380" i="9" s="1"/>
  <c r="G380" i="9"/>
  <c r="L380" i="9" s="1"/>
  <c r="F380" i="9"/>
  <c r="Q380" i="9" s="1"/>
  <c r="H379" i="9"/>
  <c r="N379" i="9" s="1"/>
  <c r="G379" i="9"/>
  <c r="L379" i="9" s="1"/>
  <c r="F379" i="9"/>
  <c r="Q379" i="9" s="1"/>
  <c r="H378" i="9"/>
  <c r="N378" i="9" s="1"/>
  <c r="G378" i="9"/>
  <c r="L378" i="9" s="1"/>
  <c r="F378" i="9"/>
  <c r="Q378" i="9" s="1"/>
  <c r="H377" i="9"/>
  <c r="N377" i="9" s="1"/>
  <c r="G377" i="9"/>
  <c r="L377" i="9" s="1"/>
  <c r="F377" i="9"/>
  <c r="Q377" i="9" s="1"/>
  <c r="H376" i="9"/>
  <c r="N376" i="9" s="1"/>
  <c r="G376" i="9"/>
  <c r="L376" i="9" s="1"/>
  <c r="F376" i="9"/>
  <c r="Q376" i="9" s="1"/>
  <c r="H375" i="9"/>
  <c r="N375" i="9" s="1"/>
  <c r="G375" i="9"/>
  <c r="L375" i="9" s="1"/>
  <c r="F375" i="9"/>
  <c r="Q375" i="9" s="1"/>
  <c r="H374" i="9"/>
  <c r="N374" i="9" s="1"/>
  <c r="G374" i="9"/>
  <c r="L374" i="9" s="1"/>
  <c r="F374" i="9"/>
  <c r="Q374" i="9" s="1"/>
  <c r="H373" i="9"/>
  <c r="N373" i="9" s="1"/>
  <c r="G373" i="9"/>
  <c r="L373" i="9" s="1"/>
  <c r="F373" i="9"/>
  <c r="Q373" i="9" s="1"/>
  <c r="H372" i="9"/>
  <c r="N372" i="9" s="1"/>
  <c r="G372" i="9"/>
  <c r="L372" i="9" s="1"/>
  <c r="F372" i="9"/>
  <c r="Q372" i="9" s="1"/>
  <c r="H371" i="9"/>
  <c r="N371" i="9" s="1"/>
  <c r="G371" i="9"/>
  <c r="L371" i="9" s="1"/>
  <c r="F371" i="9"/>
  <c r="Q371" i="9" s="1"/>
  <c r="H370" i="9"/>
  <c r="N370" i="9" s="1"/>
  <c r="G370" i="9"/>
  <c r="L370" i="9" s="1"/>
  <c r="F370" i="9"/>
  <c r="H369" i="9"/>
  <c r="N369" i="9" s="1"/>
  <c r="G369" i="9"/>
  <c r="L369" i="9" s="1"/>
  <c r="F369" i="9"/>
  <c r="H368" i="9"/>
  <c r="N368" i="9" s="1"/>
  <c r="G368" i="9"/>
  <c r="L368" i="9" s="1"/>
  <c r="F368" i="9"/>
  <c r="H367" i="9"/>
  <c r="N367" i="9" s="1"/>
  <c r="G367" i="9"/>
  <c r="L367" i="9" s="1"/>
  <c r="F367" i="9"/>
  <c r="H366" i="9"/>
  <c r="N366" i="9" s="1"/>
  <c r="G366" i="9"/>
  <c r="L366" i="9" s="1"/>
  <c r="F366" i="9"/>
  <c r="H365" i="9"/>
  <c r="N365" i="9" s="1"/>
  <c r="G365" i="9"/>
  <c r="L365" i="9" s="1"/>
  <c r="F365" i="9"/>
  <c r="H364" i="9"/>
  <c r="N364" i="9" s="1"/>
  <c r="G364" i="9"/>
  <c r="L364" i="9" s="1"/>
  <c r="F364" i="9"/>
  <c r="H363" i="9"/>
  <c r="N363" i="9" s="1"/>
  <c r="G363" i="9"/>
  <c r="L363" i="9" s="1"/>
  <c r="F363" i="9"/>
  <c r="Q363" i="9" s="1"/>
  <c r="H362" i="9"/>
  <c r="N362" i="9" s="1"/>
  <c r="G362" i="9"/>
  <c r="L362" i="9" s="1"/>
  <c r="F362" i="9"/>
  <c r="Q362" i="9" s="1"/>
  <c r="H361" i="9"/>
  <c r="N361" i="9" s="1"/>
  <c r="G361" i="9"/>
  <c r="L361" i="9" s="1"/>
  <c r="F361" i="9"/>
  <c r="Q361" i="9" s="1"/>
  <c r="H360" i="9"/>
  <c r="N360" i="9" s="1"/>
  <c r="G360" i="9"/>
  <c r="L360" i="9" s="1"/>
  <c r="F360" i="9"/>
  <c r="Q360" i="9" s="1"/>
  <c r="H359" i="9"/>
  <c r="N359" i="9" s="1"/>
  <c r="G359" i="9"/>
  <c r="L359" i="9" s="1"/>
  <c r="F359" i="9"/>
  <c r="Q359" i="9" s="1"/>
  <c r="H358" i="9"/>
  <c r="N358" i="9" s="1"/>
  <c r="G358" i="9"/>
  <c r="L358" i="9" s="1"/>
  <c r="F358" i="9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M340" i="9" s="1"/>
  <c r="S340" i="9" s="1"/>
  <c r="H339" i="9"/>
  <c r="N339" i="9" s="1"/>
  <c r="G339" i="9"/>
  <c r="L339" i="9" s="1"/>
  <c r="F339" i="9"/>
  <c r="M339" i="9" s="1"/>
  <c r="S339" i="9" s="1"/>
  <c r="H338" i="9"/>
  <c r="N338" i="9" s="1"/>
  <c r="G338" i="9"/>
  <c r="L338" i="9" s="1"/>
  <c r="F338" i="9"/>
  <c r="M338" i="9" s="1"/>
  <c r="S338" i="9" s="1"/>
  <c r="H337" i="9"/>
  <c r="N337" i="9" s="1"/>
  <c r="G337" i="9"/>
  <c r="L337" i="9" s="1"/>
  <c r="F337" i="9"/>
  <c r="M337" i="9" s="1"/>
  <c r="S337" i="9" s="1"/>
  <c r="H336" i="9"/>
  <c r="N336" i="9" s="1"/>
  <c r="G336" i="9"/>
  <c r="L336" i="9" s="1"/>
  <c r="F336" i="9"/>
  <c r="M336" i="9" s="1"/>
  <c r="S336" i="9" s="1"/>
  <c r="H335" i="9"/>
  <c r="N335" i="9" s="1"/>
  <c r="G335" i="9"/>
  <c r="L335" i="9" s="1"/>
  <c r="F335" i="9"/>
  <c r="M335" i="9" s="1"/>
  <c r="S335" i="9" s="1"/>
  <c r="H334" i="9"/>
  <c r="N334" i="9" s="1"/>
  <c r="G334" i="9"/>
  <c r="L334" i="9" s="1"/>
  <c r="F334" i="9"/>
  <c r="M334" i="9" s="1"/>
  <c r="S334" i="9" s="1"/>
  <c r="H333" i="9"/>
  <c r="N333" i="9" s="1"/>
  <c r="G333" i="9"/>
  <c r="L333" i="9" s="1"/>
  <c r="F333" i="9"/>
  <c r="M333" i="9" s="1"/>
  <c r="S333" i="9" s="1"/>
  <c r="H332" i="9"/>
  <c r="N332" i="9" s="1"/>
  <c r="G332" i="9"/>
  <c r="L332" i="9" s="1"/>
  <c r="F332" i="9"/>
  <c r="M332" i="9" s="1"/>
  <c r="S332" i="9" s="1"/>
  <c r="H331" i="9"/>
  <c r="N331" i="9" s="1"/>
  <c r="G331" i="9"/>
  <c r="L331" i="9" s="1"/>
  <c r="F331" i="9"/>
  <c r="M331" i="9" s="1"/>
  <c r="S331" i="9" s="1"/>
  <c r="H330" i="9"/>
  <c r="N330" i="9" s="1"/>
  <c r="G330" i="9"/>
  <c r="L330" i="9" s="1"/>
  <c r="F330" i="9"/>
  <c r="M330" i="9" s="1"/>
  <c r="S330" i="9" s="1"/>
  <c r="H329" i="9"/>
  <c r="N329" i="9" s="1"/>
  <c r="G329" i="9"/>
  <c r="L329" i="9" s="1"/>
  <c r="F329" i="9"/>
  <c r="M329" i="9" s="1"/>
  <c r="S329" i="9" s="1"/>
  <c r="H328" i="9"/>
  <c r="N328" i="9" s="1"/>
  <c r="G328" i="9"/>
  <c r="L328" i="9" s="1"/>
  <c r="F328" i="9"/>
  <c r="M328" i="9" s="1"/>
  <c r="S328" i="9" s="1"/>
  <c r="H327" i="9"/>
  <c r="N327" i="9" s="1"/>
  <c r="G327" i="9"/>
  <c r="L327" i="9" s="1"/>
  <c r="F327" i="9"/>
  <c r="M327" i="9" s="1"/>
  <c r="S327" i="9" s="1"/>
  <c r="H326" i="9"/>
  <c r="N326" i="9" s="1"/>
  <c r="G326" i="9"/>
  <c r="L326" i="9" s="1"/>
  <c r="F326" i="9"/>
  <c r="M326" i="9" s="1"/>
  <c r="S326" i="9" s="1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N259" i="9"/>
  <c r="L259" i="9"/>
  <c r="F259" i="9"/>
  <c r="N258" i="9"/>
  <c r="L258" i="9"/>
  <c r="O258" i="9" s="1"/>
  <c r="F258" i="9"/>
  <c r="N257" i="9"/>
  <c r="L257" i="9"/>
  <c r="O257" i="9" s="1"/>
  <c r="F257" i="9"/>
  <c r="N256" i="9"/>
  <c r="L256" i="9"/>
  <c r="F256" i="9"/>
  <c r="N255" i="9"/>
  <c r="L255" i="9"/>
  <c r="F255" i="9"/>
  <c r="N254" i="9"/>
  <c r="L254" i="9"/>
  <c r="F254" i="9"/>
  <c r="N253" i="9"/>
  <c r="L253" i="9"/>
  <c r="F253" i="9"/>
  <c r="N252" i="9"/>
  <c r="L252" i="9"/>
  <c r="F252" i="9"/>
  <c r="N251" i="9"/>
  <c r="L251" i="9"/>
  <c r="F251" i="9"/>
  <c r="N250" i="9"/>
  <c r="L250" i="9"/>
  <c r="F250" i="9"/>
  <c r="N249" i="9"/>
  <c r="L249" i="9"/>
  <c r="F249" i="9"/>
  <c r="N248" i="9"/>
  <c r="L248" i="9"/>
  <c r="F248" i="9"/>
  <c r="N247" i="9"/>
  <c r="L247" i="9"/>
  <c r="F247" i="9"/>
  <c r="N246" i="9"/>
  <c r="L246" i="9"/>
  <c r="F246" i="9"/>
  <c r="N245" i="9"/>
  <c r="L245" i="9"/>
  <c r="F245" i="9"/>
  <c r="N244" i="9"/>
  <c r="L244" i="9"/>
  <c r="F244" i="9"/>
  <c r="M244" i="9" s="1"/>
  <c r="N243" i="9"/>
  <c r="L243" i="9"/>
  <c r="F243" i="9"/>
  <c r="M243" i="9" s="1"/>
  <c r="N242" i="9"/>
  <c r="L242" i="9"/>
  <c r="F242" i="9"/>
  <c r="M242" i="9" s="1"/>
  <c r="N241" i="9"/>
  <c r="L241" i="9"/>
  <c r="F241" i="9"/>
  <c r="M241" i="9" s="1"/>
  <c r="N240" i="9"/>
  <c r="L240" i="9"/>
  <c r="F240" i="9"/>
  <c r="M240" i="9" s="1"/>
  <c r="N239" i="9"/>
  <c r="L239" i="9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O99" i="9" s="1"/>
  <c r="F99" i="9"/>
  <c r="H98" i="9"/>
  <c r="N98" i="9" s="1"/>
  <c r="G98" i="9"/>
  <c r="L98" i="9" s="1"/>
  <c r="F98" i="9"/>
  <c r="H97" i="9"/>
  <c r="N97" i="9" s="1"/>
  <c r="G97" i="9"/>
  <c r="L97" i="9" s="1"/>
  <c r="F97" i="9"/>
  <c r="H96" i="9"/>
  <c r="N96" i="9" s="1"/>
  <c r="G96" i="9"/>
  <c r="L96" i="9" s="1"/>
  <c r="F96" i="9"/>
  <c r="H95" i="9"/>
  <c r="N95" i="9" s="1"/>
  <c r="G95" i="9"/>
  <c r="L95" i="9" s="1"/>
  <c r="F95" i="9"/>
  <c r="H94" i="9"/>
  <c r="N94" i="9" s="1"/>
  <c r="G94" i="9"/>
  <c r="L94" i="9" s="1"/>
  <c r="F94" i="9"/>
  <c r="H93" i="9"/>
  <c r="N93" i="9" s="1"/>
  <c r="G93" i="9"/>
  <c r="L93" i="9" s="1"/>
  <c r="F93" i="9"/>
  <c r="H92" i="9"/>
  <c r="N92" i="9" s="1"/>
  <c r="G92" i="9"/>
  <c r="L92" i="9" s="1"/>
  <c r="F92" i="9"/>
  <c r="H91" i="9"/>
  <c r="N91" i="9" s="1"/>
  <c r="G91" i="9"/>
  <c r="L91" i="9" s="1"/>
  <c r="F91" i="9"/>
  <c r="H90" i="9"/>
  <c r="N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H84" i="9"/>
  <c r="N84" i="9" s="1"/>
  <c r="G84" i="9"/>
  <c r="L84" i="9" s="1"/>
  <c r="F84" i="9"/>
  <c r="H83" i="9"/>
  <c r="N83" i="9" s="1"/>
  <c r="G83" i="9"/>
  <c r="L83" i="9" s="1"/>
  <c r="F83" i="9"/>
  <c r="H82" i="9"/>
  <c r="N82" i="9" s="1"/>
  <c r="G82" i="9"/>
  <c r="L82" i="9" s="1"/>
  <c r="F82" i="9"/>
  <c r="H81" i="9"/>
  <c r="N81" i="9" s="1"/>
  <c r="G81" i="9"/>
  <c r="L81" i="9" s="1"/>
  <c r="F81" i="9"/>
  <c r="H80" i="9"/>
  <c r="N80" i="9" s="1"/>
  <c r="G80" i="9"/>
  <c r="L80" i="9" s="1"/>
  <c r="F80" i="9"/>
  <c r="H79" i="9"/>
  <c r="N79" i="9" s="1"/>
  <c r="G79" i="9"/>
  <c r="L79" i="9" s="1"/>
  <c r="F79" i="9"/>
  <c r="H78" i="9"/>
  <c r="N78" i="9" s="1"/>
  <c r="G78" i="9"/>
  <c r="L78" i="9" s="1"/>
  <c r="F78" i="9"/>
  <c r="H77" i="9"/>
  <c r="N77" i="9" s="1"/>
  <c r="G77" i="9"/>
  <c r="L77" i="9" s="1"/>
  <c r="F77" i="9"/>
  <c r="H76" i="9"/>
  <c r="N76" i="9" s="1"/>
  <c r="G76" i="9"/>
  <c r="L76" i="9" s="1"/>
  <c r="F76" i="9"/>
  <c r="H75" i="9"/>
  <c r="N75" i="9" s="1"/>
  <c r="G75" i="9"/>
  <c r="L75" i="9" s="1"/>
  <c r="F75" i="9"/>
  <c r="H74" i="9"/>
  <c r="N74" i="9" s="1"/>
  <c r="G74" i="9"/>
  <c r="L74" i="9" s="1"/>
  <c r="F74" i="9"/>
  <c r="H73" i="9"/>
  <c r="N73" i="9" s="1"/>
  <c r="G73" i="9"/>
  <c r="L73" i="9" s="1"/>
  <c r="F73" i="9"/>
  <c r="H72" i="9"/>
  <c r="N72" i="9" s="1"/>
  <c r="G72" i="9"/>
  <c r="L72" i="9" s="1"/>
  <c r="F72" i="9"/>
  <c r="H71" i="9"/>
  <c r="N71" i="9" s="1"/>
  <c r="G71" i="9"/>
  <c r="L71" i="9" s="1"/>
  <c r="F71" i="9"/>
  <c r="H70" i="9"/>
  <c r="N70" i="9" s="1"/>
  <c r="G70" i="9"/>
  <c r="L70" i="9" s="1"/>
  <c r="F70" i="9"/>
  <c r="H67" i="9"/>
  <c r="N67" i="9" s="1"/>
  <c r="G67" i="9"/>
  <c r="L67" i="9" s="1"/>
  <c r="F67" i="9"/>
  <c r="Q67" i="9" s="1"/>
  <c r="H66" i="9"/>
  <c r="N66" i="9" s="1"/>
  <c r="G66" i="9"/>
  <c r="L66" i="9" s="1"/>
  <c r="F66" i="9"/>
  <c r="Q66" i="9" s="1"/>
  <c r="H65" i="9"/>
  <c r="N65" i="9" s="1"/>
  <c r="G65" i="9"/>
  <c r="L65" i="9" s="1"/>
  <c r="F65" i="9"/>
  <c r="Q65" i="9" s="1"/>
  <c r="H64" i="9"/>
  <c r="N64" i="9" s="1"/>
  <c r="G64" i="9"/>
  <c r="L64" i="9" s="1"/>
  <c r="F64" i="9"/>
  <c r="Q64" i="9" s="1"/>
  <c r="H63" i="9"/>
  <c r="N63" i="9" s="1"/>
  <c r="G63" i="9"/>
  <c r="L63" i="9" s="1"/>
  <c r="F63" i="9"/>
  <c r="Q63" i="9" s="1"/>
  <c r="H62" i="9"/>
  <c r="N62" i="9" s="1"/>
  <c r="G62" i="9"/>
  <c r="L62" i="9" s="1"/>
  <c r="F62" i="9"/>
  <c r="Q62" i="9" s="1"/>
  <c r="H61" i="9"/>
  <c r="N61" i="9" s="1"/>
  <c r="G61" i="9"/>
  <c r="L61" i="9" s="1"/>
  <c r="F61" i="9"/>
  <c r="Q61" i="9" s="1"/>
  <c r="H60" i="9"/>
  <c r="N60" i="9" s="1"/>
  <c r="G60" i="9"/>
  <c r="L60" i="9" s="1"/>
  <c r="F60" i="9"/>
  <c r="Q60" i="9" s="1"/>
  <c r="H59" i="9"/>
  <c r="N59" i="9" s="1"/>
  <c r="G59" i="9"/>
  <c r="L59" i="9" s="1"/>
  <c r="F59" i="9"/>
  <c r="Q59" i="9" s="1"/>
  <c r="H58" i="9"/>
  <c r="N58" i="9" s="1"/>
  <c r="G58" i="9"/>
  <c r="L58" i="9" s="1"/>
  <c r="F58" i="9"/>
  <c r="Q58" i="9" s="1"/>
  <c r="H57" i="9"/>
  <c r="N57" i="9" s="1"/>
  <c r="G57" i="9"/>
  <c r="L57" i="9" s="1"/>
  <c r="F57" i="9"/>
  <c r="Q57" i="9" s="1"/>
  <c r="H56" i="9"/>
  <c r="N56" i="9" s="1"/>
  <c r="G56" i="9"/>
  <c r="L56" i="9" s="1"/>
  <c r="F56" i="9"/>
  <c r="Q56" i="9" s="1"/>
  <c r="H55" i="9"/>
  <c r="N55" i="9" s="1"/>
  <c r="G55" i="9"/>
  <c r="L55" i="9" s="1"/>
  <c r="F55" i="9"/>
  <c r="Q55" i="9" s="1"/>
  <c r="H54" i="9"/>
  <c r="N54" i="9" s="1"/>
  <c r="G54" i="9"/>
  <c r="L54" i="9" s="1"/>
  <c r="F54" i="9"/>
  <c r="Q54" i="9" s="1"/>
  <c r="H53" i="9"/>
  <c r="N53" i="9" s="1"/>
  <c r="G53" i="9"/>
  <c r="L53" i="9" s="1"/>
  <c r="F53" i="9"/>
  <c r="Q53" i="9" s="1"/>
  <c r="H52" i="9"/>
  <c r="N52" i="9" s="1"/>
  <c r="G52" i="9"/>
  <c r="L52" i="9" s="1"/>
  <c r="F52" i="9"/>
  <c r="Q52" i="9" s="1"/>
  <c r="H51" i="9"/>
  <c r="N51" i="9" s="1"/>
  <c r="G51" i="9"/>
  <c r="L51" i="9" s="1"/>
  <c r="F51" i="9"/>
  <c r="Q51" i="9" s="1"/>
  <c r="H50" i="9"/>
  <c r="N50" i="9" s="1"/>
  <c r="G50" i="9"/>
  <c r="L50" i="9" s="1"/>
  <c r="F50" i="9"/>
  <c r="Q50" i="9" s="1"/>
  <c r="H49" i="9"/>
  <c r="N49" i="9" s="1"/>
  <c r="G49" i="9"/>
  <c r="L49" i="9" s="1"/>
  <c r="F49" i="9"/>
  <c r="Q49" i="9" s="1"/>
  <c r="H48" i="9"/>
  <c r="N48" i="9" s="1"/>
  <c r="G48" i="9"/>
  <c r="L48" i="9" s="1"/>
  <c r="F48" i="9"/>
  <c r="Q48" i="9" s="1"/>
  <c r="H47" i="9"/>
  <c r="N47" i="9" s="1"/>
  <c r="G47" i="9"/>
  <c r="L47" i="9" s="1"/>
  <c r="F47" i="9"/>
  <c r="Q47" i="9" s="1"/>
  <c r="H46" i="9"/>
  <c r="N46" i="9" s="1"/>
  <c r="G46" i="9"/>
  <c r="L46" i="9" s="1"/>
  <c r="F46" i="9"/>
  <c r="Q46" i="9" s="1"/>
  <c r="H45" i="9"/>
  <c r="N45" i="9" s="1"/>
  <c r="G45" i="9"/>
  <c r="L45" i="9" s="1"/>
  <c r="F45" i="9"/>
  <c r="Q45" i="9" s="1"/>
  <c r="H44" i="9"/>
  <c r="N44" i="9" s="1"/>
  <c r="G44" i="9"/>
  <c r="L44" i="9" s="1"/>
  <c r="F44" i="9"/>
  <c r="Q44" i="9" s="1"/>
  <c r="H43" i="9"/>
  <c r="N43" i="9" s="1"/>
  <c r="G43" i="9"/>
  <c r="L43" i="9" s="1"/>
  <c r="F43" i="9"/>
  <c r="Q43" i="9" s="1"/>
  <c r="H42" i="9"/>
  <c r="N42" i="9" s="1"/>
  <c r="G42" i="9"/>
  <c r="L42" i="9" s="1"/>
  <c r="F42" i="9"/>
  <c r="Q42" i="9" s="1"/>
  <c r="H41" i="9"/>
  <c r="N41" i="9" s="1"/>
  <c r="G41" i="9"/>
  <c r="L41" i="9" s="1"/>
  <c r="F41" i="9"/>
  <c r="Q41" i="9" s="1"/>
  <c r="H40" i="9"/>
  <c r="N40" i="9" s="1"/>
  <c r="G40" i="9"/>
  <c r="L40" i="9" s="1"/>
  <c r="F40" i="9"/>
  <c r="Q40" i="9" s="1"/>
  <c r="H39" i="9"/>
  <c r="N39" i="9" s="1"/>
  <c r="G39" i="9"/>
  <c r="L39" i="9" s="1"/>
  <c r="F39" i="9"/>
  <c r="Q39" i="9" s="1"/>
  <c r="H38" i="9"/>
  <c r="N38" i="9" s="1"/>
  <c r="G38" i="9"/>
  <c r="L38" i="9" s="1"/>
  <c r="F38" i="9"/>
  <c r="Q38" i="9" s="1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Q99" i="9" l="1"/>
  <c r="O98" i="9"/>
  <c r="Q98" i="9"/>
  <c r="T98" i="9" s="1"/>
  <c r="O38" i="9"/>
  <c r="M358" i="9"/>
  <c r="S358" i="9" s="1"/>
  <c r="Q358" i="9"/>
  <c r="M366" i="9"/>
  <c r="S366" i="9" s="1"/>
  <c r="Q366" i="9"/>
  <c r="M370" i="9"/>
  <c r="S370" i="9" s="1"/>
  <c r="Q370" i="9"/>
  <c r="M369" i="9"/>
  <c r="S369" i="9" s="1"/>
  <c r="Q369" i="9"/>
  <c r="M364" i="9"/>
  <c r="S364" i="9" s="1"/>
  <c r="Q364" i="9"/>
  <c r="M368" i="9"/>
  <c r="S368" i="9" s="1"/>
  <c r="Q368" i="9"/>
  <c r="M365" i="9"/>
  <c r="S365" i="9" s="1"/>
  <c r="Q365" i="9"/>
  <c r="M367" i="9"/>
  <c r="S367" i="9" s="1"/>
  <c r="Q367" i="9"/>
  <c r="M71" i="9"/>
  <c r="Q71" i="9"/>
  <c r="M83" i="9"/>
  <c r="M72" i="9"/>
  <c r="Q72" i="9"/>
  <c r="M76" i="9"/>
  <c r="Q76" i="9"/>
  <c r="M80" i="9"/>
  <c r="Q80" i="9"/>
  <c r="M84" i="9"/>
  <c r="M79" i="9"/>
  <c r="Q79" i="9"/>
  <c r="M70" i="9"/>
  <c r="Q70" i="9"/>
  <c r="M74" i="9"/>
  <c r="Q74" i="9"/>
  <c r="M78" i="9"/>
  <c r="Q78" i="9"/>
  <c r="M82" i="9"/>
  <c r="M75" i="9"/>
  <c r="Q75" i="9"/>
  <c r="M73" i="9"/>
  <c r="Q73" i="9"/>
  <c r="M77" i="9"/>
  <c r="Q77" i="9"/>
  <c r="M81" i="9"/>
  <c r="M164" i="9"/>
  <c r="T164" i="9"/>
  <c r="M163" i="9"/>
  <c r="M100" i="9"/>
  <c r="T100" i="9"/>
  <c r="M259" i="9"/>
  <c r="M260" i="9"/>
  <c r="T260" i="9"/>
  <c r="M362" i="9"/>
  <c r="S362" i="9" s="1"/>
  <c r="T362" i="9"/>
  <c r="M361" i="9"/>
  <c r="S361" i="9" s="1"/>
  <c r="T361" i="9"/>
  <c r="M360" i="9"/>
  <c r="S360" i="9" s="1"/>
  <c r="T360" i="9"/>
  <c r="M372" i="9"/>
  <c r="S372" i="9" s="1"/>
  <c r="T372" i="9"/>
  <c r="M359" i="9"/>
  <c r="S359" i="9" s="1"/>
  <c r="T359" i="9"/>
  <c r="M363" i="9"/>
  <c r="S363" i="9" s="1"/>
  <c r="T363" i="9"/>
  <c r="M371" i="9"/>
  <c r="S371" i="9" s="1"/>
  <c r="T371" i="9"/>
  <c r="M388" i="9"/>
  <c r="S388" i="9" s="1"/>
  <c r="T388" i="9"/>
  <c r="M355" i="9"/>
  <c r="S355" i="9" s="1"/>
  <c r="M354" i="9"/>
  <c r="S354" i="9" s="1"/>
  <c r="M356" i="9"/>
  <c r="S356" i="9" s="1"/>
  <c r="T356" i="9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M280" i="9"/>
  <c r="M288" i="9"/>
  <c r="M292" i="9"/>
  <c r="T292" i="9"/>
  <c r="M263" i="9"/>
  <c r="M271" i="9"/>
  <c r="M279" i="9"/>
  <c r="M291" i="9"/>
  <c r="M262" i="9"/>
  <c r="M266" i="9"/>
  <c r="M270" i="9"/>
  <c r="M274" i="9"/>
  <c r="M278" i="9"/>
  <c r="M282" i="9"/>
  <c r="M286" i="9"/>
  <c r="M290" i="9"/>
  <c r="M264" i="9"/>
  <c r="M272" i="9"/>
  <c r="M276" i="9"/>
  <c r="M284" i="9"/>
  <c r="M267" i="9"/>
  <c r="M275" i="9"/>
  <c r="M283" i="9"/>
  <c r="M287" i="9"/>
  <c r="M265" i="9"/>
  <c r="M269" i="9"/>
  <c r="M273" i="9"/>
  <c r="M277" i="9"/>
  <c r="M281" i="9"/>
  <c r="M285" i="9"/>
  <c r="M289" i="9"/>
  <c r="M230" i="9"/>
  <c r="M258" i="9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M200" i="9"/>
  <c r="M216" i="9"/>
  <c r="M198" i="9"/>
  <c r="M202" i="9"/>
  <c r="M206" i="9"/>
  <c r="M210" i="9"/>
  <c r="M214" i="9"/>
  <c r="M218" i="9"/>
  <c r="M222" i="9"/>
  <c r="M226" i="9"/>
  <c r="M228" i="9"/>
  <c r="T228" i="9"/>
  <c r="M224" i="9"/>
  <c r="M201" i="9"/>
  <c r="M205" i="9"/>
  <c r="M209" i="9"/>
  <c r="M213" i="9"/>
  <c r="M217" i="9"/>
  <c r="M221" i="9"/>
  <c r="M225" i="9"/>
  <c r="M166" i="9"/>
  <c r="M170" i="9"/>
  <c r="M174" i="9"/>
  <c r="M178" i="9"/>
  <c r="M182" i="9"/>
  <c r="M186" i="9"/>
  <c r="M190" i="9"/>
  <c r="M194" i="9"/>
  <c r="M169" i="9"/>
  <c r="M173" i="9"/>
  <c r="M177" i="9"/>
  <c r="M181" i="9"/>
  <c r="M185" i="9"/>
  <c r="M189" i="9"/>
  <c r="M193" i="9"/>
  <c r="M196" i="9"/>
  <c r="T196" i="9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M162" i="9"/>
  <c r="M106" i="9"/>
  <c r="M110" i="9"/>
  <c r="M122" i="9"/>
  <c r="M126" i="9"/>
  <c r="M105" i="9"/>
  <c r="M109" i="9"/>
  <c r="M113" i="9"/>
  <c r="M117" i="9"/>
  <c r="M121" i="9"/>
  <c r="M125" i="9"/>
  <c r="M129" i="9"/>
  <c r="M104" i="9"/>
  <c r="M108" i="9"/>
  <c r="M112" i="9"/>
  <c r="M116" i="9"/>
  <c r="M120" i="9"/>
  <c r="M124" i="9"/>
  <c r="M128" i="9"/>
  <c r="M102" i="9"/>
  <c r="M114" i="9"/>
  <c r="M118" i="9"/>
  <c r="M130" i="9"/>
  <c r="M103" i="9"/>
  <c r="M107" i="9"/>
  <c r="M111" i="9"/>
  <c r="M115" i="9"/>
  <c r="M119" i="9"/>
  <c r="M123" i="9"/>
  <c r="M127" i="9"/>
  <c r="M131" i="9"/>
  <c r="M132" i="9"/>
  <c r="S132" i="9" s="1"/>
  <c r="T132" i="9"/>
  <c r="M99" i="9"/>
  <c r="M98" i="9"/>
  <c r="M41" i="9"/>
  <c r="T41" i="9"/>
  <c r="M45" i="9"/>
  <c r="T45" i="9"/>
  <c r="M49" i="9"/>
  <c r="T49" i="9"/>
  <c r="M53" i="9"/>
  <c r="T53" i="9"/>
  <c r="M57" i="9"/>
  <c r="T57" i="9"/>
  <c r="M61" i="9"/>
  <c r="T61" i="9"/>
  <c r="M65" i="9"/>
  <c r="T65" i="9"/>
  <c r="M68" i="9"/>
  <c r="T68" i="9"/>
  <c r="M42" i="9"/>
  <c r="T42" i="9"/>
  <c r="M46" i="9"/>
  <c r="T46" i="9"/>
  <c r="M50" i="9"/>
  <c r="T50" i="9"/>
  <c r="M58" i="9"/>
  <c r="T58" i="9"/>
  <c r="M66" i="9"/>
  <c r="T66" i="9"/>
  <c r="M40" i="9"/>
  <c r="T40" i="9"/>
  <c r="M44" i="9"/>
  <c r="T44" i="9"/>
  <c r="M48" i="9"/>
  <c r="T48" i="9"/>
  <c r="M52" i="9"/>
  <c r="T52" i="9"/>
  <c r="M56" i="9"/>
  <c r="T56" i="9"/>
  <c r="M60" i="9"/>
  <c r="T60" i="9"/>
  <c r="M64" i="9"/>
  <c r="T64" i="9"/>
  <c r="M38" i="9"/>
  <c r="M54" i="9"/>
  <c r="T54" i="9"/>
  <c r="M62" i="9"/>
  <c r="T62" i="9"/>
  <c r="M39" i="9"/>
  <c r="T39" i="9"/>
  <c r="M43" i="9"/>
  <c r="T43" i="9"/>
  <c r="M47" i="9"/>
  <c r="T47" i="9"/>
  <c r="M51" i="9"/>
  <c r="T51" i="9"/>
  <c r="M55" i="9"/>
  <c r="T55" i="9"/>
  <c r="M59" i="9"/>
  <c r="T59" i="9"/>
  <c r="M63" i="9"/>
  <c r="T63" i="9"/>
  <c r="M67" i="9"/>
  <c r="T67" i="9"/>
  <c r="M36" i="9"/>
  <c r="T36" i="9"/>
  <c r="M353" i="9"/>
  <c r="S353" i="9" s="1"/>
  <c r="M257" i="9"/>
  <c r="M161" i="9"/>
  <c r="M97" i="9"/>
  <c r="M387" i="9"/>
  <c r="S387" i="9" s="1"/>
  <c r="T387" i="9"/>
  <c r="M352" i="9"/>
  <c r="S352" i="9" s="1"/>
  <c r="M256" i="9"/>
  <c r="M160" i="9"/>
  <c r="M96" i="9"/>
  <c r="M386" i="9"/>
  <c r="S386" i="9" s="1"/>
  <c r="T386" i="9"/>
  <c r="M385" i="9"/>
  <c r="S385" i="9" s="1"/>
  <c r="T385" i="9"/>
  <c r="M384" i="9"/>
  <c r="S384" i="9" s="1"/>
  <c r="T384" i="9"/>
  <c r="M383" i="9"/>
  <c r="S383" i="9" s="1"/>
  <c r="T383" i="9"/>
  <c r="M351" i="9"/>
  <c r="S351" i="9" s="1"/>
  <c r="M255" i="9"/>
  <c r="M159" i="9"/>
  <c r="M95" i="9"/>
  <c r="M350" i="9"/>
  <c r="S350" i="9" s="1"/>
  <c r="M382" i="9"/>
  <c r="S382" i="9" s="1"/>
  <c r="T382" i="9"/>
  <c r="M254" i="9"/>
  <c r="M158" i="9"/>
  <c r="M94" i="9"/>
  <c r="M381" i="9"/>
  <c r="S381" i="9" s="1"/>
  <c r="T381" i="9"/>
  <c r="M349" i="9"/>
  <c r="S349" i="9" s="1"/>
  <c r="M253" i="9"/>
  <c r="M93" i="9"/>
  <c r="M157" i="9"/>
  <c r="M380" i="9"/>
  <c r="S380" i="9" s="1"/>
  <c r="T380" i="9"/>
  <c r="M348" i="9"/>
  <c r="S348" i="9" s="1"/>
  <c r="M252" i="9"/>
  <c r="M156" i="9"/>
  <c r="M92" i="9"/>
  <c r="M379" i="9"/>
  <c r="S379" i="9" s="1"/>
  <c r="T379" i="9"/>
  <c r="M347" i="9"/>
  <c r="S347" i="9" s="1"/>
  <c r="M251" i="9"/>
  <c r="M155" i="9"/>
  <c r="M91" i="9"/>
  <c r="M378" i="9"/>
  <c r="S378" i="9" s="1"/>
  <c r="T378" i="9"/>
  <c r="M346" i="9"/>
  <c r="S346" i="9" s="1"/>
  <c r="M250" i="9"/>
  <c r="M154" i="9"/>
  <c r="M90" i="9"/>
  <c r="M377" i="9"/>
  <c r="S377" i="9" s="1"/>
  <c r="T377" i="9"/>
  <c r="M345" i="9"/>
  <c r="S345" i="9" s="1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T324" i="9"/>
  <c r="M376" i="9"/>
  <c r="S376" i="9" s="1"/>
  <c r="T376" i="9"/>
  <c r="M344" i="9"/>
  <c r="S344" i="9" s="1"/>
  <c r="M248" i="9"/>
  <c r="M152" i="9"/>
  <c r="M88" i="9"/>
  <c r="M375" i="9"/>
  <c r="S375" i="9" s="1"/>
  <c r="M343" i="9"/>
  <c r="S343" i="9" s="1"/>
  <c r="M247" i="9"/>
  <c r="M151" i="9"/>
  <c r="M87" i="9"/>
  <c r="M374" i="9"/>
  <c r="S374" i="9" s="1"/>
  <c r="T374" i="9"/>
  <c r="M342" i="9"/>
  <c r="S342" i="9" s="1"/>
  <c r="M246" i="9"/>
  <c r="M150" i="9"/>
  <c r="M86" i="9"/>
  <c r="M85" i="9"/>
  <c r="M149" i="9"/>
  <c r="M245" i="9"/>
  <c r="M341" i="9"/>
  <c r="S341" i="9" s="1"/>
  <c r="M373" i="9"/>
  <c r="S373" i="9" s="1"/>
  <c r="S164" i="9"/>
  <c r="S100" i="9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P99" i="9" l="1"/>
  <c r="P98" i="9"/>
  <c r="S98" i="9" s="1"/>
  <c r="P38" i="9"/>
  <c r="S38" i="9" s="1"/>
  <c r="G18" i="20"/>
  <c r="G10" i="28"/>
  <c r="G20" i="20"/>
  <c r="G12" i="20"/>
  <c r="G15" i="27"/>
  <c r="G15" i="20"/>
  <c r="G13" i="27"/>
  <c r="G16" i="20"/>
  <c r="G16" i="27"/>
  <c r="G18" i="27"/>
  <c r="G13" i="20"/>
  <c r="G11" i="20"/>
  <c r="G11" i="27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D7" i="31" s="1"/>
  <c r="AO7" i="17" s="1"/>
  <c r="D7" i="32" s="1"/>
  <c r="AP7" i="17" s="1"/>
  <c r="E7" i="32" s="1"/>
  <c r="AD8" i="17"/>
  <c r="AE8" i="17"/>
  <c r="AK8" i="17"/>
  <c r="AL8" i="17" s="1"/>
  <c r="B9" i="32" s="1"/>
  <c r="AD9" i="17"/>
  <c r="AE9" i="17"/>
  <c r="AK9" i="17"/>
  <c r="AD10" i="17"/>
  <c r="AE10" i="17"/>
  <c r="AK10" i="17"/>
  <c r="AC10" i="17" s="1"/>
  <c r="D13" i="31" s="1"/>
  <c r="AO10" i="17" s="1"/>
  <c r="D13" i="32" s="1"/>
  <c r="AP10" i="17" s="1"/>
  <c r="E13" i="32" s="1"/>
  <c r="AD11" i="17"/>
  <c r="AE11" i="17"/>
  <c r="AK11" i="17"/>
  <c r="AC11" i="17" s="1"/>
  <c r="D15" i="31" s="1"/>
  <c r="AO11" i="17" s="1"/>
  <c r="D15" i="32" s="1"/>
  <c r="AP11" i="17" s="1"/>
  <c r="E15" i="32" s="1"/>
  <c r="AD12" i="17"/>
  <c r="AE12" i="17"/>
  <c r="AK12" i="17"/>
  <c r="AL12" i="17" s="1"/>
  <c r="B17" i="32" s="1"/>
  <c r="J13" i="17"/>
  <c r="AD13" i="17"/>
  <c r="AE13" i="17"/>
  <c r="AK13" i="17"/>
  <c r="AD14" i="17"/>
  <c r="AE14" i="17"/>
  <c r="AK14" i="17"/>
  <c r="AC14" i="17" s="1"/>
  <c r="D21" i="31" s="1"/>
  <c r="AO14" i="17" s="1"/>
  <c r="D21" i="32" s="1"/>
  <c r="AP14" i="17" s="1"/>
  <c r="E21" i="32" s="1"/>
  <c r="AD15" i="17"/>
  <c r="AE15" i="17"/>
  <c r="AK15" i="17"/>
  <c r="AC15" i="17" s="1"/>
  <c r="D23" i="31" s="1"/>
  <c r="AO15" i="17" s="1"/>
  <c r="D23" i="32" s="1"/>
  <c r="AP15" i="17" s="1"/>
  <c r="E23" i="32" s="1"/>
  <c r="AD16" i="17"/>
  <c r="AE16" i="17"/>
  <c r="AK16" i="17"/>
  <c r="AL16" i="17" s="1"/>
  <c r="B25" i="32" s="1"/>
  <c r="J17" i="17"/>
  <c r="AD17" i="17"/>
  <c r="AE17" i="17"/>
  <c r="AK17" i="17"/>
  <c r="J18" i="17"/>
  <c r="AD18" i="17"/>
  <c r="AE18" i="17"/>
  <c r="AK18" i="17"/>
  <c r="AC18" i="17" s="1"/>
  <c r="D29" i="31" s="1"/>
  <c r="AO18" i="17" s="1"/>
  <c r="D29" i="32" s="1"/>
  <c r="AP18" i="17" s="1"/>
  <c r="E29" i="32" s="1"/>
  <c r="AD19" i="17"/>
  <c r="AE19" i="17"/>
  <c r="AK19" i="17"/>
  <c r="AL19" i="17" s="1"/>
  <c r="B31" i="32" s="1"/>
  <c r="AD20" i="17"/>
  <c r="AE20" i="17"/>
  <c r="AK20" i="17"/>
  <c r="AL20" i="17" s="1"/>
  <c r="B33" i="32" s="1"/>
  <c r="J21" i="17"/>
  <c r="AD21" i="17"/>
  <c r="AE21" i="17"/>
  <c r="AK21" i="17"/>
  <c r="J22" i="17"/>
  <c r="AD22" i="17"/>
  <c r="AE22" i="17"/>
  <c r="AK22" i="17"/>
  <c r="AC22" i="17" s="1"/>
  <c r="D37" i="31" s="1"/>
  <c r="AO22" i="17" s="1"/>
  <c r="D37" i="32" s="1"/>
  <c r="AP22" i="17" s="1"/>
  <c r="E37" i="32" s="1"/>
  <c r="AD23" i="17"/>
  <c r="AE23" i="17"/>
  <c r="AK23" i="17"/>
  <c r="AC23" i="17" s="1"/>
  <c r="D39" i="31" s="1"/>
  <c r="AO23" i="17" s="1"/>
  <c r="D39" i="32" s="1"/>
  <c r="AP23" i="17" s="1"/>
  <c r="E39" i="32" s="1"/>
  <c r="AD24" i="17"/>
  <c r="AE24" i="17"/>
  <c r="AK24" i="17"/>
  <c r="AD25" i="17"/>
  <c r="AE25" i="17"/>
  <c r="AK25" i="17"/>
  <c r="AL25" i="17" s="1"/>
  <c r="B43" i="32" s="1"/>
  <c r="AD26" i="17"/>
  <c r="AE26" i="17"/>
  <c r="AK26" i="17"/>
  <c r="AC26" i="17" s="1"/>
  <c r="D45" i="31" s="1"/>
  <c r="AO26" i="17" s="1"/>
  <c r="D45" i="32" s="1"/>
  <c r="AP26" i="17" s="1"/>
  <c r="E45" i="32" s="1"/>
  <c r="AD27" i="17"/>
  <c r="AE27" i="17"/>
  <c r="AK27" i="17"/>
  <c r="AL27" i="17" s="1"/>
  <c r="B47" i="32" s="1"/>
  <c r="AD28" i="17"/>
  <c r="AE28" i="17"/>
  <c r="AK28" i="17"/>
  <c r="AC28" i="17" s="1"/>
  <c r="D49" i="31" s="1"/>
  <c r="AO28" i="17" s="1"/>
  <c r="D49" i="32" s="1"/>
  <c r="AP28" i="17" s="1"/>
  <c r="E49" i="32" s="1"/>
  <c r="AD29" i="17"/>
  <c r="AE29" i="17"/>
  <c r="AK29" i="17"/>
  <c r="J30" i="17"/>
  <c r="AD30" i="17"/>
  <c r="AE30" i="17"/>
  <c r="AK30" i="17"/>
  <c r="AC30" i="17" s="1"/>
  <c r="D53" i="31" s="1"/>
  <c r="AO30" i="17" s="1"/>
  <c r="D53" i="32" s="1"/>
  <c r="AP30" i="17" s="1"/>
  <c r="E53" i="32" s="1"/>
  <c r="AD31" i="17"/>
  <c r="AE31" i="17"/>
  <c r="AK31" i="17"/>
  <c r="AL31" i="17" s="1"/>
  <c r="B55" i="32" s="1"/>
  <c r="AD32" i="17"/>
  <c r="AE32" i="17"/>
  <c r="AK32" i="17"/>
  <c r="AC32" i="17" s="1"/>
  <c r="D57" i="31" s="1"/>
  <c r="AO32" i="17" s="1"/>
  <c r="D57" i="32" s="1"/>
  <c r="AP32" i="17" s="1"/>
  <c r="E57" i="32" s="1"/>
  <c r="AD33" i="17"/>
  <c r="AE33" i="17"/>
  <c r="AK33" i="17"/>
  <c r="AD34" i="17"/>
  <c r="AE34" i="17"/>
  <c r="AK34" i="17"/>
  <c r="AC34" i="17" s="1"/>
  <c r="D61" i="31" s="1"/>
  <c r="AO34" i="17" s="1"/>
  <c r="D61" i="32" s="1"/>
  <c r="AP34" i="17" s="1"/>
  <c r="E61" i="32" s="1"/>
  <c r="AD35" i="17"/>
  <c r="AE35" i="17"/>
  <c r="AK35" i="17"/>
  <c r="AK6" i="17"/>
  <c r="AC6" i="17" s="1"/>
  <c r="D5" i="31" s="1"/>
  <c r="AO6" i="17" s="1"/>
  <c r="D5" i="32" s="1"/>
  <c r="AP6" i="17" s="1"/>
  <c r="E5" i="32" s="1"/>
  <c r="AJ6" i="17"/>
  <c r="AE6" i="17"/>
  <c r="AD6" i="17"/>
  <c r="AK5" i="17"/>
  <c r="AC5" i="17" s="1"/>
  <c r="D3" i="31" s="1"/>
  <c r="AO5" i="17" s="1"/>
  <c r="D3" i="32" s="1"/>
  <c r="AP5" i="17" s="1"/>
  <c r="E3" i="32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D25" i="31" s="1"/>
  <c r="AO16" i="17" s="1"/>
  <c r="D25" i="32" s="1"/>
  <c r="AP16" i="17" s="1"/>
  <c r="E25" i="32" s="1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B57" i="32" s="1"/>
  <c r="J31" i="17"/>
  <c r="N31" i="17" s="1"/>
  <c r="L24" i="17"/>
  <c r="AF17" i="17"/>
  <c r="AG17" i="17" s="1"/>
  <c r="L34" i="17"/>
  <c r="AF31" i="17"/>
  <c r="AG31" i="17" s="1"/>
  <c r="AL23" i="17"/>
  <c r="B39" i="32" s="1"/>
  <c r="L20" i="17"/>
  <c r="N17" i="17"/>
  <c r="AL15" i="17"/>
  <c r="B23" i="32" s="1"/>
  <c r="AF10" i="17"/>
  <c r="AG10" i="17" s="1"/>
  <c r="AF7" i="17"/>
  <c r="AG7" i="17" s="1"/>
  <c r="AF27" i="17"/>
  <c r="AG27" i="17" s="1"/>
  <c r="AF23" i="17"/>
  <c r="AG23" i="17" s="1"/>
  <c r="AL10" i="17"/>
  <c r="B13" i="32" s="1"/>
  <c r="L27" i="17"/>
  <c r="L29" i="17"/>
  <c r="L15" i="17"/>
  <c r="L13" i="17"/>
  <c r="L35" i="17"/>
  <c r="AF34" i="17"/>
  <c r="AG34" i="17" s="1"/>
  <c r="J32" i="17"/>
  <c r="N32" i="17" s="1"/>
  <c r="L31" i="17"/>
  <c r="AL30" i="17"/>
  <c r="B53" i="32" s="1"/>
  <c r="AF28" i="17"/>
  <c r="AG28" i="17" s="1"/>
  <c r="AL26" i="17"/>
  <c r="B45" i="32" s="1"/>
  <c r="AF19" i="17"/>
  <c r="AG19" i="17" s="1"/>
  <c r="L17" i="17"/>
  <c r="AF12" i="17"/>
  <c r="AG12" i="17" s="1"/>
  <c r="AL7" i="17"/>
  <c r="B7" i="32" s="1"/>
  <c r="AL5" i="17"/>
  <c r="B3" i="32" s="1"/>
  <c r="AL28" i="17"/>
  <c r="B49" i="32" s="1"/>
  <c r="AF15" i="17"/>
  <c r="AG15" i="17" s="1"/>
  <c r="AL11" i="17"/>
  <c r="B15" i="32" s="1"/>
  <c r="J11" i="17"/>
  <c r="N11" i="17" s="1"/>
  <c r="L9" i="17"/>
  <c r="AC19" i="17"/>
  <c r="D31" i="31" s="1"/>
  <c r="AO19" i="17" s="1"/>
  <c r="D31" i="32" s="1"/>
  <c r="AP19" i="17" s="1"/>
  <c r="E31" i="32" s="1"/>
  <c r="L25" i="17"/>
  <c r="AC20" i="17"/>
  <c r="D33" i="31" s="1"/>
  <c r="AO20" i="17" s="1"/>
  <c r="D33" i="32" s="1"/>
  <c r="AP20" i="17" s="1"/>
  <c r="E33" i="32" s="1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B37" i="32" s="1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D17" i="31" s="1"/>
  <c r="AO12" i="17" s="1"/>
  <c r="D17" i="32" s="1"/>
  <c r="AP12" i="17" s="1"/>
  <c r="E17" i="32" s="1"/>
  <c r="L11" i="17"/>
  <c r="J10" i="17"/>
  <c r="N10" i="17" s="1"/>
  <c r="AF9" i="17"/>
  <c r="AG9" i="17" s="1"/>
  <c r="AC8" i="17"/>
  <c r="D9" i="31" s="1"/>
  <c r="AO8" i="17" s="1"/>
  <c r="D9" i="32" s="1"/>
  <c r="AP8" i="17" s="1"/>
  <c r="E9" i="32" s="1"/>
  <c r="M8" i="17"/>
  <c r="J7" i="17"/>
  <c r="N7" i="17" s="1"/>
  <c r="M5" i="17"/>
  <c r="AL34" i="17"/>
  <c r="B61" i="32" s="1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B29" i="32" s="1"/>
  <c r="AL14" i="17"/>
  <c r="B21" i="32" s="1"/>
  <c r="L14" i="17"/>
  <c r="N13" i="17"/>
  <c r="J28" i="17"/>
  <c r="N28" i="17" s="1"/>
  <c r="AC25" i="17"/>
  <c r="D43" i="31" s="1"/>
  <c r="AO25" i="17" s="1"/>
  <c r="D43" i="32" s="1"/>
  <c r="AP25" i="17" s="1"/>
  <c r="E43" i="32" s="1"/>
  <c r="M18" i="17"/>
  <c r="L18" i="17"/>
  <c r="J16" i="17"/>
  <c r="AL35" i="17"/>
  <c r="B63" i="32" s="1"/>
  <c r="AC35" i="17"/>
  <c r="D63" i="31" s="1"/>
  <c r="AO35" i="17" s="1"/>
  <c r="D63" i="32" s="1"/>
  <c r="AP35" i="17" s="1"/>
  <c r="E63" i="32" s="1"/>
  <c r="J34" i="17"/>
  <c r="N34" i="17" s="1"/>
  <c r="AC33" i="17"/>
  <c r="D59" i="31" s="1"/>
  <c r="AO33" i="17" s="1"/>
  <c r="D59" i="32" s="1"/>
  <c r="AP33" i="17" s="1"/>
  <c r="E59" i="32" s="1"/>
  <c r="AL33" i="17"/>
  <c r="B59" i="32" s="1"/>
  <c r="AC29" i="17"/>
  <c r="D51" i="31" s="1"/>
  <c r="AO29" i="17" s="1"/>
  <c r="D51" i="32" s="1"/>
  <c r="AP29" i="17" s="1"/>
  <c r="E51" i="32" s="1"/>
  <c r="AL29" i="17"/>
  <c r="B51" i="32" s="1"/>
  <c r="L26" i="17"/>
  <c r="AL24" i="17"/>
  <c r="B41" i="32" s="1"/>
  <c r="AC24" i="17"/>
  <c r="D41" i="31" s="1"/>
  <c r="AO24" i="17" s="1"/>
  <c r="D41" i="32" s="1"/>
  <c r="AP24" i="17" s="1"/>
  <c r="E41" i="32" s="1"/>
  <c r="AL13" i="17"/>
  <c r="B19" i="32" s="1"/>
  <c r="AC13" i="17"/>
  <c r="D19" i="31" s="1"/>
  <c r="AO13" i="17" s="1"/>
  <c r="D19" i="32" s="1"/>
  <c r="AP13" i="17" s="1"/>
  <c r="E19" i="32" s="1"/>
  <c r="L30" i="17"/>
  <c r="L32" i="17"/>
  <c r="AC31" i="17"/>
  <c r="D55" i="31" s="1"/>
  <c r="AO31" i="17" s="1"/>
  <c r="D55" i="32" s="1"/>
  <c r="AP31" i="17" s="1"/>
  <c r="E55" i="32" s="1"/>
  <c r="AC27" i="17"/>
  <c r="D47" i="31" s="1"/>
  <c r="AO27" i="17" s="1"/>
  <c r="D47" i="32" s="1"/>
  <c r="AP27" i="17" s="1"/>
  <c r="E47" i="32" s="1"/>
  <c r="AF25" i="17"/>
  <c r="AG25" i="17" s="1"/>
  <c r="J23" i="17"/>
  <c r="N23" i="17" s="1"/>
  <c r="AL17" i="17"/>
  <c r="B27" i="32" s="1"/>
  <c r="AC17" i="17"/>
  <c r="D27" i="31" s="1"/>
  <c r="AO17" i="17" s="1"/>
  <c r="D27" i="32" s="1"/>
  <c r="AP17" i="17" s="1"/>
  <c r="E27" i="32" s="1"/>
  <c r="L10" i="17"/>
  <c r="J8" i="17"/>
  <c r="N8" i="17" s="1"/>
  <c r="N30" i="17"/>
  <c r="AL9" i="17"/>
  <c r="B11" i="32" s="1"/>
  <c r="AC9" i="17"/>
  <c r="D11" i="31" s="1"/>
  <c r="AO9" i="17" s="1"/>
  <c r="D11" i="32" s="1"/>
  <c r="AP9" i="17" s="1"/>
  <c r="E11" i="32" s="1"/>
  <c r="AL21" i="17"/>
  <c r="B35" i="32" s="1"/>
  <c r="AC21" i="17"/>
  <c r="D35" i="31" s="1"/>
  <c r="AO21" i="17" s="1"/>
  <c r="D35" i="32" s="1"/>
  <c r="AP21" i="17" s="1"/>
  <c r="E35" i="32" s="1"/>
  <c r="AL6" i="17"/>
  <c r="B5" i="32" s="1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23" i="17" l="1"/>
  <c r="W19" i="17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30" i="17" l="1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Q81" i="9" s="1"/>
  <c r="H18" i="9"/>
  <c r="N18" i="9" s="1"/>
  <c r="Q82" i="9" s="1"/>
  <c r="H19" i="9"/>
  <c r="N19" i="9" s="1"/>
  <c r="Q83" i="9" s="1"/>
  <c r="H20" i="9"/>
  <c r="N20" i="9" s="1"/>
  <c r="Q84" i="9" s="1"/>
  <c r="H21" i="9"/>
  <c r="N21" i="9" s="1"/>
  <c r="Q85" i="9" s="1"/>
  <c r="H22" i="9"/>
  <c r="N22" i="9" s="1"/>
  <c r="Q86" i="9" s="1"/>
  <c r="H23" i="9"/>
  <c r="N23" i="9" s="1"/>
  <c r="Q87" i="9" s="1"/>
  <c r="H24" i="9"/>
  <c r="N24" i="9" s="1"/>
  <c r="Q88" i="9" s="1"/>
  <c r="H25" i="9"/>
  <c r="N25" i="9" s="1"/>
  <c r="Q89" i="9" s="1"/>
  <c r="H26" i="9"/>
  <c r="N26" i="9" s="1"/>
  <c r="Q90" i="9" s="1"/>
  <c r="H27" i="9"/>
  <c r="N27" i="9" s="1"/>
  <c r="Q91" i="9" s="1"/>
  <c r="H28" i="9"/>
  <c r="N28" i="9" s="1"/>
  <c r="Q92" i="9" s="1"/>
  <c r="H29" i="9"/>
  <c r="N29" i="9" s="1"/>
  <c r="Q93" i="9" s="1"/>
  <c r="H30" i="9"/>
  <c r="N30" i="9" s="1"/>
  <c r="Q94" i="9" s="1"/>
  <c r="H31" i="9"/>
  <c r="N31" i="9" s="1"/>
  <c r="Q95" i="9" s="1"/>
  <c r="H32" i="9"/>
  <c r="N32" i="9" s="1"/>
  <c r="Q96" i="9" s="1"/>
  <c r="H33" i="9"/>
  <c r="N33" i="9" s="1"/>
  <c r="Q97" i="9" s="1"/>
  <c r="H34" i="9"/>
  <c r="N34" i="9" s="1"/>
  <c r="H35" i="9"/>
  <c r="N35" i="9" s="1"/>
  <c r="H6" i="9"/>
  <c r="N6" i="9" s="1"/>
  <c r="Q190" i="9" l="1"/>
  <c r="Q222" i="9"/>
  <c r="Q286" i="9"/>
  <c r="T286" i="9" s="1"/>
  <c r="Q318" i="9"/>
  <c r="T318" i="9" s="1"/>
  <c r="Q350" i="9"/>
  <c r="T350" i="9" s="1"/>
  <c r="Q126" i="9"/>
  <c r="T126" i="9" s="1"/>
  <c r="Q254" i="9"/>
  <c r="T254" i="9" s="1"/>
  <c r="Q158" i="9"/>
  <c r="T158" i="9" s="1"/>
  <c r="Q174" i="9"/>
  <c r="T174" i="9" s="1"/>
  <c r="Q238" i="9"/>
  <c r="Q110" i="9"/>
  <c r="T110" i="9" s="1"/>
  <c r="Q302" i="9"/>
  <c r="T302" i="9" s="1"/>
  <c r="Q206" i="9"/>
  <c r="Q142" i="9"/>
  <c r="T142" i="9" s="1"/>
  <c r="Q270" i="9"/>
  <c r="T270" i="9" s="1"/>
  <c r="Q334" i="9"/>
  <c r="T334" i="9" s="1"/>
  <c r="Q291" i="9"/>
  <c r="Q195" i="9"/>
  <c r="T195" i="9" s="1"/>
  <c r="Q131" i="9"/>
  <c r="T131" i="9" s="1"/>
  <c r="Q163" i="9"/>
  <c r="T163" i="9" s="1"/>
  <c r="Q323" i="9"/>
  <c r="T323" i="9" s="1"/>
  <c r="Q259" i="9"/>
  <c r="T259" i="9" s="1"/>
  <c r="Q355" i="9"/>
  <c r="T355" i="9" s="1"/>
  <c r="Q227" i="9"/>
  <c r="T227" i="9" s="1"/>
  <c r="Q159" i="9"/>
  <c r="T159" i="9" s="1"/>
  <c r="Q351" i="9"/>
  <c r="T351" i="9" s="1"/>
  <c r="Q223" i="9"/>
  <c r="T223" i="9" s="1"/>
  <c r="Q287" i="9"/>
  <c r="T287" i="9" s="1"/>
  <c r="Q191" i="9"/>
  <c r="Q127" i="9"/>
  <c r="T127" i="9" s="1"/>
  <c r="Q319" i="9"/>
  <c r="T319" i="9" s="1"/>
  <c r="Q255" i="9"/>
  <c r="T255" i="9" s="1"/>
  <c r="Q315" i="9"/>
  <c r="Q123" i="9"/>
  <c r="T123" i="9" s="1"/>
  <c r="Q187" i="9"/>
  <c r="T187" i="9" s="1"/>
  <c r="Q347" i="9"/>
  <c r="T347" i="9" s="1"/>
  <c r="Q155" i="9"/>
  <c r="Q251" i="9"/>
  <c r="T251" i="9" s="1"/>
  <c r="Q219" i="9"/>
  <c r="T219" i="9" s="1"/>
  <c r="Q283" i="9"/>
  <c r="T283" i="9" s="1"/>
  <c r="Q311" i="9"/>
  <c r="T311" i="9" s="1"/>
  <c r="Q247" i="9"/>
  <c r="T247" i="9" s="1"/>
  <c r="Q279" i="9"/>
  <c r="T279" i="9" s="1"/>
  <c r="Q183" i="9"/>
  <c r="T183" i="9" s="1"/>
  <c r="Q119" i="9"/>
  <c r="T119" i="9" s="1"/>
  <c r="Q215" i="9"/>
  <c r="T215" i="9" s="1"/>
  <c r="Q343" i="9"/>
  <c r="T343" i="9" s="1"/>
  <c r="Q151" i="9"/>
  <c r="T151" i="9" s="1"/>
  <c r="Q275" i="9"/>
  <c r="T275" i="9" s="1"/>
  <c r="Q179" i="9"/>
  <c r="T179" i="9" s="1"/>
  <c r="Q211" i="9"/>
  <c r="T211" i="9" s="1"/>
  <c r="Q147" i="9"/>
  <c r="T147" i="9" s="1"/>
  <c r="Q307" i="9"/>
  <c r="T307" i="9" s="1"/>
  <c r="Q115" i="9"/>
  <c r="T115" i="9" s="1"/>
  <c r="Q243" i="9"/>
  <c r="T243" i="9" s="1"/>
  <c r="Q339" i="9"/>
  <c r="T339" i="9" s="1"/>
  <c r="Q143" i="9"/>
  <c r="T143" i="9" s="1"/>
  <c r="Q207" i="9"/>
  <c r="T207" i="9" s="1"/>
  <c r="Q303" i="9"/>
  <c r="T303" i="9" s="1"/>
  <c r="Q239" i="9"/>
  <c r="T239" i="9" s="1"/>
  <c r="Q271" i="9"/>
  <c r="T271" i="9" s="1"/>
  <c r="Q335" i="9"/>
  <c r="T335" i="9" s="1"/>
  <c r="Q175" i="9"/>
  <c r="T175" i="9" s="1"/>
  <c r="Q111" i="9"/>
  <c r="T111" i="9" s="1"/>
  <c r="Q203" i="9"/>
  <c r="T203" i="9" s="1"/>
  <c r="Q331" i="9"/>
  <c r="T331" i="9" s="1"/>
  <c r="Q299" i="9"/>
  <c r="T299" i="9" s="1"/>
  <c r="Q235" i="9"/>
  <c r="T235" i="9" s="1"/>
  <c r="Q139" i="9"/>
  <c r="T139" i="9" s="1"/>
  <c r="Q267" i="9"/>
  <c r="T267" i="9" s="1"/>
  <c r="Q107" i="9"/>
  <c r="T107" i="9" s="1"/>
  <c r="Q171" i="9"/>
  <c r="T171" i="9" s="1"/>
  <c r="Q295" i="9"/>
  <c r="T295" i="9" s="1"/>
  <c r="Q103" i="9"/>
  <c r="T103" i="9" s="1"/>
  <c r="Q263" i="9"/>
  <c r="T263" i="9" s="1"/>
  <c r="Q167" i="9"/>
  <c r="T167" i="9" s="1"/>
  <c r="Q199" i="9"/>
  <c r="T199" i="9" s="1"/>
  <c r="Q327" i="9"/>
  <c r="T327" i="9" s="1"/>
  <c r="Q231" i="9"/>
  <c r="T231" i="9" s="1"/>
  <c r="Q135" i="9"/>
  <c r="T135" i="9" s="1"/>
  <c r="Q322" i="9"/>
  <c r="T322" i="9" s="1"/>
  <c r="Q226" i="9"/>
  <c r="T226" i="9" s="1"/>
  <c r="Q130" i="9"/>
  <c r="T130" i="9" s="1"/>
  <c r="Q194" i="9"/>
  <c r="T194" i="9" s="1"/>
  <c r="Q258" i="9"/>
  <c r="T258" i="9" s="1"/>
  <c r="Q354" i="9"/>
  <c r="T354" i="9" s="1"/>
  <c r="Q162" i="9"/>
  <c r="T162" i="9" s="1"/>
  <c r="Q290" i="9"/>
  <c r="T290" i="9" s="1"/>
  <c r="Q118" i="9"/>
  <c r="T118" i="9" s="1"/>
  <c r="Q278" i="9"/>
  <c r="T278" i="9" s="1"/>
  <c r="Q310" i="9"/>
  <c r="T310" i="9" s="1"/>
  <c r="Q342" i="9"/>
  <c r="T342" i="9" s="1"/>
  <c r="Q150" i="9"/>
  <c r="T150" i="9" s="1"/>
  <c r="Q246" i="9"/>
  <c r="T246" i="9" s="1"/>
  <c r="Q214" i="9"/>
  <c r="T214" i="9" s="1"/>
  <c r="Q182" i="9"/>
  <c r="T182" i="9" s="1"/>
  <c r="Q266" i="9"/>
  <c r="T266" i="9" s="1"/>
  <c r="Q106" i="9"/>
  <c r="T106" i="9" s="1"/>
  <c r="Q138" i="9"/>
  <c r="T138" i="9" s="1"/>
  <c r="Q170" i="9"/>
  <c r="T170" i="9" s="1"/>
  <c r="Q202" i="9"/>
  <c r="T202" i="9" s="1"/>
  <c r="Q298" i="9"/>
  <c r="T298" i="9" s="1"/>
  <c r="Q330" i="9"/>
  <c r="T330" i="9" s="1"/>
  <c r="Q234" i="9"/>
  <c r="T234" i="9" s="1"/>
  <c r="Q289" i="9"/>
  <c r="T289" i="9" s="1"/>
  <c r="Q321" i="9"/>
  <c r="T321" i="9" s="1"/>
  <c r="Q257" i="9"/>
  <c r="T257" i="9" s="1"/>
  <c r="Q193" i="9"/>
  <c r="T193" i="9" s="1"/>
  <c r="Q225" i="9"/>
  <c r="T225" i="9" s="1"/>
  <c r="Q161" i="9"/>
  <c r="T161" i="9" s="1"/>
  <c r="Q129" i="9"/>
  <c r="T129" i="9" s="1"/>
  <c r="Q353" i="9"/>
  <c r="T353" i="9" s="1"/>
  <c r="Q253" i="9"/>
  <c r="Q349" i="9"/>
  <c r="Q125" i="9"/>
  <c r="T125" i="9" s="1"/>
  <c r="Q285" i="9"/>
  <c r="T285" i="9" s="1"/>
  <c r="Q157" i="9"/>
  <c r="T157" i="9" s="1"/>
  <c r="Q189" i="9"/>
  <c r="T189" i="9" s="1"/>
  <c r="Q317" i="9"/>
  <c r="T317" i="9" s="1"/>
  <c r="Q221" i="9"/>
  <c r="T221" i="9" s="1"/>
  <c r="Q345" i="9"/>
  <c r="Q281" i="9"/>
  <c r="T281" i="9" s="1"/>
  <c r="Q153" i="9"/>
  <c r="T153" i="9" s="1"/>
  <c r="Q217" i="9"/>
  <c r="T217" i="9" s="1"/>
  <c r="Q313" i="9"/>
  <c r="Q121" i="9"/>
  <c r="T121" i="9" s="1"/>
  <c r="Q249" i="9"/>
  <c r="T249" i="9" s="1"/>
  <c r="Q185" i="9"/>
  <c r="T185" i="9" s="1"/>
  <c r="Q341" i="9"/>
  <c r="Q117" i="9"/>
  <c r="T117" i="9" s="1"/>
  <c r="Q213" i="9"/>
  <c r="T213" i="9" s="1"/>
  <c r="Q149" i="9"/>
  <c r="T149" i="9" s="1"/>
  <c r="Q245" i="9"/>
  <c r="Q181" i="9"/>
  <c r="T181" i="9" s="1"/>
  <c r="Q277" i="9"/>
  <c r="T277" i="9" s="1"/>
  <c r="Q309" i="9"/>
  <c r="T309" i="9" s="1"/>
  <c r="Q113" i="9"/>
  <c r="T113" i="9" s="1"/>
  <c r="Q337" i="9"/>
  <c r="T337" i="9" s="1"/>
  <c r="Q273" i="9"/>
  <c r="T273" i="9" s="1"/>
  <c r="Q145" i="9"/>
  <c r="T145" i="9" s="1"/>
  <c r="Q241" i="9"/>
  <c r="Q177" i="9"/>
  <c r="T177" i="9" s="1"/>
  <c r="Q209" i="9"/>
  <c r="T209" i="9" s="1"/>
  <c r="Q305" i="9"/>
  <c r="T305" i="9" s="1"/>
  <c r="Q205" i="9"/>
  <c r="T205" i="9" s="1"/>
  <c r="Q301" i="9"/>
  <c r="T301" i="9" s="1"/>
  <c r="Q141" i="9"/>
  <c r="T141" i="9" s="1"/>
  <c r="Q173" i="9"/>
  <c r="T173" i="9" s="1"/>
  <c r="Q333" i="9"/>
  <c r="T333" i="9" s="1"/>
  <c r="Q109" i="9"/>
  <c r="T109" i="9" s="1"/>
  <c r="Q269" i="9"/>
  <c r="T269" i="9" s="1"/>
  <c r="Q237" i="9"/>
  <c r="T237" i="9" s="1"/>
  <c r="Q265" i="9"/>
  <c r="T265" i="9" s="1"/>
  <c r="Q297" i="9"/>
  <c r="T297" i="9" s="1"/>
  <c r="Q233" i="9"/>
  <c r="T233" i="9" s="1"/>
  <c r="Q169" i="9"/>
  <c r="T169" i="9" s="1"/>
  <c r="Q201" i="9"/>
  <c r="T201" i="9" s="1"/>
  <c r="Q137" i="9"/>
  <c r="T137" i="9" s="1"/>
  <c r="Q329" i="9"/>
  <c r="T329" i="9" s="1"/>
  <c r="Q105" i="9"/>
  <c r="T105" i="9" s="1"/>
  <c r="Q282" i="9"/>
  <c r="T282" i="9" s="1"/>
  <c r="Q346" i="9"/>
  <c r="T346" i="9" s="1"/>
  <c r="Q154" i="9"/>
  <c r="T154" i="9" s="1"/>
  <c r="Q186" i="9"/>
  <c r="T186" i="9" s="1"/>
  <c r="Q122" i="9"/>
  <c r="T122" i="9" s="1"/>
  <c r="Q314" i="9"/>
  <c r="T314" i="9" s="1"/>
  <c r="Q250" i="9"/>
  <c r="T250" i="9" s="1"/>
  <c r="Q218" i="9"/>
  <c r="T218" i="9" s="1"/>
  <c r="Q306" i="9"/>
  <c r="T306" i="9" s="1"/>
  <c r="Q338" i="9"/>
  <c r="T338" i="9" s="1"/>
  <c r="Q114" i="9"/>
  <c r="T114" i="9" s="1"/>
  <c r="Q178" i="9"/>
  <c r="T178" i="9" s="1"/>
  <c r="Q210" i="9"/>
  <c r="T210" i="9" s="1"/>
  <c r="Q242" i="9"/>
  <c r="T242" i="9" s="1"/>
  <c r="Q146" i="9"/>
  <c r="T146" i="9" s="1"/>
  <c r="Q274" i="9"/>
  <c r="T274" i="9" s="1"/>
  <c r="Q262" i="9"/>
  <c r="T262" i="9" s="1"/>
  <c r="Q134" i="9"/>
  <c r="T134" i="9" s="1"/>
  <c r="Q230" i="9"/>
  <c r="T230" i="9" s="1"/>
  <c r="Q102" i="9"/>
  <c r="T102" i="9" s="1"/>
  <c r="Q294" i="9"/>
  <c r="T294" i="9" s="1"/>
  <c r="Q166" i="9"/>
  <c r="T166" i="9" s="1"/>
  <c r="Q326" i="9"/>
  <c r="T326" i="9" s="1"/>
  <c r="Q198" i="9"/>
  <c r="T198" i="9" s="1"/>
  <c r="Q288" i="9"/>
  <c r="T288" i="9" s="1"/>
  <c r="Q320" i="9"/>
  <c r="T320" i="9" s="1"/>
  <c r="Q256" i="9"/>
  <c r="T256" i="9" s="1"/>
  <c r="Q160" i="9"/>
  <c r="T160" i="9" s="1"/>
  <c r="Q192" i="9"/>
  <c r="T192" i="9" s="1"/>
  <c r="Q224" i="9"/>
  <c r="T224" i="9" s="1"/>
  <c r="Q352" i="9"/>
  <c r="T352" i="9" s="1"/>
  <c r="Q128" i="9"/>
  <c r="T128" i="9" s="1"/>
  <c r="Q252" i="9"/>
  <c r="Q156" i="9"/>
  <c r="T156" i="9" s="1"/>
  <c r="Q124" i="9"/>
  <c r="T124" i="9" s="1"/>
  <c r="Q188" i="9"/>
  <c r="T188" i="9" s="1"/>
  <c r="Q284" i="9"/>
  <c r="T284" i="9" s="1"/>
  <c r="Q220" i="9"/>
  <c r="T220" i="9" s="1"/>
  <c r="Q316" i="9"/>
  <c r="T316" i="9" s="1"/>
  <c r="Q348" i="9"/>
  <c r="T348" i="9" s="1"/>
  <c r="Q120" i="9"/>
  <c r="Q344" i="9"/>
  <c r="T344" i="9" s="1"/>
  <c r="Q280" i="9"/>
  <c r="T280" i="9" s="1"/>
  <c r="Q216" i="9"/>
  <c r="T216" i="9" s="1"/>
  <c r="Q248" i="9"/>
  <c r="T248" i="9" s="1"/>
  <c r="Q312" i="9"/>
  <c r="T312" i="9" s="1"/>
  <c r="Q184" i="9"/>
  <c r="T184" i="9" s="1"/>
  <c r="Q152" i="9"/>
  <c r="T152" i="9" s="1"/>
  <c r="Q180" i="9"/>
  <c r="T180" i="9" s="1"/>
  <c r="Q212" i="9"/>
  <c r="T212" i="9" s="1"/>
  <c r="Q276" i="9"/>
  <c r="T276" i="9" s="1"/>
  <c r="Q308" i="9"/>
  <c r="T308" i="9" s="1"/>
  <c r="Q116" i="9"/>
  <c r="T116" i="9" s="1"/>
  <c r="Q340" i="9"/>
  <c r="T340" i="9" s="1"/>
  <c r="Q148" i="9"/>
  <c r="T148" i="9" s="1"/>
  <c r="Q244" i="9"/>
  <c r="T244" i="9" s="1"/>
  <c r="Q272" i="9"/>
  <c r="T272" i="9" s="1"/>
  <c r="Q208" i="9"/>
  <c r="T208" i="9" s="1"/>
  <c r="Q240" i="9"/>
  <c r="T240" i="9" s="1"/>
  <c r="Q144" i="9"/>
  <c r="T144" i="9" s="1"/>
  <c r="Q304" i="9"/>
  <c r="T304" i="9" s="1"/>
  <c r="Q336" i="9"/>
  <c r="T336" i="9" s="1"/>
  <c r="Q112" i="9"/>
  <c r="T112" i="9" s="1"/>
  <c r="Q176" i="9"/>
  <c r="T176" i="9" s="1"/>
  <c r="Q236" i="9"/>
  <c r="Q300" i="9"/>
  <c r="T300" i="9" s="1"/>
  <c r="Q108" i="9"/>
  <c r="T108" i="9" s="1"/>
  <c r="Q332" i="9"/>
  <c r="T332" i="9" s="1"/>
  <c r="Q140" i="9"/>
  <c r="T140" i="9" s="1"/>
  <c r="Q172" i="9"/>
  <c r="T172" i="9" s="1"/>
  <c r="Q204" i="9"/>
  <c r="T204" i="9" s="1"/>
  <c r="Q268" i="9"/>
  <c r="T268" i="9" s="1"/>
  <c r="Q104" i="9"/>
  <c r="T104" i="9" s="1"/>
  <c r="Q328" i="9"/>
  <c r="T328" i="9" s="1"/>
  <c r="Q168" i="9"/>
  <c r="T168" i="9" s="1"/>
  <c r="Q200" i="9"/>
  <c r="T200" i="9" s="1"/>
  <c r="Q232" i="9"/>
  <c r="T232" i="9" s="1"/>
  <c r="Q136" i="9"/>
  <c r="T136" i="9" s="1"/>
  <c r="Q264" i="9"/>
  <c r="T264" i="9" s="1"/>
  <c r="Q296" i="9"/>
  <c r="T296" i="9" s="1"/>
  <c r="T291" i="9"/>
  <c r="T191" i="9"/>
  <c r="T190" i="9"/>
  <c r="T222" i="9"/>
  <c r="T206" i="9"/>
  <c r="T120" i="9"/>
  <c r="T95" i="9"/>
  <c r="T87" i="9"/>
  <c r="T367" i="9"/>
  <c r="T79" i="9"/>
  <c r="T71" i="9"/>
  <c r="T94" i="9"/>
  <c r="T86" i="9"/>
  <c r="T366" i="9"/>
  <c r="T78" i="9"/>
  <c r="T238" i="9"/>
  <c r="T74" i="9"/>
  <c r="T97" i="9"/>
  <c r="T349" i="9"/>
  <c r="T253" i="9"/>
  <c r="T93" i="9"/>
  <c r="T345" i="9"/>
  <c r="T313" i="9"/>
  <c r="T89" i="9"/>
  <c r="T245" i="9"/>
  <c r="T85" i="9"/>
  <c r="T341" i="9"/>
  <c r="T369" i="9"/>
  <c r="T81" i="9"/>
  <c r="T241" i="9"/>
  <c r="T365" i="9"/>
  <c r="T77" i="9"/>
  <c r="T73" i="9"/>
  <c r="T91" i="9"/>
  <c r="T315" i="9"/>
  <c r="T155" i="9"/>
  <c r="T83" i="9"/>
  <c r="T75" i="9"/>
  <c r="T90" i="9"/>
  <c r="T82" i="9"/>
  <c r="T370" i="9"/>
  <c r="T358" i="9"/>
  <c r="T70" i="9"/>
  <c r="T96" i="9"/>
  <c r="T252" i="9"/>
  <c r="T92" i="9"/>
  <c r="T88" i="9"/>
  <c r="T84" i="9"/>
  <c r="T368" i="9"/>
  <c r="T80" i="9"/>
  <c r="T236" i="9"/>
  <c r="T364" i="9"/>
  <c r="T76" i="9"/>
  <c r="T72" i="9"/>
  <c r="T375" i="9"/>
  <c r="T373" i="9"/>
  <c r="T99" i="9"/>
  <c r="T38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H18" i="27" l="1"/>
  <c r="H18" i="20"/>
  <c r="H13" i="27"/>
  <c r="H13" i="20"/>
  <c r="H16" i="20"/>
  <c r="H16" i="27"/>
  <c r="H15" i="27"/>
  <c r="H15" i="20"/>
  <c r="H19" i="27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G33" i="7"/>
  <c r="D59" i="15" s="1"/>
  <c r="AG26" i="7"/>
  <c r="D45" i="15" s="1"/>
  <c r="AG8" i="7"/>
  <c r="D9" i="15" s="1"/>
  <c r="AH8" i="7" s="1"/>
  <c r="E9" i="15" s="1"/>
  <c r="AG11" i="7"/>
  <c r="D15" i="15" s="1"/>
  <c r="AQ11" i="17" s="1"/>
  <c r="AS11" i="17" s="1"/>
  <c r="AT11" i="17" s="1"/>
  <c r="AG22" i="7"/>
  <c r="D37" i="15" s="1"/>
  <c r="AQ22" i="17" s="1"/>
  <c r="AS22" i="17" s="1"/>
  <c r="AT22" i="17" s="1"/>
  <c r="AG19" i="7"/>
  <c r="D31" i="15" s="1"/>
  <c r="AH19" i="7" s="1"/>
  <c r="AG27" i="7"/>
  <c r="D47" i="15" s="1"/>
  <c r="AG35" i="7"/>
  <c r="D63" i="15" s="1"/>
  <c r="AG30" i="7"/>
  <c r="D53" i="15" s="1"/>
  <c r="AG14" i="7"/>
  <c r="D21" i="15" s="1"/>
  <c r="AG12" i="7"/>
  <c r="D17" i="15" s="1"/>
  <c r="AQ12" i="17" s="1"/>
  <c r="AS12" i="17" s="1"/>
  <c r="AT12" i="17" s="1"/>
  <c r="AG10" i="7"/>
  <c r="D13" i="15" s="1"/>
  <c r="AH10" i="7" s="1"/>
  <c r="E13" i="15" s="1"/>
  <c r="AG13" i="7"/>
  <c r="D19" i="15" s="1"/>
  <c r="AG29" i="7"/>
  <c r="D51" i="15" s="1"/>
  <c r="AG9" i="7"/>
  <c r="D11" i="15" s="1"/>
  <c r="AG17" i="7"/>
  <c r="D27" i="15" s="1"/>
  <c r="AG25" i="7"/>
  <c r="D43" i="15" s="1"/>
  <c r="AG18" i="7"/>
  <c r="D29" i="15" s="1"/>
  <c r="AH18" i="7" s="1"/>
  <c r="AG23" i="7"/>
  <c r="D39" i="15" s="1"/>
  <c r="AG31" i="7"/>
  <c r="D55" i="15" s="1"/>
  <c r="AH31" i="7" s="1"/>
  <c r="E55" i="15" s="1"/>
  <c r="AG24" i="7"/>
  <c r="D41" i="15" s="1"/>
  <c r="AG32" i="7"/>
  <c r="D57" i="15" s="1"/>
  <c r="AH32" i="7" s="1"/>
  <c r="E57" i="15" s="1"/>
  <c r="AG16" i="7"/>
  <c r="D25" i="15" s="1"/>
  <c r="AQ16" i="17" s="1"/>
  <c r="AS16" i="17" s="1"/>
  <c r="AT16" i="17" s="1"/>
  <c r="AG15" i="7"/>
  <c r="D23" i="15" s="1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O7" i="9" s="1"/>
  <c r="G8" i="9"/>
  <c r="L8" i="9" s="1"/>
  <c r="O8" i="9" s="1"/>
  <c r="G9" i="9"/>
  <c r="L9" i="9" s="1"/>
  <c r="O9" i="9" s="1"/>
  <c r="G10" i="9"/>
  <c r="L10" i="9" s="1"/>
  <c r="O10" i="9" s="1"/>
  <c r="G11" i="9"/>
  <c r="L11" i="9" s="1"/>
  <c r="O11" i="9" s="1"/>
  <c r="G12" i="9"/>
  <c r="L12" i="9" s="1"/>
  <c r="O12" i="9" s="1"/>
  <c r="G13" i="9"/>
  <c r="L13" i="9" s="1"/>
  <c r="O13" i="9" s="1"/>
  <c r="G14" i="9"/>
  <c r="L14" i="9" s="1"/>
  <c r="O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O246" i="9" s="1"/>
  <c r="G23" i="9"/>
  <c r="L23" i="9" s="1"/>
  <c r="O247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O34" i="9" s="1"/>
  <c r="G35" i="9"/>
  <c r="L35" i="9" s="1"/>
  <c r="O35" i="9" s="1"/>
  <c r="G6" i="9"/>
  <c r="L6" i="9" s="1"/>
  <c r="O6" i="9" s="1"/>
  <c r="F7" i="9"/>
  <c r="Q7" i="9" s="1"/>
  <c r="F8" i="9"/>
  <c r="Q8" i="9" s="1"/>
  <c r="F9" i="9"/>
  <c r="Q9" i="9" s="1"/>
  <c r="F10" i="9"/>
  <c r="Q10" i="9" s="1"/>
  <c r="F11" i="9"/>
  <c r="Q11" i="9" s="1"/>
  <c r="F12" i="9"/>
  <c r="Q12" i="9" s="1"/>
  <c r="F13" i="9"/>
  <c r="Q13" i="9" s="1"/>
  <c r="F14" i="9"/>
  <c r="Q14" i="9" s="1"/>
  <c r="F15" i="9"/>
  <c r="Q15" i="9" s="1"/>
  <c r="F16" i="9"/>
  <c r="Q16" i="9" s="1"/>
  <c r="F17" i="9"/>
  <c r="Q17" i="9" s="1"/>
  <c r="F18" i="9"/>
  <c r="Q18" i="9" s="1"/>
  <c r="F19" i="9"/>
  <c r="Q19" i="9" s="1"/>
  <c r="F20" i="9"/>
  <c r="Q20" i="9" s="1"/>
  <c r="F21" i="9"/>
  <c r="Q21" i="9" s="1"/>
  <c r="F22" i="9"/>
  <c r="Q22" i="9" s="1"/>
  <c r="F23" i="9"/>
  <c r="Q23" i="9" s="1"/>
  <c r="F24" i="9"/>
  <c r="Q24" i="9" s="1"/>
  <c r="F25" i="9"/>
  <c r="Q25" i="9" s="1"/>
  <c r="F26" i="9"/>
  <c r="Q26" i="9" s="1"/>
  <c r="F27" i="9"/>
  <c r="Q27" i="9" s="1"/>
  <c r="F28" i="9"/>
  <c r="Q28" i="9" s="1"/>
  <c r="F29" i="9"/>
  <c r="Q29" i="9" s="1"/>
  <c r="F30" i="9"/>
  <c r="Q30" i="9" s="1"/>
  <c r="F31" i="9"/>
  <c r="Q31" i="9" s="1"/>
  <c r="F32" i="9"/>
  <c r="Q32" i="9" s="1"/>
  <c r="F33" i="9"/>
  <c r="Q33" i="9" s="1"/>
  <c r="F34" i="9"/>
  <c r="Q34" i="9" s="1"/>
  <c r="F35" i="9"/>
  <c r="Q35" i="9" s="1"/>
  <c r="F6" i="9"/>
  <c r="Q6" i="9" s="1"/>
  <c r="O31" i="9" l="1"/>
  <c r="O255" i="9"/>
  <c r="O95" i="9"/>
  <c r="O27" i="9"/>
  <c r="O91" i="9"/>
  <c r="O251" i="9"/>
  <c r="O19" i="9"/>
  <c r="O83" i="9"/>
  <c r="O243" i="9"/>
  <c r="O15" i="9"/>
  <c r="O239" i="9"/>
  <c r="O30" i="9"/>
  <c r="O94" i="9"/>
  <c r="O254" i="9"/>
  <c r="O26" i="9"/>
  <c r="O250" i="9"/>
  <c r="O90" i="9"/>
  <c r="O18" i="9"/>
  <c r="O82" i="9"/>
  <c r="O242" i="9"/>
  <c r="O29" i="9"/>
  <c r="O253" i="9"/>
  <c r="O93" i="9"/>
  <c r="O25" i="9"/>
  <c r="O249" i="9"/>
  <c r="O89" i="9"/>
  <c r="O21" i="9"/>
  <c r="O245" i="9"/>
  <c r="O85" i="9"/>
  <c r="O17" i="9"/>
  <c r="O241" i="9"/>
  <c r="O81" i="9"/>
  <c r="O32" i="9"/>
  <c r="O96" i="9"/>
  <c r="O256" i="9"/>
  <c r="O28" i="9"/>
  <c r="O252" i="9"/>
  <c r="O92" i="9"/>
  <c r="O24" i="9"/>
  <c r="O248" i="9"/>
  <c r="O88" i="9"/>
  <c r="O20" i="9"/>
  <c r="O84" i="9"/>
  <c r="O244" i="9"/>
  <c r="O16" i="9"/>
  <c r="O240" i="9"/>
  <c r="O97" i="9"/>
  <c r="O33" i="9"/>
  <c r="O87" i="9"/>
  <c r="O23" i="9"/>
  <c r="O22" i="9"/>
  <c r="O86" i="9"/>
  <c r="O125" i="9"/>
  <c r="O221" i="9"/>
  <c r="O157" i="9"/>
  <c r="O349" i="9"/>
  <c r="O285" i="9"/>
  <c r="O317" i="9"/>
  <c r="O189" i="9"/>
  <c r="O337" i="9"/>
  <c r="O177" i="9"/>
  <c r="O113" i="9"/>
  <c r="O209" i="9"/>
  <c r="O305" i="9"/>
  <c r="O145" i="9"/>
  <c r="O273" i="9"/>
  <c r="O194" i="9"/>
  <c r="O290" i="9"/>
  <c r="O226" i="9"/>
  <c r="O322" i="9"/>
  <c r="O354" i="9"/>
  <c r="O130" i="9"/>
  <c r="O162" i="9"/>
  <c r="O286" i="9"/>
  <c r="O158" i="9"/>
  <c r="O350" i="9"/>
  <c r="O190" i="9"/>
  <c r="O126" i="9"/>
  <c r="O222" i="9"/>
  <c r="O318" i="9"/>
  <c r="O154" i="9"/>
  <c r="O122" i="9"/>
  <c r="O314" i="9"/>
  <c r="O346" i="9"/>
  <c r="O282" i="9"/>
  <c r="O218" i="9"/>
  <c r="O186" i="9"/>
  <c r="O310" i="9"/>
  <c r="O214" i="9"/>
  <c r="O182" i="9"/>
  <c r="O118" i="9"/>
  <c r="O150" i="9"/>
  <c r="O342" i="9"/>
  <c r="O278" i="9"/>
  <c r="O178" i="9"/>
  <c r="O274" i="9"/>
  <c r="O210" i="9"/>
  <c r="O306" i="9"/>
  <c r="O338" i="9"/>
  <c r="O114" i="9"/>
  <c r="O146" i="9"/>
  <c r="O142" i="9"/>
  <c r="O334" i="9"/>
  <c r="O302" i="9"/>
  <c r="O206" i="9"/>
  <c r="O238" i="9"/>
  <c r="O270" i="9"/>
  <c r="O110" i="9"/>
  <c r="E11" i="33"/>
  <c r="O174" i="9"/>
  <c r="O170" i="9"/>
  <c r="O234" i="9"/>
  <c r="E7" i="33"/>
  <c r="O266" i="9"/>
  <c r="O202" i="9"/>
  <c r="O298" i="9"/>
  <c r="O330" i="9"/>
  <c r="O138" i="9"/>
  <c r="O106" i="9"/>
  <c r="O225" i="9"/>
  <c r="O193" i="9"/>
  <c r="O129" i="9"/>
  <c r="O289" i="9"/>
  <c r="O353" i="9"/>
  <c r="O161" i="9"/>
  <c r="O321" i="9"/>
  <c r="O309" i="9"/>
  <c r="O181" i="9"/>
  <c r="O341" i="9"/>
  <c r="O277" i="9"/>
  <c r="O149" i="9"/>
  <c r="O213" i="9"/>
  <c r="O117" i="9"/>
  <c r="O233" i="9"/>
  <c r="O329" i="9"/>
  <c r="O169" i="9"/>
  <c r="O105" i="9"/>
  <c r="O201" i="9"/>
  <c r="E6" i="33"/>
  <c r="O297" i="9"/>
  <c r="O137" i="9"/>
  <c r="O265" i="9"/>
  <c r="O166" i="9"/>
  <c r="O262" i="9"/>
  <c r="E3" i="33"/>
  <c r="O102" i="9"/>
  <c r="O294" i="9"/>
  <c r="O134" i="9"/>
  <c r="O230" i="9"/>
  <c r="O326" i="9"/>
  <c r="O198" i="9"/>
  <c r="O288" i="9"/>
  <c r="O128" i="9"/>
  <c r="O160" i="9"/>
  <c r="O224" i="9"/>
  <c r="O320" i="9"/>
  <c r="O192" i="9"/>
  <c r="O352" i="9"/>
  <c r="O188" i="9"/>
  <c r="O124" i="9"/>
  <c r="O284" i="9"/>
  <c r="O348" i="9"/>
  <c r="O220" i="9"/>
  <c r="O156" i="9"/>
  <c r="O316" i="9"/>
  <c r="O280" i="9"/>
  <c r="O312" i="9"/>
  <c r="O344" i="9"/>
  <c r="O152" i="9"/>
  <c r="O184" i="9"/>
  <c r="O216" i="9"/>
  <c r="O120" i="9"/>
  <c r="O148" i="9"/>
  <c r="O180" i="9"/>
  <c r="O116" i="9"/>
  <c r="O212" i="9"/>
  <c r="O276" i="9"/>
  <c r="O340" i="9"/>
  <c r="O308" i="9"/>
  <c r="O304" i="9"/>
  <c r="O112" i="9"/>
  <c r="O272" i="9"/>
  <c r="O336" i="9"/>
  <c r="O176" i="9"/>
  <c r="O208" i="9"/>
  <c r="O144" i="9"/>
  <c r="O172" i="9"/>
  <c r="O108" i="9"/>
  <c r="E9" i="33"/>
  <c r="O268" i="9"/>
  <c r="O236" i="9"/>
  <c r="O300" i="9"/>
  <c r="O204" i="9"/>
  <c r="O140" i="9"/>
  <c r="O332" i="9"/>
  <c r="O136" i="9"/>
  <c r="O200" i="9"/>
  <c r="O296" i="9"/>
  <c r="O104" i="9"/>
  <c r="O264" i="9"/>
  <c r="O232" i="9"/>
  <c r="O328" i="9"/>
  <c r="E5" i="33"/>
  <c r="O168" i="9"/>
  <c r="O281" i="9"/>
  <c r="O313" i="9"/>
  <c r="O153" i="9"/>
  <c r="O121" i="9"/>
  <c r="O217" i="9"/>
  <c r="O185" i="9"/>
  <c r="O345" i="9"/>
  <c r="O141" i="9"/>
  <c r="O301" i="9"/>
  <c r="O173" i="9"/>
  <c r="O109" i="9"/>
  <c r="O205" i="9"/>
  <c r="E10" i="33"/>
  <c r="O237" i="9"/>
  <c r="O333" i="9"/>
  <c r="O269" i="9"/>
  <c r="O163" i="9"/>
  <c r="O355" i="9"/>
  <c r="O195" i="9"/>
  <c r="O131" i="9"/>
  <c r="O323" i="9"/>
  <c r="O291" i="9"/>
  <c r="O227" i="9"/>
  <c r="O351" i="9"/>
  <c r="O319" i="9"/>
  <c r="O223" i="9"/>
  <c r="O159" i="9"/>
  <c r="O287" i="9"/>
  <c r="O127" i="9"/>
  <c r="O191" i="9"/>
  <c r="O347" i="9"/>
  <c r="O283" i="9"/>
  <c r="O123" i="9"/>
  <c r="O219" i="9"/>
  <c r="O315" i="9"/>
  <c r="O187" i="9"/>
  <c r="O155" i="9"/>
  <c r="O119" i="9"/>
  <c r="O215" i="9"/>
  <c r="O183" i="9"/>
  <c r="O343" i="9"/>
  <c r="O151" i="9"/>
  <c r="O279" i="9"/>
  <c r="O311" i="9"/>
  <c r="O147" i="9"/>
  <c r="O307" i="9"/>
  <c r="O179" i="9"/>
  <c r="O115" i="9"/>
  <c r="O211" i="9"/>
  <c r="O339" i="9"/>
  <c r="O275" i="9"/>
  <c r="O303" i="9"/>
  <c r="O271" i="9"/>
  <c r="O335" i="9"/>
  <c r="O143" i="9"/>
  <c r="O175" i="9"/>
  <c r="O111" i="9"/>
  <c r="O207" i="9"/>
  <c r="O107" i="9"/>
  <c r="O203" i="9"/>
  <c r="E8" i="33"/>
  <c r="O139" i="9"/>
  <c r="O235" i="9"/>
  <c r="O331" i="9"/>
  <c r="O267" i="9"/>
  <c r="O171" i="9"/>
  <c r="O299" i="9"/>
  <c r="O295" i="9"/>
  <c r="O263" i="9"/>
  <c r="O231" i="9"/>
  <c r="O327" i="9"/>
  <c r="O135" i="9"/>
  <c r="O167" i="9"/>
  <c r="O199" i="9"/>
  <c r="O103" i="9"/>
  <c r="E4" i="33"/>
  <c r="M34" i="9"/>
  <c r="P34" i="9" s="1"/>
  <c r="T34" i="9"/>
  <c r="M30" i="9"/>
  <c r="T30" i="9"/>
  <c r="M26" i="9"/>
  <c r="T26" i="9"/>
  <c r="M22" i="9"/>
  <c r="T22" i="9"/>
  <c r="M18" i="9"/>
  <c r="T18" i="9"/>
  <c r="M14" i="9"/>
  <c r="P14" i="9" s="1"/>
  <c r="T14" i="9"/>
  <c r="M10" i="9"/>
  <c r="P10" i="9" s="1"/>
  <c r="T10" i="9"/>
  <c r="M33" i="9"/>
  <c r="T33" i="9"/>
  <c r="M29" i="9"/>
  <c r="T29" i="9"/>
  <c r="M25" i="9"/>
  <c r="T25" i="9"/>
  <c r="M21" i="9"/>
  <c r="T21" i="9"/>
  <c r="M17" i="9"/>
  <c r="T17" i="9"/>
  <c r="M13" i="9"/>
  <c r="P13" i="9" s="1"/>
  <c r="T13" i="9"/>
  <c r="M6" i="9"/>
  <c r="P6" i="9" s="1"/>
  <c r="T6" i="9"/>
  <c r="M32" i="9"/>
  <c r="T32" i="9"/>
  <c r="M28" i="9"/>
  <c r="T28" i="9"/>
  <c r="M24" i="9"/>
  <c r="T24" i="9"/>
  <c r="M20" i="9"/>
  <c r="T20" i="9"/>
  <c r="M16" i="9"/>
  <c r="P16" i="9" s="1"/>
  <c r="T16" i="9"/>
  <c r="M12" i="9"/>
  <c r="P12" i="9" s="1"/>
  <c r="T12" i="9"/>
  <c r="M8" i="9"/>
  <c r="P8" i="9" s="1"/>
  <c r="T8" i="9"/>
  <c r="M9" i="9"/>
  <c r="P9" i="9" s="1"/>
  <c r="T9" i="9"/>
  <c r="M35" i="9"/>
  <c r="P35" i="9" s="1"/>
  <c r="T35" i="9"/>
  <c r="M31" i="9"/>
  <c r="T31" i="9"/>
  <c r="M27" i="9"/>
  <c r="T27" i="9"/>
  <c r="M23" i="9"/>
  <c r="T23" i="9"/>
  <c r="M19" i="9"/>
  <c r="T19" i="9"/>
  <c r="M15" i="9"/>
  <c r="P15" i="9" s="1"/>
  <c r="T15" i="9"/>
  <c r="M11" i="9"/>
  <c r="P11" i="9" s="1"/>
  <c r="T11" i="9"/>
  <c r="M7" i="9"/>
  <c r="P7" i="9" s="1"/>
  <c r="T7" i="9"/>
  <c r="H12" i="28"/>
  <c r="S99" i="9"/>
  <c r="AQ32" i="17"/>
  <c r="AS32" i="17" s="1"/>
  <c r="AT32" i="17" s="1"/>
  <c r="AQ24" i="17"/>
  <c r="AS24" i="17" s="1"/>
  <c r="AT24" i="17" s="1"/>
  <c r="AH24" i="7"/>
  <c r="E41" i="15" s="1"/>
  <c r="AH12" i="7"/>
  <c r="E17" i="15" s="1"/>
  <c r="AH16" i="7"/>
  <c r="E25" i="15" s="1"/>
  <c r="AQ10" i="17"/>
  <c r="AS10" i="17" s="1"/>
  <c r="AT10" i="17" s="1"/>
  <c r="AQ8" i="17"/>
  <c r="AS8" i="17" s="1"/>
  <c r="AT8" i="17" s="1"/>
  <c r="AQ31" i="17"/>
  <c r="AS31" i="17" s="1"/>
  <c r="AT31" i="17" s="1"/>
  <c r="AH11" i="7"/>
  <c r="E15" i="15" s="1"/>
  <c r="AQ34" i="17"/>
  <c r="AS34" i="17" s="1"/>
  <c r="AT34" i="17" s="1"/>
  <c r="E7" i="15"/>
  <c r="AQ7" i="17"/>
  <c r="AS7" i="17" s="1"/>
  <c r="AT7" i="17" s="1"/>
  <c r="AH22" i="7"/>
  <c r="E37" i="15" s="1"/>
  <c r="AH33" i="7"/>
  <c r="E59" i="15" s="1"/>
  <c r="AQ33" i="17"/>
  <c r="AS33" i="17" s="1"/>
  <c r="AT33" i="17" s="1"/>
  <c r="AQ26" i="17"/>
  <c r="AS26" i="17" s="1"/>
  <c r="AT26" i="17" s="1"/>
  <c r="AH26" i="7"/>
  <c r="E45" i="15" s="1"/>
  <c r="AQ29" i="17"/>
  <c r="AS29" i="17" s="1"/>
  <c r="AT29" i="17" s="1"/>
  <c r="AH29" i="7"/>
  <c r="E51" i="15" s="1"/>
  <c r="AH21" i="7"/>
  <c r="AQ21" i="17"/>
  <c r="AS21" i="17" s="1"/>
  <c r="AT21" i="17" s="1"/>
  <c r="AQ30" i="17"/>
  <c r="AS30" i="17" s="1"/>
  <c r="AT30" i="17" s="1"/>
  <c r="AH30" i="7"/>
  <c r="E53" i="15" s="1"/>
  <c r="AH14" i="7"/>
  <c r="E21" i="15" s="1"/>
  <c r="AQ14" i="17"/>
  <c r="AS14" i="17" s="1"/>
  <c r="AT14" i="17" s="1"/>
  <c r="AQ23" i="17"/>
  <c r="AS23" i="17" s="1"/>
  <c r="AT23" i="17" s="1"/>
  <c r="AH23" i="7"/>
  <c r="E39" i="15" s="1"/>
  <c r="AQ25" i="17"/>
  <c r="AS25" i="17" s="1"/>
  <c r="AT25" i="17" s="1"/>
  <c r="AH25" i="7"/>
  <c r="E43" i="15" s="1"/>
  <c r="AH15" i="7"/>
  <c r="E23" i="15" s="1"/>
  <c r="AQ15" i="17"/>
  <c r="AS15" i="17" s="1"/>
  <c r="AT15" i="17" s="1"/>
  <c r="AH28" i="7"/>
  <c r="E49" i="15" s="1"/>
  <c r="AQ28" i="17"/>
  <c r="AS28" i="17" s="1"/>
  <c r="AT28" i="17" s="1"/>
  <c r="AQ27" i="17"/>
  <c r="AS27" i="17" s="1"/>
  <c r="AT27" i="17" s="1"/>
  <c r="AH27" i="7"/>
  <c r="E47" i="15" s="1"/>
  <c r="N10" i="24"/>
  <c r="AM15" i="7"/>
  <c r="AH36" i="7"/>
  <c r="E65" i="15" s="1"/>
  <c r="AQ36" i="17"/>
  <c r="AS36" i="17" s="1"/>
  <c r="AT36" i="17" s="1"/>
  <c r="AM36" i="7" s="1"/>
  <c r="F10" i="27"/>
  <c r="F20" i="27" s="1"/>
  <c r="AQ35" i="17"/>
  <c r="AS35" i="17" s="1"/>
  <c r="AT35" i="17" s="1"/>
  <c r="AH35" i="7"/>
  <c r="E63" i="15" s="1"/>
  <c r="F10" i="20"/>
  <c r="F22" i="20" s="1"/>
  <c r="AQ20" i="17"/>
  <c r="AS20" i="17" s="1"/>
  <c r="AT20" i="17" s="1"/>
  <c r="AM26" i="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Q17" i="17"/>
  <c r="AS17" i="17" s="1"/>
  <c r="AT17" i="17" s="1"/>
  <c r="E31" i="15"/>
  <c r="AQ19" i="17"/>
  <c r="AS19" i="17" s="1"/>
  <c r="AT19" i="17" s="1"/>
  <c r="AH9" i="7"/>
  <c r="E11" i="15" s="1"/>
  <c r="AQ9" i="17"/>
  <c r="AS9" i="17" s="1"/>
  <c r="AT9" i="17" s="1"/>
  <c r="AM11" i="7" s="1"/>
  <c r="AH13" i="7"/>
  <c r="E19" i="15" s="1"/>
  <c r="AQ13" i="17"/>
  <c r="AS13" i="17" s="1"/>
  <c r="AT13" i="17" s="1"/>
  <c r="E29" i="15"/>
  <c r="AQ18" i="17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31" i="9" l="1"/>
  <c r="P95" i="9"/>
  <c r="P20" i="9"/>
  <c r="P84" i="9"/>
  <c r="P28" i="9"/>
  <c r="P92" i="9"/>
  <c r="P17" i="9"/>
  <c r="P81" i="9"/>
  <c r="P25" i="9"/>
  <c r="P89" i="9"/>
  <c r="P30" i="9"/>
  <c r="P94" i="9"/>
  <c r="P19" i="9"/>
  <c r="P83" i="9"/>
  <c r="P27" i="9"/>
  <c r="P91" i="9"/>
  <c r="P24" i="9"/>
  <c r="P88" i="9"/>
  <c r="P32" i="9"/>
  <c r="P96" i="9"/>
  <c r="P21" i="9"/>
  <c r="P85" i="9"/>
  <c r="P29" i="9"/>
  <c r="P93" i="9"/>
  <c r="P18" i="9"/>
  <c r="P82" i="9"/>
  <c r="P26" i="9"/>
  <c r="P90" i="9"/>
  <c r="P97" i="9"/>
  <c r="P33" i="9"/>
  <c r="S33" i="9" s="1"/>
  <c r="P87" i="9"/>
  <c r="P23" i="9"/>
  <c r="P22" i="9"/>
  <c r="P86" i="9"/>
  <c r="S86" i="9" s="1"/>
  <c r="P135" i="9"/>
  <c r="S135" i="9" s="1"/>
  <c r="P103" i="9"/>
  <c r="S103" i="9" s="1"/>
  <c r="P295" i="9"/>
  <c r="S295" i="9" s="1"/>
  <c r="P199" i="9"/>
  <c r="S199" i="9" s="1"/>
  <c r="P167" i="9"/>
  <c r="P231" i="9"/>
  <c r="S231" i="9" s="1"/>
  <c r="P263" i="9"/>
  <c r="S263" i="9" s="1"/>
  <c r="P143" i="9"/>
  <c r="S143" i="9" s="1"/>
  <c r="P111" i="9"/>
  <c r="S111" i="9" s="1"/>
  <c r="P303" i="9"/>
  <c r="P207" i="9"/>
  <c r="S207" i="9" s="1"/>
  <c r="P175" i="9"/>
  <c r="S175" i="9" s="1"/>
  <c r="P271" i="9"/>
  <c r="S271" i="9" s="1"/>
  <c r="P239" i="9"/>
  <c r="S239" i="9" s="1"/>
  <c r="P215" i="9"/>
  <c r="S215" i="9" s="1"/>
  <c r="P183" i="9"/>
  <c r="P151" i="9"/>
  <c r="S151" i="9" s="1"/>
  <c r="P119" i="9"/>
  <c r="S119" i="9" s="1"/>
  <c r="P279" i="9"/>
  <c r="S279" i="9" s="1"/>
  <c r="P247" i="9"/>
  <c r="S247" i="9" s="1"/>
  <c r="P311" i="9"/>
  <c r="S311" i="9" s="1"/>
  <c r="P223" i="9"/>
  <c r="S223" i="9" s="1"/>
  <c r="P191" i="9"/>
  <c r="P159" i="9"/>
  <c r="S159" i="9" s="1"/>
  <c r="P127" i="9"/>
  <c r="S127" i="9" s="1"/>
  <c r="P319" i="9"/>
  <c r="S319" i="9" s="1"/>
  <c r="P287" i="9"/>
  <c r="S287" i="9" s="1"/>
  <c r="P255" i="9"/>
  <c r="S255" i="9" s="1"/>
  <c r="P105" i="9"/>
  <c r="S105" i="9" s="1"/>
  <c r="P137" i="9"/>
  <c r="S137" i="9" s="1"/>
  <c r="P297" i="9"/>
  <c r="S297" i="9" s="1"/>
  <c r="P169" i="9"/>
  <c r="S169" i="9" s="1"/>
  <c r="P201" i="9"/>
  <c r="S201" i="9" s="1"/>
  <c r="P265" i="9"/>
  <c r="S265" i="9" s="1"/>
  <c r="P233" i="9"/>
  <c r="S233" i="9" s="1"/>
  <c r="P300" i="9"/>
  <c r="S300" i="9" s="1"/>
  <c r="P236" i="9"/>
  <c r="S236" i="9" s="1"/>
  <c r="P172" i="9"/>
  <c r="S172" i="9" s="1"/>
  <c r="P204" i="9"/>
  <c r="S204" i="9" s="1"/>
  <c r="P140" i="9"/>
  <c r="S140" i="9" s="1"/>
  <c r="P108" i="9"/>
  <c r="S108" i="9" s="1"/>
  <c r="P268" i="9"/>
  <c r="S268" i="9" s="1"/>
  <c r="P308" i="9"/>
  <c r="P244" i="9"/>
  <c r="S244" i="9" s="1"/>
  <c r="P180" i="9"/>
  <c r="P212" i="9"/>
  <c r="S212" i="9" s="1"/>
  <c r="P148" i="9"/>
  <c r="S148" i="9" s="1"/>
  <c r="P276" i="9"/>
  <c r="S276" i="9" s="1"/>
  <c r="P116" i="9"/>
  <c r="S116" i="9" s="1"/>
  <c r="P316" i="9"/>
  <c r="P124" i="9"/>
  <c r="P252" i="9"/>
  <c r="S252" i="9" s="1"/>
  <c r="P188" i="9"/>
  <c r="S188" i="9" s="1"/>
  <c r="P284" i="9"/>
  <c r="S284" i="9" s="1"/>
  <c r="P156" i="9"/>
  <c r="P220" i="9"/>
  <c r="S220" i="9" s="1"/>
  <c r="P230" i="9"/>
  <c r="S230" i="9" s="1"/>
  <c r="P294" i="9"/>
  <c r="P102" i="9"/>
  <c r="S102" i="9" s="1"/>
  <c r="P198" i="9"/>
  <c r="S198" i="9" s="1"/>
  <c r="P134" i="9"/>
  <c r="S134" i="9" s="1"/>
  <c r="P262" i="9"/>
  <c r="S262" i="9" s="1"/>
  <c r="P166" i="9"/>
  <c r="S166" i="9" s="1"/>
  <c r="P113" i="9"/>
  <c r="S113" i="9" s="1"/>
  <c r="P145" i="9"/>
  <c r="S145" i="9" s="1"/>
  <c r="P305" i="9"/>
  <c r="P177" i="9"/>
  <c r="S177" i="9" s="1"/>
  <c r="P209" i="9"/>
  <c r="S209" i="9" s="1"/>
  <c r="P241" i="9"/>
  <c r="S241" i="9" s="1"/>
  <c r="P273" i="9"/>
  <c r="S273" i="9" s="1"/>
  <c r="P249" i="9"/>
  <c r="P281" i="9"/>
  <c r="S281" i="9" s="1"/>
  <c r="P185" i="9"/>
  <c r="S185" i="9" s="1"/>
  <c r="P217" i="9"/>
  <c r="S217" i="9" s="1"/>
  <c r="P121" i="9"/>
  <c r="S121" i="9" s="1"/>
  <c r="P313" i="9"/>
  <c r="S313" i="9" s="1"/>
  <c r="P153" i="9"/>
  <c r="S153" i="9" s="1"/>
  <c r="P257" i="9"/>
  <c r="S257" i="9" s="1"/>
  <c r="P289" i="9"/>
  <c r="S289" i="9" s="1"/>
  <c r="P161" i="9"/>
  <c r="S161" i="9" s="1"/>
  <c r="P193" i="9"/>
  <c r="S193" i="9" s="1"/>
  <c r="P225" i="9"/>
  <c r="P129" i="9"/>
  <c r="S129" i="9" s="1"/>
  <c r="P321" i="9"/>
  <c r="S321" i="9" s="1"/>
  <c r="P270" i="9"/>
  <c r="S270" i="9" s="1"/>
  <c r="P142" i="9"/>
  <c r="P206" i="9"/>
  <c r="S206" i="9" s="1"/>
  <c r="P238" i="9"/>
  <c r="S238" i="9" s="1"/>
  <c r="P110" i="9"/>
  <c r="S110" i="9" s="1"/>
  <c r="P174" i="9"/>
  <c r="S174" i="9" s="1"/>
  <c r="P302" i="9"/>
  <c r="S302" i="9" s="1"/>
  <c r="P246" i="9"/>
  <c r="S246" i="9" s="1"/>
  <c r="P118" i="9"/>
  <c r="S118" i="9" s="1"/>
  <c r="P182" i="9"/>
  <c r="P278" i="9"/>
  <c r="S278" i="9" s="1"/>
  <c r="P150" i="9"/>
  <c r="S150" i="9" s="1"/>
  <c r="P310" i="9"/>
  <c r="S310" i="9" s="1"/>
  <c r="P214" i="9"/>
  <c r="S214" i="9" s="1"/>
  <c r="P254" i="9"/>
  <c r="S254" i="9" s="1"/>
  <c r="P126" i="9"/>
  <c r="S126" i="9" s="1"/>
  <c r="P286" i="9"/>
  <c r="P158" i="9"/>
  <c r="S158" i="9" s="1"/>
  <c r="P222" i="9"/>
  <c r="S222" i="9" s="1"/>
  <c r="P318" i="9"/>
  <c r="S318" i="9" s="1"/>
  <c r="P190" i="9"/>
  <c r="S190" i="9" s="1"/>
  <c r="G10" i="33"/>
  <c r="J10" i="33"/>
  <c r="I10" i="33"/>
  <c r="L10" i="33" s="1"/>
  <c r="I6" i="33"/>
  <c r="L6" i="33" s="1"/>
  <c r="G6" i="33"/>
  <c r="J6" i="33"/>
  <c r="G7" i="33"/>
  <c r="J7" i="33"/>
  <c r="I7" i="33"/>
  <c r="L7" i="33" s="1"/>
  <c r="G11" i="33"/>
  <c r="I11" i="33"/>
  <c r="L11" i="33" s="1"/>
  <c r="J11" i="33"/>
  <c r="P139" i="9"/>
  <c r="P107" i="9"/>
  <c r="S107" i="9" s="1"/>
  <c r="P299" i="9"/>
  <c r="S299" i="9" s="1"/>
  <c r="P203" i="9"/>
  <c r="S203" i="9" s="1"/>
  <c r="P171" i="9"/>
  <c r="S171" i="9" s="1"/>
  <c r="P235" i="9"/>
  <c r="S235" i="9" s="1"/>
  <c r="P267" i="9"/>
  <c r="S267" i="9" s="1"/>
  <c r="P147" i="9"/>
  <c r="S147" i="9" s="1"/>
  <c r="P115" i="9"/>
  <c r="P307" i="9"/>
  <c r="S307" i="9" s="1"/>
  <c r="P211" i="9"/>
  <c r="S211" i="9" s="1"/>
  <c r="P179" i="9"/>
  <c r="P275" i="9"/>
  <c r="S275" i="9" s="1"/>
  <c r="P243" i="9"/>
  <c r="S243" i="9" s="1"/>
  <c r="P219" i="9"/>
  <c r="S219" i="9" s="1"/>
  <c r="P187" i="9"/>
  <c r="S187" i="9" s="1"/>
  <c r="P155" i="9"/>
  <c r="P123" i="9"/>
  <c r="S123" i="9" s="1"/>
  <c r="P283" i="9"/>
  <c r="S283" i="9" s="1"/>
  <c r="P251" i="9"/>
  <c r="S251" i="9" s="1"/>
  <c r="P315" i="9"/>
  <c r="S315" i="9" s="1"/>
  <c r="P227" i="9"/>
  <c r="S227" i="9" s="1"/>
  <c r="P195" i="9"/>
  <c r="S195" i="9" s="1"/>
  <c r="P323" i="9"/>
  <c r="S323" i="9" s="1"/>
  <c r="P163" i="9"/>
  <c r="S163" i="9" s="1"/>
  <c r="P131" i="9"/>
  <c r="S131" i="9" s="1"/>
  <c r="P291" i="9"/>
  <c r="S291" i="9" s="1"/>
  <c r="P259" i="9"/>
  <c r="S259" i="9" s="1"/>
  <c r="P296" i="9"/>
  <c r="P232" i="9"/>
  <c r="S232" i="9" s="1"/>
  <c r="P136" i="9"/>
  <c r="S136" i="9" s="1"/>
  <c r="P200" i="9"/>
  <c r="S200" i="9" s="1"/>
  <c r="P104" i="9"/>
  <c r="S104" i="9" s="1"/>
  <c r="P168" i="9"/>
  <c r="S168" i="9" s="1"/>
  <c r="P264" i="9"/>
  <c r="S264" i="9" s="1"/>
  <c r="P304" i="9"/>
  <c r="S304" i="9" s="1"/>
  <c r="P112" i="9"/>
  <c r="S112" i="9" s="1"/>
  <c r="P240" i="9"/>
  <c r="S240" i="9" s="1"/>
  <c r="P208" i="9"/>
  <c r="S208" i="9" s="1"/>
  <c r="P144" i="9"/>
  <c r="S144" i="9" s="1"/>
  <c r="P272" i="9"/>
  <c r="S272" i="9" s="1"/>
  <c r="P176" i="9"/>
  <c r="S176" i="9" s="1"/>
  <c r="P216" i="9"/>
  <c r="S216" i="9" s="1"/>
  <c r="P120" i="9"/>
  <c r="S120" i="9" s="1"/>
  <c r="P312" i="9"/>
  <c r="P152" i="9"/>
  <c r="S152" i="9" s="1"/>
  <c r="P280" i="9"/>
  <c r="S280" i="9" s="1"/>
  <c r="P184" i="9"/>
  <c r="S184" i="9" s="1"/>
  <c r="P248" i="9"/>
  <c r="P320" i="9"/>
  <c r="S320" i="9" s="1"/>
  <c r="P160" i="9"/>
  <c r="S160" i="9" s="1"/>
  <c r="P192" i="9"/>
  <c r="S192" i="9" s="1"/>
  <c r="P256" i="9"/>
  <c r="P288" i="9"/>
  <c r="S288" i="9" s="1"/>
  <c r="P128" i="9"/>
  <c r="S128" i="9" s="1"/>
  <c r="P224" i="9"/>
  <c r="S224" i="9" s="1"/>
  <c r="P109" i="9"/>
  <c r="S109" i="9" s="1"/>
  <c r="P141" i="9"/>
  <c r="S141" i="9" s="1"/>
  <c r="P301" i="9"/>
  <c r="S301" i="9" s="1"/>
  <c r="P173" i="9"/>
  <c r="S173" i="9" s="1"/>
  <c r="P205" i="9"/>
  <c r="S205" i="9" s="1"/>
  <c r="P237" i="9"/>
  <c r="S237" i="9" s="1"/>
  <c r="P269" i="9"/>
  <c r="S269" i="9" s="1"/>
  <c r="P245" i="9"/>
  <c r="S245" i="9" s="1"/>
  <c r="P277" i="9"/>
  <c r="S277" i="9" s="1"/>
  <c r="P181" i="9"/>
  <c r="S181" i="9" s="1"/>
  <c r="P213" i="9"/>
  <c r="S213" i="9" s="1"/>
  <c r="P309" i="9"/>
  <c r="S309" i="9" s="1"/>
  <c r="P117" i="9"/>
  <c r="S117" i="9" s="1"/>
  <c r="P149" i="9"/>
  <c r="S149" i="9" s="1"/>
  <c r="P253" i="9"/>
  <c r="S253" i="9" s="1"/>
  <c r="P285" i="9"/>
  <c r="S285" i="9" s="1"/>
  <c r="P125" i="9"/>
  <c r="S125" i="9" s="1"/>
  <c r="P189" i="9"/>
  <c r="S189" i="9" s="1"/>
  <c r="P221" i="9"/>
  <c r="S221" i="9" s="1"/>
  <c r="P157" i="9"/>
  <c r="S157" i="9" s="1"/>
  <c r="P317" i="9"/>
  <c r="S317" i="9" s="1"/>
  <c r="P266" i="9"/>
  <c r="S266" i="9" s="1"/>
  <c r="P170" i="9"/>
  <c r="S170" i="9" s="1"/>
  <c r="P202" i="9"/>
  <c r="S202" i="9" s="1"/>
  <c r="P106" i="9"/>
  <c r="S106" i="9" s="1"/>
  <c r="P234" i="9"/>
  <c r="S234" i="9" s="1"/>
  <c r="P138" i="9"/>
  <c r="S138" i="9" s="1"/>
  <c r="P298" i="9"/>
  <c r="S298" i="9" s="1"/>
  <c r="P210" i="9"/>
  <c r="S210" i="9" s="1"/>
  <c r="P274" i="9"/>
  <c r="S274" i="9" s="1"/>
  <c r="P178" i="9"/>
  <c r="S178" i="9" s="1"/>
  <c r="P146" i="9"/>
  <c r="S146" i="9" s="1"/>
  <c r="P242" i="9"/>
  <c r="S242" i="9" s="1"/>
  <c r="P114" i="9"/>
  <c r="S114" i="9" s="1"/>
  <c r="P306" i="9"/>
  <c r="S306" i="9" s="1"/>
  <c r="P250" i="9"/>
  <c r="S250" i="9" s="1"/>
  <c r="P186" i="9"/>
  <c r="S186" i="9" s="1"/>
  <c r="P282" i="9"/>
  <c r="S282" i="9" s="1"/>
  <c r="P218" i="9"/>
  <c r="S218" i="9" s="1"/>
  <c r="P154" i="9"/>
  <c r="S154" i="9" s="1"/>
  <c r="P314" i="9"/>
  <c r="P122" i="9"/>
  <c r="S122" i="9" s="1"/>
  <c r="P258" i="9"/>
  <c r="S258" i="9" s="1"/>
  <c r="P130" i="9"/>
  <c r="S130" i="9" s="1"/>
  <c r="P290" i="9"/>
  <c r="S290" i="9" s="1"/>
  <c r="P194" i="9"/>
  <c r="P226" i="9"/>
  <c r="S226" i="9" s="1"/>
  <c r="P322" i="9"/>
  <c r="S322" i="9" s="1"/>
  <c r="P162" i="9"/>
  <c r="S162" i="9" s="1"/>
  <c r="G8" i="33"/>
  <c r="J8" i="33"/>
  <c r="I8" i="33"/>
  <c r="L8" i="33" s="1"/>
  <c r="J3" i="33"/>
  <c r="I3" i="33"/>
  <c r="L3" i="33" s="1"/>
  <c r="G3" i="33"/>
  <c r="G9" i="33"/>
  <c r="J9" i="33"/>
  <c r="I9" i="33"/>
  <c r="L9" i="33" s="1"/>
  <c r="G4" i="33"/>
  <c r="I4" i="33"/>
  <c r="L4" i="33" s="1"/>
  <c r="J4" i="33"/>
  <c r="G5" i="33"/>
  <c r="J5" i="33"/>
  <c r="I5" i="33"/>
  <c r="L5" i="33" s="1"/>
  <c r="AM31" i="7"/>
  <c r="N31" i="30" s="1"/>
  <c r="AM27" i="7"/>
  <c r="AM12" i="7"/>
  <c r="N12" i="24" s="1"/>
  <c r="S35" i="9"/>
  <c r="S225" i="9"/>
  <c r="S8" i="9"/>
  <c r="S296" i="9"/>
  <c r="S32" i="9"/>
  <c r="S31" i="9"/>
  <c r="S191" i="9"/>
  <c r="S286" i="9"/>
  <c r="S34" i="9"/>
  <c r="S194" i="9"/>
  <c r="AM34" i="7"/>
  <c r="S30" i="9"/>
  <c r="S9" i="9"/>
  <c r="S16" i="9"/>
  <c r="S7" i="9"/>
  <c r="S167" i="9"/>
  <c r="S15" i="9"/>
  <c r="S303" i="9"/>
  <c r="S183" i="9"/>
  <c r="S14" i="9"/>
  <c r="S182" i="9"/>
  <c r="S12" i="9"/>
  <c r="S6" i="9"/>
  <c r="S294" i="9"/>
  <c r="S11" i="9"/>
  <c r="S179" i="9"/>
  <c r="S10" i="9"/>
  <c r="S29" i="9"/>
  <c r="S28" i="9"/>
  <c r="S124" i="9"/>
  <c r="S27" i="9"/>
  <c r="S26" i="9"/>
  <c r="S25" i="9"/>
  <c r="S24" i="9"/>
  <c r="S23" i="9"/>
  <c r="S22" i="9"/>
  <c r="S21" i="9"/>
  <c r="S20" i="9"/>
  <c r="S180" i="9"/>
  <c r="S19" i="9"/>
  <c r="S115" i="9"/>
  <c r="S18" i="9"/>
  <c r="AM17" i="7"/>
  <c r="N17" i="29" s="1"/>
  <c r="S305" i="9"/>
  <c r="S17" i="9"/>
  <c r="S13" i="9"/>
  <c r="G10" i="27"/>
  <c r="G20" i="27" s="1"/>
  <c r="AM29" i="7"/>
  <c r="N29" i="30" s="1"/>
  <c r="AM30" i="7"/>
  <c r="N30" i="29" s="1"/>
  <c r="AM24" i="7"/>
  <c r="N24" i="30" s="1"/>
  <c r="AM13" i="7"/>
  <c r="N13" i="30" s="1"/>
  <c r="G10" i="20"/>
  <c r="G22" i="20" s="1"/>
  <c r="S73" i="9"/>
  <c r="S72" i="9"/>
  <c r="S80" i="9"/>
  <c r="S88" i="9"/>
  <c r="S312" i="9"/>
  <c r="S248" i="9"/>
  <c r="S96" i="9"/>
  <c r="S256" i="9"/>
  <c r="S71" i="9"/>
  <c r="S87" i="9"/>
  <c r="H10" i="27"/>
  <c r="H20" i="27" s="1"/>
  <c r="H10" i="20"/>
  <c r="H22" i="20" s="1"/>
  <c r="S77" i="9"/>
  <c r="S93" i="9"/>
  <c r="S142" i="9"/>
  <c r="S78" i="9"/>
  <c r="S94" i="9"/>
  <c r="S76" i="9"/>
  <c r="S308" i="9"/>
  <c r="S84" i="9"/>
  <c r="S156" i="9"/>
  <c r="S316" i="9"/>
  <c r="S92" i="9"/>
  <c r="S70" i="9"/>
  <c r="S79" i="9"/>
  <c r="S95" i="9"/>
  <c r="S85" i="9"/>
  <c r="S139" i="9"/>
  <c r="S75" i="9"/>
  <c r="S83" i="9"/>
  <c r="S155" i="9"/>
  <c r="S91" i="9"/>
  <c r="S81" i="9"/>
  <c r="S249" i="9"/>
  <c r="S89" i="9"/>
  <c r="S97" i="9"/>
  <c r="S74" i="9"/>
  <c r="S82" i="9"/>
  <c r="S90" i="9"/>
  <c r="S314" i="9"/>
  <c r="AM21" i="7"/>
  <c r="N21" i="29" s="1"/>
  <c r="AM19" i="7"/>
  <c r="N19" i="30" s="1"/>
  <c r="AM25" i="7"/>
  <c r="N25" i="24" s="1"/>
  <c r="AM18" i="7"/>
  <c r="N18" i="24" s="1"/>
  <c r="N11" i="24"/>
  <c r="AM32" i="7"/>
  <c r="N11" i="29"/>
  <c r="N11" i="30"/>
  <c r="AM28" i="7"/>
  <c r="AM22" i="7"/>
  <c r="N26" i="30"/>
  <c r="N26" i="29"/>
  <c r="N26" i="24"/>
  <c r="N15" i="29"/>
  <c r="N15" i="30"/>
  <c r="N15" i="24"/>
  <c r="AM23" i="7"/>
  <c r="AI36" i="7"/>
  <c r="AK36" i="7" s="1"/>
  <c r="AL36" i="7" s="1"/>
  <c r="J11" i="20"/>
  <c r="J11" i="27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H4" i="33" l="1"/>
  <c r="K4" i="33" s="1"/>
  <c r="H3" i="33"/>
  <c r="K3" i="33" s="1"/>
  <c r="H9" i="33"/>
  <c r="K9" i="33" s="1"/>
  <c r="H8" i="33"/>
  <c r="K8" i="33" s="1"/>
  <c r="H11" i="33"/>
  <c r="K11" i="33" s="1"/>
  <c r="H7" i="33"/>
  <c r="K7" i="33" s="1"/>
  <c r="H6" i="33"/>
  <c r="K6" i="33" s="1"/>
  <c r="H10" i="33"/>
  <c r="K10" i="33" s="1"/>
  <c r="H5" i="33"/>
  <c r="K5" i="33" s="1"/>
  <c r="N31" i="29"/>
  <c r="N31" i="24"/>
  <c r="N27" i="30"/>
  <c r="N27" i="29"/>
  <c r="N27" i="24"/>
  <c r="N12" i="30"/>
  <c r="N12" i="29"/>
  <c r="J18" i="27"/>
  <c r="J18" i="20"/>
  <c r="N30" i="30"/>
  <c r="N29" i="24"/>
  <c r="J16" i="20"/>
  <c r="J15" i="27"/>
  <c r="J16" i="27"/>
  <c r="N29" i="29"/>
  <c r="J13" i="20"/>
  <c r="J15" i="20"/>
  <c r="N17" i="30"/>
  <c r="J13" i="27"/>
  <c r="N17" i="24"/>
  <c r="J10" i="20"/>
  <c r="J10" i="27"/>
  <c r="N30" i="24"/>
  <c r="N24" i="29"/>
  <c r="N24" i="24"/>
  <c r="N13" i="29"/>
  <c r="N13" i="24"/>
  <c r="J14" i="20"/>
  <c r="J12" i="20"/>
  <c r="J17" i="20"/>
  <c r="J19" i="20"/>
  <c r="J12" i="27"/>
  <c r="J19" i="27"/>
  <c r="J14" i="27"/>
  <c r="J17" i="27"/>
  <c r="N21" i="24"/>
  <c r="N19" i="24"/>
  <c r="N21" i="30"/>
  <c r="N19" i="29"/>
  <c r="O10" i="7"/>
  <c r="N25" i="29"/>
  <c r="N25" i="30"/>
  <c r="N18" i="29"/>
  <c r="N18" i="30"/>
  <c r="O8" i="7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Q5" i="17"/>
  <c r="AS5" i="17" s="1"/>
  <c r="AT5" i="17" s="1"/>
  <c r="AM7" i="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F33" i="33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D33" i="33" l="1"/>
  <c r="E33" i="33"/>
  <c r="I33" i="33" s="1"/>
  <c r="AM8" i="7"/>
  <c r="N8" i="29" s="1"/>
  <c r="AM16" i="7"/>
  <c r="N16" i="30" s="1"/>
  <c r="AM9" i="7"/>
  <c r="N7" i="30"/>
  <c r="N7" i="24"/>
  <c r="N7" i="29"/>
  <c r="AN34" i="7"/>
  <c r="F31" i="33" s="1"/>
  <c r="AN32" i="7"/>
  <c r="F29" i="33" s="1"/>
  <c r="AN31" i="7"/>
  <c r="F28" i="33" s="1"/>
  <c r="AN30" i="7"/>
  <c r="F27" i="33" s="1"/>
  <c r="AN29" i="7"/>
  <c r="F26" i="33" s="1"/>
  <c r="AN28" i="7"/>
  <c r="F25" i="33" s="1"/>
  <c r="AN27" i="7"/>
  <c r="F24" i="33" s="1"/>
  <c r="AN26" i="7"/>
  <c r="F23" i="33" s="1"/>
  <c r="AN25" i="7"/>
  <c r="F22" i="33" s="1"/>
  <c r="AN24" i="7"/>
  <c r="F21" i="33" s="1"/>
  <c r="AN23" i="7"/>
  <c r="F20" i="33" s="1"/>
  <c r="AN22" i="7"/>
  <c r="F19" i="33" s="1"/>
  <c r="AN21" i="7"/>
  <c r="F18" i="33" s="1"/>
  <c r="AN19" i="7"/>
  <c r="F16" i="33" s="1"/>
  <c r="AN18" i="7"/>
  <c r="F15" i="33" s="1"/>
  <c r="AN15" i="7"/>
  <c r="F12" i="33" s="1"/>
  <c r="AM14" i="7"/>
  <c r="AN13" i="7"/>
  <c r="AN12" i="7"/>
  <c r="AN11" i="7"/>
  <c r="AN10" i="7"/>
  <c r="AM35" i="7"/>
  <c r="AN35" i="7" s="1"/>
  <c r="F32" i="33" s="1"/>
  <c r="AM6" i="7"/>
  <c r="AM33" i="7"/>
  <c r="AN33" i="7" s="1"/>
  <c r="F30" i="33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19" i="24"/>
  <c r="M19" i="30"/>
  <c r="M19" i="29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F14" i="33" s="1"/>
  <c r="AK8" i="7"/>
  <c r="AL8" i="7" s="1"/>
  <c r="M5" i="7"/>
  <c r="N5" i="7"/>
  <c r="J33" i="33" l="1"/>
  <c r="G33" i="33"/>
  <c r="D20" i="33"/>
  <c r="E20" i="33"/>
  <c r="I20" i="33" s="1"/>
  <c r="D24" i="33"/>
  <c r="E24" i="33"/>
  <c r="I24" i="33" s="1"/>
  <c r="D28" i="33"/>
  <c r="E28" i="33"/>
  <c r="I28" i="33" s="1"/>
  <c r="E30" i="33"/>
  <c r="I30" i="33" s="1"/>
  <c r="D30" i="33"/>
  <c r="D32" i="33"/>
  <c r="E32" i="33"/>
  <c r="I32" i="33" s="1"/>
  <c r="D16" i="33"/>
  <c r="E16" i="33"/>
  <c r="I16" i="33" s="1"/>
  <c r="D21" i="33"/>
  <c r="E21" i="33"/>
  <c r="I21" i="33" s="1"/>
  <c r="D25" i="33"/>
  <c r="E25" i="33"/>
  <c r="I25" i="33" s="1"/>
  <c r="D29" i="33"/>
  <c r="E29" i="33"/>
  <c r="I29" i="33" s="1"/>
  <c r="L33" i="33"/>
  <c r="E18" i="33"/>
  <c r="I18" i="33" s="1"/>
  <c r="D18" i="33"/>
  <c r="E26" i="33"/>
  <c r="I26" i="33" s="1"/>
  <c r="D26" i="33"/>
  <c r="E31" i="33"/>
  <c r="I31" i="33" s="1"/>
  <c r="D31" i="33"/>
  <c r="E22" i="33"/>
  <c r="I22" i="33" s="1"/>
  <c r="D22" i="33"/>
  <c r="E19" i="33"/>
  <c r="I19" i="33" s="1"/>
  <c r="D19" i="33"/>
  <c r="E23" i="33"/>
  <c r="I23" i="33" s="1"/>
  <c r="D23" i="33"/>
  <c r="E27" i="33"/>
  <c r="I27" i="33" s="1"/>
  <c r="D27" i="33"/>
  <c r="D15" i="33"/>
  <c r="E15" i="33"/>
  <c r="I15" i="33" s="1"/>
  <c r="D14" i="33"/>
  <c r="E14" i="33"/>
  <c r="I14" i="33" s="1"/>
  <c r="D12" i="33"/>
  <c r="E12" i="33"/>
  <c r="I12" i="33" s="1"/>
  <c r="N8" i="24"/>
  <c r="N8" i="30"/>
  <c r="N16" i="24"/>
  <c r="N16" i="29"/>
  <c r="N9" i="29"/>
  <c r="N9" i="30"/>
  <c r="N9" i="24"/>
  <c r="AN9" i="7"/>
  <c r="N33" i="30"/>
  <c r="N33" i="29"/>
  <c r="N20" i="29"/>
  <c r="N20" i="30"/>
  <c r="AN16" i="7"/>
  <c r="F13" i="33" s="1"/>
  <c r="N14" i="24"/>
  <c r="N14" i="29"/>
  <c r="AN14" i="7"/>
  <c r="N14" i="30"/>
  <c r="AN8" i="7"/>
  <c r="N20" i="24"/>
  <c r="AN20" i="7"/>
  <c r="F17" i="33" s="1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H33" i="33" l="1"/>
  <c r="K33" i="33" s="1"/>
  <c r="L19" i="33"/>
  <c r="G26" i="33"/>
  <c r="L16" i="33"/>
  <c r="J26" i="33"/>
  <c r="L22" i="33"/>
  <c r="J25" i="33"/>
  <c r="J32" i="33"/>
  <c r="G20" i="33"/>
  <c r="G25" i="33"/>
  <c r="L24" i="33"/>
  <c r="L15" i="33"/>
  <c r="L21" i="33"/>
  <c r="G23" i="33"/>
  <c r="J18" i="33"/>
  <c r="J29" i="33"/>
  <c r="J20" i="33"/>
  <c r="L18" i="33"/>
  <c r="G29" i="33"/>
  <c r="L30" i="33"/>
  <c r="G27" i="33"/>
  <c r="G31" i="33"/>
  <c r="G32" i="33"/>
  <c r="L28" i="33"/>
  <c r="D17" i="33"/>
  <c r="E17" i="33"/>
  <c r="I17" i="33" s="1"/>
  <c r="L27" i="33"/>
  <c r="J23" i="33"/>
  <c r="G22" i="33"/>
  <c r="L31" i="33"/>
  <c r="L26" i="33"/>
  <c r="L25" i="33"/>
  <c r="J21" i="33"/>
  <c r="J16" i="33"/>
  <c r="G30" i="33"/>
  <c r="G28" i="33"/>
  <c r="J24" i="33"/>
  <c r="J27" i="33"/>
  <c r="G19" i="33"/>
  <c r="J22" i="33"/>
  <c r="J31" i="33"/>
  <c r="G18" i="33"/>
  <c r="L29" i="33"/>
  <c r="G21" i="33"/>
  <c r="L32" i="33"/>
  <c r="J30" i="33"/>
  <c r="J28" i="33"/>
  <c r="L20" i="33"/>
  <c r="L23" i="33"/>
  <c r="J19" i="33"/>
  <c r="G16" i="33"/>
  <c r="G24" i="33"/>
  <c r="G15" i="33"/>
  <c r="J15" i="33"/>
  <c r="L14" i="33"/>
  <c r="G14" i="33"/>
  <c r="J14" i="33"/>
  <c r="L12" i="33"/>
  <c r="G12" i="33"/>
  <c r="J12" i="33"/>
  <c r="E13" i="33"/>
  <c r="I13" i="33" s="1"/>
  <c r="D13" i="33"/>
  <c r="R16" i="9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P12" i="30"/>
  <c r="P15" i="30"/>
  <c r="O12" i="29"/>
  <c r="O12" i="30" s="1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H29" i="33" l="1"/>
  <c r="K29" i="33" s="1"/>
  <c r="H26" i="33"/>
  <c r="K26" i="33" s="1"/>
  <c r="H32" i="33"/>
  <c r="K32" i="33" s="1"/>
  <c r="H31" i="33"/>
  <c r="K31" i="33" s="1"/>
  <c r="H27" i="33"/>
  <c r="K27" i="33" s="1"/>
  <c r="H23" i="33"/>
  <c r="K23" i="33" s="1"/>
  <c r="H25" i="33"/>
  <c r="K25" i="33" s="1"/>
  <c r="H22" i="33"/>
  <c r="K22" i="33" s="1"/>
  <c r="J17" i="33"/>
  <c r="G17" i="33"/>
  <c r="H20" i="33"/>
  <c r="K20" i="33" s="1"/>
  <c r="H16" i="33"/>
  <c r="K16" i="33" s="1"/>
  <c r="H28" i="33"/>
  <c r="K28" i="33" s="1"/>
  <c r="H18" i="33"/>
  <c r="K18" i="33" s="1"/>
  <c r="H19" i="33"/>
  <c r="K19" i="33" s="1"/>
  <c r="H30" i="33"/>
  <c r="K30" i="33" s="1"/>
  <c r="L17" i="33"/>
  <c r="H24" i="33"/>
  <c r="K24" i="33" s="1"/>
  <c r="H21" i="33"/>
  <c r="K21" i="33" s="1"/>
  <c r="H15" i="33"/>
  <c r="K15" i="33" s="1"/>
  <c r="H14" i="33"/>
  <c r="K14" i="33" s="1"/>
  <c r="H12" i="33"/>
  <c r="K12" i="33" s="1"/>
  <c r="L13" i="33"/>
  <c r="G13" i="33"/>
  <c r="J13" i="33"/>
  <c r="O20" i="29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H17" i="33" l="1"/>
  <c r="K17" i="33" s="1"/>
  <c r="H13" i="33"/>
  <c r="K13" i="33" s="1"/>
  <c r="I15" i="20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<sst xmlns="http://schemas.openxmlformats.org/spreadsheetml/2006/main" count="1185" uniqueCount="171">
  <si>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</si>
  <si>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</si>
  <si>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</si>
  <si>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</si>
  <si>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</si>
  <si>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</si>
  <si>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</si>
  <si>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</si>
  <si>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</si>
  <si>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</si>
  <si>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</si>
  <si>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</si>
  <si>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</si>
  <si>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</si>
  <si>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</si>
  <si>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</si>
  <si>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</si>
  <si>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</si>
  <si>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</si>
  <si>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</si>
  <si>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</si>
  <si>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</si>
  <si>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</si>
  <si>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</si>
  <si>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</si>
  <si>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</si>
  <si>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</si>
  <si>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</si>
  <si>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</si>
  <si>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</si>
  <si>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</si>
  <si>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</si>
  <si>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</si>
  <si>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</si>
  <si>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</si>
  <si>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</si>
  <si>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</si>
  <si>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</si>
  <si>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</si>
  <si>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</si>
  <si>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</si>
  <si>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</si>
  <si>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</si>
  <si>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</si>
  <si>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</si>
  <si>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</si>
  <si>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</si>
  <si>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</si>
  <si>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</si>
  <si>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</si>
  <si>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</si>
  <si>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</si>
  <si>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</si>
  <si>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</si>
  <si>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</si>
  <si>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</si>
  <si>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</si>
  <si>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</si>
  <si>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</si>
  <si>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</si>
  <si>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</si>
  <si>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</si>
  <si>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</si>
  <si>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</si>
  <si>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</si>
  <si>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</si>
  <si>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</si>
  <si>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</si>
  <si>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</si>
  <si>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</si>
  <si>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</si>
  <si>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</si>
  <si>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</si>
  <si>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</si>
  <si>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</si>
  <si>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</si>
  <si>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</si>
  <si>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</si>
  <si>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</si>
  <si>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</si>
  <si>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</si>
  <si>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</si>
  <si>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</si>
  <si>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</si>
  <si>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</si>
  <si>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</si>
  <si>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</si>
  <si>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</si>
  <si>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</si>
  <si>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</si>
  <si>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</si>
  <si>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</si>
  <si>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</si>
  <si>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</si>
  <si>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</si>
  <si>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</si>
  <si>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</si>
  <si>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</si>
  <si>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</si>
  <si>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</si>
  <si>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</si>
  <si>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</si>
  <si>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</si>
  <si>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</si>
  <si>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</si>
  <si>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</si>
  <si>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</si>
  <si>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</si>
  <si>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</si>
  <si>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</si>
  <si>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</si>
  <si>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</si>
  <si>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</si>
  <si>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</si>
  <si>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</si>
  <si>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</si>
  <si>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</si>
  <si>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</si>
  <si>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</si>
  <si>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</si>
  <si>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</si>
  <si>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</si>
  <si>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</si>
  <si>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</si>
  <si>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</si>
  <si>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</si>
  <si>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</si>
  <si>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</si>
  <si>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</si>
  <si>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</si>
  <si>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</si>
  <si>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</si>
  <si>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</si>
  <si>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</si>
  <si>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</si>
  <si>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</si>
  <si>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</si>
  <si>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</si>
  <si>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</si>
  <si>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</si>
  <si>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</si>
  <si>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</si>
  <si>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</si>
  <si>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</si>
  <si>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</si>
  <si>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</si>
  <si>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</si>
  <si>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</si>
  <si>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</si>
  <si>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</si>
  <si>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</si>
  <si>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</si>
  <si>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</si>
  <si>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</si>
  <si>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</si>
  <si>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</si>
  <si>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</si>
  <si>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Potecial Base</t>
  </si>
  <si>
    <t>Produção Base</t>
  </si>
  <si>
    <t>Produção Realizada</t>
  </si>
  <si>
    <t>Perda Base</t>
  </si>
  <si>
    <t>Perda realizada</t>
  </si>
  <si>
    <t>Diferença (Base - Realizado)</t>
  </si>
  <si>
    <t>Fator Rateio</t>
  </si>
  <si>
    <t>IEP</t>
  </si>
  <si>
    <t>IPNI</t>
  </si>
  <si>
    <t>LP 85</t>
  </si>
  <si>
    <t>Fernando</t>
  </si>
  <si>
    <t>Realizado dreno somente para enquadramento (BSW 0,5%);</t>
  </si>
  <si>
    <t>Jose Carlos</t>
  </si>
  <si>
    <t>Jânio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</si>
</sst>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Border="1"/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9" fontId="0" fillId="0" borderId="0" xfId="1" applyFont="1" applyFill="1" applyBorder="1"/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165" fontId="0" fillId="0" borderId="53" xfId="0" applyNumberFormat="1" applyFill="1" applyBorder="1" applyAlignment="1">
      <alignment horizontal="center" vertical="center"/>
    </xf>
    <xf numFmtId="1" fontId="0" fillId="0" borderId="53" xfId="0" applyNumberFormat="1" applyFill="1" applyBorder="1" applyAlignment="1">
      <alignment horizontal="center" vertical="center"/>
    </xf>
  </cellXfs>
  <cellStyles count="84">
    <cellStyle name="Normal" xfId="0" builtinId="0"/>
    <cellStyle name="Normal 10" xfId="14"/>
    <cellStyle name="Normal 11" xfId="15"/>
    <cellStyle name="Normal 12" xfId="6"/>
    <cellStyle name="Normal 13" xfId="27"/>
    <cellStyle name="Normal 2" xfId="4"/>
    <cellStyle name="Normal 3" xfId="9"/>
    <cellStyle name="Normal 4" xfId="10"/>
    <cellStyle name="Normal 5" xfId="11"/>
    <cellStyle name="Normal 6" xfId="12"/>
    <cellStyle name="Normal 7" xfId="2"/>
    <cellStyle name="Normal 8" xfId="3"/>
    <cellStyle name="Normal 9" xfId="13"/>
    <cellStyle name="Porcentagem" xfId="1" builtinId="5"/>
    <cellStyle name="Vírgula 2" xfId="5"/>
    <cellStyle name="Vírgula 2 2" xfId="8"/>
    <cellStyle name="Vírgula 2 2 2" xfId="18"/>
    <cellStyle name="Vírgula 2 2 2 2" xfId="35"/>
    <cellStyle name="Vírgula 2 2 2 2 2" xfId="51"/>
    <cellStyle name="Vírgula 2 2 2 2 2 2" xfId="83"/>
    <cellStyle name="Vírgula 2 2 2 2 3" xfId="67"/>
    <cellStyle name="Vírgula 2 2 2 3" xfId="43"/>
    <cellStyle name="Vírgula 2 2 2 3 2" xfId="75"/>
    <cellStyle name="Vírgula 2 2 2 4" xfId="59"/>
    <cellStyle name="Vírgula 2 2 2 5" xfId="26"/>
    <cellStyle name="Vírgula 2 2 3" xfId="31"/>
    <cellStyle name="Vírgula 2 2 3 2" xfId="47"/>
    <cellStyle name="Vírgula 2 2 3 2 2" xfId="79"/>
    <cellStyle name="Vírgula 2 2 3 3" xfId="63"/>
    <cellStyle name="Vírgula 2 2 4" xfId="39"/>
    <cellStyle name="Vírgula 2 2 4 2" xfId="71"/>
    <cellStyle name="Vírgula 2 2 5" xfId="55"/>
    <cellStyle name="Vírgula 2 2 6" xfId="22"/>
    <cellStyle name="Vírgula 2 3" xfId="16"/>
    <cellStyle name="Vírgula 2 3 2" xfId="33"/>
    <cellStyle name="Vírgula 2 3 2 2" xfId="49"/>
    <cellStyle name="Vírgula 2 3 2 2 2" xfId="81"/>
    <cellStyle name="Vírgula 2 3 2 3" xfId="65"/>
    <cellStyle name="Vírgula 2 3 3" xfId="41"/>
    <cellStyle name="Vírgula 2 3 3 2" xfId="73"/>
    <cellStyle name="Vírgula 2 3 4" xfId="57"/>
    <cellStyle name="Vírgula 2 3 5" xfId="24"/>
    <cellStyle name="Vírgula 2 4" xfId="29"/>
    <cellStyle name="Vírgula 2 4 2" xfId="45"/>
    <cellStyle name="Vírgula 2 4 2 2" xfId="77"/>
    <cellStyle name="Vírgula 2 4 3" xfId="61"/>
    <cellStyle name="Vírgula 2 5" xfId="37"/>
    <cellStyle name="Vírgula 2 5 2" xfId="69"/>
    <cellStyle name="Vírgula 2 6" xfId="53"/>
    <cellStyle name="Vírgula 2 7" xfId="20"/>
    <cellStyle name="Vírgula 3" xfId="7"/>
    <cellStyle name="Vírgula 3 2" xfId="17"/>
    <cellStyle name="Vírgula 3 2 2" xfId="34"/>
    <cellStyle name="Vírgula 3 2 2 2" xfId="50"/>
    <cellStyle name="Vírgula 3 2 2 2 2" xfId="82"/>
    <cellStyle name="Vírgula 3 2 2 3" xfId="66"/>
    <cellStyle name="Vírgula 3 2 3" xfId="42"/>
    <cellStyle name="Vírgula 3 2 3 2" xfId="74"/>
    <cellStyle name="Vírgula 3 2 4" xfId="58"/>
    <cellStyle name="Vírgula 3 2 5" xfId="25"/>
    <cellStyle name="Vírgula 3 3" xfId="30"/>
    <cellStyle name="Vírgula 3 3 2" xfId="46"/>
    <cellStyle name="Vírgula 3 3 2 2" xfId="78"/>
    <cellStyle name="Vírgula 3 3 3" xfId="62"/>
    <cellStyle name="Vírgula 3 4" xfId="38"/>
    <cellStyle name="Vírgula 3 4 2" xfId="70"/>
    <cellStyle name="Vírgula 3 5" xfId="54"/>
    <cellStyle name="Vírgula 3 6" xfId="21"/>
    <cellStyle name="Vírgula 4" xfId="19"/>
    <cellStyle name="Vírgula 4 2" xfId="28"/>
    <cellStyle name="Vírgula 4 2 2" xfId="44"/>
    <cellStyle name="Vírgula 4 2 2 2" xfId="76"/>
    <cellStyle name="Vírgula 4 2 3" xfId="60"/>
    <cellStyle name="Vírgula 4 3" xfId="36"/>
    <cellStyle name="Vírgula 4 3 2" xfId="68"/>
    <cellStyle name="Vírgula 4 4" xfId="52"/>
    <cellStyle name="Vírgula 5" xfId="23"/>
    <cellStyle name="Vírgula 5 2" xfId="32"/>
    <cellStyle name="Vírgula 5 2 2" xfId="48"/>
    <cellStyle name="Vírgula 5 2 2 2" xfId="80"/>
    <cellStyle name="Vírgula 5 2 3" xfId="64"/>
    <cellStyle name="Vírgula 5 3" xfId="40"/>
    <cellStyle name="Vírgula 5 3 2" xfId="72"/>
    <cellStyle name="Vírgula 5 4" xfId="56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workbookViewId="0">
      <selection activeCell="I28" sqref="I28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Carregamento!B5</f>
        <v>44348.343055555553</v>
      </c>
      <c r="C3" s="3">
        <f>Carregamento!AM5</f>
        <v>26</v>
      </c>
      <c r="D3" s="2">
        <f>Carregamento!AC5</f>
        <v>0.88800000000000001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Carregamento!B6</f>
        <v>44348.470138888886</v>
      </c>
      <c r="C5" s="3">
        <f>Carregamento!AM6</f>
        <v>26</v>
      </c>
      <c r="D5" s="2">
        <f>Carregamento!AC6</f>
        <v>0.88800000000000001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Carregamento!B7</f>
        <v>44349.450694444444</v>
      </c>
      <c r="C7" s="3">
        <f>Carregamento!AM7</f>
        <v>26</v>
      </c>
      <c r="D7" s="2">
        <f>Carregamento!AC7</f>
        <v>0.88800000000000001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Carregamento!B8</f>
        <v>44349.630555555559</v>
      </c>
      <c r="C9" s="3">
        <f>Carregamento!AM8</f>
        <v>26</v>
      </c>
      <c r="D9" s="2">
        <f>Carregamento!AC8</f>
        <v>0.88800000000000001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Carregamento!B9</f>
        <v>44354.222222222219</v>
      </c>
      <c r="C11" s="3">
        <f>Carregamento!AM9</f>
        <v>25</v>
      </c>
      <c r="D11" s="2">
        <f>Carregamento!AC9</f>
        <v>0.88500000000000001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Carregamento!B10</f>
        <v>44356.041666666664</v>
      </c>
      <c r="C13" s="3">
        <f>Carregamento!AM10</f>
        <v>25</v>
      </c>
      <c r="D13" s="2">
        <f>Carregamento!AC10</f>
        <v>0.88600000000000001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Carregamento!B11</f>
        <v>44356.621527777781</v>
      </c>
      <c r="C15" s="3">
        <f>Carregamento!AM11</f>
        <v>25</v>
      </c>
      <c r="D15" s="2">
        <f>Carregamento!AC11</f>
        <v>0.88600000000000001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Carregamento!B12</f>
        <v>44359.369444444441</v>
      </c>
      <c r="C17" s="3">
        <f>Carregamento!AM12</f>
        <v>25</v>
      </c>
      <c r="D17" s="2">
        <f>Carregamento!AC12</f>
        <v>0.89200000000000002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Carregamento!B13</f>
        <v>44360.397916666669</v>
      </c>
      <c r="C19" s="3">
        <f>Carregamento!AM13</f>
        <v>25</v>
      </c>
      <c r="D19" s="2">
        <f>Carregamento!AC13</f>
        <v>0.89100000000000001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Carregamento!B14</f>
        <v>44361.71597222222</v>
      </c>
      <c r="C21" s="3">
        <f>Carregamento!AM14</f>
        <v>25</v>
      </c>
      <c r="D21" s="2">
        <f>Carregamento!AC14</f>
        <v>0.89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Carregamento!B15</f>
        <v>44364.375</v>
      </c>
      <c r="C23" s="3">
        <f>Carregamento!AM15</f>
        <v>25.5</v>
      </c>
      <c r="D23" s="2">
        <f>Carregamento!AC15</f>
        <v>0.88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Carregamento!B16</f>
        <v>44364.427083333336</v>
      </c>
      <c r="C25" s="3">
        <f>Carregamento!AM16</f>
        <v>26</v>
      </c>
      <c r="D25" s="2">
        <f>Carregamento!AC16</f>
        <v>0.88100000000000001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Carregamento!B17</f>
        <v>44364.541666666664</v>
      </c>
      <c r="C27" s="3">
        <f>Carregamento!AM17</f>
        <v>27.5</v>
      </c>
      <c r="D27" s="2">
        <f>Carregamento!AC17</f>
        <v>0.88200000000000001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Carregamento!B18</f>
        <v>44365.618055555555</v>
      </c>
      <c r="C29" s="3">
        <f>Carregamento!AM18</f>
        <v>25</v>
      </c>
      <c r="D29" s="2">
        <f>Carregamento!AC18</f>
        <v>0.878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Carregamento!B19</f>
        <v>44365.6875</v>
      </c>
      <c r="C31" s="3">
        <f>Carregamento!AM19</f>
        <v>25</v>
      </c>
      <c r="D31" s="2">
        <f>Carregamento!AC19</f>
        <v>0.878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Carregamento!B20</f>
        <v>44370.388888888891</v>
      </c>
      <c r="C33" s="3">
        <f>Carregamento!AM20</f>
        <v>25.5</v>
      </c>
      <c r="D33" s="2">
        <f>Carregamento!AC20</f>
        <v>0.89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Carregamento!B21</f>
        <v>44370.615277777775</v>
      </c>
      <c r="C35" s="3">
        <f>Carregamento!AM21</f>
        <v>26.5</v>
      </c>
      <c r="D35" s="2">
        <f>Carregamento!AC21</f>
        <v>0.89100000000000001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Carregamento!B22</f>
        <v>44370.65625</v>
      </c>
      <c r="C37" s="3">
        <f>Carregamento!AM22</f>
        <v>26.5</v>
      </c>
      <c r="D37" s="2">
        <f>Carregamento!AC22</f>
        <v>0.89100000000000001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Carregamento!B23</f>
        <v>44370.729166666664</v>
      </c>
      <c r="C39" s="3">
        <f>Carregamento!AM23</f>
        <v>25</v>
      </c>
      <c r="D39" s="2">
        <f>Carregamento!AC23</f>
        <v>0.88900000000000001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Carregamento!B24</f>
        <v>44371.431250000001</v>
      </c>
      <c r="C41" s="3">
        <f>Carregamento!AM24</f>
        <v>25</v>
      </c>
      <c r="D41" s="2">
        <f>Carregamento!AC24</f>
        <v>0.88800000000000001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Carregamento!B25</f>
        <v>44371.553472222222</v>
      </c>
      <c r="C43" s="3">
        <f>Carregamento!AM25</f>
        <v>25</v>
      </c>
      <c r="D43" s="2">
        <f>Carregamento!AC25</f>
        <v>0.88800000000000001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Carregamento!B26</f>
        <v>44371.64166666667</v>
      </c>
      <c r="C45" s="3">
        <f>Carregamento!AM26</f>
        <v>25</v>
      </c>
      <c r="D45" s="2">
        <f>Carregamento!AC26</f>
        <v>0.88800000000000001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Carregamento!B27</f>
        <v>44371.824305555558</v>
      </c>
      <c r="C47" s="3">
        <f>Carregamento!AM27</f>
        <v>25</v>
      </c>
      <c r="D47" s="2">
        <f>Carregamento!AC27</f>
        <v>0.88800000000000001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Carregamento!B28</f>
        <v>44374.32708333333</v>
      </c>
      <c r="C49" s="3">
        <f>Carregamento!AM28</f>
        <v>25</v>
      </c>
      <c r="D49" s="2">
        <f>Carregamento!AC28</f>
        <v>0.878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Carregamento!B29</f>
        <v>44375.658333333333</v>
      </c>
      <c r="C51" s="3">
        <f>Carregamento!AM29</f>
        <v>25</v>
      </c>
      <c r="D51" s="2">
        <f>Carregamento!AC29</f>
        <v>0.878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Carregamento!B30</f>
        <v>44375.972916666666</v>
      </c>
      <c r="C53" s="3">
        <f>Carregamento!AM30</f>
        <v>25</v>
      </c>
      <c r="D53" s="2">
        <f>Carregamento!AC30</f>
        <v>0.878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Carregamento!B31</f>
        <v>44377.890972222223</v>
      </c>
      <c r="C55" s="3">
        <f>Carregamento!AM31</f>
        <v>25</v>
      </c>
      <c r="D55" s="2">
        <f>Carregamento!AC31</f>
        <v>0.88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Carregamento!B32</f>
        <v>44377.956944444442</v>
      </c>
      <c r="C57" s="3">
        <f>Carregamento!AM32</f>
        <v>25</v>
      </c>
      <c r="D57" s="2">
        <f>Carregamento!AC32</f>
        <v>0.88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Carregamento!B33</f>
        <v>0</v>
      </c>
      <c r="C59" s="3" t="str">
        <f>Carregamento!AM33</f>
        <v/>
      </c>
      <c r="D59" s="2">
        <f>Carregamento!AC33</f>
        <v>1.054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Carregamento!B34</f>
        <v>0</v>
      </c>
      <c r="C61" s="3" t="str">
        <f>Carregamento!AM34</f>
        <v/>
      </c>
      <c r="D61" s="2">
        <f>Carregamento!AC34</f>
        <v>1.054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Carregamento!B35</f>
        <v>0</v>
      </c>
      <c r="C63" s="3" t="str">
        <f>Carregamento!AM35</f>
        <v/>
      </c>
      <c r="D63" s="2">
        <f>Carregamento!AC35</f>
        <v>1.054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Carregamento!B36</f>
        <v>0</v>
      </c>
      <c r="C65" s="3" t="str">
        <f>Carregamento!AM36</f>
        <v/>
      </c>
      <c r="D65" s="2">
        <f>Carregamento!AC36</f>
        <v>1.054</v>
      </c>
    </row>
  </sheetData>
  <sheetProtection algorithmName="SHA-512" hashValue="Ms8Xpj+t8p+BZOg0b+MR14RPwra5nSBd5ggnwsjWzr1A1o8EzN3J2WjGkyO2wuoDOIEN9sxY/xiO7ITBeI+OOQ==" saltValue="IuCLz9JSFQFvBPVPFa3SZ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D51"/>
  <sheetViews>
    <sheetView tabSelected="1" view="pageBreakPreview" topLeftCell="A2" zoomScale="130" zoomScaleNormal="100" zoomScaleSheetLayoutView="130" workbookViewId="0">
      <selection activeCell="G20" sqref="G20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3" t="str">
        <f>'Fechamento fiscal'!B4</f>
        <v>DATA</v>
      </c>
      <c r="B3" s="144" t="s">
        <v>145</v>
      </c>
      <c r="C3" s="144" t="s">
        <v>146</v>
      </c>
    </row>
    <row r="4" spans="1:3" hidden="1" x14ac:dyDescent="0.25">
      <c r="A4" s="135">
        <f>'Fechamento fiscal'!B5</f>
        <v>44347</v>
      </c>
    </row>
    <row r="5" spans="1:3" x14ac:dyDescent="0.25">
      <c r="A5" s="135">
        <f>'Fechamento fiscal'!B6</f>
        <v>44348</v>
      </c>
      <c r="B5" s="150">
        <v>1713</v>
      </c>
      <c r="C5" s="150">
        <v>1408</v>
      </c>
    </row>
    <row r="6" spans="1:3" x14ac:dyDescent="0.25">
      <c r="A6" s="135">
        <f>'Fechamento fiscal'!B7</f>
        <v>44349</v>
      </c>
      <c r="B6" s="150">
        <v>1972</v>
      </c>
      <c r="C6" s="150">
        <v>2064</v>
      </c>
    </row>
    <row r="7" spans="1:3" x14ac:dyDescent="0.25">
      <c r="A7" s="135">
        <f>'Fechamento fiscal'!B8</f>
        <v>44350</v>
      </c>
      <c r="B7" s="150">
        <v>1966</v>
      </c>
      <c r="C7" s="150">
        <v>2108</v>
      </c>
    </row>
    <row r="8" spans="1:3" x14ac:dyDescent="0.25">
      <c r="A8" s="135">
        <f>'Fechamento fiscal'!B9</f>
        <v>44351</v>
      </c>
      <c r="B8" s="150">
        <v>1959</v>
      </c>
      <c r="C8" s="150">
        <v>2108</v>
      </c>
    </row>
    <row r="9" spans="1:3" x14ac:dyDescent="0.25">
      <c r="A9" s="135">
        <f>'Fechamento fiscal'!B10</f>
        <v>44352</v>
      </c>
      <c r="B9" s="150">
        <v>1940</v>
      </c>
      <c r="C9" s="150">
        <v>2069</v>
      </c>
    </row>
    <row r="10" spans="1:3" x14ac:dyDescent="0.25">
      <c r="A10" s="135">
        <f>'Fechamento fiscal'!B11</f>
        <v>44353</v>
      </c>
      <c r="B10" s="150">
        <v>1540</v>
      </c>
      <c r="C10" s="150">
        <v>1993</v>
      </c>
    </row>
    <row r="11" spans="1:3" x14ac:dyDescent="0.25">
      <c r="A11" s="135">
        <f>'Fechamento fiscal'!B12</f>
        <v>44354</v>
      </c>
      <c r="B11" s="150">
        <v>1977</v>
      </c>
      <c r="C11" s="150">
        <v>2039</v>
      </c>
    </row>
    <row r="12" spans="1:3" x14ac:dyDescent="0.25">
      <c r="A12" s="135">
        <f>'Fechamento fiscal'!B13</f>
        <v>44355</v>
      </c>
      <c r="B12" s="150">
        <v>1783</v>
      </c>
      <c r="C12" s="150">
        <v>2065</v>
      </c>
    </row>
    <row r="13" spans="1:3" x14ac:dyDescent="0.25">
      <c r="A13" s="135">
        <f>'Fechamento fiscal'!B14</f>
        <v>44356</v>
      </c>
      <c r="B13" s="150">
        <v>1964</v>
      </c>
      <c r="C13" s="150">
        <v>1976</v>
      </c>
    </row>
    <row r="14" spans="1:3" x14ac:dyDescent="0.25">
      <c r="A14" s="135">
        <f>'Fechamento fiscal'!B15</f>
        <v>44357</v>
      </c>
      <c r="B14" s="150">
        <v>1983</v>
      </c>
      <c r="C14" s="150">
        <v>2065</v>
      </c>
    </row>
    <row r="15" spans="1:3" x14ac:dyDescent="0.25">
      <c r="A15" s="135">
        <f>'Fechamento fiscal'!B16</f>
        <v>44358</v>
      </c>
      <c r="B15" s="150">
        <v>1847</v>
      </c>
      <c r="C15" s="150">
        <v>2206</v>
      </c>
    </row>
    <row r="16" spans="1:3" x14ac:dyDescent="0.25">
      <c r="A16" s="135">
        <f>'Fechamento fiscal'!B17</f>
        <v>44359</v>
      </c>
      <c r="B16" s="150">
        <v>1684</v>
      </c>
      <c r="C16" s="150">
        <v>2880</v>
      </c>
    </row>
    <row r="17" spans="1:3" x14ac:dyDescent="0.25">
      <c r="A17" s="135">
        <f>'Fechamento fiscal'!B18</f>
        <v>44360</v>
      </c>
      <c r="B17" s="150">
        <v>1977</v>
      </c>
      <c r="C17" s="150">
        <v>2747</v>
      </c>
    </row>
    <row r="18" spans="1:3" x14ac:dyDescent="0.25">
      <c r="A18" s="135">
        <f>'Fechamento fiscal'!B19</f>
        <v>44361</v>
      </c>
      <c r="B18" s="150">
        <v>1959</v>
      </c>
      <c r="C18" s="150">
        <v>2717</v>
      </c>
    </row>
    <row r="19" spans="1:3" x14ac:dyDescent="0.25">
      <c r="A19" s="135">
        <f>'Fechamento fiscal'!B20</f>
        <v>44362</v>
      </c>
      <c r="B19" s="150">
        <v>1909</v>
      </c>
      <c r="C19" s="150">
        <v>2761</v>
      </c>
    </row>
    <row r="20" spans="1:3" x14ac:dyDescent="0.25">
      <c r="A20" s="135">
        <f>'Fechamento fiscal'!B21</f>
        <v>44363</v>
      </c>
      <c r="B20" s="150">
        <v>1991</v>
      </c>
      <c r="C20" s="150">
        <v>2501</v>
      </c>
    </row>
    <row r="21" spans="1:3" x14ac:dyDescent="0.25">
      <c r="A21" s="135">
        <f>'Fechamento fiscal'!B22</f>
        <v>44364</v>
      </c>
      <c r="B21" s="150">
        <v>1818</v>
      </c>
      <c r="C21" s="150">
        <v>2709</v>
      </c>
    </row>
    <row r="22" spans="1:3" x14ac:dyDescent="0.25">
      <c r="A22" s="135">
        <f>'Fechamento fiscal'!B23</f>
        <v>44365</v>
      </c>
      <c r="B22" s="150">
        <v>1968</v>
      </c>
      <c r="C22" s="150">
        <v>1918</v>
      </c>
    </row>
    <row r="23" spans="1:3" x14ac:dyDescent="0.25">
      <c r="A23" s="135">
        <f>'Fechamento fiscal'!B24</f>
        <v>44366</v>
      </c>
      <c r="B23" s="150">
        <v>1965</v>
      </c>
      <c r="C23" s="150">
        <v>2706</v>
      </c>
    </row>
    <row r="24" spans="1:3" x14ac:dyDescent="0.25">
      <c r="A24" s="135">
        <f>'Fechamento fiscal'!B25</f>
        <v>44367</v>
      </c>
      <c r="B24" s="150">
        <v>1714</v>
      </c>
      <c r="C24" s="150">
        <v>2564</v>
      </c>
    </row>
    <row r="25" spans="1:3" x14ac:dyDescent="0.25">
      <c r="A25" s="135">
        <f>'Fechamento fiscal'!B26</f>
        <v>44368</v>
      </c>
      <c r="B25" s="150">
        <v>1946</v>
      </c>
      <c r="C25" s="150">
        <v>2750</v>
      </c>
    </row>
    <row r="26" spans="1:3" x14ac:dyDescent="0.25">
      <c r="A26" s="135">
        <f>'Fechamento fiscal'!B27</f>
        <v>44369</v>
      </c>
      <c r="B26" s="150">
        <v>1981</v>
      </c>
      <c r="C26" s="150">
        <v>2811</v>
      </c>
    </row>
    <row r="27" spans="1:3" x14ac:dyDescent="0.25">
      <c r="A27" s="135">
        <f>'Fechamento fiscal'!B28</f>
        <v>44370</v>
      </c>
      <c r="B27" s="150">
        <v>1233</v>
      </c>
      <c r="C27" s="150">
        <v>1506</v>
      </c>
    </row>
    <row r="28" spans="1:3" x14ac:dyDescent="0.25">
      <c r="A28" s="135">
        <f>'Fechamento fiscal'!B29</f>
        <v>44371</v>
      </c>
      <c r="B28" s="150">
        <v>1286</v>
      </c>
      <c r="C28" s="150">
        <v>1321</v>
      </c>
    </row>
    <row r="29" spans="1:3" x14ac:dyDescent="0.25">
      <c r="A29" s="135">
        <f>'Fechamento fiscal'!B30</f>
        <v>44372</v>
      </c>
      <c r="B29" s="150">
        <v>1974</v>
      </c>
      <c r="C29" s="150">
        <v>2737</v>
      </c>
    </row>
    <row r="30" spans="1:3" x14ac:dyDescent="0.25">
      <c r="A30" s="135">
        <f>'Fechamento fiscal'!B31</f>
        <v>44373</v>
      </c>
      <c r="B30" s="150">
        <v>1982</v>
      </c>
      <c r="C30" s="150">
        <v>2801</v>
      </c>
    </row>
    <row r="31" spans="1:3" x14ac:dyDescent="0.25">
      <c r="A31" s="135">
        <f>'Fechamento fiscal'!B32</f>
        <v>44374</v>
      </c>
      <c r="B31" s="150">
        <v>1948</v>
      </c>
      <c r="C31" s="150">
        <v>2966</v>
      </c>
    </row>
    <row r="32" spans="1:3" x14ac:dyDescent="0.25">
      <c r="A32" s="135">
        <f>'Fechamento fiscal'!B33</f>
        <v>44375</v>
      </c>
      <c r="B32" s="150">
        <v>1684</v>
      </c>
      <c r="C32" s="150">
        <v>2691</v>
      </c>
    </row>
    <row r="33" spans="1:4" x14ac:dyDescent="0.25">
      <c r="A33" s="135">
        <f>'Fechamento fiscal'!B34</f>
        <v>44376</v>
      </c>
      <c r="B33" s="150">
        <v>1969</v>
      </c>
      <c r="C33" s="150">
        <v>2697</v>
      </c>
    </row>
    <row r="34" spans="1:4" x14ac:dyDescent="0.25">
      <c r="A34" s="135">
        <f>'Fechamento fiscal'!B35</f>
        <v>44377</v>
      </c>
      <c r="B34" s="150">
        <v>1984</v>
      </c>
      <c r="C34" s="150">
        <v>2737</v>
      </c>
    </row>
    <row r="35" spans="1:4" x14ac:dyDescent="0.25">
      <c r="A35" s="135">
        <f>'Fechamento fiscal'!B36</f>
        <v>44378</v>
      </c>
      <c r="B35" s="150"/>
      <c r="C35" s="150"/>
    </row>
    <row r="36" spans="1:4" x14ac:dyDescent="0.25">
      <c r="A36" s="146" t="s">
        <v>123</v>
      </c>
      <c r="B36" s="146">
        <f>SUM(B5:B35)</f>
        <v>55616</v>
      </c>
      <c r="C36" s="146">
        <f>SUM(C5:C35)</f>
        <v>70621</v>
      </c>
    </row>
    <row r="38" spans="1:4" x14ac:dyDescent="0.25">
      <c r="A38" s="147" t="s">
        <v>124</v>
      </c>
      <c r="B38" s="147" t="s">
        <v>125</v>
      </c>
    </row>
    <row r="39" spans="1:4" x14ac:dyDescent="0.25">
      <c r="A39" s="135" t="s">
        <v>154</v>
      </c>
      <c r="B39" s="145">
        <f>C46*$B$36</f>
        <v>5005.455697085883</v>
      </c>
    </row>
    <row r="40" spans="1:4" x14ac:dyDescent="0.25">
      <c r="A40" s="135" t="s">
        <v>155</v>
      </c>
      <c r="B40" s="145">
        <f>C47*$B$36</f>
        <v>5561.5982750455069</v>
      </c>
    </row>
    <row r="41" spans="1:4" x14ac:dyDescent="0.25">
      <c r="A41" s="135" t="s">
        <v>153</v>
      </c>
      <c r="B41" s="145">
        <f>C48*$B$36</f>
        <v>0</v>
      </c>
    </row>
    <row r="42" spans="1:4" x14ac:dyDescent="0.25">
      <c r="A42" s="135" t="s">
        <v>156</v>
      </c>
      <c r="B42" s="145">
        <f>C49*$B$36</f>
        <v>0</v>
      </c>
    </row>
    <row r="43" spans="1:4" x14ac:dyDescent="0.25">
      <c r="A43" s="135" t="s">
        <v>166</v>
      </c>
      <c r="B43" s="145">
        <f>C50*$B$36</f>
        <v>45048.946027868609</v>
      </c>
    </row>
    <row r="45" spans="1:4" x14ac:dyDescent="0.25">
      <c r="A45" s="149" t="s">
        <v>131</v>
      </c>
      <c r="B45" s="149" t="s">
        <v>128</v>
      </c>
      <c r="C45" s="2" t="s">
        <v>129</v>
      </c>
      <c r="D45" s="2"/>
    </row>
    <row r="46" spans="1:4" x14ac:dyDescent="0.25">
      <c r="A46" s="149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49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49" t="str">
        <f>A41</f>
        <v>LP 50</v>
      </c>
      <c r="B48" s="2">
        <v>0</v>
      </c>
      <c r="C48" s="2">
        <f>B48/$B$51</f>
        <v>0</v>
      </c>
    </row>
    <row r="49" spans="1:3" x14ac:dyDescent="0.25">
      <c r="A49" s="149" t="str">
        <f>A42</f>
        <v>LP 56</v>
      </c>
      <c r="B49" s="2">
        <v>0</v>
      </c>
      <c r="C49" s="2">
        <f>B49/$B$51</f>
        <v>0</v>
      </c>
    </row>
    <row r="50" spans="1:3" x14ac:dyDescent="0.25">
      <c r="A50" s="149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130</v>
      </c>
      <c r="B51" s="2">
        <f>SUM(B46:B50)</f>
        <v>32242.010000000002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4:W389"/>
  <sheetViews>
    <sheetView view="pageBreakPreview" zoomScale="82" zoomScaleNormal="100" zoomScaleSheetLayoutView="82" workbookViewId="0">
      <selection activeCell="E388" sqref="E388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4" width="9.140625" style="41" customWidth="1"/>
    <col min="15" max="17" width="9.140625" style="41" hidden="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94" t="s">
        <v>40</v>
      </c>
      <c r="B4" s="194" t="s">
        <v>41</v>
      </c>
      <c r="C4" s="195" t="s">
        <v>42</v>
      </c>
      <c r="D4" s="195" t="s">
        <v>43</v>
      </c>
      <c r="E4" s="195" t="s">
        <v>44</v>
      </c>
      <c r="F4" s="195" t="s">
        <v>45</v>
      </c>
      <c r="G4" s="195" t="s">
        <v>46</v>
      </c>
      <c r="H4" s="195" t="s">
        <v>52</v>
      </c>
      <c r="I4" s="195" t="s">
        <v>47</v>
      </c>
      <c r="J4" s="195"/>
      <c r="K4" s="195"/>
      <c r="L4" s="195" t="s">
        <v>47</v>
      </c>
      <c r="M4" s="195"/>
      <c r="N4" s="195"/>
      <c r="O4" s="62"/>
      <c r="P4" s="62"/>
      <c r="Q4" s="62"/>
      <c r="R4" s="195" t="s">
        <v>51</v>
      </c>
      <c r="S4" s="195"/>
      <c r="T4" s="195"/>
      <c r="U4" s="195" t="s">
        <v>102</v>
      </c>
      <c r="V4" s="195"/>
      <c r="W4" s="195"/>
    </row>
    <row r="5" spans="1:23" x14ac:dyDescent="0.25">
      <c r="A5" s="194"/>
      <c r="B5" s="194"/>
      <c r="C5" s="195"/>
      <c r="D5" s="195"/>
      <c r="E5" s="195"/>
      <c r="F5" s="195"/>
      <c r="G5" s="195"/>
      <c r="H5" s="195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95"/>
      <c r="V5" s="195"/>
      <c r="W5" s="195"/>
    </row>
    <row r="6" spans="1:23" x14ac:dyDescent="0.25">
      <c r="A6" s="42">
        <v>1</v>
      </c>
      <c r="B6" s="16" t="s">
        <v>111</v>
      </c>
      <c r="C6" s="16">
        <v>24</v>
      </c>
      <c r="D6" s="148">
        <v>17</v>
      </c>
      <c r="E6" s="148">
        <v>17</v>
      </c>
      <c r="F6" s="43">
        <f>IF(OR(C6="",E6=""),0,IF(E6&gt;C6,E6,E6/C6*24))</f>
        <v>17</v>
      </c>
      <c r="G6" s="43">
        <f>IF(OR(C6="",D6=""),0,IF(D6&gt;C6,D6,D6/C6*24))</f>
        <v>17</v>
      </c>
      <c r="H6" s="43">
        <f>IF(OR(C6="",D6=""),0,IF(D6&gt;C6,D6,D6/C6*24))</f>
        <v>17</v>
      </c>
      <c r="I6" s="168">
        <v>1.35</v>
      </c>
      <c r="J6" s="168">
        <v>134.51</v>
      </c>
      <c r="K6" s="168">
        <v>105.18</v>
      </c>
      <c r="L6" s="73">
        <f>I6*(G6/C6)</f>
        <v>0.95625000000000016</v>
      </c>
      <c r="M6" s="73">
        <f>J6*(F6/C6)</f>
        <v>95.27791666666667</v>
      </c>
      <c r="N6" s="73">
        <f>K6*(H6/C6)</f>
        <v>74.502500000000012</v>
      </c>
      <c r="O6" s="72">
        <f>IF(D6&lt;&gt;0,L6/(L6+L38+L70+L102+L134+L166+L198+L230+L262+L294+L326+L358),0)</f>
        <v>1.8873262138509189E-2</v>
      </c>
      <c r="P6" s="72">
        <f>IF(E6&lt;&gt;0,M6/(M6+M38+M70+M102+M134+M166+M198+M230+M262+M294),0)</f>
        <v>3.3981057915972494E-2</v>
      </c>
      <c r="Q6" s="72">
        <f t="shared" ref="Q6" si="0">IF(F6&lt;&gt;0,N6/(N6+N38+N70+N102+N134+N166+N198+N230+N262+N294+N326+N358),0)</f>
        <v>6.8506930442703534E-2</v>
      </c>
      <c r="R6" s="75">
        <f>IFERROR(O6*'Fechamento fiscal'!AN6,"")</f>
        <v>1.5999282925192202E-3</v>
      </c>
      <c r="S6" s="75">
        <f>P6*'Gás fiscal'!H3</f>
        <v>105.47720377117862</v>
      </c>
      <c r="T6" s="104">
        <f>Q6*'Volumes de água'!$C$5</f>
        <v>96.45775806332658</v>
      </c>
      <c r="U6" s="191"/>
      <c r="V6" s="192"/>
      <c r="W6" s="193"/>
    </row>
    <row r="7" spans="1:23" x14ac:dyDescent="0.25">
      <c r="A7" s="42">
        <v>2</v>
      </c>
      <c r="B7" s="16" t="s">
        <v>111</v>
      </c>
      <c r="C7" s="16">
        <v>24</v>
      </c>
      <c r="D7" s="148">
        <v>23</v>
      </c>
      <c r="E7" s="148">
        <v>23</v>
      </c>
      <c r="F7" s="43">
        <f t="shared" ref="F7:F35" si="1">IF(OR(C7="",E7=""),0,IF(E7&gt;C7,E7,E7/C7*24))</f>
        <v>23</v>
      </c>
      <c r="G7" s="43">
        <f t="shared" ref="G7:G35" si="2">IF(OR(C7="",D7=""),0,IF(D7&gt;C7,D7,D7/C7*24))</f>
        <v>23</v>
      </c>
      <c r="H7" s="43">
        <f t="shared" ref="H7:H35" si="3">IF(OR(C7="",D7=""),0,IF(D7&gt;C7,D7,D7/C7*24))</f>
        <v>23</v>
      </c>
      <c r="I7" s="168">
        <v>1.35</v>
      </c>
      <c r="J7" s="168">
        <v>134.51</v>
      </c>
      <c r="K7" s="168">
        <v>105.18</v>
      </c>
      <c r="L7" s="73">
        <f t="shared" ref="L7:L35" si="4">I7*(G7/C7)</f>
        <v>1.2937500000000002</v>
      </c>
      <c r="M7" s="73">
        <f t="shared" ref="M7:M35" si="5">J7*(F7/C7)</f>
        <v>128.90541666666667</v>
      </c>
      <c r="N7" s="73">
        <f t="shared" ref="N7:N35" si="6">K7*(H7/C7)</f>
        <v>100.79750000000001</v>
      </c>
      <c r="O7" s="72">
        <f t="shared" ref="O7:O36" si="7">IF(D7&lt;&gt;0,L7/(L7+L39+L71+L103+L135+L167+L199+L231+L263+L295+L327+L359),0)</f>
        <v>1.8488591854063381E-2</v>
      </c>
      <c r="P7" s="72">
        <f t="shared" ref="P7:P36" si="8">IF(E7&lt;&gt;0,M7/(M7+M39+M71+M103+M135+M167+M199+M231+M263+M295),0)</f>
        <v>3.274326804640678E-2</v>
      </c>
      <c r="Q7" s="72">
        <f t="shared" ref="Q7:Q36" si="9">IF(F7&lt;&gt;0,N7/(N7+N39+N71+N103+N135+N167+N199+N231+N263+N295+N327+N359),0)</f>
        <v>6.5469484298652403E-2</v>
      </c>
      <c r="R7" s="75">
        <f>IFERROR(O7*'Fechamento fiscal'!AN7,"")</f>
        <v>0.96758400249857446</v>
      </c>
      <c r="S7" s="75">
        <f>P7*'Gás fiscal'!H4</f>
        <v>146.10046202306705</v>
      </c>
      <c r="T7" s="104">
        <f>Q7*'Volumes de água'!$C$6</f>
        <v>135.12901559241857</v>
      </c>
      <c r="U7" s="191"/>
      <c r="V7" s="192"/>
      <c r="W7" s="193"/>
    </row>
    <row r="8" spans="1:23" x14ac:dyDescent="0.25">
      <c r="A8" s="42">
        <v>3</v>
      </c>
      <c r="B8" s="16" t="s">
        <v>111</v>
      </c>
      <c r="C8" s="16">
        <v>24</v>
      </c>
      <c r="D8" s="148">
        <v>24</v>
      </c>
      <c r="E8" s="148">
        <v>24</v>
      </c>
      <c r="F8" s="43">
        <f t="shared" si="1"/>
        <v>24</v>
      </c>
      <c r="G8" s="43">
        <f t="shared" si="2"/>
        <v>24</v>
      </c>
      <c r="H8" s="43">
        <f t="shared" si="3"/>
        <v>24</v>
      </c>
      <c r="I8" s="168">
        <v>1.35</v>
      </c>
      <c r="J8" s="168">
        <v>134.51</v>
      </c>
      <c r="K8" s="168">
        <v>105.18</v>
      </c>
      <c r="L8" s="73">
        <f t="shared" si="4"/>
        <v>1.35</v>
      </c>
      <c r="M8" s="73">
        <f t="shared" si="5"/>
        <v>134.51</v>
      </c>
      <c r="N8" s="73">
        <f t="shared" si="6"/>
        <v>105.18</v>
      </c>
      <c r="O8" s="72">
        <f t="shared" si="7"/>
        <v>1.8488591854063381E-2</v>
      </c>
      <c r="P8" s="72">
        <f t="shared" si="8"/>
        <v>3.274326804640678E-2</v>
      </c>
      <c r="Q8" s="72">
        <f t="shared" si="9"/>
        <v>6.5469484298652403E-2</v>
      </c>
      <c r="R8" s="75">
        <f>IFERROR(O8*'Fechamento fiscal'!AN8,"")</f>
        <v>1.1541564369672954</v>
      </c>
      <c r="S8" s="75">
        <f>P8*'Gás fiscal'!H5</f>
        <v>156.28361838549955</v>
      </c>
      <c r="T8" s="104">
        <f>Q8*'Volumes de água'!$C$7</f>
        <v>138.00967290155927</v>
      </c>
      <c r="U8" s="191"/>
      <c r="V8" s="192"/>
      <c r="W8" s="193"/>
    </row>
    <row r="9" spans="1:23" x14ac:dyDescent="0.25">
      <c r="A9" s="42">
        <v>4</v>
      </c>
      <c r="B9" s="16" t="s">
        <v>111</v>
      </c>
      <c r="C9" s="16">
        <v>24</v>
      </c>
      <c r="D9" s="148">
        <v>24</v>
      </c>
      <c r="E9" s="148">
        <v>24</v>
      </c>
      <c r="F9" s="43">
        <f t="shared" si="1"/>
        <v>24</v>
      </c>
      <c r="G9" s="43">
        <f t="shared" si="2"/>
        <v>24</v>
      </c>
      <c r="H9" s="43">
        <f t="shared" si="3"/>
        <v>24</v>
      </c>
      <c r="I9" s="168">
        <v>1.35</v>
      </c>
      <c r="J9" s="168">
        <v>134.51</v>
      </c>
      <c r="K9" s="168">
        <v>105.18</v>
      </c>
      <c r="L9" s="73">
        <f t="shared" si="4"/>
        <v>1.35</v>
      </c>
      <c r="M9" s="73">
        <f t="shared" si="5"/>
        <v>134.51</v>
      </c>
      <c r="N9" s="73">
        <f t="shared" si="6"/>
        <v>105.18</v>
      </c>
      <c r="O9" s="72">
        <f t="shared" si="7"/>
        <v>1.8488591854063381E-2</v>
      </c>
      <c r="P9" s="72">
        <f t="shared" si="8"/>
        <v>3.274326804640678E-2</v>
      </c>
      <c r="Q9" s="72">
        <f t="shared" si="9"/>
        <v>6.5469484298652403E-2</v>
      </c>
      <c r="R9" s="75">
        <f>IFERROR(O9*'Fechamento fiscal'!AN9,"")</f>
        <v>1.158804684905073</v>
      </c>
      <c r="S9" s="75">
        <f>P9*'Gás fiscal'!H6</f>
        <v>151.56858778681698</v>
      </c>
      <c r="T9" s="104">
        <f>Q9*'Volumes de água'!$C$8</f>
        <v>138.00967290155927</v>
      </c>
      <c r="U9" s="191"/>
      <c r="V9" s="192"/>
      <c r="W9" s="193"/>
    </row>
    <row r="10" spans="1:23" x14ac:dyDescent="0.25">
      <c r="A10" s="42">
        <v>5</v>
      </c>
      <c r="B10" s="16" t="s">
        <v>111</v>
      </c>
      <c r="C10" s="16">
        <v>24</v>
      </c>
      <c r="D10" s="148">
        <v>23.5</v>
      </c>
      <c r="E10" s="148">
        <v>23.5</v>
      </c>
      <c r="F10" s="43">
        <f t="shared" si="1"/>
        <v>23.5</v>
      </c>
      <c r="G10" s="43">
        <f t="shared" si="2"/>
        <v>23.5</v>
      </c>
      <c r="H10" s="43">
        <f t="shared" si="3"/>
        <v>23.5</v>
      </c>
      <c r="I10" s="168">
        <v>1.35</v>
      </c>
      <c r="J10" s="168">
        <v>134.51</v>
      </c>
      <c r="K10" s="168">
        <v>105.18</v>
      </c>
      <c r="L10" s="73">
        <f t="shared" si="4"/>
        <v>1.3218750000000001</v>
      </c>
      <c r="M10" s="73">
        <f t="shared" si="5"/>
        <v>131.70770833333333</v>
      </c>
      <c r="N10" s="73">
        <f t="shared" si="6"/>
        <v>102.98875</v>
      </c>
      <c r="O10" s="72">
        <f t="shared" si="7"/>
        <v>1.8488591854063385E-2</v>
      </c>
      <c r="P10" s="72">
        <f t="shared" si="8"/>
        <v>3.2743268046406787E-2</v>
      </c>
      <c r="Q10" s="72">
        <f t="shared" si="9"/>
        <v>6.5469484298652389E-2</v>
      </c>
      <c r="R10" s="75">
        <f>IFERROR(O10*'Fechamento fiscal'!AN10,"")</f>
        <v>1.1624342604320075</v>
      </c>
      <c r="S10" s="75">
        <f>P10*'Gás fiscal'!H7</f>
        <v>148.58895039459401</v>
      </c>
      <c r="T10" s="104">
        <f>Q10*'Volumes de água'!$C$9</f>
        <v>135.45636301391178</v>
      </c>
      <c r="U10" s="191"/>
      <c r="V10" s="192"/>
      <c r="W10" s="193"/>
    </row>
    <row r="11" spans="1:23" x14ac:dyDescent="0.25">
      <c r="A11" s="42">
        <v>6</v>
      </c>
      <c r="B11" s="16" t="s">
        <v>111</v>
      </c>
      <c r="C11" s="16">
        <v>24</v>
      </c>
      <c r="D11" s="148">
        <v>23.5</v>
      </c>
      <c r="E11" s="148">
        <v>23.5</v>
      </c>
      <c r="F11" s="43">
        <f t="shared" si="1"/>
        <v>23.5</v>
      </c>
      <c r="G11" s="43">
        <f t="shared" si="2"/>
        <v>23.5</v>
      </c>
      <c r="H11" s="43">
        <f t="shared" si="3"/>
        <v>23.5</v>
      </c>
      <c r="I11" s="168">
        <v>1.35</v>
      </c>
      <c r="J11" s="168">
        <v>134.51</v>
      </c>
      <c r="K11" s="168">
        <v>105.18</v>
      </c>
      <c r="L11" s="73">
        <f t="shared" si="4"/>
        <v>1.3218750000000001</v>
      </c>
      <c r="M11" s="73">
        <f t="shared" si="5"/>
        <v>131.70770833333333</v>
      </c>
      <c r="N11" s="73">
        <f t="shared" si="6"/>
        <v>102.98875</v>
      </c>
      <c r="O11" s="72">
        <f t="shared" si="7"/>
        <v>1.8488591854063385E-2</v>
      </c>
      <c r="P11" s="72">
        <f t="shared" si="8"/>
        <v>3.2743268046406787E-2</v>
      </c>
      <c r="Q11" s="72">
        <f t="shared" si="9"/>
        <v>6.5469484298652389E-2</v>
      </c>
      <c r="R11" s="75">
        <f>IFERROR(O11*'Fechamento fiscal'!AN11,"")</f>
        <v>3.5978860266540481E-3</v>
      </c>
      <c r="S11" s="75">
        <f>P11*'Gás fiscal'!H8</f>
        <v>151.73230412704905</v>
      </c>
      <c r="T11" s="104">
        <f>Q11*'Volumes de água'!$C$10</f>
        <v>130.48068220721422</v>
      </c>
      <c r="U11" s="191"/>
      <c r="V11" s="192"/>
      <c r="W11" s="193"/>
    </row>
    <row r="12" spans="1:23" x14ac:dyDescent="0.25">
      <c r="A12" s="42">
        <v>7</v>
      </c>
      <c r="B12" s="16" t="s">
        <v>111</v>
      </c>
      <c r="C12" s="16">
        <v>24</v>
      </c>
      <c r="D12" s="148">
        <v>23.5</v>
      </c>
      <c r="E12" s="148">
        <v>23.5</v>
      </c>
      <c r="F12" s="43">
        <f t="shared" si="1"/>
        <v>23.5</v>
      </c>
      <c r="G12" s="43">
        <f t="shared" si="2"/>
        <v>23.5</v>
      </c>
      <c r="H12" s="43">
        <f t="shared" si="3"/>
        <v>23.5</v>
      </c>
      <c r="I12" s="168">
        <v>1.35</v>
      </c>
      <c r="J12" s="168">
        <v>134.51</v>
      </c>
      <c r="K12" s="168">
        <v>105.18</v>
      </c>
      <c r="L12" s="73">
        <f t="shared" si="4"/>
        <v>1.3218750000000001</v>
      </c>
      <c r="M12" s="73">
        <f t="shared" si="5"/>
        <v>131.70770833333333</v>
      </c>
      <c r="N12" s="73">
        <f t="shared" si="6"/>
        <v>102.98875</v>
      </c>
      <c r="O12" s="72">
        <f t="shared" si="7"/>
        <v>1.8530708991643219E-2</v>
      </c>
      <c r="P12" s="72">
        <f t="shared" si="8"/>
        <v>3.2900822337110232E-2</v>
      </c>
      <c r="Q12" s="72">
        <f t="shared" si="9"/>
        <v>6.6191217913535771E-2</v>
      </c>
      <c r="R12" s="75">
        <f>IFERROR(O12*'Fechamento fiscal'!AN12,"")</f>
        <v>-0.32751839252811799</v>
      </c>
      <c r="S12" s="75">
        <f>P12*'Gás fiscal'!H9</f>
        <v>154.04165018235011</v>
      </c>
      <c r="T12" s="104">
        <f>Q12*'Volumes de água'!$C$11</f>
        <v>134.96389332569944</v>
      </c>
      <c r="U12" s="191"/>
      <c r="V12" s="192"/>
      <c r="W12" s="193"/>
    </row>
    <row r="13" spans="1:23" x14ac:dyDescent="0.25">
      <c r="A13" s="42">
        <v>8</v>
      </c>
      <c r="B13" s="16" t="s">
        <v>111</v>
      </c>
      <c r="C13" s="16">
        <v>24</v>
      </c>
      <c r="D13" s="148">
        <v>24</v>
      </c>
      <c r="E13" s="148">
        <v>24</v>
      </c>
      <c r="F13" s="43">
        <f t="shared" si="1"/>
        <v>24</v>
      </c>
      <c r="G13" s="43">
        <f t="shared" si="2"/>
        <v>24</v>
      </c>
      <c r="H13" s="43">
        <f t="shared" si="3"/>
        <v>24</v>
      </c>
      <c r="I13" s="168">
        <v>1.35</v>
      </c>
      <c r="J13" s="168">
        <v>134.51</v>
      </c>
      <c r="K13" s="168">
        <v>105.18</v>
      </c>
      <c r="L13" s="73">
        <f t="shared" si="4"/>
        <v>1.35</v>
      </c>
      <c r="M13" s="73">
        <f t="shared" si="5"/>
        <v>134.51</v>
      </c>
      <c r="N13" s="73">
        <f t="shared" si="6"/>
        <v>105.18</v>
      </c>
      <c r="O13" s="72">
        <f t="shared" si="7"/>
        <v>1.8654653990714129E-2</v>
      </c>
      <c r="P13" s="72">
        <f t="shared" si="8"/>
        <v>3.336913943790204E-2</v>
      </c>
      <c r="Q13" s="72">
        <f t="shared" si="9"/>
        <v>6.8390184272468374E-2</v>
      </c>
      <c r="R13" s="75">
        <f>IFERROR(O13*'Fechamento fiscal'!AN13,"")</f>
        <v>-9.2656884415878889E-3</v>
      </c>
      <c r="S13" s="75">
        <f>P13*'Gás fiscal'!H10</f>
        <v>155.16649838624448</v>
      </c>
      <c r="T13" s="104">
        <f>Q13*'Volumes de água'!$C$12</f>
        <v>141.22573052264718</v>
      </c>
      <c r="U13" s="191"/>
      <c r="V13" s="192"/>
      <c r="W13" s="193"/>
    </row>
    <row r="14" spans="1:23" x14ac:dyDescent="0.25">
      <c r="A14" s="42">
        <v>9</v>
      </c>
      <c r="B14" s="16" t="s">
        <v>111</v>
      </c>
      <c r="C14" s="16">
        <v>24</v>
      </c>
      <c r="D14" s="148">
        <v>23.5</v>
      </c>
      <c r="E14" s="148">
        <v>23.5</v>
      </c>
      <c r="F14" s="43">
        <f t="shared" si="1"/>
        <v>23.5</v>
      </c>
      <c r="G14" s="43">
        <f t="shared" si="2"/>
        <v>23.5</v>
      </c>
      <c r="H14" s="43">
        <f t="shared" si="3"/>
        <v>23.5</v>
      </c>
      <c r="I14" s="168">
        <v>1.35</v>
      </c>
      <c r="J14" s="168">
        <v>134.51</v>
      </c>
      <c r="K14" s="168">
        <v>105.18</v>
      </c>
      <c r="L14" s="73">
        <f t="shared" si="4"/>
        <v>1.3218750000000001</v>
      </c>
      <c r="M14" s="73">
        <f t="shared" si="5"/>
        <v>131.70770833333333</v>
      </c>
      <c r="N14" s="73">
        <f t="shared" si="6"/>
        <v>102.98875</v>
      </c>
      <c r="O14" s="72">
        <f t="shared" si="7"/>
        <v>1.8654653990714129E-2</v>
      </c>
      <c r="P14" s="72">
        <f t="shared" si="8"/>
        <v>3.3369139437902047E-2</v>
      </c>
      <c r="Q14" s="72">
        <f t="shared" si="9"/>
        <v>6.839018427246836E-2</v>
      </c>
      <c r="R14" s="75">
        <f>IFERROR(O14*'Fechamento fiscal'!AN14,"")</f>
        <v>0.50099584034981237</v>
      </c>
      <c r="S14" s="75">
        <f>P14*'Gás fiscal'!H11</f>
        <v>140.61755359131922</v>
      </c>
      <c r="T14" s="104">
        <f>Q14*'Volumes de água'!$C$13</f>
        <v>135.13900412239747</v>
      </c>
      <c r="U14" s="191"/>
      <c r="V14" s="192"/>
      <c r="W14" s="193"/>
    </row>
    <row r="15" spans="1:23" x14ac:dyDescent="0.25">
      <c r="A15" s="42">
        <v>10</v>
      </c>
      <c r="B15" s="16" t="s">
        <v>111</v>
      </c>
      <c r="C15" s="16">
        <v>24</v>
      </c>
      <c r="D15" s="148">
        <v>22</v>
      </c>
      <c r="E15" s="148">
        <v>22</v>
      </c>
      <c r="F15" s="43">
        <f t="shared" si="1"/>
        <v>22</v>
      </c>
      <c r="G15" s="43">
        <f t="shared" si="2"/>
        <v>22</v>
      </c>
      <c r="H15" s="43">
        <f t="shared" si="3"/>
        <v>22</v>
      </c>
      <c r="I15" s="168">
        <v>1.35</v>
      </c>
      <c r="J15" s="168">
        <v>134.51</v>
      </c>
      <c r="K15" s="168">
        <v>105.18</v>
      </c>
      <c r="L15" s="73">
        <f t="shared" si="4"/>
        <v>1.2375</v>
      </c>
      <c r="M15" s="73">
        <f t="shared" si="5"/>
        <v>123.30083333333332</v>
      </c>
      <c r="N15" s="73">
        <f t="shared" si="6"/>
        <v>96.415000000000006</v>
      </c>
      <c r="O15" s="72">
        <f t="shared" si="7"/>
        <v>1.7126723917210453E-2</v>
      </c>
      <c r="P15" s="72">
        <f t="shared" si="8"/>
        <v>3.0673673993456902E-2</v>
      </c>
      <c r="Q15" s="72">
        <f t="shared" si="9"/>
        <v>6.3050337600340053E-2</v>
      </c>
      <c r="R15" s="75">
        <f>IFERROR(O15*'Fechamento fiscal'!AN15,"")</f>
        <v>1.0731411608771286</v>
      </c>
      <c r="S15" s="75">
        <f>P15*'Gás fiscal'!H12</f>
        <v>120.4861914462987</v>
      </c>
      <c r="T15" s="104">
        <f>Q15*'Volumes de água'!$C$14</f>
        <v>130.1989471447022</v>
      </c>
      <c r="U15" s="191"/>
      <c r="V15" s="192"/>
      <c r="W15" s="193"/>
    </row>
    <row r="16" spans="1:23" x14ac:dyDescent="0.25">
      <c r="A16" s="42">
        <v>11</v>
      </c>
      <c r="B16" s="16" t="s">
        <v>111</v>
      </c>
      <c r="C16" s="16">
        <v>24</v>
      </c>
      <c r="D16" s="148">
        <v>24</v>
      </c>
      <c r="E16" s="148">
        <v>24</v>
      </c>
      <c r="F16" s="43">
        <f t="shared" si="1"/>
        <v>24</v>
      </c>
      <c r="G16" s="43">
        <f t="shared" si="2"/>
        <v>24</v>
      </c>
      <c r="H16" s="43">
        <f t="shared" si="3"/>
        <v>24</v>
      </c>
      <c r="I16" s="168">
        <v>1.35</v>
      </c>
      <c r="J16" s="168">
        <v>134.51</v>
      </c>
      <c r="K16" s="168">
        <v>105.18</v>
      </c>
      <c r="L16" s="73">
        <f t="shared" si="4"/>
        <v>1.35</v>
      </c>
      <c r="M16" s="73">
        <f t="shared" si="5"/>
        <v>134.51</v>
      </c>
      <c r="N16" s="73">
        <f t="shared" si="6"/>
        <v>105.18</v>
      </c>
      <c r="O16" s="72">
        <f t="shared" si="7"/>
        <v>1.8654653990714129E-2</v>
      </c>
      <c r="P16" s="72">
        <f t="shared" si="8"/>
        <v>3.336913943790204E-2</v>
      </c>
      <c r="Q16" s="72">
        <f t="shared" si="9"/>
        <v>6.8390184272468374E-2</v>
      </c>
      <c r="R16" s="75">
        <f>IFERROR(O16*'Fechamento fiscal'!AN16,"")</f>
        <v>-8.861765461512937E-4</v>
      </c>
      <c r="S16" s="75">
        <f>P16*'Gás fiscal'!H13</f>
        <v>134.61110849249684</v>
      </c>
      <c r="T16" s="104">
        <f>Q16*'Volumes de água'!$C$15</f>
        <v>150.86874650506525</v>
      </c>
      <c r="U16" s="191"/>
      <c r="V16" s="192"/>
      <c r="W16" s="193"/>
    </row>
    <row r="17" spans="1:23" x14ac:dyDescent="0.25">
      <c r="A17" s="42">
        <v>12</v>
      </c>
      <c r="B17" s="16" t="s">
        <v>111</v>
      </c>
      <c r="C17" s="16">
        <v>24</v>
      </c>
      <c r="D17" s="148">
        <v>24</v>
      </c>
      <c r="E17" s="148">
        <v>24</v>
      </c>
      <c r="F17" s="43">
        <f t="shared" si="1"/>
        <v>24</v>
      </c>
      <c r="G17" s="43">
        <f t="shared" si="2"/>
        <v>24</v>
      </c>
      <c r="H17" s="43">
        <f t="shared" si="3"/>
        <v>24</v>
      </c>
      <c r="I17" s="168">
        <v>1.35</v>
      </c>
      <c r="J17" s="168">
        <v>134.51</v>
      </c>
      <c r="K17" s="168">
        <v>105.18</v>
      </c>
      <c r="L17" s="73">
        <f t="shared" si="4"/>
        <v>1.35</v>
      </c>
      <c r="M17" s="73">
        <f t="shared" si="5"/>
        <v>134.51</v>
      </c>
      <c r="N17" s="73">
        <f t="shared" si="6"/>
        <v>105.18</v>
      </c>
      <c r="O17" s="72">
        <f t="shared" si="7"/>
        <v>2.1383682666149234E-2</v>
      </c>
      <c r="P17" s="72">
        <f t="shared" si="8"/>
        <v>3.346538478684967E-2</v>
      </c>
      <c r="Q17" s="72">
        <f t="shared" si="9"/>
        <v>7.6792367197911826E-2</v>
      </c>
      <c r="R17" s="75">
        <f>IFERROR(O17*'Fechamento fiscal'!AN17,"")</f>
        <v>-1.6150786892271899E-2</v>
      </c>
      <c r="S17" s="75">
        <f>P17*'Gás fiscal'!H14</f>
        <v>159.46255850933866</v>
      </c>
      <c r="T17" s="104">
        <f>Q17*'Volumes de água'!$C$16</f>
        <v>221.16201752998606</v>
      </c>
      <c r="U17" s="191"/>
      <c r="V17" s="192"/>
      <c r="W17" s="193"/>
    </row>
    <row r="18" spans="1:23" x14ac:dyDescent="0.25">
      <c r="A18" s="42">
        <v>13</v>
      </c>
      <c r="B18" s="16" t="s">
        <v>111</v>
      </c>
      <c r="C18" s="16">
        <v>24</v>
      </c>
      <c r="D18" s="148">
        <v>24</v>
      </c>
      <c r="E18" s="148">
        <v>24</v>
      </c>
      <c r="F18" s="43">
        <f t="shared" si="1"/>
        <v>24</v>
      </c>
      <c r="G18" s="43">
        <f t="shared" si="2"/>
        <v>24</v>
      </c>
      <c r="H18" s="43">
        <f t="shared" si="3"/>
        <v>24</v>
      </c>
      <c r="I18" s="168">
        <v>1.35</v>
      </c>
      <c r="J18" s="168">
        <v>134.51</v>
      </c>
      <c r="K18" s="168">
        <v>105.18</v>
      </c>
      <c r="L18" s="73">
        <f t="shared" si="4"/>
        <v>1.35</v>
      </c>
      <c r="M18" s="73">
        <f t="shared" si="5"/>
        <v>134.51</v>
      </c>
      <c r="N18" s="73">
        <f t="shared" si="6"/>
        <v>105.18</v>
      </c>
      <c r="O18" s="72">
        <f t="shared" si="7"/>
        <v>1.9225839528326065E-2</v>
      </c>
      <c r="P18" s="72">
        <f t="shared" si="8"/>
        <v>3.6957451878346488E-2</v>
      </c>
      <c r="Q18" s="72">
        <f t="shared" si="9"/>
        <v>6.992932603767063E-2</v>
      </c>
      <c r="R18" s="75">
        <f>IFERROR(O18*'Fechamento fiscal'!AN18,"")</f>
        <v>-1.5502049166272834E-4</v>
      </c>
      <c r="S18" s="75">
        <f>P18*'Gás fiscal'!H15</f>
        <v>157.54961735739107</v>
      </c>
      <c r="T18" s="104">
        <f>Q18*'Volumes de água'!$C$17</f>
        <v>192.09585862548121</v>
      </c>
      <c r="U18" s="191"/>
      <c r="V18" s="192"/>
      <c r="W18" s="193"/>
    </row>
    <row r="19" spans="1:23" x14ac:dyDescent="0.25">
      <c r="A19" s="42">
        <v>14</v>
      </c>
      <c r="B19" s="16" t="s">
        <v>111</v>
      </c>
      <c r="C19" s="16">
        <v>24</v>
      </c>
      <c r="D19" s="148">
        <v>15.15</v>
      </c>
      <c r="E19" s="148">
        <v>15.15</v>
      </c>
      <c r="F19" s="43">
        <f t="shared" si="1"/>
        <v>15.149999999999999</v>
      </c>
      <c r="G19" s="43">
        <f t="shared" si="2"/>
        <v>15.149999999999999</v>
      </c>
      <c r="H19" s="43">
        <f t="shared" si="3"/>
        <v>15.149999999999999</v>
      </c>
      <c r="I19" s="168">
        <v>1.35</v>
      </c>
      <c r="J19" s="168">
        <v>134.51</v>
      </c>
      <c r="K19" s="168">
        <v>105.18</v>
      </c>
      <c r="L19" s="73">
        <f t="shared" si="4"/>
        <v>0.85218749999999999</v>
      </c>
      <c r="M19" s="73">
        <f t="shared" si="5"/>
        <v>84.909437499999996</v>
      </c>
      <c r="N19" s="73">
        <f t="shared" si="6"/>
        <v>66.394874999999999</v>
      </c>
      <c r="O19" s="72">
        <f t="shared" si="7"/>
        <v>1.2431048781799762E-2</v>
      </c>
      <c r="P19" s="72">
        <f t="shared" si="8"/>
        <v>2.1879147380134471E-2</v>
      </c>
      <c r="Q19" s="72">
        <f t="shared" si="9"/>
        <v>4.6516656385271714E-2</v>
      </c>
      <c r="R19" s="75">
        <f>IFERROR(O19*'Fechamento fiscal'!AN19,"")</f>
        <v>0.49228574952476883</v>
      </c>
      <c r="S19" s="75">
        <f>P19*'Gás fiscal'!H16</f>
        <v>102.0005850861869</v>
      </c>
      <c r="T19" s="104">
        <f>Q19*'Volumes de água'!$C$18</f>
        <v>126.38575539878325</v>
      </c>
      <c r="U19" s="191"/>
      <c r="V19" s="192"/>
      <c r="W19" s="193"/>
    </row>
    <row r="20" spans="1:23" x14ac:dyDescent="0.25">
      <c r="A20" s="42">
        <v>15</v>
      </c>
      <c r="B20" s="16" t="s">
        <v>111</v>
      </c>
      <c r="C20" s="16">
        <v>24</v>
      </c>
      <c r="D20" s="148">
        <v>21</v>
      </c>
      <c r="E20" s="148">
        <v>21</v>
      </c>
      <c r="F20" s="43">
        <f t="shared" si="1"/>
        <v>21</v>
      </c>
      <c r="G20" s="43">
        <f t="shared" si="2"/>
        <v>21</v>
      </c>
      <c r="H20" s="43">
        <f t="shared" si="3"/>
        <v>21</v>
      </c>
      <c r="I20" s="168">
        <v>1.35</v>
      </c>
      <c r="J20" s="168">
        <v>134.51</v>
      </c>
      <c r="K20" s="168">
        <v>105.18</v>
      </c>
      <c r="L20" s="73">
        <f t="shared" si="4"/>
        <v>1.1812500000000001</v>
      </c>
      <c r="M20" s="73">
        <f t="shared" si="5"/>
        <v>117.69624999999999</v>
      </c>
      <c r="N20" s="73">
        <f t="shared" si="6"/>
        <v>92.032499999999999</v>
      </c>
      <c r="O20" s="72">
        <f t="shared" si="7"/>
        <v>1.7032776228372581E-2</v>
      </c>
      <c r="P20" s="72">
        <f t="shared" si="8"/>
        <v>2.9631962198784306E-2</v>
      </c>
      <c r="Q20" s="72">
        <f t="shared" si="9"/>
        <v>6.2269788160705539E-2</v>
      </c>
      <c r="R20" s="75">
        <f>IFERROR(O20*'Fechamento fiscal'!AN20,"")</f>
        <v>1.0918308775572905</v>
      </c>
      <c r="S20" s="75">
        <f>P20*'Gás fiscal'!H17</f>
        <v>140.92961221741817</v>
      </c>
      <c r="T20" s="104">
        <f>Q20*'Volumes de água'!$C$19</f>
        <v>171.926885111708</v>
      </c>
      <c r="U20" s="191"/>
      <c r="V20" s="192"/>
      <c r="W20" s="193"/>
    </row>
    <row r="21" spans="1:23" x14ac:dyDescent="0.25">
      <c r="A21" s="42">
        <v>16</v>
      </c>
      <c r="B21" s="16" t="s">
        <v>111</v>
      </c>
      <c r="C21" s="16">
        <v>24</v>
      </c>
      <c r="D21" s="148">
        <v>23.3</v>
      </c>
      <c r="E21" s="148">
        <v>23.3</v>
      </c>
      <c r="F21" s="43">
        <f t="shared" si="1"/>
        <v>23.3</v>
      </c>
      <c r="G21" s="43">
        <f t="shared" si="2"/>
        <v>23.3</v>
      </c>
      <c r="H21" s="43">
        <f t="shared" si="3"/>
        <v>23.3</v>
      </c>
      <c r="I21" s="168">
        <v>1.35</v>
      </c>
      <c r="J21" s="168">
        <v>134.51</v>
      </c>
      <c r="K21" s="168">
        <v>105.18</v>
      </c>
      <c r="L21" s="73">
        <f t="shared" si="4"/>
        <v>1.3106250000000002</v>
      </c>
      <c r="M21" s="73">
        <f t="shared" si="5"/>
        <v>130.58679166666667</v>
      </c>
      <c r="N21" s="73">
        <f t="shared" si="6"/>
        <v>102.11225</v>
      </c>
      <c r="O21" s="72">
        <f t="shared" si="7"/>
        <v>1.9031071317117124E-2</v>
      </c>
      <c r="P21" s="72">
        <f t="shared" si="8"/>
        <v>3.3722348319943383E-2</v>
      </c>
      <c r="Q21" s="72">
        <f t="shared" si="9"/>
        <v>6.9313263030745753E-2</v>
      </c>
      <c r="R21" s="75">
        <f>IFERROR(O21*'Fechamento fiscal'!AN21,"")</f>
        <v>0.53369226561472383</v>
      </c>
      <c r="S21" s="75">
        <f>P21*'Gás fiscal'!H18</f>
        <v>155.05535757509969</v>
      </c>
      <c r="T21" s="104">
        <f>Q21*'Volumes de água'!$C$20</f>
        <v>173.35247083989512</v>
      </c>
      <c r="U21" s="191"/>
      <c r="V21" s="192"/>
      <c r="W21" s="193"/>
    </row>
    <row r="22" spans="1:23" x14ac:dyDescent="0.25">
      <c r="A22" s="42">
        <v>17</v>
      </c>
      <c r="B22" s="16" t="s">
        <v>111</v>
      </c>
      <c r="C22" s="16">
        <v>24</v>
      </c>
      <c r="D22" s="148">
        <v>24</v>
      </c>
      <c r="E22" s="148">
        <v>24</v>
      </c>
      <c r="F22" s="43">
        <f t="shared" si="1"/>
        <v>24</v>
      </c>
      <c r="G22" s="43">
        <f t="shared" si="2"/>
        <v>24</v>
      </c>
      <c r="H22" s="43">
        <f t="shared" si="3"/>
        <v>24</v>
      </c>
      <c r="I22" s="168">
        <v>1.35</v>
      </c>
      <c r="J22" s="168">
        <v>134.51</v>
      </c>
      <c r="K22" s="168">
        <v>105.18</v>
      </c>
      <c r="L22" s="73">
        <f t="shared" si="4"/>
        <v>1.35</v>
      </c>
      <c r="M22" s="73">
        <f t="shared" si="5"/>
        <v>134.51</v>
      </c>
      <c r="N22" s="73">
        <f t="shared" si="6"/>
        <v>105.18</v>
      </c>
      <c r="O22" s="72">
        <f t="shared" si="7"/>
        <v>1.8365597834219871E-2</v>
      </c>
      <c r="P22" s="72">
        <f t="shared" si="8"/>
        <v>3.1140538725995207E-2</v>
      </c>
      <c r="Q22" s="72">
        <f t="shared" si="9"/>
        <v>6.3303852624442131E-2</v>
      </c>
      <c r="R22" s="75">
        <f>IFERROR(O22*'Fechamento fiscal'!AN22,"")</f>
        <v>-7.1976979583355631E-3</v>
      </c>
      <c r="S22" s="75">
        <f>P22*'Gás fiscal'!H19</f>
        <v>147.4815914063133</v>
      </c>
      <c r="T22" s="104">
        <f>Q22*'Volumes de água'!$C$21</f>
        <v>171.49013675961373</v>
      </c>
      <c r="U22" s="191"/>
      <c r="V22" s="192"/>
      <c r="W22" s="193"/>
    </row>
    <row r="23" spans="1:23" x14ac:dyDescent="0.25">
      <c r="A23" s="42">
        <v>18</v>
      </c>
      <c r="B23" s="16" t="s">
        <v>111</v>
      </c>
      <c r="C23" s="16">
        <v>24</v>
      </c>
      <c r="D23" s="148">
        <v>24</v>
      </c>
      <c r="E23" s="148">
        <v>24</v>
      </c>
      <c r="F23" s="43">
        <f t="shared" si="1"/>
        <v>24</v>
      </c>
      <c r="G23" s="43">
        <f t="shared" si="2"/>
        <v>24</v>
      </c>
      <c r="H23" s="43">
        <f t="shared" si="3"/>
        <v>24</v>
      </c>
      <c r="I23" s="168">
        <v>1.35</v>
      </c>
      <c r="J23" s="168">
        <v>134.51</v>
      </c>
      <c r="K23" s="168">
        <v>105.18</v>
      </c>
      <c r="L23" s="73">
        <f t="shared" si="4"/>
        <v>1.35</v>
      </c>
      <c r="M23" s="73">
        <f t="shared" si="5"/>
        <v>134.51</v>
      </c>
      <c r="N23" s="73">
        <f t="shared" si="6"/>
        <v>105.18</v>
      </c>
      <c r="O23" s="72">
        <f t="shared" si="7"/>
        <v>1.6908888230161283E-2</v>
      </c>
      <c r="P23" s="72">
        <f t="shared" si="8"/>
        <v>2.6868202488090229E-2</v>
      </c>
      <c r="Q23" s="72">
        <f t="shared" si="9"/>
        <v>5.3142963607789806E-2</v>
      </c>
      <c r="R23" s="75">
        <f>IFERROR(O23*'Fechamento fiscal'!AN23,"")</f>
        <v>-1.4043152811443204E-3</v>
      </c>
      <c r="S23" s="75">
        <f>P23*'Gás fiscal'!H20</f>
        <v>127.62396181842858</v>
      </c>
      <c r="T23" s="104">
        <f>Q23*'Volumes de água'!$C$22</f>
        <v>101.92820419974085</v>
      </c>
      <c r="U23" s="191"/>
      <c r="V23" s="192"/>
      <c r="W23" s="193"/>
    </row>
    <row r="24" spans="1:23" x14ac:dyDescent="0.25">
      <c r="A24" s="42">
        <v>19</v>
      </c>
      <c r="B24" s="16" t="s">
        <v>111</v>
      </c>
      <c r="C24" s="16">
        <v>24</v>
      </c>
      <c r="D24" s="148">
        <v>23.5</v>
      </c>
      <c r="E24" s="148">
        <v>23.5</v>
      </c>
      <c r="F24" s="43">
        <f t="shared" si="1"/>
        <v>23.5</v>
      </c>
      <c r="G24" s="43">
        <f t="shared" si="2"/>
        <v>23.5</v>
      </c>
      <c r="H24" s="43">
        <f t="shared" si="3"/>
        <v>23.5</v>
      </c>
      <c r="I24" s="168">
        <v>1.35</v>
      </c>
      <c r="J24" s="168">
        <v>134.51</v>
      </c>
      <c r="K24" s="168">
        <v>105.18</v>
      </c>
      <c r="L24" s="73">
        <f t="shared" si="4"/>
        <v>1.3218750000000001</v>
      </c>
      <c r="M24" s="73">
        <f t="shared" si="5"/>
        <v>131.70770833333333</v>
      </c>
      <c r="N24" s="73">
        <f t="shared" si="6"/>
        <v>102.98875</v>
      </c>
      <c r="O24" s="72">
        <f t="shared" si="7"/>
        <v>1.6742811937453392E-2</v>
      </c>
      <c r="P24" s="72">
        <f t="shared" si="8"/>
        <v>2.6984899160417134E-2</v>
      </c>
      <c r="Q24" s="72">
        <f t="shared" si="9"/>
        <v>5.2917508713235084E-2</v>
      </c>
      <c r="R24" s="75">
        <f>IFERROR(O24*'Fechamento fiscal'!AN24,"")</f>
        <v>1.0430748733641013</v>
      </c>
      <c r="S24" s="75">
        <f>P24*'Gás fiscal'!H21</f>
        <v>121.78284991096253</v>
      </c>
      <c r="T24" s="104">
        <f>Q24*'Volumes de água'!$C$23</f>
        <v>143.19477857801414</v>
      </c>
      <c r="U24" s="191"/>
      <c r="V24" s="192"/>
      <c r="W24" s="193"/>
    </row>
    <row r="25" spans="1:23" x14ac:dyDescent="0.25">
      <c r="A25" s="42">
        <v>20</v>
      </c>
      <c r="B25" s="16" t="s">
        <v>111</v>
      </c>
      <c r="C25" s="16">
        <v>24</v>
      </c>
      <c r="D25" s="148">
        <v>24</v>
      </c>
      <c r="E25" s="148">
        <v>24</v>
      </c>
      <c r="F25" s="43">
        <f t="shared" si="1"/>
        <v>24</v>
      </c>
      <c r="G25" s="43">
        <f t="shared" si="2"/>
        <v>24</v>
      </c>
      <c r="H25" s="43">
        <f t="shared" si="3"/>
        <v>24</v>
      </c>
      <c r="I25" s="168">
        <v>1.35</v>
      </c>
      <c r="J25" s="168">
        <v>134.51</v>
      </c>
      <c r="K25" s="168">
        <v>105.18</v>
      </c>
      <c r="L25" s="73">
        <f t="shared" si="4"/>
        <v>1.35</v>
      </c>
      <c r="M25" s="73">
        <f t="shared" si="5"/>
        <v>134.51</v>
      </c>
      <c r="N25" s="73">
        <f t="shared" si="6"/>
        <v>105.18</v>
      </c>
      <c r="O25" s="72">
        <f t="shared" si="7"/>
        <v>1.8885609165815647E-2</v>
      </c>
      <c r="P25" s="72">
        <f t="shared" si="8"/>
        <v>3.2680246709015821E-2</v>
      </c>
      <c r="Q25" s="72">
        <f t="shared" si="9"/>
        <v>6.7223292314747274E-2</v>
      </c>
      <c r="R25" s="75">
        <f>IFERROR(O25*'Fechamento fiscal'!AN25,"")</f>
        <v>1.1770245585246029</v>
      </c>
      <c r="S25" s="75">
        <f>P25*'Gás fiscal'!H22</f>
        <v>145.16565588144829</v>
      </c>
      <c r="T25" s="104">
        <f>Q25*'Volumes de água'!$C$24</f>
        <v>172.36052149501202</v>
      </c>
      <c r="U25" s="191"/>
      <c r="V25" s="192"/>
      <c r="W25" s="193"/>
    </row>
    <row r="26" spans="1:23" x14ac:dyDescent="0.25">
      <c r="A26" s="42">
        <v>21</v>
      </c>
      <c r="B26" s="16" t="s">
        <v>111</v>
      </c>
      <c r="C26" s="16">
        <v>24</v>
      </c>
      <c r="D26" s="148">
        <v>24</v>
      </c>
      <c r="E26" s="148">
        <v>24</v>
      </c>
      <c r="F26" s="43">
        <f t="shared" si="1"/>
        <v>24</v>
      </c>
      <c r="G26" s="43">
        <f t="shared" si="2"/>
        <v>24</v>
      </c>
      <c r="H26" s="43">
        <f t="shared" si="3"/>
        <v>24</v>
      </c>
      <c r="I26" s="168">
        <v>1.35</v>
      </c>
      <c r="J26" s="168">
        <v>134.51</v>
      </c>
      <c r="K26" s="168">
        <v>105.18</v>
      </c>
      <c r="L26" s="73">
        <f t="shared" si="4"/>
        <v>1.35</v>
      </c>
      <c r="M26" s="73">
        <f t="shared" si="5"/>
        <v>134.51</v>
      </c>
      <c r="N26" s="73">
        <f t="shared" si="6"/>
        <v>105.18</v>
      </c>
      <c r="O26" s="72">
        <f t="shared" si="7"/>
        <v>1.7687645998142799E-2</v>
      </c>
      <c r="P26" s="72">
        <f t="shared" si="8"/>
        <v>2.92007240698463E-2</v>
      </c>
      <c r="Q26" s="72">
        <f t="shared" si="9"/>
        <v>5.8172211472507146E-2</v>
      </c>
      <c r="R26" s="75">
        <f>IFERROR(O26*'Fechamento fiscal'!AN26,"")</f>
        <v>1.1057679982873296</v>
      </c>
      <c r="S26" s="75">
        <f>P26*'Gás fiscal'!H23</f>
        <v>122.05902661195753</v>
      </c>
      <c r="T26" s="104">
        <f>Q26*'Volumes de água'!$C$25</f>
        <v>159.97358154939465</v>
      </c>
      <c r="U26" s="191"/>
      <c r="V26" s="192"/>
      <c r="W26" s="193"/>
    </row>
    <row r="27" spans="1:23" x14ac:dyDescent="0.25">
      <c r="A27" s="42">
        <v>22</v>
      </c>
      <c r="B27" s="16" t="s">
        <v>111</v>
      </c>
      <c r="C27" s="16">
        <v>24</v>
      </c>
      <c r="D27" s="148">
        <v>24</v>
      </c>
      <c r="E27" s="148">
        <v>24</v>
      </c>
      <c r="F27" s="43">
        <f t="shared" si="1"/>
        <v>24</v>
      </c>
      <c r="G27" s="43">
        <f t="shared" si="2"/>
        <v>24</v>
      </c>
      <c r="H27" s="43">
        <f t="shared" si="3"/>
        <v>24</v>
      </c>
      <c r="I27" s="168">
        <v>1.35</v>
      </c>
      <c r="J27" s="168">
        <v>134.51</v>
      </c>
      <c r="K27" s="168">
        <v>105.18</v>
      </c>
      <c r="L27" s="73">
        <f t="shared" si="4"/>
        <v>1.35</v>
      </c>
      <c r="M27" s="73">
        <f t="shared" si="5"/>
        <v>134.51</v>
      </c>
      <c r="N27" s="73">
        <f t="shared" si="6"/>
        <v>105.18</v>
      </c>
      <c r="O27" s="72">
        <f t="shared" si="7"/>
        <v>2.2147485850217374E-2</v>
      </c>
      <c r="P27" s="72">
        <f t="shared" si="8"/>
        <v>2.9678926572071846E-2</v>
      </c>
      <c r="Q27" s="72">
        <f t="shared" si="9"/>
        <v>6.9015442352863582E-2</v>
      </c>
      <c r="R27" s="75">
        <f>IFERROR(O27*'Fechamento fiscal'!AN27,"")</f>
        <v>0.40915897592948097</v>
      </c>
      <c r="S27" s="75">
        <f>P27*'Gás fiscal'!H24</f>
        <v>139.69870737474218</v>
      </c>
      <c r="T27" s="104">
        <f>Q27*'Volumes de água'!$C$26</f>
        <v>194.00240845389953</v>
      </c>
      <c r="U27" s="191"/>
      <c r="V27" s="192"/>
      <c r="W27" s="193"/>
    </row>
    <row r="28" spans="1:23" x14ac:dyDescent="0.25">
      <c r="A28" s="42">
        <v>23</v>
      </c>
      <c r="B28" s="16" t="s">
        <v>111</v>
      </c>
      <c r="C28" s="16">
        <v>24</v>
      </c>
      <c r="D28" s="148">
        <v>21</v>
      </c>
      <c r="E28" s="148">
        <v>21</v>
      </c>
      <c r="F28" s="43">
        <f t="shared" si="1"/>
        <v>21</v>
      </c>
      <c r="G28" s="43">
        <f t="shared" si="2"/>
        <v>21</v>
      </c>
      <c r="H28" s="43">
        <f t="shared" si="3"/>
        <v>21</v>
      </c>
      <c r="I28" s="168">
        <v>1.35</v>
      </c>
      <c r="J28" s="168">
        <v>134.51</v>
      </c>
      <c r="K28" s="168">
        <v>105.18</v>
      </c>
      <c r="L28" s="73">
        <f t="shared" si="4"/>
        <v>1.1812500000000001</v>
      </c>
      <c r="M28" s="73">
        <f t="shared" si="5"/>
        <v>117.69624999999999</v>
      </c>
      <c r="N28" s="73">
        <f t="shared" si="6"/>
        <v>92.032499999999999</v>
      </c>
      <c r="O28" s="72">
        <f t="shared" si="7"/>
        <v>2.7388107745492121E-2</v>
      </c>
      <c r="P28" s="72">
        <f t="shared" si="8"/>
        <v>4.8740813906695594E-2</v>
      </c>
      <c r="Q28" s="72">
        <f t="shared" si="9"/>
        <v>8.5040826627112209E-2</v>
      </c>
      <c r="R28" s="75">
        <f>IFERROR(O28*'Fechamento fiscal'!AN28,"")</f>
        <v>-9.0217681929674019E-3</v>
      </c>
      <c r="S28" s="75">
        <f>P28*'Gás fiscal'!H25</f>
        <v>102.9405989709411</v>
      </c>
      <c r="T28" s="104">
        <f>Q28*'Volumes de água'!$C$27</f>
        <v>128.07148490043099</v>
      </c>
      <c r="U28" s="191"/>
      <c r="V28" s="192"/>
      <c r="W28" s="193"/>
    </row>
    <row r="29" spans="1:23" x14ac:dyDescent="0.25">
      <c r="A29" s="42">
        <v>24</v>
      </c>
      <c r="B29" s="16" t="s">
        <v>111</v>
      </c>
      <c r="C29" s="16">
        <v>24</v>
      </c>
      <c r="D29" s="148">
        <v>18.600000000000001</v>
      </c>
      <c r="E29" s="148">
        <v>18.600000000000001</v>
      </c>
      <c r="F29" s="43">
        <f t="shared" si="1"/>
        <v>18.600000000000001</v>
      </c>
      <c r="G29" s="43">
        <f t="shared" si="2"/>
        <v>18.600000000000001</v>
      </c>
      <c r="H29" s="43">
        <f t="shared" si="3"/>
        <v>18.600000000000001</v>
      </c>
      <c r="I29" s="168">
        <v>1.35</v>
      </c>
      <c r="J29" s="168">
        <v>134.51</v>
      </c>
      <c r="K29" s="168">
        <v>105.18</v>
      </c>
      <c r="L29" s="73">
        <f t="shared" si="4"/>
        <v>1.0462500000000001</v>
      </c>
      <c r="M29" s="73">
        <f t="shared" si="5"/>
        <v>104.24525</v>
      </c>
      <c r="N29" s="73">
        <f t="shared" si="6"/>
        <v>81.514500000000012</v>
      </c>
      <c r="O29" s="72">
        <f t="shared" si="7"/>
        <v>1.6928789864569683E-2</v>
      </c>
      <c r="P29" s="72">
        <f t="shared" si="8"/>
        <v>3.70490410641547E-2</v>
      </c>
      <c r="Q29" s="72">
        <f t="shared" si="9"/>
        <v>5.5189304996578793E-2</v>
      </c>
      <c r="R29" s="75">
        <f>IFERROR(O29*'Fechamento fiscal'!AN29,"")</f>
        <v>-2.2422938894271064E-3</v>
      </c>
      <c r="S29" s="75">
        <f>P29*'Gás fiscal'!H26</f>
        <v>88.028521568431572</v>
      </c>
      <c r="T29" s="104">
        <f>Q29*'Volumes de água'!$C$28</f>
        <v>72.905071900480593</v>
      </c>
      <c r="U29" s="191"/>
      <c r="V29" s="192"/>
      <c r="W29" s="193"/>
    </row>
    <row r="30" spans="1:23" x14ac:dyDescent="0.25">
      <c r="A30" s="42">
        <v>25</v>
      </c>
      <c r="B30" s="16" t="s">
        <v>111</v>
      </c>
      <c r="C30" s="16">
        <v>24</v>
      </c>
      <c r="D30" s="148">
        <v>24</v>
      </c>
      <c r="E30" s="148">
        <v>24</v>
      </c>
      <c r="F30" s="43">
        <f t="shared" si="1"/>
        <v>24</v>
      </c>
      <c r="G30" s="43">
        <f t="shared" si="2"/>
        <v>24</v>
      </c>
      <c r="H30" s="43">
        <f t="shared" si="3"/>
        <v>24</v>
      </c>
      <c r="I30" s="168">
        <v>1.35</v>
      </c>
      <c r="J30" s="168">
        <v>134.51</v>
      </c>
      <c r="K30" s="168">
        <v>105.18</v>
      </c>
      <c r="L30" s="73">
        <f t="shared" si="4"/>
        <v>1.35</v>
      </c>
      <c r="M30" s="73">
        <f t="shared" si="5"/>
        <v>134.51</v>
      </c>
      <c r="N30" s="73">
        <f t="shared" si="6"/>
        <v>105.18</v>
      </c>
      <c r="O30" s="72">
        <f t="shared" si="7"/>
        <v>1.8639157418039485E-2</v>
      </c>
      <c r="P30" s="72">
        <f t="shared" si="8"/>
        <v>3.1854251465645467E-2</v>
      </c>
      <c r="Q30" s="72">
        <f t="shared" si="9"/>
        <v>6.3847079425840669E-2</v>
      </c>
      <c r="R30" s="75">
        <f>IFERROR(O30*'Fechamento fiscal'!AN30,"")</f>
        <v>1.1660196120687725</v>
      </c>
      <c r="S30" s="75">
        <f>P30*'Gás fiscal'!H27</f>
        <v>151.53067422207548</v>
      </c>
      <c r="T30" s="104">
        <f>Q30*'Volumes de água'!$C$29</f>
        <v>174.74945638852591</v>
      </c>
      <c r="U30" s="191"/>
      <c r="V30" s="192"/>
      <c r="W30" s="193"/>
    </row>
    <row r="31" spans="1:23" x14ac:dyDescent="0.25">
      <c r="A31" s="42">
        <v>26</v>
      </c>
      <c r="B31" s="16" t="s">
        <v>111</v>
      </c>
      <c r="C31" s="16">
        <v>24</v>
      </c>
      <c r="D31" s="148">
        <v>24</v>
      </c>
      <c r="E31" s="148">
        <v>24</v>
      </c>
      <c r="F31" s="43">
        <f t="shared" si="1"/>
        <v>24</v>
      </c>
      <c r="G31" s="43">
        <f t="shared" si="2"/>
        <v>24</v>
      </c>
      <c r="H31" s="43">
        <f t="shared" si="3"/>
        <v>24</v>
      </c>
      <c r="I31" s="168">
        <v>1.35</v>
      </c>
      <c r="J31" s="168">
        <v>134.51</v>
      </c>
      <c r="K31" s="168">
        <v>105.18</v>
      </c>
      <c r="L31" s="73">
        <f t="shared" si="4"/>
        <v>1.35</v>
      </c>
      <c r="M31" s="73">
        <f t="shared" si="5"/>
        <v>134.51</v>
      </c>
      <c r="N31" s="73">
        <f t="shared" si="6"/>
        <v>105.18</v>
      </c>
      <c r="O31" s="72">
        <f t="shared" si="7"/>
        <v>1.818394066198524E-2</v>
      </c>
      <c r="P31" s="72">
        <f t="shared" si="8"/>
        <v>3.0535896932096962E-2</v>
      </c>
      <c r="Q31" s="72">
        <f t="shared" si="9"/>
        <v>6.0651959549982995E-2</v>
      </c>
      <c r="R31" s="75">
        <f>IFERROR(O31*'Fechamento fiscal'!AN31,"")</f>
        <v>1.1140106756842882</v>
      </c>
      <c r="S31" s="75">
        <f>P31*'Gás fiscal'!H28</f>
        <v>143.45764378699153</v>
      </c>
      <c r="T31" s="104">
        <f>Q31*'Volumes de água'!$C$30</f>
        <v>169.88613869950237</v>
      </c>
      <c r="U31" s="191"/>
      <c r="V31" s="192"/>
      <c r="W31" s="193"/>
    </row>
    <row r="32" spans="1:23" x14ac:dyDescent="0.25">
      <c r="A32" s="42">
        <v>27</v>
      </c>
      <c r="B32" s="16" t="s">
        <v>111</v>
      </c>
      <c r="C32" s="16">
        <v>24</v>
      </c>
      <c r="D32" s="148">
        <v>24</v>
      </c>
      <c r="E32" s="148">
        <v>24</v>
      </c>
      <c r="F32" s="43">
        <f t="shared" si="1"/>
        <v>24</v>
      </c>
      <c r="G32" s="43">
        <f t="shared" si="2"/>
        <v>24</v>
      </c>
      <c r="H32" s="43">
        <f t="shared" si="3"/>
        <v>24</v>
      </c>
      <c r="I32" s="168">
        <v>1.35</v>
      </c>
      <c r="J32" s="168">
        <v>134.51</v>
      </c>
      <c r="K32" s="168">
        <v>105.18</v>
      </c>
      <c r="L32" s="73">
        <f t="shared" si="4"/>
        <v>1.35</v>
      </c>
      <c r="M32" s="73">
        <f t="shared" si="5"/>
        <v>134.51</v>
      </c>
      <c r="N32" s="73">
        <f t="shared" si="6"/>
        <v>105.18</v>
      </c>
      <c r="O32" s="72">
        <f t="shared" si="7"/>
        <v>1.7755798583481849E-2</v>
      </c>
      <c r="P32" s="72">
        <f t="shared" si="8"/>
        <v>2.6978482649386879E-2</v>
      </c>
      <c r="Q32" s="72">
        <f t="shared" si="9"/>
        <v>5.4314824976634569E-2</v>
      </c>
      <c r="R32" s="75">
        <f>IFERROR(O32*'Fechamento fiscal'!AN32,"")</f>
        <v>6.4947471256109335E-3</v>
      </c>
      <c r="S32" s="75">
        <f>P32*'Gás fiscal'!H29</f>
        <v>128.84923313347173</v>
      </c>
      <c r="T32" s="104">
        <f>Q32*'Volumes de água'!$C$31</f>
        <v>161.09777088069814</v>
      </c>
      <c r="U32" s="191"/>
      <c r="V32" s="192"/>
      <c r="W32" s="193"/>
    </row>
    <row r="33" spans="1:23" x14ac:dyDescent="0.25">
      <c r="A33" s="42">
        <v>28</v>
      </c>
      <c r="B33" s="16" t="s">
        <v>111</v>
      </c>
      <c r="C33" s="16">
        <v>24</v>
      </c>
      <c r="D33" s="148">
        <v>24</v>
      </c>
      <c r="E33" s="148">
        <v>24</v>
      </c>
      <c r="F33" s="43">
        <f t="shared" si="1"/>
        <v>24</v>
      </c>
      <c r="G33" s="43">
        <f t="shared" si="2"/>
        <v>24</v>
      </c>
      <c r="H33" s="43">
        <f t="shared" si="3"/>
        <v>24</v>
      </c>
      <c r="I33" s="168">
        <v>1.35</v>
      </c>
      <c r="J33" s="168">
        <v>134.51</v>
      </c>
      <c r="K33" s="168">
        <v>105.18</v>
      </c>
      <c r="L33" s="73">
        <f t="shared" si="4"/>
        <v>1.35</v>
      </c>
      <c r="M33" s="73">
        <f t="shared" si="5"/>
        <v>134.51</v>
      </c>
      <c r="N33" s="73">
        <f t="shared" si="6"/>
        <v>105.18</v>
      </c>
      <c r="O33" s="72">
        <f t="shared" si="7"/>
        <v>1.8499148125648041E-2</v>
      </c>
      <c r="P33" s="72">
        <f t="shared" si="8"/>
        <v>3.2699830338178623E-2</v>
      </c>
      <c r="Q33" s="72">
        <f t="shared" si="9"/>
        <v>6.2846167156085958E-2</v>
      </c>
      <c r="R33" s="75">
        <f>IFERROR(O33*'Fechamento fiscal'!AN33,"")</f>
        <v>3.0246776563281866E-3</v>
      </c>
      <c r="S33" s="75">
        <f>P33*'Gás fiscal'!H30</f>
        <v>137.66628572373202</v>
      </c>
      <c r="T33" s="104">
        <f>Q33*'Volumes de água'!$C$32</f>
        <v>169.11903581702731</v>
      </c>
      <c r="U33" s="191"/>
      <c r="V33" s="192"/>
      <c r="W33" s="193"/>
    </row>
    <row r="34" spans="1:23" x14ac:dyDescent="0.25">
      <c r="A34" s="42">
        <v>29</v>
      </c>
      <c r="B34" s="16" t="s">
        <v>111</v>
      </c>
      <c r="C34" s="16">
        <v>24</v>
      </c>
      <c r="D34" s="148">
        <v>24</v>
      </c>
      <c r="E34" s="148">
        <v>24</v>
      </c>
      <c r="F34" s="43">
        <f t="shared" si="1"/>
        <v>24</v>
      </c>
      <c r="G34" s="43">
        <f t="shared" si="2"/>
        <v>24</v>
      </c>
      <c r="H34" s="43">
        <f t="shared" si="3"/>
        <v>24</v>
      </c>
      <c r="I34" s="168">
        <v>1.35</v>
      </c>
      <c r="J34" s="168">
        <v>134.51</v>
      </c>
      <c r="K34" s="168">
        <v>105.18</v>
      </c>
      <c r="L34" s="73">
        <f t="shared" si="4"/>
        <v>1.35</v>
      </c>
      <c r="M34" s="73">
        <f t="shared" si="5"/>
        <v>134.51</v>
      </c>
      <c r="N34" s="73">
        <f t="shared" si="6"/>
        <v>105.18</v>
      </c>
      <c r="O34" s="72">
        <f t="shared" si="7"/>
        <v>1.90495004797652E-2</v>
      </c>
      <c r="P34" s="72">
        <f t="shared" si="8"/>
        <v>3.3083284111771867E-2</v>
      </c>
      <c r="Q34" s="72">
        <f t="shared" si="9"/>
        <v>6.6878616392191781E-2</v>
      </c>
      <c r="R34" s="75">
        <f>IFERROR(O34*'Fechamento fiscal'!AN34,"")</f>
        <v>1.1549367301389528</v>
      </c>
      <c r="S34" s="75">
        <f>P34*'Gás fiscal'!H31</f>
        <v>153.40718842628615</v>
      </c>
      <c r="T34" s="104">
        <f>Q34*'Volumes de água'!$C$33</f>
        <v>180.37162840974122</v>
      </c>
      <c r="U34" s="191"/>
      <c r="V34" s="192"/>
      <c r="W34" s="193"/>
    </row>
    <row r="35" spans="1:23" x14ac:dyDescent="0.25">
      <c r="A35" s="42">
        <v>30</v>
      </c>
      <c r="B35" s="16" t="s">
        <v>111</v>
      </c>
      <c r="C35" s="16">
        <v>24</v>
      </c>
      <c r="D35" s="148">
        <v>24</v>
      </c>
      <c r="E35" s="148">
        <v>24</v>
      </c>
      <c r="F35" s="43">
        <f t="shared" si="1"/>
        <v>24</v>
      </c>
      <c r="G35" s="43">
        <f t="shared" si="2"/>
        <v>24</v>
      </c>
      <c r="H35" s="43">
        <f t="shared" si="3"/>
        <v>24</v>
      </c>
      <c r="I35" s="168">
        <v>1.35</v>
      </c>
      <c r="J35" s="168">
        <v>134.51</v>
      </c>
      <c r="K35" s="168">
        <v>105.18</v>
      </c>
      <c r="L35" s="73">
        <f t="shared" si="4"/>
        <v>1.35</v>
      </c>
      <c r="M35" s="73">
        <f t="shared" si="5"/>
        <v>134.51</v>
      </c>
      <c r="N35" s="73">
        <f t="shared" si="6"/>
        <v>105.18</v>
      </c>
      <c r="O35" s="72">
        <f t="shared" si="7"/>
        <v>2.5957544993077987E-2</v>
      </c>
      <c r="P35" s="72">
        <f t="shared" si="8"/>
        <v>2.9403859751174401E-2</v>
      </c>
      <c r="Q35" s="72">
        <f t="shared" si="9"/>
        <v>7.677904672221797E-2</v>
      </c>
      <c r="R35" s="75">
        <f>IFERROR(O35*'Fechamento fiscal'!AN35,"")</f>
        <v>0.37778496914448106</v>
      </c>
      <c r="S35" s="75">
        <f>P35*'Gás fiscal'!H32</f>
        <v>133.99338888610174</v>
      </c>
      <c r="T35" s="104">
        <f>Q35*'Volumes de água'!$C$34</f>
        <v>210.14425087871058</v>
      </c>
      <c r="U35" s="191"/>
      <c r="V35" s="192"/>
      <c r="W35" s="193"/>
    </row>
    <row r="36" spans="1:23" x14ac:dyDescent="0.25">
      <c r="A36" s="42">
        <v>31</v>
      </c>
      <c r="B36" s="16" t="s">
        <v>111</v>
      </c>
      <c r="C36" s="16">
        <v>24</v>
      </c>
      <c r="D36" s="148"/>
      <c r="E36" s="148"/>
      <c r="F36" s="43">
        <f>IF(OR(C36="",E36=""),0,IF(E36&gt;C36,E36,E36/C36*24))</f>
        <v>0</v>
      </c>
      <c r="G36" s="43">
        <f>IF(OR(C36="",D36=""),0,IF(D36&gt;C36,D36,D36/C36*24))</f>
        <v>0</v>
      </c>
      <c r="H36" s="43">
        <f>IF(OR(C36="",D36=""),0,IF(D36&gt;C36,D36,D36/C36*24))</f>
        <v>0</v>
      </c>
      <c r="I36" s="168">
        <v>1.35</v>
      </c>
      <c r="J36" s="168">
        <v>134.51</v>
      </c>
      <c r="K36" s="168">
        <v>105.18</v>
      </c>
      <c r="L36" s="73">
        <f>I36*(G36/C36)</f>
        <v>0</v>
      </c>
      <c r="M36" s="73">
        <f>J36*(F36/C36)</f>
        <v>0</v>
      </c>
      <c r="N36" s="73">
        <f>K36*(H36/C36)</f>
        <v>0</v>
      </c>
      <c r="O36" s="72">
        <f t="shared" si="7"/>
        <v>0</v>
      </c>
      <c r="P36" s="72">
        <f t="shared" si="8"/>
        <v>0</v>
      </c>
      <c r="Q36" s="72">
        <f t="shared" si="9"/>
        <v>0</v>
      </c>
      <c r="R36" s="75" t="str">
        <f>IFERROR(O36*'Fechamento fiscal'!AN36,"")</f>
        <v/>
      </c>
      <c r="S36" s="75">
        <f>P36*'Gás fiscal'!H33</f>
        <v>0</v>
      </c>
      <c r="T36" s="104">
        <f>Q36*'Volumes de água'!$C$35</f>
        <v>0</v>
      </c>
      <c r="U36" s="191"/>
      <c r="V36" s="192"/>
      <c r="W36" s="193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112</v>
      </c>
      <c r="C38" s="16">
        <v>24</v>
      </c>
      <c r="D38" s="148">
        <v>0</v>
      </c>
      <c r="E38" s="148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68">
        <v>1.3180000000000001</v>
      </c>
      <c r="J38" s="168">
        <v>61.87</v>
      </c>
      <c r="K38" s="168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IF(D38&lt;&gt;0,L38/(L6+L38+L70+L102+L134+L166+L198+L230+L262+L294+L326+L358),0)</f>
        <v>0</v>
      </c>
      <c r="P38" s="72">
        <f>IF(E38&lt;&gt;0,M38/(M6+M38+M70+M102+M134+M166+M198+M230+M262+M294),0)</f>
        <v>0</v>
      </c>
      <c r="Q38" s="72">
        <f t="shared" ref="Q38" si="10">IF(F38&lt;&gt;0,N38/(N6+N38+N70+N102+N134+N166+N198+N230+N262+N294+N326+N358),0)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91"/>
      <c r="V38" s="192"/>
      <c r="W38" s="193"/>
    </row>
    <row r="39" spans="1:23" customFormat="1" x14ac:dyDescent="0.25">
      <c r="A39" s="42">
        <v>2</v>
      </c>
      <c r="B39" s="16" t="s">
        <v>112</v>
      </c>
      <c r="C39" s="16">
        <v>24</v>
      </c>
      <c r="D39" s="148">
        <v>0</v>
      </c>
      <c r="E39" s="148">
        <v>0</v>
      </c>
      <c r="F39" s="43">
        <f t="shared" ref="F39:F67" si="11">IF(OR(C39="",E39=""),0,IF(E39&gt;C39,E39,E39/C39*24))</f>
        <v>0</v>
      </c>
      <c r="G39" s="43">
        <f t="shared" ref="G39:G67" si="12">IF(OR(C39="",D39=""),0,IF(D39&gt;C39,D39,D39/C39*24))</f>
        <v>0</v>
      </c>
      <c r="H39" s="43">
        <f t="shared" ref="H39:H67" si="13">IF(OR(C39="",D39=""),0,IF(D39&gt;C39,D39,D39/C39*24))</f>
        <v>0</v>
      </c>
      <c r="I39" s="168">
        <v>1.3180000000000001</v>
      </c>
      <c r="J39" s="168">
        <v>61.87</v>
      </c>
      <c r="K39" s="168">
        <v>2.1999999999999999E-2</v>
      </c>
      <c r="L39" s="73">
        <f t="shared" ref="L39:L67" si="14">I39*(G39/C39)</f>
        <v>0</v>
      </c>
      <c r="M39" s="73">
        <f t="shared" ref="M39:M67" si="15">J39*(F39/C39)</f>
        <v>0</v>
      </c>
      <c r="N39" s="73">
        <f t="shared" ref="N39:N67" si="16">K39*(H39/C39)</f>
        <v>0</v>
      </c>
      <c r="O39" s="72">
        <f t="shared" ref="O39:O68" si="17">IF(D39&lt;&gt;0,L39/(L7+L39+L71+L103+L135+L167+L199+L231+L263+L295+L327+L359),0)</f>
        <v>0</v>
      </c>
      <c r="P39" s="72">
        <f t="shared" ref="P39:P68" si="18">IF(E39&lt;&gt;0,M39/(M7+M39+M71+M103+M135+M167+M199+M231+M263+M295),0)</f>
        <v>0</v>
      </c>
      <c r="Q39" s="72">
        <f t="shared" ref="Q39:Q68" si="19">IF(F39&lt;&gt;0,N39/(N7+N39+N71+N103+N135+N167+N199+N231+N263+N295+N327+N359),0)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91"/>
      <c r="V39" s="192"/>
      <c r="W39" s="193"/>
    </row>
    <row r="40" spans="1:23" customFormat="1" x14ac:dyDescent="0.25">
      <c r="A40" s="42">
        <v>3</v>
      </c>
      <c r="B40" s="16" t="s">
        <v>112</v>
      </c>
      <c r="C40" s="16">
        <v>24</v>
      </c>
      <c r="D40" s="148">
        <v>0</v>
      </c>
      <c r="E40" s="148">
        <v>0</v>
      </c>
      <c r="F40" s="43">
        <f t="shared" si="11"/>
        <v>0</v>
      </c>
      <c r="G40" s="43">
        <f t="shared" si="12"/>
        <v>0</v>
      </c>
      <c r="H40" s="43">
        <f t="shared" si="13"/>
        <v>0</v>
      </c>
      <c r="I40" s="168">
        <v>1.3180000000000001</v>
      </c>
      <c r="J40" s="168">
        <v>61.87</v>
      </c>
      <c r="K40" s="168">
        <v>2.1999999999999999E-2</v>
      </c>
      <c r="L40" s="73">
        <f t="shared" si="14"/>
        <v>0</v>
      </c>
      <c r="M40" s="73">
        <f t="shared" si="15"/>
        <v>0</v>
      </c>
      <c r="N40" s="73">
        <f t="shared" si="16"/>
        <v>0</v>
      </c>
      <c r="O40" s="72">
        <f t="shared" si="17"/>
        <v>0</v>
      </c>
      <c r="P40" s="72">
        <f t="shared" si="18"/>
        <v>0</v>
      </c>
      <c r="Q40" s="72">
        <f t="shared" si="19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91"/>
      <c r="V40" s="192"/>
      <c r="W40" s="193"/>
    </row>
    <row r="41" spans="1:23" x14ac:dyDescent="0.25">
      <c r="A41" s="42">
        <v>4</v>
      </c>
      <c r="B41" s="16" t="s">
        <v>112</v>
      </c>
      <c r="C41" s="16">
        <v>24</v>
      </c>
      <c r="D41" s="148">
        <v>0</v>
      </c>
      <c r="E41" s="148">
        <v>0</v>
      </c>
      <c r="F41" s="43">
        <f t="shared" si="11"/>
        <v>0</v>
      </c>
      <c r="G41" s="43">
        <f t="shared" si="12"/>
        <v>0</v>
      </c>
      <c r="H41" s="43">
        <f t="shared" si="13"/>
        <v>0</v>
      </c>
      <c r="I41" s="168">
        <v>1.3180000000000001</v>
      </c>
      <c r="J41" s="168">
        <v>61.87</v>
      </c>
      <c r="K41" s="168">
        <v>2.1999999999999999E-2</v>
      </c>
      <c r="L41" s="73">
        <f t="shared" si="14"/>
        <v>0</v>
      </c>
      <c r="M41" s="73">
        <f t="shared" si="15"/>
        <v>0</v>
      </c>
      <c r="N41" s="73">
        <f t="shared" si="16"/>
        <v>0</v>
      </c>
      <c r="O41" s="72">
        <f t="shared" si="17"/>
        <v>0</v>
      </c>
      <c r="P41" s="72">
        <f t="shared" si="18"/>
        <v>0</v>
      </c>
      <c r="Q41" s="72">
        <f t="shared" si="19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91"/>
      <c r="V41" s="192"/>
      <c r="W41" s="193"/>
    </row>
    <row r="42" spans="1:23" x14ac:dyDescent="0.25">
      <c r="A42" s="42">
        <v>5</v>
      </c>
      <c r="B42" s="16" t="s">
        <v>112</v>
      </c>
      <c r="C42" s="16">
        <v>24</v>
      </c>
      <c r="D42" s="148">
        <v>0</v>
      </c>
      <c r="E42" s="148">
        <v>0</v>
      </c>
      <c r="F42" s="43">
        <f t="shared" si="11"/>
        <v>0</v>
      </c>
      <c r="G42" s="43">
        <f t="shared" si="12"/>
        <v>0</v>
      </c>
      <c r="H42" s="43">
        <f t="shared" si="13"/>
        <v>0</v>
      </c>
      <c r="I42" s="168">
        <v>1.3180000000000001</v>
      </c>
      <c r="J42" s="168">
        <v>61.87</v>
      </c>
      <c r="K42" s="168">
        <v>2.1999999999999999E-2</v>
      </c>
      <c r="L42" s="73">
        <f t="shared" si="14"/>
        <v>0</v>
      </c>
      <c r="M42" s="73">
        <f t="shared" si="15"/>
        <v>0</v>
      </c>
      <c r="N42" s="73">
        <f t="shared" si="16"/>
        <v>0</v>
      </c>
      <c r="O42" s="72">
        <f t="shared" si="17"/>
        <v>0</v>
      </c>
      <c r="P42" s="72">
        <f t="shared" si="18"/>
        <v>0</v>
      </c>
      <c r="Q42" s="72">
        <f t="shared" si="19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91"/>
      <c r="V42" s="192"/>
      <c r="W42" s="193"/>
    </row>
    <row r="43" spans="1:23" x14ac:dyDescent="0.25">
      <c r="A43" s="42">
        <v>6</v>
      </c>
      <c r="B43" s="16" t="s">
        <v>112</v>
      </c>
      <c r="C43" s="16">
        <v>24</v>
      </c>
      <c r="D43" s="148">
        <v>0</v>
      </c>
      <c r="E43" s="148">
        <v>0</v>
      </c>
      <c r="F43" s="43">
        <f t="shared" si="11"/>
        <v>0</v>
      </c>
      <c r="G43" s="43">
        <f t="shared" si="12"/>
        <v>0</v>
      </c>
      <c r="H43" s="43">
        <f t="shared" si="13"/>
        <v>0</v>
      </c>
      <c r="I43" s="168">
        <v>1.3180000000000001</v>
      </c>
      <c r="J43" s="168">
        <v>61.87</v>
      </c>
      <c r="K43" s="168">
        <v>2.1999999999999999E-2</v>
      </c>
      <c r="L43" s="73">
        <f t="shared" si="14"/>
        <v>0</v>
      </c>
      <c r="M43" s="73">
        <f t="shared" si="15"/>
        <v>0</v>
      </c>
      <c r="N43" s="73">
        <f t="shared" si="16"/>
        <v>0</v>
      </c>
      <c r="O43" s="72">
        <f t="shared" si="17"/>
        <v>0</v>
      </c>
      <c r="P43" s="72">
        <f t="shared" si="18"/>
        <v>0</v>
      </c>
      <c r="Q43" s="72">
        <f t="shared" si="19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91"/>
      <c r="V43" s="192"/>
      <c r="W43" s="193"/>
    </row>
    <row r="44" spans="1:23" x14ac:dyDescent="0.25">
      <c r="A44" s="42">
        <v>7</v>
      </c>
      <c r="B44" s="16" t="s">
        <v>112</v>
      </c>
      <c r="C44" s="16">
        <v>24</v>
      </c>
      <c r="D44" s="148">
        <v>0</v>
      </c>
      <c r="E44" s="148">
        <v>0</v>
      </c>
      <c r="F44" s="43">
        <f t="shared" si="11"/>
        <v>0</v>
      </c>
      <c r="G44" s="43">
        <f t="shared" si="12"/>
        <v>0</v>
      </c>
      <c r="H44" s="43">
        <f t="shared" si="13"/>
        <v>0</v>
      </c>
      <c r="I44" s="168">
        <v>1.3180000000000001</v>
      </c>
      <c r="J44" s="168">
        <v>61.87</v>
      </c>
      <c r="K44" s="168">
        <v>2.1999999999999999E-2</v>
      </c>
      <c r="L44" s="73">
        <f t="shared" si="14"/>
        <v>0</v>
      </c>
      <c r="M44" s="73">
        <f t="shared" si="15"/>
        <v>0</v>
      </c>
      <c r="N44" s="73">
        <f t="shared" si="16"/>
        <v>0</v>
      </c>
      <c r="O44" s="72">
        <f t="shared" si="17"/>
        <v>0</v>
      </c>
      <c r="P44" s="72">
        <f t="shared" si="18"/>
        <v>0</v>
      </c>
      <c r="Q44" s="72">
        <f t="shared" si="19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91"/>
      <c r="V44" s="192"/>
      <c r="W44" s="193"/>
    </row>
    <row r="45" spans="1:23" x14ac:dyDescent="0.25">
      <c r="A45" s="42">
        <v>8</v>
      </c>
      <c r="B45" s="16" t="s">
        <v>112</v>
      </c>
      <c r="C45" s="16">
        <v>24</v>
      </c>
      <c r="D45" s="148">
        <v>0</v>
      </c>
      <c r="E45" s="148">
        <v>0</v>
      </c>
      <c r="F45" s="43">
        <f t="shared" si="11"/>
        <v>0</v>
      </c>
      <c r="G45" s="43">
        <f t="shared" si="12"/>
        <v>0</v>
      </c>
      <c r="H45" s="43">
        <f t="shared" si="13"/>
        <v>0</v>
      </c>
      <c r="I45" s="168">
        <v>1.3180000000000001</v>
      </c>
      <c r="J45" s="168">
        <v>61.87</v>
      </c>
      <c r="K45" s="168">
        <v>2.1999999999999999E-2</v>
      </c>
      <c r="L45" s="73">
        <f t="shared" si="14"/>
        <v>0</v>
      </c>
      <c r="M45" s="73">
        <f t="shared" si="15"/>
        <v>0</v>
      </c>
      <c r="N45" s="73">
        <f t="shared" si="16"/>
        <v>0</v>
      </c>
      <c r="O45" s="72">
        <f t="shared" si="17"/>
        <v>0</v>
      </c>
      <c r="P45" s="72">
        <f t="shared" si="18"/>
        <v>0</v>
      </c>
      <c r="Q45" s="72">
        <f t="shared" si="19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91"/>
      <c r="V45" s="192"/>
      <c r="W45" s="193"/>
    </row>
    <row r="46" spans="1:23" x14ac:dyDescent="0.25">
      <c r="A46" s="42">
        <v>9</v>
      </c>
      <c r="B46" s="16" t="s">
        <v>112</v>
      </c>
      <c r="C46" s="16">
        <v>24</v>
      </c>
      <c r="D46" s="148">
        <v>0</v>
      </c>
      <c r="E46" s="148">
        <v>0</v>
      </c>
      <c r="F46" s="43">
        <f t="shared" si="11"/>
        <v>0</v>
      </c>
      <c r="G46" s="43">
        <f t="shared" si="12"/>
        <v>0</v>
      </c>
      <c r="H46" s="43">
        <f t="shared" si="13"/>
        <v>0</v>
      </c>
      <c r="I46" s="168">
        <v>1.3180000000000001</v>
      </c>
      <c r="J46" s="168">
        <v>61.87</v>
      </c>
      <c r="K46" s="168">
        <v>2.1999999999999999E-2</v>
      </c>
      <c r="L46" s="73">
        <f t="shared" si="14"/>
        <v>0</v>
      </c>
      <c r="M46" s="73">
        <f t="shared" si="15"/>
        <v>0</v>
      </c>
      <c r="N46" s="73">
        <f t="shared" si="16"/>
        <v>0</v>
      </c>
      <c r="O46" s="72">
        <f t="shared" si="17"/>
        <v>0</v>
      </c>
      <c r="P46" s="72">
        <f t="shared" si="18"/>
        <v>0</v>
      </c>
      <c r="Q46" s="72">
        <f t="shared" si="19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91"/>
      <c r="V46" s="192"/>
      <c r="W46" s="193"/>
    </row>
    <row r="47" spans="1:23" x14ac:dyDescent="0.25">
      <c r="A47" s="42">
        <v>10</v>
      </c>
      <c r="B47" s="16" t="s">
        <v>112</v>
      </c>
      <c r="C47" s="16">
        <v>24</v>
      </c>
      <c r="D47" s="148">
        <v>0</v>
      </c>
      <c r="E47" s="148">
        <v>0</v>
      </c>
      <c r="F47" s="43">
        <f t="shared" si="11"/>
        <v>0</v>
      </c>
      <c r="G47" s="43">
        <f t="shared" si="12"/>
        <v>0</v>
      </c>
      <c r="H47" s="43">
        <f t="shared" si="13"/>
        <v>0</v>
      </c>
      <c r="I47" s="168">
        <v>1.3180000000000001</v>
      </c>
      <c r="J47" s="168">
        <v>61.87</v>
      </c>
      <c r="K47" s="168">
        <v>2.1999999999999999E-2</v>
      </c>
      <c r="L47" s="73">
        <f t="shared" si="14"/>
        <v>0</v>
      </c>
      <c r="M47" s="73">
        <f t="shared" si="15"/>
        <v>0</v>
      </c>
      <c r="N47" s="73">
        <f t="shared" si="16"/>
        <v>0</v>
      </c>
      <c r="O47" s="72">
        <f t="shared" si="17"/>
        <v>0</v>
      </c>
      <c r="P47" s="72">
        <f t="shared" si="18"/>
        <v>0</v>
      </c>
      <c r="Q47" s="72">
        <f t="shared" si="19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91"/>
      <c r="V47" s="192"/>
      <c r="W47" s="193"/>
    </row>
    <row r="48" spans="1:23" x14ac:dyDescent="0.25">
      <c r="A48" s="42">
        <v>11</v>
      </c>
      <c r="B48" s="16" t="s">
        <v>112</v>
      </c>
      <c r="C48" s="16">
        <v>24</v>
      </c>
      <c r="D48" s="148">
        <v>0</v>
      </c>
      <c r="E48" s="148">
        <v>0</v>
      </c>
      <c r="F48" s="43">
        <f t="shared" si="11"/>
        <v>0</v>
      </c>
      <c r="G48" s="43">
        <f t="shared" si="12"/>
        <v>0</v>
      </c>
      <c r="H48" s="43">
        <f t="shared" si="13"/>
        <v>0</v>
      </c>
      <c r="I48" s="168">
        <v>1.3180000000000001</v>
      </c>
      <c r="J48" s="168">
        <v>61.87</v>
      </c>
      <c r="K48" s="168">
        <v>2.1999999999999999E-2</v>
      </c>
      <c r="L48" s="73">
        <f t="shared" si="14"/>
        <v>0</v>
      </c>
      <c r="M48" s="73">
        <f t="shared" si="15"/>
        <v>0</v>
      </c>
      <c r="N48" s="73">
        <f t="shared" si="16"/>
        <v>0</v>
      </c>
      <c r="O48" s="72">
        <f t="shared" si="17"/>
        <v>0</v>
      </c>
      <c r="P48" s="72">
        <f t="shared" si="18"/>
        <v>0</v>
      </c>
      <c r="Q48" s="72">
        <f t="shared" si="19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91"/>
      <c r="V48" s="192"/>
      <c r="W48" s="193"/>
    </row>
    <row r="49" spans="1:23" x14ac:dyDescent="0.25">
      <c r="A49" s="42">
        <v>12</v>
      </c>
      <c r="B49" s="16" t="s">
        <v>112</v>
      </c>
      <c r="C49" s="16">
        <v>24</v>
      </c>
      <c r="D49" s="148">
        <v>0</v>
      </c>
      <c r="E49" s="148">
        <v>0</v>
      </c>
      <c r="F49" s="43">
        <f t="shared" si="11"/>
        <v>0</v>
      </c>
      <c r="G49" s="43">
        <f t="shared" si="12"/>
        <v>0</v>
      </c>
      <c r="H49" s="43">
        <f t="shared" si="13"/>
        <v>0</v>
      </c>
      <c r="I49" s="168">
        <v>1.3180000000000001</v>
      </c>
      <c r="J49" s="168">
        <v>61.87</v>
      </c>
      <c r="K49" s="168">
        <v>2.1999999999999999E-2</v>
      </c>
      <c r="L49" s="73">
        <f t="shared" si="14"/>
        <v>0</v>
      </c>
      <c r="M49" s="73">
        <f t="shared" si="15"/>
        <v>0</v>
      </c>
      <c r="N49" s="73">
        <f t="shared" si="16"/>
        <v>0</v>
      </c>
      <c r="O49" s="72">
        <f t="shared" si="17"/>
        <v>0</v>
      </c>
      <c r="P49" s="72">
        <f t="shared" si="18"/>
        <v>0</v>
      </c>
      <c r="Q49" s="72">
        <f t="shared" si="19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91"/>
      <c r="V49" s="192"/>
      <c r="W49" s="193"/>
    </row>
    <row r="50" spans="1:23" x14ac:dyDescent="0.25">
      <c r="A50" s="42">
        <v>13</v>
      </c>
      <c r="B50" s="16" t="s">
        <v>112</v>
      </c>
      <c r="C50" s="16">
        <v>24</v>
      </c>
      <c r="D50" s="148">
        <v>0</v>
      </c>
      <c r="E50" s="148">
        <v>0</v>
      </c>
      <c r="F50" s="43">
        <f t="shared" si="11"/>
        <v>0</v>
      </c>
      <c r="G50" s="43">
        <f t="shared" si="12"/>
        <v>0</v>
      </c>
      <c r="H50" s="43">
        <f t="shared" si="13"/>
        <v>0</v>
      </c>
      <c r="I50" s="168">
        <v>1.3180000000000001</v>
      </c>
      <c r="J50" s="168">
        <v>61.87</v>
      </c>
      <c r="K50" s="168">
        <v>2.1999999999999999E-2</v>
      </c>
      <c r="L50" s="73">
        <f t="shared" si="14"/>
        <v>0</v>
      </c>
      <c r="M50" s="73">
        <f t="shared" si="15"/>
        <v>0</v>
      </c>
      <c r="N50" s="73">
        <f t="shared" si="16"/>
        <v>0</v>
      </c>
      <c r="O50" s="72">
        <f t="shared" si="17"/>
        <v>0</v>
      </c>
      <c r="P50" s="72">
        <f t="shared" si="18"/>
        <v>0</v>
      </c>
      <c r="Q50" s="72">
        <f t="shared" si="19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91"/>
      <c r="V50" s="192"/>
      <c r="W50" s="193"/>
    </row>
    <row r="51" spans="1:23" x14ac:dyDescent="0.25">
      <c r="A51" s="42">
        <v>14</v>
      </c>
      <c r="B51" s="16" t="s">
        <v>112</v>
      </c>
      <c r="C51" s="16">
        <v>24</v>
      </c>
      <c r="D51" s="148">
        <v>0</v>
      </c>
      <c r="E51" s="148">
        <v>0</v>
      </c>
      <c r="F51" s="43">
        <f t="shared" si="11"/>
        <v>0</v>
      </c>
      <c r="G51" s="43">
        <f t="shared" si="12"/>
        <v>0</v>
      </c>
      <c r="H51" s="43">
        <f t="shared" si="13"/>
        <v>0</v>
      </c>
      <c r="I51" s="168">
        <v>1.3180000000000001</v>
      </c>
      <c r="J51" s="168">
        <v>61.87</v>
      </c>
      <c r="K51" s="168">
        <v>2.1999999999999999E-2</v>
      </c>
      <c r="L51" s="73">
        <f t="shared" si="14"/>
        <v>0</v>
      </c>
      <c r="M51" s="73">
        <f t="shared" si="15"/>
        <v>0</v>
      </c>
      <c r="N51" s="73">
        <f t="shared" si="16"/>
        <v>0</v>
      </c>
      <c r="O51" s="72">
        <f t="shared" si="17"/>
        <v>0</v>
      </c>
      <c r="P51" s="72">
        <f t="shared" si="18"/>
        <v>0</v>
      </c>
      <c r="Q51" s="72">
        <f t="shared" si="19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91"/>
      <c r="V51" s="192"/>
      <c r="W51" s="193"/>
    </row>
    <row r="52" spans="1:23" x14ac:dyDescent="0.25">
      <c r="A52" s="42">
        <v>15</v>
      </c>
      <c r="B52" s="16" t="s">
        <v>112</v>
      </c>
      <c r="C52" s="16">
        <v>24</v>
      </c>
      <c r="D52" s="148">
        <v>0</v>
      </c>
      <c r="E52" s="148">
        <v>0</v>
      </c>
      <c r="F52" s="43">
        <f t="shared" si="11"/>
        <v>0</v>
      </c>
      <c r="G52" s="43">
        <f t="shared" si="12"/>
        <v>0</v>
      </c>
      <c r="H52" s="43">
        <f t="shared" si="13"/>
        <v>0</v>
      </c>
      <c r="I52" s="168">
        <v>1.3180000000000001</v>
      </c>
      <c r="J52" s="168">
        <v>61.87</v>
      </c>
      <c r="K52" s="168">
        <v>2.1999999999999999E-2</v>
      </c>
      <c r="L52" s="73">
        <f t="shared" si="14"/>
        <v>0</v>
      </c>
      <c r="M52" s="73">
        <f t="shared" si="15"/>
        <v>0</v>
      </c>
      <c r="N52" s="73">
        <f t="shared" si="16"/>
        <v>0</v>
      </c>
      <c r="O52" s="72">
        <f t="shared" si="17"/>
        <v>0</v>
      </c>
      <c r="P52" s="72">
        <f t="shared" si="18"/>
        <v>0</v>
      </c>
      <c r="Q52" s="72">
        <f t="shared" si="19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91"/>
      <c r="V52" s="192"/>
      <c r="W52" s="193"/>
    </row>
    <row r="53" spans="1:23" x14ac:dyDescent="0.25">
      <c r="A53" s="42">
        <v>16</v>
      </c>
      <c r="B53" s="16" t="s">
        <v>112</v>
      </c>
      <c r="C53" s="16">
        <v>24</v>
      </c>
      <c r="D53" s="148">
        <v>0</v>
      </c>
      <c r="E53" s="148">
        <v>0</v>
      </c>
      <c r="F53" s="43">
        <f t="shared" si="11"/>
        <v>0</v>
      </c>
      <c r="G53" s="43">
        <f t="shared" si="12"/>
        <v>0</v>
      </c>
      <c r="H53" s="43">
        <f t="shared" si="13"/>
        <v>0</v>
      </c>
      <c r="I53" s="168">
        <v>1.3180000000000001</v>
      </c>
      <c r="J53" s="168">
        <v>61.87</v>
      </c>
      <c r="K53" s="168">
        <v>2.1999999999999999E-2</v>
      </c>
      <c r="L53" s="73">
        <f t="shared" si="14"/>
        <v>0</v>
      </c>
      <c r="M53" s="73">
        <f t="shared" si="15"/>
        <v>0</v>
      </c>
      <c r="N53" s="73">
        <f t="shared" si="16"/>
        <v>0</v>
      </c>
      <c r="O53" s="72">
        <f t="shared" si="17"/>
        <v>0</v>
      </c>
      <c r="P53" s="72">
        <f t="shared" si="18"/>
        <v>0</v>
      </c>
      <c r="Q53" s="72">
        <f t="shared" si="19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91"/>
      <c r="V53" s="192"/>
      <c r="W53" s="193"/>
    </row>
    <row r="54" spans="1:23" x14ac:dyDescent="0.25">
      <c r="A54" s="42">
        <v>17</v>
      </c>
      <c r="B54" s="16" t="s">
        <v>112</v>
      </c>
      <c r="C54" s="16">
        <v>24</v>
      </c>
      <c r="D54" s="148">
        <v>0</v>
      </c>
      <c r="E54" s="148">
        <v>0</v>
      </c>
      <c r="F54" s="43">
        <f t="shared" si="11"/>
        <v>0</v>
      </c>
      <c r="G54" s="43">
        <f t="shared" si="12"/>
        <v>0</v>
      </c>
      <c r="H54" s="43">
        <f t="shared" si="13"/>
        <v>0</v>
      </c>
      <c r="I54" s="168">
        <v>1.3180000000000001</v>
      </c>
      <c r="J54" s="168">
        <v>61.87</v>
      </c>
      <c r="K54" s="168">
        <v>2.1999999999999999E-2</v>
      </c>
      <c r="L54" s="73">
        <f t="shared" si="14"/>
        <v>0</v>
      </c>
      <c r="M54" s="73">
        <f t="shared" si="15"/>
        <v>0</v>
      </c>
      <c r="N54" s="73">
        <f t="shared" si="16"/>
        <v>0</v>
      </c>
      <c r="O54" s="72">
        <f t="shared" si="17"/>
        <v>0</v>
      </c>
      <c r="P54" s="72">
        <f t="shared" si="18"/>
        <v>0</v>
      </c>
      <c r="Q54" s="72">
        <f t="shared" si="19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91"/>
      <c r="V54" s="192"/>
      <c r="W54" s="193"/>
    </row>
    <row r="55" spans="1:23" x14ac:dyDescent="0.25">
      <c r="A55" s="42">
        <v>18</v>
      </c>
      <c r="B55" s="16" t="s">
        <v>112</v>
      </c>
      <c r="C55" s="16">
        <v>24</v>
      </c>
      <c r="D55" s="148">
        <v>0</v>
      </c>
      <c r="E55" s="148">
        <v>0</v>
      </c>
      <c r="F55" s="43">
        <f t="shared" si="11"/>
        <v>0</v>
      </c>
      <c r="G55" s="43">
        <f t="shared" si="12"/>
        <v>0</v>
      </c>
      <c r="H55" s="43">
        <f t="shared" si="13"/>
        <v>0</v>
      </c>
      <c r="I55" s="168">
        <v>1.3180000000000001</v>
      </c>
      <c r="J55" s="168">
        <v>61.87</v>
      </c>
      <c r="K55" s="168">
        <v>2.1999999999999999E-2</v>
      </c>
      <c r="L55" s="73">
        <f t="shared" si="14"/>
        <v>0</v>
      </c>
      <c r="M55" s="73">
        <f t="shared" si="15"/>
        <v>0</v>
      </c>
      <c r="N55" s="73">
        <f t="shared" si="16"/>
        <v>0</v>
      </c>
      <c r="O55" s="72">
        <f t="shared" si="17"/>
        <v>0</v>
      </c>
      <c r="P55" s="72">
        <f t="shared" si="18"/>
        <v>0</v>
      </c>
      <c r="Q55" s="72">
        <f t="shared" si="19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91"/>
      <c r="V55" s="192"/>
      <c r="W55" s="193"/>
    </row>
    <row r="56" spans="1:23" x14ac:dyDescent="0.25">
      <c r="A56" s="42">
        <v>19</v>
      </c>
      <c r="B56" s="16" t="s">
        <v>112</v>
      </c>
      <c r="C56" s="16">
        <v>24</v>
      </c>
      <c r="D56" s="148">
        <v>0</v>
      </c>
      <c r="E56" s="148">
        <v>0</v>
      </c>
      <c r="F56" s="43">
        <f t="shared" si="11"/>
        <v>0</v>
      </c>
      <c r="G56" s="43">
        <f t="shared" si="12"/>
        <v>0</v>
      </c>
      <c r="H56" s="43">
        <f t="shared" si="13"/>
        <v>0</v>
      </c>
      <c r="I56" s="168">
        <v>1.3180000000000001</v>
      </c>
      <c r="J56" s="168">
        <v>61.87</v>
      </c>
      <c r="K56" s="168">
        <v>2.1999999999999999E-2</v>
      </c>
      <c r="L56" s="73">
        <f t="shared" si="14"/>
        <v>0</v>
      </c>
      <c r="M56" s="73">
        <f t="shared" si="15"/>
        <v>0</v>
      </c>
      <c r="N56" s="73">
        <f t="shared" si="16"/>
        <v>0</v>
      </c>
      <c r="O56" s="72">
        <f t="shared" si="17"/>
        <v>0</v>
      </c>
      <c r="P56" s="72">
        <f t="shared" si="18"/>
        <v>0</v>
      </c>
      <c r="Q56" s="72">
        <f t="shared" si="19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91"/>
      <c r="V56" s="192"/>
      <c r="W56" s="193"/>
    </row>
    <row r="57" spans="1:23" x14ac:dyDescent="0.25">
      <c r="A57" s="42">
        <v>20</v>
      </c>
      <c r="B57" s="16" t="s">
        <v>112</v>
      </c>
      <c r="C57" s="16">
        <v>24</v>
      </c>
      <c r="D57" s="148">
        <v>0</v>
      </c>
      <c r="E57" s="148">
        <v>0</v>
      </c>
      <c r="F57" s="43">
        <f t="shared" si="11"/>
        <v>0</v>
      </c>
      <c r="G57" s="43">
        <f t="shared" si="12"/>
        <v>0</v>
      </c>
      <c r="H57" s="43">
        <f t="shared" si="13"/>
        <v>0</v>
      </c>
      <c r="I57" s="168">
        <v>1.3180000000000001</v>
      </c>
      <c r="J57" s="168">
        <v>61.87</v>
      </c>
      <c r="K57" s="168">
        <v>2.1999999999999999E-2</v>
      </c>
      <c r="L57" s="73">
        <f t="shared" si="14"/>
        <v>0</v>
      </c>
      <c r="M57" s="73">
        <f t="shared" si="15"/>
        <v>0</v>
      </c>
      <c r="N57" s="73">
        <f t="shared" si="16"/>
        <v>0</v>
      </c>
      <c r="O57" s="72">
        <f t="shared" si="17"/>
        <v>0</v>
      </c>
      <c r="P57" s="72">
        <f t="shared" si="18"/>
        <v>0</v>
      </c>
      <c r="Q57" s="72">
        <f t="shared" si="19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91"/>
      <c r="V57" s="192"/>
      <c r="W57" s="193"/>
    </row>
    <row r="58" spans="1:23" x14ac:dyDescent="0.25">
      <c r="A58" s="42">
        <v>21</v>
      </c>
      <c r="B58" s="16" t="s">
        <v>112</v>
      </c>
      <c r="C58" s="16">
        <v>24</v>
      </c>
      <c r="D58" s="148">
        <v>0</v>
      </c>
      <c r="E58" s="148">
        <v>0</v>
      </c>
      <c r="F58" s="43">
        <f t="shared" si="11"/>
        <v>0</v>
      </c>
      <c r="G58" s="43">
        <f t="shared" si="12"/>
        <v>0</v>
      </c>
      <c r="H58" s="43">
        <f t="shared" si="13"/>
        <v>0</v>
      </c>
      <c r="I58" s="168">
        <v>1.3180000000000001</v>
      </c>
      <c r="J58" s="168">
        <v>61.87</v>
      </c>
      <c r="K58" s="168">
        <v>2.1999999999999999E-2</v>
      </c>
      <c r="L58" s="73">
        <f t="shared" si="14"/>
        <v>0</v>
      </c>
      <c r="M58" s="73">
        <f t="shared" si="15"/>
        <v>0</v>
      </c>
      <c r="N58" s="73">
        <f t="shared" si="16"/>
        <v>0</v>
      </c>
      <c r="O58" s="72">
        <f t="shared" si="17"/>
        <v>0</v>
      </c>
      <c r="P58" s="72">
        <f t="shared" si="18"/>
        <v>0</v>
      </c>
      <c r="Q58" s="72">
        <f t="shared" si="19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91"/>
      <c r="V58" s="192"/>
      <c r="W58" s="193"/>
    </row>
    <row r="59" spans="1:23" x14ac:dyDescent="0.25">
      <c r="A59" s="42">
        <v>22</v>
      </c>
      <c r="B59" s="16" t="s">
        <v>112</v>
      </c>
      <c r="C59" s="16">
        <v>24</v>
      </c>
      <c r="D59" s="148">
        <v>0</v>
      </c>
      <c r="E59" s="148">
        <v>0</v>
      </c>
      <c r="F59" s="43">
        <f t="shared" si="11"/>
        <v>0</v>
      </c>
      <c r="G59" s="43">
        <f t="shared" si="12"/>
        <v>0</v>
      </c>
      <c r="H59" s="43">
        <f t="shared" si="13"/>
        <v>0</v>
      </c>
      <c r="I59" s="168">
        <v>1.3180000000000001</v>
      </c>
      <c r="J59" s="168">
        <v>61.87</v>
      </c>
      <c r="K59" s="168">
        <v>2.1999999999999999E-2</v>
      </c>
      <c r="L59" s="73">
        <f t="shared" si="14"/>
        <v>0</v>
      </c>
      <c r="M59" s="73">
        <f t="shared" si="15"/>
        <v>0</v>
      </c>
      <c r="N59" s="73">
        <f t="shared" si="16"/>
        <v>0</v>
      </c>
      <c r="O59" s="72">
        <f t="shared" si="17"/>
        <v>0</v>
      </c>
      <c r="P59" s="72">
        <f t="shared" si="18"/>
        <v>0</v>
      </c>
      <c r="Q59" s="72">
        <f t="shared" si="19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91"/>
      <c r="V59" s="192"/>
      <c r="W59" s="193"/>
    </row>
    <row r="60" spans="1:23" x14ac:dyDescent="0.25">
      <c r="A60" s="42">
        <v>23</v>
      </c>
      <c r="B60" s="16" t="s">
        <v>112</v>
      </c>
      <c r="C60" s="16">
        <v>24</v>
      </c>
      <c r="D60" s="148">
        <v>0</v>
      </c>
      <c r="E60" s="148">
        <v>0</v>
      </c>
      <c r="F60" s="43">
        <f t="shared" si="11"/>
        <v>0</v>
      </c>
      <c r="G60" s="43">
        <f t="shared" si="12"/>
        <v>0</v>
      </c>
      <c r="H60" s="43">
        <f t="shared" si="13"/>
        <v>0</v>
      </c>
      <c r="I60" s="168">
        <v>1.3180000000000001</v>
      </c>
      <c r="J60" s="168">
        <v>61.87</v>
      </c>
      <c r="K60" s="168">
        <v>2.1999999999999999E-2</v>
      </c>
      <c r="L60" s="73">
        <f t="shared" si="14"/>
        <v>0</v>
      </c>
      <c r="M60" s="73">
        <f t="shared" si="15"/>
        <v>0</v>
      </c>
      <c r="N60" s="73">
        <f t="shared" si="16"/>
        <v>0</v>
      </c>
      <c r="O60" s="72">
        <f t="shared" si="17"/>
        <v>0</v>
      </c>
      <c r="P60" s="72">
        <f t="shared" si="18"/>
        <v>0</v>
      </c>
      <c r="Q60" s="72">
        <f t="shared" si="19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91"/>
      <c r="V60" s="192"/>
      <c r="W60" s="193"/>
    </row>
    <row r="61" spans="1:23" x14ac:dyDescent="0.25">
      <c r="A61" s="42">
        <v>24</v>
      </c>
      <c r="B61" s="16" t="s">
        <v>112</v>
      </c>
      <c r="C61" s="16">
        <v>24</v>
      </c>
      <c r="D61" s="148">
        <v>0</v>
      </c>
      <c r="E61" s="148">
        <v>0</v>
      </c>
      <c r="F61" s="43">
        <f t="shared" si="11"/>
        <v>0</v>
      </c>
      <c r="G61" s="43">
        <f t="shared" si="12"/>
        <v>0</v>
      </c>
      <c r="H61" s="43">
        <f t="shared" si="13"/>
        <v>0</v>
      </c>
      <c r="I61" s="168">
        <v>1.3180000000000001</v>
      </c>
      <c r="J61" s="168">
        <v>61.87</v>
      </c>
      <c r="K61" s="168">
        <v>2.1999999999999999E-2</v>
      </c>
      <c r="L61" s="73">
        <f t="shared" si="14"/>
        <v>0</v>
      </c>
      <c r="M61" s="73">
        <f t="shared" si="15"/>
        <v>0</v>
      </c>
      <c r="N61" s="73">
        <f t="shared" si="16"/>
        <v>0</v>
      </c>
      <c r="O61" s="72">
        <f t="shared" si="17"/>
        <v>0</v>
      </c>
      <c r="P61" s="72">
        <f t="shared" si="18"/>
        <v>0</v>
      </c>
      <c r="Q61" s="72">
        <f t="shared" si="19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91"/>
      <c r="V61" s="192"/>
      <c r="W61" s="193"/>
    </row>
    <row r="62" spans="1:23" x14ac:dyDescent="0.25">
      <c r="A62" s="42">
        <v>25</v>
      </c>
      <c r="B62" s="16" t="s">
        <v>112</v>
      </c>
      <c r="C62" s="16">
        <v>24</v>
      </c>
      <c r="D62" s="148">
        <v>0</v>
      </c>
      <c r="E62" s="148">
        <v>0</v>
      </c>
      <c r="F62" s="43">
        <f t="shared" si="11"/>
        <v>0</v>
      </c>
      <c r="G62" s="43">
        <f t="shared" si="12"/>
        <v>0</v>
      </c>
      <c r="H62" s="43">
        <f t="shared" si="13"/>
        <v>0</v>
      </c>
      <c r="I62" s="168">
        <v>1.3180000000000001</v>
      </c>
      <c r="J62" s="168">
        <v>61.87</v>
      </c>
      <c r="K62" s="168">
        <v>2.1999999999999999E-2</v>
      </c>
      <c r="L62" s="73">
        <f t="shared" si="14"/>
        <v>0</v>
      </c>
      <c r="M62" s="73">
        <f t="shared" si="15"/>
        <v>0</v>
      </c>
      <c r="N62" s="73">
        <f t="shared" si="16"/>
        <v>0</v>
      </c>
      <c r="O62" s="72">
        <f t="shared" si="17"/>
        <v>0</v>
      </c>
      <c r="P62" s="72">
        <f t="shared" si="18"/>
        <v>0</v>
      </c>
      <c r="Q62" s="72">
        <f t="shared" si="19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91"/>
      <c r="V62" s="192"/>
      <c r="W62" s="193"/>
    </row>
    <row r="63" spans="1:23" x14ac:dyDescent="0.25">
      <c r="A63" s="42">
        <v>26</v>
      </c>
      <c r="B63" s="16" t="s">
        <v>112</v>
      </c>
      <c r="C63" s="16">
        <v>24</v>
      </c>
      <c r="D63" s="148">
        <v>0</v>
      </c>
      <c r="E63" s="148">
        <v>0</v>
      </c>
      <c r="F63" s="43">
        <f t="shared" si="11"/>
        <v>0</v>
      </c>
      <c r="G63" s="43">
        <f t="shared" si="12"/>
        <v>0</v>
      </c>
      <c r="H63" s="43">
        <f t="shared" si="13"/>
        <v>0</v>
      </c>
      <c r="I63" s="168">
        <v>1.3180000000000001</v>
      </c>
      <c r="J63" s="168">
        <v>61.87</v>
      </c>
      <c r="K63" s="168">
        <v>2.1999999999999999E-2</v>
      </c>
      <c r="L63" s="73">
        <f t="shared" si="14"/>
        <v>0</v>
      </c>
      <c r="M63" s="73">
        <f t="shared" si="15"/>
        <v>0</v>
      </c>
      <c r="N63" s="73">
        <f t="shared" si="16"/>
        <v>0</v>
      </c>
      <c r="O63" s="72">
        <f t="shared" si="17"/>
        <v>0</v>
      </c>
      <c r="P63" s="72">
        <f t="shared" si="18"/>
        <v>0</v>
      </c>
      <c r="Q63" s="72">
        <f t="shared" si="19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91"/>
      <c r="V63" s="192"/>
      <c r="W63" s="193"/>
    </row>
    <row r="64" spans="1:23" x14ac:dyDescent="0.25">
      <c r="A64" s="42">
        <v>27</v>
      </c>
      <c r="B64" s="16" t="s">
        <v>112</v>
      </c>
      <c r="C64" s="16">
        <v>24</v>
      </c>
      <c r="D64" s="148">
        <v>0</v>
      </c>
      <c r="E64" s="148">
        <v>0</v>
      </c>
      <c r="F64" s="43">
        <f t="shared" si="11"/>
        <v>0</v>
      </c>
      <c r="G64" s="43">
        <f t="shared" si="12"/>
        <v>0</v>
      </c>
      <c r="H64" s="43">
        <f t="shared" si="13"/>
        <v>0</v>
      </c>
      <c r="I64" s="168">
        <v>1.3180000000000001</v>
      </c>
      <c r="J64" s="168">
        <v>61.87</v>
      </c>
      <c r="K64" s="168">
        <v>2.1999999999999999E-2</v>
      </c>
      <c r="L64" s="73">
        <f t="shared" si="14"/>
        <v>0</v>
      </c>
      <c r="M64" s="73">
        <f t="shared" si="15"/>
        <v>0</v>
      </c>
      <c r="N64" s="73">
        <f t="shared" si="16"/>
        <v>0</v>
      </c>
      <c r="O64" s="72">
        <f t="shared" si="17"/>
        <v>0</v>
      </c>
      <c r="P64" s="72">
        <f t="shared" si="18"/>
        <v>0</v>
      </c>
      <c r="Q64" s="72">
        <f t="shared" si="19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91"/>
      <c r="V64" s="192"/>
      <c r="W64" s="193"/>
    </row>
    <row r="65" spans="1:23" x14ac:dyDescent="0.25">
      <c r="A65" s="42">
        <v>28</v>
      </c>
      <c r="B65" s="16" t="s">
        <v>112</v>
      </c>
      <c r="C65" s="16">
        <v>24</v>
      </c>
      <c r="D65" s="148">
        <v>0</v>
      </c>
      <c r="E65" s="148">
        <v>0</v>
      </c>
      <c r="F65" s="43">
        <f t="shared" si="11"/>
        <v>0</v>
      </c>
      <c r="G65" s="43">
        <f t="shared" si="12"/>
        <v>0</v>
      </c>
      <c r="H65" s="43">
        <f t="shared" si="13"/>
        <v>0</v>
      </c>
      <c r="I65" s="168">
        <v>1.3180000000000001</v>
      </c>
      <c r="J65" s="168">
        <v>61.87</v>
      </c>
      <c r="K65" s="168">
        <v>2.1999999999999999E-2</v>
      </c>
      <c r="L65" s="73">
        <f t="shared" si="14"/>
        <v>0</v>
      </c>
      <c r="M65" s="73">
        <f t="shared" si="15"/>
        <v>0</v>
      </c>
      <c r="N65" s="73">
        <f t="shared" si="16"/>
        <v>0</v>
      </c>
      <c r="O65" s="72">
        <f t="shared" si="17"/>
        <v>0</v>
      </c>
      <c r="P65" s="72">
        <f t="shared" si="18"/>
        <v>0</v>
      </c>
      <c r="Q65" s="72">
        <f t="shared" si="19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91"/>
      <c r="V65" s="192"/>
      <c r="W65" s="193"/>
    </row>
    <row r="66" spans="1:23" x14ac:dyDescent="0.25">
      <c r="A66" s="42">
        <v>29</v>
      </c>
      <c r="B66" s="16" t="s">
        <v>112</v>
      </c>
      <c r="C66" s="16">
        <v>24</v>
      </c>
      <c r="D66" s="148">
        <v>0</v>
      </c>
      <c r="E66" s="148">
        <v>0</v>
      </c>
      <c r="F66" s="43">
        <f t="shared" si="11"/>
        <v>0</v>
      </c>
      <c r="G66" s="43">
        <f t="shared" si="12"/>
        <v>0</v>
      </c>
      <c r="H66" s="43">
        <f t="shared" si="13"/>
        <v>0</v>
      </c>
      <c r="I66" s="168">
        <v>1.3180000000000001</v>
      </c>
      <c r="J66" s="168">
        <v>61.87</v>
      </c>
      <c r="K66" s="168">
        <v>2.1999999999999999E-2</v>
      </c>
      <c r="L66" s="73">
        <f t="shared" si="14"/>
        <v>0</v>
      </c>
      <c r="M66" s="73">
        <f t="shared" si="15"/>
        <v>0</v>
      </c>
      <c r="N66" s="73">
        <f t="shared" si="16"/>
        <v>0</v>
      </c>
      <c r="O66" s="72">
        <f t="shared" si="17"/>
        <v>0</v>
      </c>
      <c r="P66" s="72">
        <f t="shared" si="18"/>
        <v>0</v>
      </c>
      <c r="Q66" s="72">
        <f t="shared" si="19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91"/>
      <c r="V66" s="192"/>
      <c r="W66" s="193"/>
    </row>
    <row r="67" spans="1:23" x14ac:dyDescent="0.25">
      <c r="A67" s="42">
        <v>30</v>
      </c>
      <c r="B67" s="16" t="s">
        <v>112</v>
      </c>
      <c r="C67" s="16">
        <v>24</v>
      </c>
      <c r="D67" s="148">
        <v>0</v>
      </c>
      <c r="E67" s="148">
        <v>0</v>
      </c>
      <c r="F67" s="43">
        <f t="shared" si="11"/>
        <v>0</v>
      </c>
      <c r="G67" s="43">
        <f t="shared" si="12"/>
        <v>0</v>
      </c>
      <c r="H67" s="43">
        <f t="shared" si="13"/>
        <v>0</v>
      </c>
      <c r="I67" s="168">
        <v>1.3180000000000001</v>
      </c>
      <c r="J67" s="168">
        <v>61.87</v>
      </c>
      <c r="K67" s="168">
        <v>2.1999999999999999E-2</v>
      </c>
      <c r="L67" s="73">
        <f t="shared" si="14"/>
        <v>0</v>
      </c>
      <c r="M67" s="73">
        <f t="shared" si="15"/>
        <v>0</v>
      </c>
      <c r="N67" s="73">
        <f t="shared" si="16"/>
        <v>0</v>
      </c>
      <c r="O67" s="72">
        <f t="shared" si="17"/>
        <v>0</v>
      </c>
      <c r="P67" s="72">
        <f t="shared" si="18"/>
        <v>0</v>
      </c>
      <c r="Q67" s="72">
        <f t="shared" si="19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91"/>
      <c r="V67" s="192"/>
      <c r="W67" s="193"/>
    </row>
    <row r="68" spans="1:23" x14ac:dyDescent="0.25">
      <c r="A68" s="42">
        <v>31</v>
      </c>
      <c r="B68" s="16" t="s">
        <v>112</v>
      </c>
      <c r="C68" s="16">
        <v>24</v>
      </c>
      <c r="D68" s="148"/>
      <c r="E68" s="148"/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68">
        <v>1.3180000000000001</v>
      </c>
      <c r="J68" s="168">
        <v>61.87</v>
      </c>
      <c r="K68" s="168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7"/>
        <v>0</v>
      </c>
      <c r="P68" s="72">
        <f t="shared" si="18"/>
        <v>0</v>
      </c>
      <c r="Q68" s="72">
        <f t="shared" si="19"/>
        <v>0</v>
      </c>
      <c r="R68" s="75" t="str">
        <f>IFERROR(O68*'Fechamento fiscal'!AN36,"")</f>
        <v/>
      </c>
      <c r="S68" s="75">
        <f>P68*'Gás fiscal'!H33</f>
        <v>0</v>
      </c>
      <c r="T68" s="104">
        <f>Q68*'Volumes de água'!$C$35</f>
        <v>0</v>
      </c>
      <c r="U68" s="191"/>
      <c r="V68" s="192"/>
      <c r="W68" s="193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113</v>
      </c>
      <c r="C70" s="16">
        <v>24</v>
      </c>
      <c r="D70" s="148">
        <v>0</v>
      </c>
      <c r="E70" s="148">
        <v>0</v>
      </c>
      <c r="F70" s="43">
        <f>IF(OR(C70="",E70=""),0,IF(E70&gt;C70,E70,E70/C70*24))</f>
        <v>0</v>
      </c>
      <c r="G70" s="43">
        <f>IF(OR(C70="",D70=""),0,IF(D70&gt;C70,D70,D70/C70*24))</f>
        <v>0</v>
      </c>
      <c r="H70" s="43">
        <f>IF(OR(C70="",D70=""),0,IF(D70&gt;C70,D70,D70/C70*24))</f>
        <v>0</v>
      </c>
      <c r="I70" s="168">
        <v>7.97</v>
      </c>
      <c r="J70" s="168">
        <v>975.31949999999995</v>
      </c>
      <c r="K70" s="168">
        <v>450.52</v>
      </c>
      <c r="L70" s="73">
        <f>I70*(G70/C70)</f>
        <v>0</v>
      </c>
      <c r="M70" s="73">
        <f>J70*(F70/C70)</f>
        <v>0</v>
      </c>
      <c r="N70" s="73">
        <f>K70*(H70/C70)</f>
        <v>0</v>
      </c>
      <c r="O70" s="72">
        <f>IF(D70&lt;&gt;0,L70/(L6+L38+L70+L102+L134+L166+L198+L230+L262+L294+L326+L358),0)</f>
        <v>0</v>
      </c>
      <c r="P70" s="72">
        <f>IF(E70&lt;&gt;0,M70/(M6+M38+M70+M102+M134+M166+M198+M230+M262+M294),0)</f>
        <v>0</v>
      </c>
      <c r="Q70" s="72">
        <f t="shared" ref="Q70" si="20">IF(F70&lt;&gt;0,N70/(N6+N38+N70+N102+N134+N166+N198+N230+N262+N294+N326+N358),0)</f>
        <v>0</v>
      </c>
      <c r="R70" s="75">
        <f>IFERROR(O70*'Fechamento fiscal'!AN6,"")</f>
        <v>0</v>
      </c>
      <c r="S70" s="75">
        <f>P70*'Gás fiscal'!H3</f>
        <v>0</v>
      </c>
      <c r="T70" s="104">
        <f>Q70*'Volumes de água'!$C$5</f>
        <v>0</v>
      </c>
      <c r="U70" s="191"/>
      <c r="V70" s="192"/>
      <c r="W70" s="193"/>
    </row>
    <row r="71" spans="1:23" x14ac:dyDescent="0.25">
      <c r="A71" s="42">
        <v>2</v>
      </c>
      <c r="B71" s="16" t="s">
        <v>113</v>
      </c>
      <c r="C71" s="16">
        <v>24</v>
      </c>
      <c r="D71" s="148">
        <v>0</v>
      </c>
      <c r="E71" s="148">
        <v>0</v>
      </c>
      <c r="F71" s="43">
        <f t="shared" ref="F71:F99" si="21">IF(OR(C71="",E71=""),0,IF(E71&gt;C71,E71,E71/C71*24))</f>
        <v>0</v>
      </c>
      <c r="G71" s="43">
        <f t="shared" ref="G71:G99" si="22">IF(OR(C71="",D71=""),0,IF(D71&gt;C71,D71,D71/C71*24))</f>
        <v>0</v>
      </c>
      <c r="H71" s="43">
        <f t="shared" ref="H71:H99" si="23">IF(OR(C71="",D71=""),0,IF(D71&gt;C71,D71,D71/C71*24))</f>
        <v>0</v>
      </c>
      <c r="I71" s="168">
        <v>7.97</v>
      </c>
      <c r="J71" s="168">
        <v>975.31949999999995</v>
      </c>
      <c r="K71" s="168">
        <v>450.52</v>
      </c>
      <c r="L71" s="73">
        <f t="shared" ref="L71:L99" si="24">I71*(G71/C71)</f>
        <v>0</v>
      </c>
      <c r="M71" s="73">
        <f t="shared" ref="M71:M99" si="25">J71*(F71/C71)</f>
        <v>0</v>
      </c>
      <c r="N71" s="73">
        <f t="shared" ref="N71:N99" si="26">K71*(H71/C71)</f>
        <v>0</v>
      </c>
      <c r="O71" s="72">
        <f t="shared" ref="O71:O100" si="27">IF(D71&lt;&gt;0,L71/(L7+L39+L71+L103+L135+L167+L199+L231+L263+L295+L327+L359),0)</f>
        <v>0</v>
      </c>
      <c r="P71" s="72">
        <f t="shared" ref="P71:P100" si="28">IF(E71&lt;&gt;0,M71/(M7+M39+M71+M103+M135+M167+M199+M231+M263+M295),0)</f>
        <v>0</v>
      </c>
      <c r="Q71" s="72">
        <f t="shared" ref="Q71:Q100" si="29">IF(F71&lt;&gt;0,N71/(N7+N39+N71+N103+N135+N167+N199+N231+N263+N295+N327+N359),0)</f>
        <v>0</v>
      </c>
      <c r="R71" s="75">
        <f>IFERROR(O71*'Fechamento fiscal'!AN7,"")</f>
        <v>0</v>
      </c>
      <c r="S71" s="75">
        <f>P71*'Gás fiscal'!H4</f>
        <v>0</v>
      </c>
      <c r="T71" s="104">
        <f>Q71*'Volumes de água'!$C$6</f>
        <v>0</v>
      </c>
      <c r="U71" s="191"/>
      <c r="V71" s="192"/>
      <c r="W71" s="193"/>
    </row>
    <row r="72" spans="1:23" x14ac:dyDescent="0.25">
      <c r="A72" s="42">
        <v>3</v>
      </c>
      <c r="B72" s="16" t="s">
        <v>113</v>
      </c>
      <c r="C72" s="16">
        <v>24</v>
      </c>
      <c r="D72" s="148">
        <v>0</v>
      </c>
      <c r="E72" s="148">
        <v>0</v>
      </c>
      <c r="F72" s="43">
        <f t="shared" si="21"/>
        <v>0</v>
      </c>
      <c r="G72" s="43">
        <f t="shared" si="22"/>
        <v>0</v>
      </c>
      <c r="H72" s="43">
        <f t="shared" si="23"/>
        <v>0</v>
      </c>
      <c r="I72" s="168">
        <v>7.97</v>
      </c>
      <c r="J72" s="168">
        <v>975.31949999999995</v>
      </c>
      <c r="K72" s="168">
        <v>450.52</v>
      </c>
      <c r="L72" s="73">
        <f t="shared" si="24"/>
        <v>0</v>
      </c>
      <c r="M72" s="73">
        <f t="shared" si="25"/>
        <v>0</v>
      </c>
      <c r="N72" s="73">
        <f t="shared" si="26"/>
        <v>0</v>
      </c>
      <c r="O72" s="72">
        <f t="shared" si="27"/>
        <v>0</v>
      </c>
      <c r="P72" s="72">
        <f t="shared" si="28"/>
        <v>0</v>
      </c>
      <c r="Q72" s="72">
        <f t="shared" si="29"/>
        <v>0</v>
      </c>
      <c r="R72" s="75">
        <f>IFERROR(O72*'Fechamento fiscal'!AN8,"")</f>
        <v>0</v>
      </c>
      <c r="S72" s="75">
        <f>P72*'Gás fiscal'!H5</f>
        <v>0</v>
      </c>
      <c r="T72" s="104">
        <f>Q72*'Volumes de água'!$C$7</f>
        <v>0</v>
      </c>
      <c r="U72" s="191"/>
      <c r="V72" s="192"/>
      <c r="W72" s="193"/>
    </row>
    <row r="73" spans="1:23" x14ac:dyDescent="0.25">
      <c r="A73" s="42">
        <v>4</v>
      </c>
      <c r="B73" s="16" t="s">
        <v>113</v>
      </c>
      <c r="C73" s="16">
        <v>24</v>
      </c>
      <c r="D73" s="148">
        <v>0</v>
      </c>
      <c r="E73" s="148">
        <v>0</v>
      </c>
      <c r="F73" s="43">
        <f t="shared" si="21"/>
        <v>0</v>
      </c>
      <c r="G73" s="43">
        <f t="shared" si="22"/>
        <v>0</v>
      </c>
      <c r="H73" s="43">
        <f t="shared" si="23"/>
        <v>0</v>
      </c>
      <c r="I73" s="168">
        <v>7.97</v>
      </c>
      <c r="J73" s="168">
        <v>975.31949999999995</v>
      </c>
      <c r="K73" s="168">
        <v>450.52</v>
      </c>
      <c r="L73" s="73">
        <f t="shared" si="24"/>
        <v>0</v>
      </c>
      <c r="M73" s="73">
        <f t="shared" si="25"/>
        <v>0</v>
      </c>
      <c r="N73" s="73">
        <f t="shared" si="26"/>
        <v>0</v>
      </c>
      <c r="O73" s="72">
        <f t="shared" si="27"/>
        <v>0</v>
      </c>
      <c r="P73" s="72">
        <f t="shared" si="28"/>
        <v>0</v>
      </c>
      <c r="Q73" s="72">
        <f t="shared" si="29"/>
        <v>0</v>
      </c>
      <c r="R73" s="75">
        <f>IFERROR(O73*'Fechamento fiscal'!AN9,"")</f>
        <v>0</v>
      </c>
      <c r="S73" s="75">
        <f>P73*'Gás fiscal'!H6</f>
        <v>0</v>
      </c>
      <c r="T73" s="104">
        <f>Q73*'Volumes de água'!$C$8</f>
        <v>0</v>
      </c>
      <c r="U73" s="191"/>
      <c r="V73" s="192"/>
      <c r="W73" s="193"/>
    </row>
    <row r="74" spans="1:23" x14ac:dyDescent="0.25">
      <c r="A74" s="42">
        <v>5</v>
      </c>
      <c r="B74" s="16" t="s">
        <v>113</v>
      </c>
      <c r="C74" s="16">
        <v>24</v>
      </c>
      <c r="D74" s="148">
        <v>0</v>
      </c>
      <c r="E74" s="148">
        <v>0</v>
      </c>
      <c r="F74" s="43">
        <f t="shared" si="21"/>
        <v>0</v>
      </c>
      <c r="G74" s="43">
        <f t="shared" si="22"/>
        <v>0</v>
      </c>
      <c r="H74" s="43">
        <f t="shared" si="23"/>
        <v>0</v>
      </c>
      <c r="I74" s="168">
        <v>7.97</v>
      </c>
      <c r="J74" s="168">
        <v>975.31949999999995</v>
      </c>
      <c r="K74" s="168">
        <v>450.52</v>
      </c>
      <c r="L74" s="73">
        <f t="shared" si="24"/>
        <v>0</v>
      </c>
      <c r="M74" s="73">
        <f t="shared" si="25"/>
        <v>0</v>
      </c>
      <c r="N74" s="73">
        <f t="shared" si="26"/>
        <v>0</v>
      </c>
      <c r="O74" s="72">
        <f t="shared" si="27"/>
        <v>0</v>
      </c>
      <c r="P74" s="72">
        <f t="shared" si="28"/>
        <v>0</v>
      </c>
      <c r="Q74" s="72">
        <f t="shared" si="29"/>
        <v>0</v>
      </c>
      <c r="R74" s="75">
        <f>IFERROR(O74*'Fechamento fiscal'!AN10,"")</f>
        <v>0</v>
      </c>
      <c r="S74" s="75">
        <f>P74*'Gás fiscal'!H7</f>
        <v>0</v>
      </c>
      <c r="T74" s="104">
        <f>Q74*'Volumes de água'!$C$9</f>
        <v>0</v>
      </c>
      <c r="U74" s="191"/>
      <c r="V74" s="192"/>
      <c r="W74" s="193"/>
    </row>
    <row r="75" spans="1:23" x14ac:dyDescent="0.25">
      <c r="A75" s="42">
        <v>6</v>
      </c>
      <c r="B75" s="16" t="s">
        <v>113</v>
      </c>
      <c r="C75" s="16">
        <v>24</v>
      </c>
      <c r="D75" s="148">
        <v>0</v>
      </c>
      <c r="E75" s="148">
        <v>0</v>
      </c>
      <c r="F75" s="43">
        <f t="shared" si="21"/>
        <v>0</v>
      </c>
      <c r="G75" s="43">
        <f t="shared" si="22"/>
        <v>0</v>
      </c>
      <c r="H75" s="43">
        <f t="shared" si="23"/>
        <v>0</v>
      </c>
      <c r="I75" s="168">
        <v>7.97</v>
      </c>
      <c r="J75" s="168">
        <v>975.31949999999995</v>
      </c>
      <c r="K75" s="168">
        <v>450.52</v>
      </c>
      <c r="L75" s="73">
        <f t="shared" si="24"/>
        <v>0</v>
      </c>
      <c r="M75" s="73">
        <f t="shared" si="25"/>
        <v>0</v>
      </c>
      <c r="N75" s="73">
        <f t="shared" si="26"/>
        <v>0</v>
      </c>
      <c r="O75" s="72">
        <f t="shared" si="27"/>
        <v>0</v>
      </c>
      <c r="P75" s="72">
        <f t="shared" si="28"/>
        <v>0</v>
      </c>
      <c r="Q75" s="72">
        <f t="shared" si="29"/>
        <v>0</v>
      </c>
      <c r="R75" s="75">
        <f>IFERROR(O75*'Fechamento fiscal'!AN11,"")</f>
        <v>0</v>
      </c>
      <c r="S75" s="75">
        <f>P75*'Gás fiscal'!H8</f>
        <v>0</v>
      </c>
      <c r="T75" s="104">
        <f>Q75*'Volumes de água'!$C$10</f>
        <v>0</v>
      </c>
      <c r="U75" s="191"/>
      <c r="V75" s="192"/>
      <c r="W75" s="193"/>
    </row>
    <row r="76" spans="1:23" x14ac:dyDescent="0.25">
      <c r="A76" s="42">
        <v>7</v>
      </c>
      <c r="B76" s="16" t="s">
        <v>113</v>
      </c>
      <c r="C76" s="16">
        <v>24</v>
      </c>
      <c r="D76" s="148">
        <v>0</v>
      </c>
      <c r="E76" s="148">
        <v>0</v>
      </c>
      <c r="F76" s="43">
        <f t="shared" si="21"/>
        <v>0</v>
      </c>
      <c r="G76" s="43">
        <f t="shared" si="22"/>
        <v>0</v>
      </c>
      <c r="H76" s="43">
        <f t="shared" si="23"/>
        <v>0</v>
      </c>
      <c r="I76" s="168">
        <v>7.97</v>
      </c>
      <c r="J76" s="168">
        <v>975.31949999999995</v>
      </c>
      <c r="K76" s="168">
        <v>450.52</v>
      </c>
      <c r="L76" s="73">
        <f t="shared" si="24"/>
        <v>0</v>
      </c>
      <c r="M76" s="73">
        <f t="shared" si="25"/>
        <v>0</v>
      </c>
      <c r="N76" s="73">
        <f t="shared" si="26"/>
        <v>0</v>
      </c>
      <c r="O76" s="72">
        <f t="shared" si="27"/>
        <v>0</v>
      </c>
      <c r="P76" s="72">
        <f t="shared" si="28"/>
        <v>0</v>
      </c>
      <c r="Q76" s="72">
        <f t="shared" si="29"/>
        <v>0</v>
      </c>
      <c r="R76" s="75">
        <f>IFERROR(O76*'Fechamento fiscal'!AN12,"")</f>
        <v>0</v>
      </c>
      <c r="S76" s="75">
        <f>P76*'Gás fiscal'!H9</f>
        <v>0</v>
      </c>
      <c r="T76" s="104">
        <f>Q76*'Volumes de água'!$C$11</f>
        <v>0</v>
      </c>
      <c r="U76" s="191"/>
      <c r="V76" s="192"/>
      <c r="W76" s="193"/>
    </row>
    <row r="77" spans="1:23" x14ac:dyDescent="0.25">
      <c r="A77" s="42">
        <v>8</v>
      </c>
      <c r="B77" s="16" t="s">
        <v>113</v>
      </c>
      <c r="C77" s="16">
        <v>24</v>
      </c>
      <c r="D77" s="148">
        <v>0</v>
      </c>
      <c r="E77" s="148">
        <v>0</v>
      </c>
      <c r="F77" s="43">
        <f t="shared" si="21"/>
        <v>0</v>
      </c>
      <c r="G77" s="43">
        <f t="shared" si="22"/>
        <v>0</v>
      </c>
      <c r="H77" s="43">
        <f t="shared" si="23"/>
        <v>0</v>
      </c>
      <c r="I77" s="168">
        <v>7.97</v>
      </c>
      <c r="J77" s="168">
        <v>975.31949999999995</v>
      </c>
      <c r="K77" s="168">
        <v>450.52</v>
      </c>
      <c r="L77" s="73">
        <f t="shared" si="24"/>
        <v>0</v>
      </c>
      <c r="M77" s="73">
        <f t="shared" si="25"/>
        <v>0</v>
      </c>
      <c r="N77" s="73">
        <f t="shared" si="26"/>
        <v>0</v>
      </c>
      <c r="O77" s="72">
        <f t="shared" si="27"/>
        <v>0</v>
      </c>
      <c r="P77" s="72">
        <f t="shared" si="28"/>
        <v>0</v>
      </c>
      <c r="Q77" s="72">
        <f t="shared" si="29"/>
        <v>0</v>
      </c>
      <c r="R77" s="75">
        <f>IFERROR(O77*'Fechamento fiscal'!AN13,"")</f>
        <v>0</v>
      </c>
      <c r="S77" s="75">
        <f>P77*'Gás fiscal'!H10</f>
        <v>0</v>
      </c>
      <c r="T77" s="104">
        <f>Q77*'Volumes de água'!$C$12</f>
        <v>0</v>
      </c>
      <c r="U77" s="191"/>
      <c r="V77" s="192"/>
      <c r="W77" s="193"/>
    </row>
    <row r="78" spans="1:23" x14ac:dyDescent="0.25">
      <c r="A78" s="42">
        <v>9</v>
      </c>
      <c r="B78" s="16" t="s">
        <v>113</v>
      </c>
      <c r="C78" s="16">
        <v>24</v>
      </c>
      <c r="D78" s="148">
        <v>0</v>
      </c>
      <c r="E78" s="148">
        <v>0</v>
      </c>
      <c r="F78" s="43">
        <f t="shared" si="21"/>
        <v>0</v>
      </c>
      <c r="G78" s="43">
        <f t="shared" si="22"/>
        <v>0</v>
      </c>
      <c r="H78" s="43">
        <f t="shared" si="23"/>
        <v>0</v>
      </c>
      <c r="I78" s="168">
        <v>7.97</v>
      </c>
      <c r="J78" s="168">
        <v>975.31949999999995</v>
      </c>
      <c r="K78" s="168">
        <v>450.52</v>
      </c>
      <c r="L78" s="73">
        <f t="shared" si="24"/>
        <v>0</v>
      </c>
      <c r="M78" s="73">
        <f t="shared" si="25"/>
        <v>0</v>
      </c>
      <c r="N78" s="73">
        <f t="shared" si="26"/>
        <v>0</v>
      </c>
      <c r="O78" s="72">
        <f t="shared" si="27"/>
        <v>0</v>
      </c>
      <c r="P78" s="72">
        <f t="shared" si="28"/>
        <v>0</v>
      </c>
      <c r="Q78" s="72">
        <f t="shared" si="29"/>
        <v>0</v>
      </c>
      <c r="R78" s="75">
        <f>IFERROR(O78*'Fechamento fiscal'!AN14,"")</f>
        <v>0</v>
      </c>
      <c r="S78" s="75">
        <f>P78*'Gás fiscal'!H11</f>
        <v>0</v>
      </c>
      <c r="T78" s="104">
        <f>Q78*'Volumes de água'!$C$13</f>
        <v>0</v>
      </c>
      <c r="U78" s="191"/>
      <c r="V78" s="192"/>
      <c r="W78" s="193"/>
    </row>
    <row r="79" spans="1:23" x14ac:dyDescent="0.25">
      <c r="A79" s="42">
        <v>10</v>
      </c>
      <c r="B79" s="16" t="s">
        <v>113</v>
      </c>
      <c r="C79" s="16">
        <v>24</v>
      </c>
      <c r="D79" s="148">
        <v>0</v>
      </c>
      <c r="E79" s="148">
        <v>0</v>
      </c>
      <c r="F79" s="43">
        <f t="shared" si="21"/>
        <v>0</v>
      </c>
      <c r="G79" s="43">
        <f t="shared" si="22"/>
        <v>0</v>
      </c>
      <c r="H79" s="43">
        <f t="shared" si="23"/>
        <v>0</v>
      </c>
      <c r="I79" s="168">
        <v>7.97</v>
      </c>
      <c r="J79" s="168">
        <v>975.31949999999995</v>
      </c>
      <c r="K79" s="168">
        <v>450.52</v>
      </c>
      <c r="L79" s="73">
        <f t="shared" si="24"/>
        <v>0</v>
      </c>
      <c r="M79" s="73">
        <f t="shared" si="25"/>
        <v>0</v>
      </c>
      <c r="N79" s="73">
        <f t="shared" si="26"/>
        <v>0</v>
      </c>
      <c r="O79" s="72">
        <f t="shared" si="27"/>
        <v>0</v>
      </c>
      <c r="P79" s="72">
        <f t="shared" si="28"/>
        <v>0</v>
      </c>
      <c r="Q79" s="72">
        <f t="shared" si="29"/>
        <v>0</v>
      </c>
      <c r="R79" s="75">
        <f>IFERROR(O79*'Fechamento fiscal'!AN15,"")</f>
        <v>0</v>
      </c>
      <c r="S79" s="75">
        <f>P79*'Gás fiscal'!H12</f>
        <v>0</v>
      </c>
      <c r="T79" s="104">
        <f>Q79*'Volumes de água'!$C$14</f>
        <v>0</v>
      </c>
      <c r="U79" s="191"/>
      <c r="V79" s="192"/>
      <c r="W79" s="193"/>
    </row>
    <row r="80" spans="1:23" x14ac:dyDescent="0.25">
      <c r="A80" s="42">
        <v>11</v>
      </c>
      <c r="B80" s="16" t="s">
        <v>113</v>
      </c>
      <c r="C80" s="16">
        <v>24</v>
      </c>
      <c r="D80" s="148">
        <v>0</v>
      </c>
      <c r="E80" s="148">
        <v>0</v>
      </c>
      <c r="F80" s="43">
        <f t="shared" si="21"/>
        <v>0</v>
      </c>
      <c r="G80" s="43">
        <f t="shared" si="22"/>
        <v>0</v>
      </c>
      <c r="H80" s="43">
        <f t="shared" si="23"/>
        <v>0</v>
      </c>
      <c r="I80" s="168">
        <v>7.97</v>
      </c>
      <c r="J80" s="168">
        <v>975.31949999999995</v>
      </c>
      <c r="K80" s="168">
        <v>450.52</v>
      </c>
      <c r="L80" s="73">
        <f t="shared" si="24"/>
        <v>0</v>
      </c>
      <c r="M80" s="73">
        <f t="shared" si="25"/>
        <v>0</v>
      </c>
      <c r="N80" s="73">
        <f t="shared" si="26"/>
        <v>0</v>
      </c>
      <c r="O80" s="72">
        <f t="shared" si="27"/>
        <v>0</v>
      </c>
      <c r="P80" s="72">
        <f t="shared" si="28"/>
        <v>0</v>
      </c>
      <c r="Q80" s="72">
        <f t="shared" si="29"/>
        <v>0</v>
      </c>
      <c r="R80" s="75">
        <f>IFERROR(O80*'Fechamento fiscal'!AN16,"")</f>
        <v>0</v>
      </c>
      <c r="S80" s="75">
        <f>P80*'Gás fiscal'!H13</f>
        <v>0</v>
      </c>
      <c r="T80" s="104">
        <f>Q80*'Volumes de água'!$C$15</f>
        <v>0</v>
      </c>
      <c r="U80" s="191"/>
      <c r="V80" s="192"/>
      <c r="W80" s="193"/>
    </row>
    <row r="81" spans="1:23" x14ac:dyDescent="0.25">
      <c r="A81" s="42">
        <v>12</v>
      </c>
      <c r="B81" s="16" t="s">
        <v>113</v>
      </c>
      <c r="C81" s="16">
        <v>24</v>
      </c>
      <c r="D81" s="148">
        <v>9</v>
      </c>
      <c r="E81" s="148">
        <v>9</v>
      </c>
      <c r="F81" s="43">
        <f t="shared" si="21"/>
        <v>9</v>
      </c>
      <c r="G81" s="43">
        <f t="shared" si="22"/>
        <v>9</v>
      </c>
      <c r="H81" s="43">
        <f t="shared" si="23"/>
        <v>9</v>
      </c>
      <c r="I81" s="168">
        <v>7.97</v>
      </c>
      <c r="J81" s="168">
        <v>975.31949999999995</v>
      </c>
      <c r="K81" s="168">
        <v>450.52</v>
      </c>
      <c r="L81" s="73">
        <f t="shared" si="24"/>
        <v>2.98875</v>
      </c>
      <c r="M81" s="73">
        <f t="shared" si="25"/>
        <v>365.74481249999997</v>
      </c>
      <c r="N81" s="73">
        <f t="shared" si="26"/>
        <v>168.94499999999999</v>
      </c>
      <c r="O81" s="72">
        <f t="shared" si="27"/>
        <v>4.7341097458113719E-2</v>
      </c>
      <c r="P81" s="72">
        <f t="shared" si="28"/>
        <v>9.0995397250068277E-2</v>
      </c>
      <c r="Q81" s="72">
        <f t="shared" si="29"/>
        <v>0.12334746602254432</v>
      </c>
      <c r="R81" s="75">
        <f>IFERROR(O81*'Fechamento fiscal'!AN17,"")</f>
        <v>-3.5756047647613066E-2</v>
      </c>
      <c r="S81" s="75">
        <f>P81*'Gás fiscal'!H14</f>
        <v>433.59306789657535</v>
      </c>
      <c r="T81" s="104">
        <f>Q81*'Volumes de água'!$C$16</f>
        <v>355.24070214492764</v>
      </c>
      <c r="U81" s="191"/>
      <c r="V81" s="192"/>
      <c r="W81" s="193"/>
    </row>
    <row r="82" spans="1:23" x14ac:dyDescent="0.25">
      <c r="A82" s="42">
        <v>13</v>
      </c>
      <c r="B82" s="16" t="s">
        <v>113</v>
      </c>
      <c r="C82" s="16">
        <v>24</v>
      </c>
      <c r="D82" s="148">
        <v>24</v>
      </c>
      <c r="E82" s="148">
        <v>24</v>
      </c>
      <c r="F82" s="43">
        <f t="shared" si="21"/>
        <v>24</v>
      </c>
      <c r="G82" s="43">
        <f t="shared" si="22"/>
        <v>24</v>
      </c>
      <c r="H82" s="43">
        <f t="shared" si="23"/>
        <v>24</v>
      </c>
      <c r="I82" s="168">
        <v>7.97</v>
      </c>
      <c r="J82" s="168">
        <v>975.31949999999995</v>
      </c>
      <c r="K82" s="168">
        <v>450.52</v>
      </c>
      <c r="L82" s="73">
        <f t="shared" si="24"/>
        <v>7.97</v>
      </c>
      <c r="M82" s="73">
        <f t="shared" si="25"/>
        <v>975.31949999999995</v>
      </c>
      <c r="N82" s="73">
        <f t="shared" si="26"/>
        <v>450.52</v>
      </c>
      <c r="O82" s="72">
        <f t="shared" si="27"/>
        <v>0.11350366003019166</v>
      </c>
      <c r="P82" s="72">
        <f t="shared" si="28"/>
        <v>0.26797504637025465</v>
      </c>
      <c r="Q82" s="72">
        <f t="shared" si="29"/>
        <v>0.29952994834085728</v>
      </c>
      <c r="R82" s="75">
        <f>IFERROR(O82*'Fechamento fiscal'!AN18,"")</f>
        <v>-9.1519505077921844E-4</v>
      </c>
      <c r="S82" s="75">
        <f>P82*'Gás fiscal'!H15</f>
        <v>1142.3776226763955</v>
      </c>
      <c r="T82" s="104">
        <f>Q82*'Volumes de água'!$C$17</f>
        <v>822.80876809233496</v>
      </c>
      <c r="U82" s="191"/>
      <c r="V82" s="192"/>
      <c r="W82" s="193"/>
    </row>
    <row r="83" spans="1:23" x14ac:dyDescent="0.25">
      <c r="A83" s="42">
        <v>14</v>
      </c>
      <c r="B83" s="16" t="s">
        <v>113</v>
      </c>
      <c r="C83" s="16">
        <v>24</v>
      </c>
      <c r="D83" s="148">
        <v>24</v>
      </c>
      <c r="E83" s="148">
        <v>24</v>
      </c>
      <c r="F83" s="43">
        <f t="shared" si="21"/>
        <v>24</v>
      </c>
      <c r="G83" s="43">
        <f t="shared" si="22"/>
        <v>24</v>
      </c>
      <c r="H83" s="43">
        <f t="shared" si="23"/>
        <v>24</v>
      </c>
      <c r="I83" s="168">
        <v>7.97</v>
      </c>
      <c r="J83" s="168">
        <v>975.31949999999995</v>
      </c>
      <c r="K83" s="168">
        <v>450.52</v>
      </c>
      <c r="L83" s="73">
        <f t="shared" si="24"/>
        <v>7.97</v>
      </c>
      <c r="M83" s="73">
        <f t="shared" si="25"/>
        <v>975.31949999999995</v>
      </c>
      <c r="N83" s="73">
        <f t="shared" si="26"/>
        <v>450.52</v>
      </c>
      <c r="O83" s="72">
        <f t="shared" si="27"/>
        <v>0.11626016433114086</v>
      </c>
      <c r="P83" s="72">
        <f t="shared" si="28"/>
        <v>0.25131669354444919</v>
      </c>
      <c r="Q83" s="72">
        <f t="shared" si="29"/>
        <v>0.31563707341406411</v>
      </c>
      <c r="R83" s="75">
        <f>IFERROR(O83*'Fechamento fiscal'!AN19,"")</f>
        <v>4.6040541825741492</v>
      </c>
      <c r="S83" s="75">
        <f>P83*'Gás fiscal'!H16</f>
        <v>1171.6384253042222</v>
      </c>
      <c r="T83" s="104">
        <f>Q83*'Volumes de água'!$C$18</f>
        <v>857.58592846601221</v>
      </c>
      <c r="U83" s="191"/>
      <c r="V83" s="192"/>
      <c r="W83" s="193"/>
    </row>
    <row r="84" spans="1:23" x14ac:dyDescent="0.25">
      <c r="A84" s="42">
        <v>15</v>
      </c>
      <c r="B84" s="16" t="s">
        <v>113</v>
      </c>
      <c r="C84" s="16">
        <v>24</v>
      </c>
      <c r="D84" s="148">
        <v>24</v>
      </c>
      <c r="E84" s="148">
        <v>24</v>
      </c>
      <c r="F84" s="43">
        <f t="shared" si="21"/>
        <v>24</v>
      </c>
      <c r="G84" s="43">
        <f t="shared" si="22"/>
        <v>24</v>
      </c>
      <c r="H84" s="43">
        <f t="shared" si="23"/>
        <v>24</v>
      </c>
      <c r="I84" s="168">
        <v>7.97</v>
      </c>
      <c r="J84" s="168">
        <v>975.31949999999995</v>
      </c>
      <c r="K84" s="168">
        <v>450.52</v>
      </c>
      <c r="L84" s="73">
        <f t="shared" si="24"/>
        <v>7.97</v>
      </c>
      <c r="M84" s="73">
        <f t="shared" si="25"/>
        <v>975.31949999999995</v>
      </c>
      <c r="N84" s="73">
        <f t="shared" si="26"/>
        <v>450.52</v>
      </c>
      <c r="O84" s="72">
        <f t="shared" si="27"/>
        <v>0.11492167326148525</v>
      </c>
      <c r="P84" s="72">
        <f t="shared" si="28"/>
        <v>0.24555268800609373</v>
      </c>
      <c r="Q84" s="72">
        <f t="shared" si="29"/>
        <v>0.30482476258018698</v>
      </c>
      <c r="R84" s="75">
        <f>IFERROR(O84*'Fechamento fiscal'!AN20,"")</f>
        <v>7.3666811378891888</v>
      </c>
      <c r="S84" s="75">
        <f>P84*'Gás fiscal'!H17</f>
        <v>1167.8485841569818</v>
      </c>
      <c r="T84" s="104">
        <f>Q84*'Volumes de água'!$C$19</f>
        <v>841.62116948389621</v>
      </c>
      <c r="U84" s="191"/>
      <c r="V84" s="192"/>
      <c r="W84" s="193"/>
    </row>
    <row r="85" spans="1:23" x14ac:dyDescent="0.25">
      <c r="A85" s="42">
        <v>16</v>
      </c>
      <c r="B85" s="16" t="s">
        <v>113</v>
      </c>
      <c r="C85" s="16">
        <v>24</v>
      </c>
      <c r="D85" s="148">
        <v>23.3</v>
      </c>
      <c r="E85" s="148">
        <v>23.3</v>
      </c>
      <c r="F85" s="43">
        <f t="shared" si="21"/>
        <v>23.3</v>
      </c>
      <c r="G85" s="43">
        <f t="shared" si="22"/>
        <v>23.3</v>
      </c>
      <c r="H85" s="43">
        <f t="shared" si="23"/>
        <v>23.3</v>
      </c>
      <c r="I85" s="168">
        <v>7.97</v>
      </c>
      <c r="J85" s="168">
        <v>975.31949999999995</v>
      </c>
      <c r="K85" s="168">
        <v>450.52</v>
      </c>
      <c r="L85" s="73">
        <f t="shared" si="24"/>
        <v>7.7375416666666661</v>
      </c>
      <c r="M85" s="73">
        <f t="shared" si="25"/>
        <v>946.87268124999991</v>
      </c>
      <c r="N85" s="73">
        <f t="shared" si="26"/>
        <v>437.37983333333329</v>
      </c>
      <c r="O85" s="72">
        <f t="shared" si="27"/>
        <v>0.11235380622031366</v>
      </c>
      <c r="P85" s="72">
        <f t="shared" si="28"/>
        <v>0.24451761134661379</v>
      </c>
      <c r="Q85" s="72">
        <f t="shared" si="29"/>
        <v>0.29689115098508817</v>
      </c>
      <c r="R85" s="75">
        <f>IFERROR(O85*'Fechamento fiscal'!AN21,"")</f>
        <v>3.1507610051476647</v>
      </c>
      <c r="S85" s="75">
        <f>P85*'Gás fiscal'!H18</f>
        <v>1124.2919769717303</v>
      </c>
      <c r="T85" s="104">
        <f>Q85*'Volumes de água'!$C$20</f>
        <v>742.52476861370553</v>
      </c>
      <c r="U85" s="191"/>
      <c r="V85" s="192"/>
      <c r="W85" s="193"/>
    </row>
    <row r="86" spans="1:23" x14ac:dyDescent="0.25">
      <c r="A86" s="42">
        <v>17</v>
      </c>
      <c r="B86" s="16" t="s">
        <v>113</v>
      </c>
      <c r="C86" s="16">
        <v>24</v>
      </c>
      <c r="D86" s="148">
        <v>24</v>
      </c>
      <c r="E86" s="148">
        <v>24</v>
      </c>
      <c r="F86" s="43">
        <f t="shared" si="21"/>
        <v>24</v>
      </c>
      <c r="G86" s="43">
        <f t="shared" si="22"/>
        <v>24</v>
      </c>
      <c r="H86" s="43">
        <f t="shared" si="23"/>
        <v>24</v>
      </c>
      <c r="I86" s="168">
        <v>7.97</v>
      </c>
      <c r="J86" s="168">
        <v>975.31949999999995</v>
      </c>
      <c r="K86" s="168">
        <v>450.52</v>
      </c>
      <c r="L86" s="73">
        <f t="shared" si="24"/>
        <v>7.97</v>
      </c>
      <c r="M86" s="73">
        <f t="shared" si="25"/>
        <v>975.31949999999995</v>
      </c>
      <c r="N86" s="73">
        <f t="shared" si="26"/>
        <v>450.52</v>
      </c>
      <c r="O86" s="72">
        <f t="shared" si="27"/>
        <v>0.10842504795461656</v>
      </c>
      <c r="P86" s="72">
        <f t="shared" si="28"/>
        <v>0.22579715010012849</v>
      </c>
      <c r="Q86" s="72">
        <f t="shared" si="29"/>
        <v>0.27115090021262278</v>
      </c>
      <c r="R86" s="75">
        <f>IFERROR(O86*'Fechamento fiscal'!AN22,"")</f>
        <v>-4.2493076094766248E-2</v>
      </c>
      <c r="S86" s="75">
        <f>P86*'Gás fiscal'!H19</f>
        <v>1069.3753028742085</v>
      </c>
      <c r="T86" s="104">
        <f>Q86*'Volumes de água'!$C$21</f>
        <v>734.54778867599509</v>
      </c>
      <c r="U86" s="191"/>
      <c r="V86" s="192"/>
      <c r="W86" s="193"/>
    </row>
    <row r="87" spans="1:23" x14ac:dyDescent="0.25">
      <c r="A87" s="42">
        <v>18</v>
      </c>
      <c r="B87" s="16" t="s">
        <v>113</v>
      </c>
      <c r="C87" s="16">
        <v>24</v>
      </c>
      <c r="D87" s="148">
        <v>24</v>
      </c>
      <c r="E87" s="148">
        <v>24</v>
      </c>
      <c r="F87" s="43">
        <f t="shared" si="21"/>
        <v>24</v>
      </c>
      <c r="G87" s="43">
        <f t="shared" si="22"/>
        <v>24</v>
      </c>
      <c r="H87" s="43">
        <f t="shared" si="23"/>
        <v>24</v>
      </c>
      <c r="I87" s="168">
        <v>7.97</v>
      </c>
      <c r="J87" s="168">
        <v>975.31949999999995</v>
      </c>
      <c r="K87" s="168">
        <v>450.52</v>
      </c>
      <c r="L87" s="73">
        <f t="shared" si="24"/>
        <v>7.97</v>
      </c>
      <c r="M87" s="73">
        <f t="shared" si="25"/>
        <v>975.31949999999995</v>
      </c>
      <c r="N87" s="73">
        <f t="shared" si="26"/>
        <v>450.52</v>
      </c>
      <c r="O87" s="72">
        <f t="shared" si="27"/>
        <v>9.9825066069915133E-2</v>
      </c>
      <c r="P87" s="72">
        <f t="shared" si="28"/>
        <v>0.1948188373844541</v>
      </c>
      <c r="Q87" s="72">
        <f t="shared" si="29"/>
        <v>0.22762852219605875</v>
      </c>
      <c r="R87" s="75">
        <f>IFERROR(O87*'Fechamento fiscal'!AN23,"")</f>
        <v>-8.2906613264594337E-3</v>
      </c>
      <c r="S87" s="75">
        <f>P87*'Gás fiscal'!H20</f>
        <v>925.38947757615699</v>
      </c>
      <c r="T87" s="104">
        <f>Q87*'Volumes de água'!$C$22</f>
        <v>436.59150557204066</v>
      </c>
      <c r="U87" s="191"/>
      <c r="V87" s="192"/>
      <c r="W87" s="193"/>
    </row>
    <row r="88" spans="1:23" x14ac:dyDescent="0.25">
      <c r="A88" s="42">
        <v>19</v>
      </c>
      <c r="B88" s="16" t="s">
        <v>113</v>
      </c>
      <c r="C88" s="16">
        <v>24</v>
      </c>
      <c r="D88" s="148">
        <v>23.5</v>
      </c>
      <c r="E88" s="148">
        <v>23.5</v>
      </c>
      <c r="F88" s="43">
        <f t="shared" si="21"/>
        <v>23.5</v>
      </c>
      <c r="G88" s="43">
        <f t="shared" si="22"/>
        <v>23.5</v>
      </c>
      <c r="H88" s="43">
        <f t="shared" si="23"/>
        <v>23.5</v>
      </c>
      <c r="I88" s="168">
        <v>7.97</v>
      </c>
      <c r="J88" s="168">
        <v>975.31949999999995</v>
      </c>
      <c r="K88" s="168">
        <v>450.52</v>
      </c>
      <c r="L88" s="73">
        <f t="shared" si="24"/>
        <v>7.8039583333333331</v>
      </c>
      <c r="M88" s="73">
        <f t="shared" si="25"/>
        <v>955.00034374999996</v>
      </c>
      <c r="N88" s="73">
        <f t="shared" si="26"/>
        <v>441.13416666666666</v>
      </c>
      <c r="O88" s="72">
        <f t="shared" si="27"/>
        <v>9.8844600845558156E-2</v>
      </c>
      <c r="P88" s="72">
        <f t="shared" si="28"/>
        <v>0.19566499410221144</v>
      </c>
      <c r="Q88" s="72">
        <f t="shared" si="29"/>
        <v>0.22666282587456429</v>
      </c>
      <c r="R88" s="75">
        <f>IFERROR(O88*'Fechamento fiscal'!AN24,"")</f>
        <v>6.1580049931199152</v>
      </c>
      <c r="S88" s="75">
        <f>P88*'Gás fiscal'!H21</f>
        <v>883.03611838328027</v>
      </c>
      <c r="T88" s="104">
        <f>Q88*'Volumes de água'!$C$23</f>
        <v>613.34960681657094</v>
      </c>
      <c r="U88" s="191"/>
      <c r="V88" s="192"/>
      <c r="W88" s="193"/>
    </row>
    <row r="89" spans="1:23" x14ac:dyDescent="0.25">
      <c r="A89" s="42">
        <v>20</v>
      </c>
      <c r="B89" s="16" t="s">
        <v>113</v>
      </c>
      <c r="C89" s="16">
        <v>24</v>
      </c>
      <c r="D89" s="148">
        <v>24</v>
      </c>
      <c r="E89" s="148">
        <v>24</v>
      </c>
      <c r="F89" s="43">
        <f t="shared" si="21"/>
        <v>24</v>
      </c>
      <c r="G89" s="43">
        <f t="shared" si="22"/>
        <v>24</v>
      </c>
      <c r="H89" s="43">
        <f t="shared" si="23"/>
        <v>24</v>
      </c>
      <c r="I89" s="168">
        <v>7.97</v>
      </c>
      <c r="J89" s="168">
        <v>975.31949999999995</v>
      </c>
      <c r="K89" s="168">
        <v>450.52</v>
      </c>
      <c r="L89" s="73">
        <f t="shared" si="24"/>
        <v>7.97</v>
      </c>
      <c r="M89" s="73">
        <f t="shared" si="25"/>
        <v>975.31949999999995</v>
      </c>
      <c r="N89" s="73">
        <f t="shared" si="26"/>
        <v>450.52</v>
      </c>
      <c r="O89" s="72">
        <f t="shared" si="27"/>
        <v>0.11149504077892645</v>
      </c>
      <c r="P89" s="72">
        <f t="shared" si="28"/>
        <v>0.23696142948564386</v>
      </c>
      <c r="Q89" s="72">
        <f t="shared" si="29"/>
        <v>0.28793912962198076</v>
      </c>
      <c r="R89" s="75">
        <f>IFERROR(O89*'Fechamento fiscal'!AN25,"")</f>
        <v>6.9488042455119148</v>
      </c>
      <c r="S89" s="75">
        <f>P89*'Gás fiscal'!H22</f>
        <v>1052.58266977523</v>
      </c>
      <c r="T89" s="104">
        <f>Q89*'Volumes de água'!$C$24</f>
        <v>738.2759283507587</v>
      </c>
      <c r="U89" s="191"/>
      <c r="V89" s="192"/>
      <c r="W89" s="193"/>
    </row>
    <row r="90" spans="1:23" x14ac:dyDescent="0.25">
      <c r="A90" s="42">
        <v>21</v>
      </c>
      <c r="B90" s="16" t="s">
        <v>113</v>
      </c>
      <c r="C90" s="16">
        <v>24</v>
      </c>
      <c r="D90" s="148">
        <v>24</v>
      </c>
      <c r="E90" s="148">
        <v>24</v>
      </c>
      <c r="F90" s="43">
        <f t="shared" si="21"/>
        <v>24</v>
      </c>
      <c r="G90" s="43">
        <f t="shared" si="22"/>
        <v>24</v>
      </c>
      <c r="H90" s="43">
        <f t="shared" si="23"/>
        <v>24</v>
      </c>
      <c r="I90" s="168">
        <v>7.97</v>
      </c>
      <c r="J90" s="168">
        <v>975.31949999999995</v>
      </c>
      <c r="K90" s="168">
        <v>450.52</v>
      </c>
      <c r="L90" s="73">
        <f t="shared" si="24"/>
        <v>7.97</v>
      </c>
      <c r="M90" s="73">
        <f t="shared" si="25"/>
        <v>975.31949999999995</v>
      </c>
      <c r="N90" s="73">
        <f t="shared" si="26"/>
        <v>450.52</v>
      </c>
      <c r="O90" s="72">
        <f t="shared" si="27"/>
        <v>0.10442262118903563</v>
      </c>
      <c r="P90" s="72">
        <f t="shared" si="28"/>
        <v>0.21173173443937596</v>
      </c>
      <c r="Q90" s="72">
        <f t="shared" si="29"/>
        <v>0.24917041940096898</v>
      </c>
      <c r="R90" s="75">
        <f>IFERROR(O90*'Fechamento fiscal'!AN26,"")</f>
        <v>6.5281266269259381</v>
      </c>
      <c r="S90" s="75">
        <f>P90*'Gás fiscal'!H23</f>
        <v>885.03864995659148</v>
      </c>
      <c r="T90" s="104">
        <f>Q90*'Volumes de água'!$C$25</f>
        <v>685.21865335266466</v>
      </c>
      <c r="U90" s="191"/>
      <c r="V90" s="192"/>
      <c r="W90" s="193"/>
    </row>
    <row r="91" spans="1:23" x14ac:dyDescent="0.25">
      <c r="A91" s="42">
        <v>22</v>
      </c>
      <c r="B91" s="16" t="s">
        <v>113</v>
      </c>
      <c r="C91" s="16">
        <v>24</v>
      </c>
      <c r="D91" s="148">
        <v>24</v>
      </c>
      <c r="E91" s="148">
        <v>24</v>
      </c>
      <c r="F91" s="43">
        <f t="shared" si="21"/>
        <v>24</v>
      </c>
      <c r="G91" s="43">
        <f t="shared" si="22"/>
        <v>24</v>
      </c>
      <c r="H91" s="43">
        <f t="shared" si="23"/>
        <v>24</v>
      </c>
      <c r="I91" s="168">
        <v>7.97</v>
      </c>
      <c r="J91" s="168">
        <v>975.31949999999995</v>
      </c>
      <c r="K91" s="168">
        <v>450.52</v>
      </c>
      <c r="L91" s="73">
        <f t="shared" si="24"/>
        <v>7.97</v>
      </c>
      <c r="M91" s="73">
        <f t="shared" si="25"/>
        <v>975.31949999999995</v>
      </c>
      <c r="N91" s="73">
        <f t="shared" si="26"/>
        <v>450.52</v>
      </c>
      <c r="O91" s="72">
        <f t="shared" si="27"/>
        <v>0.13075219424165366</v>
      </c>
      <c r="P91" s="72">
        <f t="shared" si="28"/>
        <v>0.21519913630815424</v>
      </c>
      <c r="Q91" s="72">
        <f t="shared" si="29"/>
        <v>0.29561548857969289</v>
      </c>
      <c r="R91" s="75">
        <f>IFERROR(O91*'Fechamento fiscal'!AN27,"")</f>
        <v>2.4155533615984908</v>
      </c>
      <c r="S91" s="75">
        <f>P91*'Gás fiscal'!H24</f>
        <v>1012.942334602482</v>
      </c>
      <c r="T91" s="104">
        <f>Q91*'Volumes de água'!$C$26</f>
        <v>830.97513839751673</v>
      </c>
      <c r="U91" s="191"/>
      <c r="V91" s="192"/>
      <c r="W91" s="193"/>
    </row>
    <row r="92" spans="1:23" x14ac:dyDescent="0.25">
      <c r="A92" s="42">
        <v>23</v>
      </c>
      <c r="B92" s="16" t="s">
        <v>113</v>
      </c>
      <c r="C92" s="16">
        <v>24</v>
      </c>
      <c r="D92" s="148">
        <v>24</v>
      </c>
      <c r="E92" s="148">
        <v>24</v>
      </c>
      <c r="F92" s="43">
        <f t="shared" si="21"/>
        <v>24</v>
      </c>
      <c r="G92" s="43">
        <f t="shared" si="22"/>
        <v>24</v>
      </c>
      <c r="H92" s="43">
        <f t="shared" si="23"/>
        <v>24</v>
      </c>
      <c r="I92" s="168">
        <v>7.97</v>
      </c>
      <c r="J92" s="168">
        <v>975.31949999999995</v>
      </c>
      <c r="K92" s="168">
        <v>450.52</v>
      </c>
      <c r="L92" s="73">
        <f t="shared" si="24"/>
        <v>7.97</v>
      </c>
      <c r="M92" s="73">
        <f t="shared" si="25"/>
        <v>975.31949999999995</v>
      </c>
      <c r="N92" s="73">
        <f t="shared" si="26"/>
        <v>450.52</v>
      </c>
      <c r="O92" s="72">
        <f t="shared" si="27"/>
        <v>0.18479002643942619</v>
      </c>
      <c r="P92" s="72">
        <f t="shared" si="28"/>
        <v>0.4039029811830997</v>
      </c>
      <c r="Q92" s="72">
        <f t="shared" si="29"/>
        <v>0.41629417012519049</v>
      </c>
      <c r="R92" s="75">
        <f>IFERROR(O92*'Fechamento fiscal'!AN28,"")</f>
        <v>-6.0870681479746183E-2</v>
      </c>
      <c r="S92" s="75">
        <f>P92*'Gás fiscal'!H25</f>
        <v>853.04309625870656</v>
      </c>
      <c r="T92" s="104">
        <f>Q92*'Volumes de água'!$C$27</f>
        <v>626.93902020853693</v>
      </c>
      <c r="U92" s="191"/>
      <c r="V92" s="192"/>
      <c r="W92" s="193"/>
    </row>
    <row r="93" spans="1:23" x14ac:dyDescent="0.25">
      <c r="A93" s="42">
        <v>24</v>
      </c>
      <c r="B93" s="16" t="s">
        <v>113</v>
      </c>
      <c r="C93" s="16">
        <v>24</v>
      </c>
      <c r="D93" s="148">
        <v>23.5</v>
      </c>
      <c r="E93" s="148">
        <v>23.5</v>
      </c>
      <c r="F93" s="43">
        <f t="shared" si="21"/>
        <v>23.5</v>
      </c>
      <c r="G93" s="43">
        <f t="shared" si="22"/>
        <v>23.5</v>
      </c>
      <c r="H93" s="43">
        <f t="shared" si="23"/>
        <v>23.5</v>
      </c>
      <c r="I93" s="168">
        <v>7.97</v>
      </c>
      <c r="J93" s="168">
        <v>975.31949999999995</v>
      </c>
      <c r="K93" s="168">
        <v>450.52</v>
      </c>
      <c r="L93" s="73">
        <f t="shared" si="24"/>
        <v>7.8039583333333331</v>
      </c>
      <c r="M93" s="73">
        <f t="shared" si="25"/>
        <v>955.00034374999996</v>
      </c>
      <c r="N93" s="73">
        <f t="shared" si="26"/>
        <v>441.13416666666666</v>
      </c>
      <c r="O93" s="72">
        <f t="shared" si="27"/>
        <v>0.12627151324908714</v>
      </c>
      <c r="P93" s="72">
        <f t="shared" si="28"/>
        <v>0.33940968007535693</v>
      </c>
      <c r="Q93" s="72">
        <f t="shared" si="29"/>
        <v>0.29866941548532205</v>
      </c>
      <c r="R93" s="75">
        <f>IFERROR(O93*'Fechamento fiscal'!AN29,"")</f>
        <v>-1.6725226364804852E-2</v>
      </c>
      <c r="S93" s="75">
        <f>P93*'Gás fiscal'!H26</f>
        <v>806.43739985904813</v>
      </c>
      <c r="T93" s="104">
        <f>Q93*'Volumes de água'!$C$28</f>
        <v>394.54229785611045</v>
      </c>
      <c r="U93" s="191"/>
      <c r="V93" s="192"/>
      <c r="W93" s="193"/>
    </row>
    <row r="94" spans="1:23" x14ac:dyDescent="0.25">
      <c r="A94" s="42">
        <v>25</v>
      </c>
      <c r="B94" s="16" t="s">
        <v>113</v>
      </c>
      <c r="C94" s="16">
        <v>24</v>
      </c>
      <c r="D94" s="148">
        <v>24</v>
      </c>
      <c r="E94" s="148">
        <v>24</v>
      </c>
      <c r="F94" s="43">
        <f t="shared" si="21"/>
        <v>24</v>
      </c>
      <c r="G94" s="43">
        <f t="shared" si="22"/>
        <v>24</v>
      </c>
      <c r="H94" s="43">
        <f t="shared" si="23"/>
        <v>24</v>
      </c>
      <c r="I94" s="168">
        <v>7.97</v>
      </c>
      <c r="J94" s="168">
        <v>975.31949999999995</v>
      </c>
      <c r="K94" s="168">
        <v>450.52</v>
      </c>
      <c r="L94" s="73">
        <f t="shared" si="24"/>
        <v>7.97</v>
      </c>
      <c r="M94" s="73">
        <f t="shared" si="25"/>
        <v>975.31949999999995</v>
      </c>
      <c r="N94" s="73">
        <f t="shared" si="26"/>
        <v>450.52</v>
      </c>
      <c r="O94" s="72">
        <f t="shared" si="27"/>
        <v>0.11004006268279605</v>
      </c>
      <c r="P94" s="72">
        <f t="shared" si="28"/>
        <v>0.23097221479702332</v>
      </c>
      <c r="Q94" s="72">
        <f t="shared" si="29"/>
        <v>0.27347771651387842</v>
      </c>
      <c r="R94" s="75">
        <f>IFERROR(O94*'Fechamento fiscal'!AN30,"")</f>
        <v>6.8838343023615662</v>
      </c>
      <c r="S94" s="75">
        <f>P94*'Gás fiscal'!H27</f>
        <v>1098.7348257894398</v>
      </c>
      <c r="T94" s="104">
        <f>Q94*'Volumes de água'!$C$29</f>
        <v>748.5085100984852</v>
      </c>
      <c r="U94" s="191"/>
      <c r="V94" s="192"/>
      <c r="W94" s="193"/>
    </row>
    <row r="95" spans="1:23" x14ac:dyDescent="0.25">
      <c r="A95" s="42">
        <v>26</v>
      </c>
      <c r="B95" s="16" t="s">
        <v>113</v>
      </c>
      <c r="C95" s="16">
        <v>24</v>
      </c>
      <c r="D95" s="148">
        <v>24</v>
      </c>
      <c r="E95" s="148">
        <v>24</v>
      </c>
      <c r="F95" s="43">
        <f t="shared" si="21"/>
        <v>24</v>
      </c>
      <c r="G95" s="43">
        <f t="shared" si="22"/>
        <v>24</v>
      </c>
      <c r="H95" s="43">
        <f t="shared" si="23"/>
        <v>24</v>
      </c>
      <c r="I95" s="168">
        <v>7.97</v>
      </c>
      <c r="J95" s="168">
        <v>975.31949999999995</v>
      </c>
      <c r="K95" s="168">
        <v>450.52</v>
      </c>
      <c r="L95" s="73">
        <f t="shared" si="24"/>
        <v>7.97</v>
      </c>
      <c r="M95" s="73">
        <f t="shared" si="25"/>
        <v>975.31949999999995</v>
      </c>
      <c r="N95" s="73">
        <f t="shared" si="26"/>
        <v>450.52</v>
      </c>
      <c r="O95" s="72">
        <f t="shared" si="27"/>
        <v>0.10735259783409062</v>
      </c>
      <c r="P95" s="72">
        <f t="shared" si="28"/>
        <v>0.22141294868682138</v>
      </c>
      <c r="Q95" s="72">
        <f t="shared" si="29"/>
        <v>0.2597919834232586</v>
      </c>
      <c r="R95" s="75">
        <f>IFERROR(O95*'Fechamento fiscal'!AN31,"")</f>
        <v>6.5767889520027971</v>
      </c>
      <c r="S95" s="75">
        <f>P95*'Gás fiscal'!H28</f>
        <v>1040.1980329306868</v>
      </c>
      <c r="T95" s="104">
        <f>Q95*'Volumes de água'!$C$30</f>
        <v>727.67734556854737</v>
      </c>
      <c r="U95" s="191"/>
      <c r="V95" s="192"/>
      <c r="W95" s="193"/>
    </row>
    <row r="96" spans="1:23" x14ac:dyDescent="0.25">
      <c r="A96" s="42">
        <v>27</v>
      </c>
      <c r="B96" s="16" t="s">
        <v>113</v>
      </c>
      <c r="C96" s="16">
        <v>24</v>
      </c>
      <c r="D96" s="148">
        <v>24</v>
      </c>
      <c r="E96" s="148">
        <v>24</v>
      </c>
      <c r="F96" s="43">
        <f t="shared" si="21"/>
        <v>24</v>
      </c>
      <c r="G96" s="43">
        <f t="shared" si="22"/>
        <v>24</v>
      </c>
      <c r="H96" s="43">
        <f t="shared" si="23"/>
        <v>24</v>
      </c>
      <c r="I96" s="168">
        <v>7.97</v>
      </c>
      <c r="J96" s="168">
        <v>975.31949999999995</v>
      </c>
      <c r="K96" s="168">
        <v>450.52</v>
      </c>
      <c r="L96" s="73">
        <f t="shared" si="24"/>
        <v>7.97</v>
      </c>
      <c r="M96" s="73">
        <f t="shared" si="25"/>
        <v>975.31949999999995</v>
      </c>
      <c r="N96" s="73">
        <f t="shared" si="26"/>
        <v>450.52</v>
      </c>
      <c r="O96" s="72">
        <f t="shared" si="27"/>
        <v>0.10482497385951876</v>
      </c>
      <c r="P96" s="72">
        <f t="shared" si="28"/>
        <v>0.19561846857749376</v>
      </c>
      <c r="Q96" s="72">
        <f t="shared" si="29"/>
        <v>0.2326479839177924</v>
      </c>
      <c r="R96" s="75">
        <f>IFERROR(O96*'Fechamento fiscal'!AN32,"")</f>
        <v>3.8343062660088252E-2</v>
      </c>
      <c r="S96" s="75">
        <f>P96*'Gás fiscal'!H29</f>
        <v>934.27380592611019</v>
      </c>
      <c r="T96" s="104">
        <f>Q96*'Volumes de água'!$C$31</f>
        <v>690.03392030017221</v>
      </c>
      <c r="U96" s="191"/>
      <c r="V96" s="192"/>
      <c r="W96" s="193"/>
    </row>
    <row r="97" spans="1:23" x14ac:dyDescent="0.25">
      <c r="A97" s="42">
        <v>28</v>
      </c>
      <c r="B97" s="16" t="s">
        <v>113</v>
      </c>
      <c r="C97" s="16">
        <v>24</v>
      </c>
      <c r="D97" s="148">
        <v>24</v>
      </c>
      <c r="E97" s="148">
        <v>24</v>
      </c>
      <c r="F97" s="43">
        <f t="shared" si="21"/>
        <v>24</v>
      </c>
      <c r="G97" s="43">
        <f t="shared" si="22"/>
        <v>24</v>
      </c>
      <c r="H97" s="43">
        <f t="shared" si="23"/>
        <v>24</v>
      </c>
      <c r="I97" s="168">
        <v>7.97</v>
      </c>
      <c r="J97" s="168">
        <v>975.31949999999995</v>
      </c>
      <c r="K97" s="168">
        <v>450.52</v>
      </c>
      <c r="L97" s="73">
        <f t="shared" si="24"/>
        <v>7.97</v>
      </c>
      <c r="M97" s="73">
        <f t="shared" si="25"/>
        <v>975.31949999999995</v>
      </c>
      <c r="N97" s="73">
        <f t="shared" si="26"/>
        <v>450.52</v>
      </c>
      <c r="O97" s="72">
        <f t="shared" si="27"/>
        <v>0.10921348930475175</v>
      </c>
      <c r="P97" s="72">
        <f t="shared" si="28"/>
        <v>0.23710342855934285</v>
      </c>
      <c r="Q97" s="72">
        <f t="shared" si="29"/>
        <v>0.26919048514128013</v>
      </c>
      <c r="R97" s="75">
        <f>IFERROR(O97*'Fechamento fiscal'!AN33,"")</f>
        <v>1.7856800682174552E-2</v>
      </c>
      <c r="S97" s="75">
        <f>P97*'Gás fiscal'!H30</f>
        <v>998.20543423483343</v>
      </c>
      <c r="T97" s="104">
        <f>Q97*'Volumes de água'!$C$32</f>
        <v>724.3915955151848</v>
      </c>
      <c r="U97" s="191"/>
      <c r="V97" s="192"/>
      <c r="W97" s="193"/>
    </row>
    <row r="98" spans="1:23" x14ac:dyDescent="0.25">
      <c r="A98" s="42">
        <v>29</v>
      </c>
      <c r="B98" s="16" t="s">
        <v>113</v>
      </c>
      <c r="C98" s="16">
        <v>24</v>
      </c>
      <c r="D98" s="148">
        <v>24</v>
      </c>
      <c r="E98" s="148">
        <v>24</v>
      </c>
      <c r="F98" s="43">
        <f t="shared" si="21"/>
        <v>24</v>
      </c>
      <c r="G98" s="43">
        <f t="shared" si="22"/>
        <v>24</v>
      </c>
      <c r="H98" s="43">
        <f t="shared" si="23"/>
        <v>24</v>
      </c>
      <c r="I98" s="168">
        <v>7.97</v>
      </c>
      <c r="J98" s="168">
        <v>975.31949999999995</v>
      </c>
      <c r="K98" s="168">
        <v>450.52</v>
      </c>
      <c r="L98" s="73">
        <f t="shared" si="24"/>
        <v>7.97</v>
      </c>
      <c r="M98" s="73">
        <f t="shared" si="25"/>
        <v>975.31949999999995</v>
      </c>
      <c r="N98" s="73">
        <f t="shared" si="26"/>
        <v>450.52</v>
      </c>
      <c r="O98" s="72">
        <f t="shared" si="27"/>
        <v>0.11246260653609529</v>
      </c>
      <c r="P98" s="72">
        <f t="shared" si="28"/>
        <v>0.23988381620884158</v>
      </c>
      <c r="Q98" s="72">
        <f t="shared" si="29"/>
        <v>0.28646277103071149</v>
      </c>
      <c r="R98" s="75">
        <f>IFERROR(O98*'Fechamento fiscal'!AN34,"")</f>
        <v>6.8184042512647807</v>
      </c>
      <c r="S98" s="75">
        <f>P98*'Gás fiscal'!H31</f>
        <v>1112.3412557603983</v>
      </c>
      <c r="T98" s="104">
        <f>Q98*'Volumes de água'!$C$33</f>
        <v>772.59009346982884</v>
      </c>
      <c r="U98" s="191"/>
      <c r="V98" s="192"/>
      <c r="W98" s="193"/>
    </row>
    <row r="99" spans="1:23" x14ac:dyDescent="0.25">
      <c r="A99" s="42">
        <v>30</v>
      </c>
      <c r="B99" s="16" t="s">
        <v>113</v>
      </c>
      <c r="C99" s="16">
        <v>24</v>
      </c>
      <c r="D99" s="148">
        <v>24</v>
      </c>
      <c r="E99" s="148">
        <v>24</v>
      </c>
      <c r="F99" s="43">
        <f t="shared" si="21"/>
        <v>24</v>
      </c>
      <c r="G99" s="43">
        <f t="shared" si="22"/>
        <v>24</v>
      </c>
      <c r="H99" s="43">
        <f t="shared" si="23"/>
        <v>24</v>
      </c>
      <c r="I99" s="168">
        <v>7.97</v>
      </c>
      <c r="J99" s="168">
        <v>975.31949999999995</v>
      </c>
      <c r="K99" s="168">
        <v>450.52</v>
      </c>
      <c r="L99" s="73">
        <f t="shared" si="24"/>
        <v>7.97</v>
      </c>
      <c r="M99" s="73">
        <f t="shared" si="25"/>
        <v>975.31949999999995</v>
      </c>
      <c r="N99" s="73">
        <f t="shared" si="26"/>
        <v>450.52</v>
      </c>
      <c r="O99" s="72">
        <f t="shared" si="27"/>
        <v>0.15324565451469002</v>
      </c>
      <c r="P99" s="72">
        <f t="shared" si="28"/>
        <v>0.21320465237220684</v>
      </c>
      <c r="Q99" s="72">
        <f t="shared" si="29"/>
        <v>0.32886952014920739</v>
      </c>
      <c r="R99" s="75">
        <f>IFERROR(O99*'Fechamento fiscal'!AN35,"")</f>
        <v>2.2303305215418621</v>
      </c>
      <c r="S99" s="75">
        <f>P99*'Gás fiscal'!H32</f>
        <v>971.5736008601466</v>
      </c>
      <c r="T99" s="104">
        <f>Q99*'Volumes de água'!$C$34</f>
        <v>900.11587664838066</v>
      </c>
      <c r="U99" s="191"/>
      <c r="V99" s="192"/>
      <c r="W99" s="193"/>
    </row>
    <row r="100" spans="1:23" x14ac:dyDescent="0.25">
      <c r="A100" s="42">
        <v>31</v>
      </c>
      <c r="B100" s="16" t="s">
        <v>113</v>
      </c>
      <c r="C100" s="16">
        <v>24</v>
      </c>
      <c r="D100" s="148"/>
      <c r="E100" s="148"/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68">
        <v>7.97</v>
      </c>
      <c r="J100" s="168">
        <v>975.31949999999995</v>
      </c>
      <c r="K100" s="168">
        <v>450.52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27"/>
        <v>0</v>
      </c>
      <c r="P100" s="72">
        <f t="shared" si="28"/>
        <v>0</v>
      </c>
      <c r="Q100" s="72">
        <f t="shared" si="29"/>
        <v>0</v>
      </c>
      <c r="R100" s="75" t="str">
        <f>IFERROR(O100*'Fechamento fiscal'!AN36,"")</f>
        <v/>
      </c>
      <c r="S100" s="75">
        <f>P100*'Gás fiscal'!H33</f>
        <v>0</v>
      </c>
      <c r="T100" s="104">
        <f>Q100*'Volumes de água'!$C$35</f>
        <v>0</v>
      </c>
      <c r="U100" s="191"/>
      <c r="V100" s="192"/>
      <c r="W100" s="193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114</v>
      </c>
      <c r="C102" s="16">
        <v>24</v>
      </c>
      <c r="D102" s="148">
        <v>17</v>
      </c>
      <c r="E102" s="148">
        <v>17</v>
      </c>
      <c r="F102" s="43">
        <f>IF(OR(C102="",E102=""),0,IF(E102&gt;C102,E102,E102/C102*24))</f>
        <v>17</v>
      </c>
      <c r="G102" s="43">
        <f>IF(OR(C102="",D102=""),0,IF(D102&gt;C102,D102,D102/C102*24))</f>
        <v>17</v>
      </c>
      <c r="H102" s="43">
        <f>IF(OR(C102="",D102=""),0,IF(D102&gt;C102,D102,D102/C102*24))</f>
        <v>17</v>
      </c>
      <c r="I102" s="168">
        <v>0.65</v>
      </c>
      <c r="J102" s="168">
        <v>77.05</v>
      </c>
      <c r="K102" s="168">
        <v>68.61</v>
      </c>
      <c r="L102" s="73">
        <f>I102*(G102/C102)</f>
        <v>0.4604166666666667</v>
      </c>
      <c r="M102" s="73">
        <f>J102*(F102/C102)</f>
        <v>54.577083333333334</v>
      </c>
      <c r="N102" s="73">
        <f>K102*(H102/C102)</f>
        <v>48.598750000000003</v>
      </c>
      <c r="O102" s="72">
        <f>IF(D102&lt;&gt;0,L102/(L6+L38+L70+L102+L134+L166+L198+L230+L262+L294+L326+L358),0)</f>
        <v>9.0871262148377561E-3</v>
      </c>
      <c r="P102" s="72">
        <f>IF(E102&lt;&gt;0,M102/(M6+M38+M70+M102+M134+M166+M198+M230+M262+M294),0)</f>
        <v>1.9465024997588884E-2</v>
      </c>
      <c r="Q102" s="72">
        <f t="shared" ref="Q102" si="30">IF(F102&lt;&gt;0,N102/(N6+N38+N70+N102+N134+N166+N198+N230+N262+N294+N326+N358),0)</f>
        <v>4.468777807257928E-2</v>
      </c>
      <c r="R102" s="75">
        <f>IFERROR(O102*'Fechamento fiscal'!AN6,"")</f>
        <v>7.7033584454629111E-4</v>
      </c>
      <c r="S102" s="75">
        <f>P102*'Gás fiscal'!H3</f>
        <v>60.419437592515898</v>
      </c>
      <c r="T102" s="104">
        <f>Q102*'Volumes de água'!$C$5</f>
        <v>62.920391526191629</v>
      </c>
      <c r="U102" s="191"/>
      <c r="V102" s="192"/>
      <c r="W102" s="193"/>
    </row>
    <row r="103" spans="1:23" x14ac:dyDescent="0.25">
      <c r="A103" s="42">
        <v>2</v>
      </c>
      <c r="B103" s="16" t="s">
        <v>114</v>
      </c>
      <c r="C103" s="16">
        <v>24</v>
      </c>
      <c r="D103" s="148">
        <v>23</v>
      </c>
      <c r="E103" s="148">
        <v>23</v>
      </c>
      <c r="F103" s="43">
        <f t="shared" ref="F103:F131" si="31">IF(OR(C103="",E103=""),0,IF(E103&gt;C103,E103,E103/C103*24))</f>
        <v>23</v>
      </c>
      <c r="G103" s="43">
        <f t="shared" ref="G103:G131" si="32">IF(OR(C103="",D103=""),0,IF(D103&gt;C103,D103,D103/C103*24))</f>
        <v>23</v>
      </c>
      <c r="H103" s="43">
        <f t="shared" ref="H103:H131" si="33">IF(OR(C103="",D103=""),0,IF(D103&gt;C103,D103,D103/C103*24))</f>
        <v>23</v>
      </c>
      <c r="I103" s="168">
        <v>0.65</v>
      </c>
      <c r="J103" s="168">
        <v>77.05</v>
      </c>
      <c r="K103" s="168">
        <v>68.61</v>
      </c>
      <c r="L103" s="73">
        <f t="shared" ref="L103:L131" si="34">I103*(G103/C103)</f>
        <v>0.62291666666666667</v>
      </c>
      <c r="M103" s="73">
        <f t="shared" ref="M103:M131" si="35">J103*(F103/C103)</f>
        <v>73.839583333333337</v>
      </c>
      <c r="N103" s="73">
        <f t="shared" ref="N103:N131" si="36">K103*(H103/C103)</f>
        <v>65.751249999999999</v>
      </c>
      <c r="O103" s="72">
        <f t="shared" ref="O103:O132" si="37">IF(D103&lt;&gt;0,L103/(L7+L39+L71+L103+L135+L167+L199+L231+L263+L295+L327+L359),0)</f>
        <v>8.9019145964008856E-3</v>
      </c>
      <c r="P103" s="72">
        <f t="shared" ref="P103:P132" si="38">IF(E103&lt;&gt;0,M103/(M7+M39+M71+M103+M135+M167+M199+M231+M263+M295),0)</f>
        <v>1.8755994371984556E-2</v>
      </c>
      <c r="Q103" s="72">
        <f t="shared" ref="Q103:Q132" si="39">IF(F103&lt;&gt;0,N103/(N7+N39+N71+N103+N135+N167+N199+N231+N263+N295+N327+N359),0)</f>
        <v>4.2706420590706791E-2</v>
      </c>
      <c r="R103" s="75">
        <f>IFERROR(O103*'Fechamento fiscal'!AN7,"")</f>
        <v>0.46587377898079502</v>
      </c>
      <c r="S103" s="75">
        <f>P103*'Gás fiscal'!H4</f>
        <v>83.689246887795093</v>
      </c>
      <c r="T103" s="104">
        <f>Q103*'Volumes de água'!$C$6</f>
        <v>88.146052099218821</v>
      </c>
      <c r="U103" s="191"/>
      <c r="V103" s="192"/>
      <c r="W103" s="193"/>
    </row>
    <row r="104" spans="1:23" x14ac:dyDescent="0.25">
      <c r="A104" s="42">
        <v>3</v>
      </c>
      <c r="B104" s="16" t="s">
        <v>114</v>
      </c>
      <c r="C104" s="16">
        <v>24</v>
      </c>
      <c r="D104" s="148">
        <v>24</v>
      </c>
      <c r="E104" s="148">
        <v>24</v>
      </c>
      <c r="F104" s="43">
        <f t="shared" si="31"/>
        <v>24</v>
      </c>
      <c r="G104" s="43">
        <f t="shared" si="32"/>
        <v>24</v>
      </c>
      <c r="H104" s="43">
        <f t="shared" si="33"/>
        <v>24</v>
      </c>
      <c r="I104" s="168">
        <v>0.65</v>
      </c>
      <c r="J104" s="168">
        <v>77.05</v>
      </c>
      <c r="K104" s="168">
        <v>68.61</v>
      </c>
      <c r="L104" s="73">
        <f t="shared" si="34"/>
        <v>0.65</v>
      </c>
      <c r="M104" s="73">
        <f t="shared" si="35"/>
        <v>77.05</v>
      </c>
      <c r="N104" s="73">
        <f t="shared" si="36"/>
        <v>68.61</v>
      </c>
      <c r="O104" s="72">
        <f t="shared" si="37"/>
        <v>8.9019145964008874E-3</v>
      </c>
      <c r="P104" s="72">
        <f t="shared" si="38"/>
        <v>1.8755994371984556E-2</v>
      </c>
      <c r="Q104" s="72">
        <f t="shared" si="39"/>
        <v>4.2706420590706798E-2</v>
      </c>
      <c r="R104" s="75">
        <f>IFERROR(O104*'Fechamento fiscal'!AN8,"")</f>
        <v>0.55570495113240148</v>
      </c>
      <c r="S104" s="75">
        <f>P104*'Gás fiscal'!H5</f>
        <v>89.522361137482278</v>
      </c>
      <c r="T104" s="104">
        <f>Q104*'Volumes de água'!$C$7</f>
        <v>90.025134605209928</v>
      </c>
      <c r="U104" s="191"/>
      <c r="V104" s="192"/>
      <c r="W104" s="193"/>
    </row>
    <row r="105" spans="1:23" x14ac:dyDescent="0.25">
      <c r="A105" s="42">
        <v>4</v>
      </c>
      <c r="B105" s="16" t="s">
        <v>114</v>
      </c>
      <c r="C105" s="16">
        <v>24</v>
      </c>
      <c r="D105" s="148">
        <v>24</v>
      </c>
      <c r="E105" s="148">
        <v>24</v>
      </c>
      <c r="F105" s="43">
        <f t="shared" si="31"/>
        <v>24</v>
      </c>
      <c r="G105" s="43">
        <f t="shared" si="32"/>
        <v>24</v>
      </c>
      <c r="H105" s="43">
        <f t="shared" si="33"/>
        <v>24</v>
      </c>
      <c r="I105" s="168">
        <v>0.65</v>
      </c>
      <c r="J105" s="168">
        <v>77.05</v>
      </c>
      <c r="K105" s="168">
        <v>68.61</v>
      </c>
      <c r="L105" s="73">
        <f t="shared" si="34"/>
        <v>0.65</v>
      </c>
      <c r="M105" s="73">
        <f t="shared" si="35"/>
        <v>77.05</v>
      </c>
      <c r="N105" s="73">
        <f t="shared" si="36"/>
        <v>68.61</v>
      </c>
      <c r="O105" s="72">
        <f t="shared" si="37"/>
        <v>8.9019145964008874E-3</v>
      </c>
      <c r="P105" s="72">
        <f t="shared" si="38"/>
        <v>1.8755994371984556E-2</v>
      </c>
      <c r="Q105" s="72">
        <f t="shared" si="39"/>
        <v>4.2706420590706798E-2</v>
      </c>
      <c r="R105" s="75">
        <f>IFERROR(O105*'Fechamento fiscal'!AN9,"")</f>
        <v>0.55794299643577583</v>
      </c>
      <c r="S105" s="75">
        <f>P105*'Gás fiscal'!H6</f>
        <v>86.821497947916512</v>
      </c>
      <c r="T105" s="104">
        <f>Q105*'Volumes de água'!$C$8</f>
        <v>90.025134605209928</v>
      </c>
      <c r="U105" s="191"/>
      <c r="V105" s="192"/>
      <c r="W105" s="193"/>
    </row>
    <row r="106" spans="1:23" x14ac:dyDescent="0.25">
      <c r="A106" s="42">
        <v>5</v>
      </c>
      <c r="B106" s="16" t="s">
        <v>114</v>
      </c>
      <c r="C106" s="16">
        <v>24</v>
      </c>
      <c r="D106" s="148">
        <v>23.5</v>
      </c>
      <c r="E106" s="148">
        <v>23.5</v>
      </c>
      <c r="F106" s="43">
        <f t="shared" si="31"/>
        <v>23.5</v>
      </c>
      <c r="G106" s="43">
        <f t="shared" si="32"/>
        <v>23.5</v>
      </c>
      <c r="H106" s="43">
        <f t="shared" si="33"/>
        <v>23.5</v>
      </c>
      <c r="I106" s="168">
        <v>0.65</v>
      </c>
      <c r="J106" s="168">
        <v>77.05</v>
      </c>
      <c r="K106" s="168">
        <v>68.61</v>
      </c>
      <c r="L106" s="73">
        <f t="shared" si="34"/>
        <v>0.63645833333333335</v>
      </c>
      <c r="M106" s="73">
        <f t="shared" si="35"/>
        <v>75.44479166666666</v>
      </c>
      <c r="N106" s="73">
        <f t="shared" si="36"/>
        <v>67.180624999999992</v>
      </c>
      <c r="O106" s="72">
        <f t="shared" si="37"/>
        <v>8.9019145964008874E-3</v>
      </c>
      <c r="P106" s="72">
        <f t="shared" si="38"/>
        <v>1.8755994371984556E-2</v>
      </c>
      <c r="Q106" s="72">
        <f t="shared" si="39"/>
        <v>4.2706420590706791E-2</v>
      </c>
      <c r="R106" s="75">
        <f>IFERROR(O106*'Fechamento fiscal'!AN10,"")</f>
        <v>0.5596905698376331</v>
      </c>
      <c r="S106" s="75">
        <f>P106*'Gás fiscal'!H7</f>
        <v>85.114702460065914</v>
      </c>
      <c r="T106" s="104">
        <f>Q106*'Volumes de água'!$C$9</f>
        <v>88.359584202172357</v>
      </c>
      <c r="U106" s="191"/>
      <c r="V106" s="192"/>
      <c r="W106" s="193"/>
    </row>
    <row r="107" spans="1:23" x14ac:dyDescent="0.25">
      <c r="A107" s="42">
        <v>6</v>
      </c>
      <c r="B107" s="16" t="s">
        <v>114</v>
      </c>
      <c r="C107" s="16">
        <v>24</v>
      </c>
      <c r="D107" s="148">
        <v>23.5</v>
      </c>
      <c r="E107" s="148">
        <v>23.5</v>
      </c>
      <c r="F107" s="43">
        <f t="shared" si="31"/>
        <v>23.5</v>
      </c>
      <c r="G107" s="43">
        <f t="shared" si="32"/>
        <v>23.5</v>
      </c>
      <c r="H107" s="43">
        <f t="shared" si="33"/>
        <v>23.5</v>
      </c>
      <c r="I107" s="168">
        <v>0.65</v>
      </c>
      <c r="J107" s="168">
        <v>77.05</v>
      </c>
      <c r="K107" s="168">
        <v>68.61</v>
      </c>
      <c r="L107" s="73">
        <f t="shared" si="34"/>
        <v>0.63645833333333335</v>
      </c>
      <c r="M107" s="73">
        <f t="shared" si="35"/>
        <v>75.44479166666666</v>
      </c>
      <c r="N107" s="73">
        <f t="shared" si="36"/>
        <v>67.180624999999992</v>
      </c>
      <c r="O107" s="72">
        <f t="shared" si="37"/>
        <v>8.9019145964008874E-3</v>
      </c>
      <c r="P107" s="72">
        <f t="shared" si="38"/>
        <v>1.8755994371984556E-2</v>
      </c>
      <c r="Q107" s="72">
        <f t="shared" si="39"/>
        <v>4.2706420590706791E-2</v>
      </c>
      <c r="R107" s="75">
        <f>IFERROR(O107*'Fechamento fiscal'!AN11,"")</f>
        <v>1.7323154943149118E-3</v>
      </c>
      <c r="S107" s="75">
        <f>P107*'Gás fiscal'!H8</f>
        <v>86.915277919776429</v>
      </c>
      <c r="T107" s="104">
        <f>Q107*'Volumes de água'!$C$10</f>
        <v>85.113896237278638</v>
      </c>
      <c r="U107" s="191"/>
      <c r="V107" s="192"/>
      <c r="W107" s="193"/>
    </row>
    <row r="108" spans="1:23" x14ac:dyDescent="0.25">
      <c r="A108" s="42">
        <v>7</v>
      </c>
      <c r="B108" s="16" t="s">
        <v>114</v>
      </c>
      <c r="C108" s="16">
        <v>24</v>
      </c>
      <c r="D108" s="148">
        <v>17.5</v>
      </c>
      <c r="E108" s="148">
        <v>17.5</v>
      </c>
      <c r="F108" s="43">
        <f t="shared" si="31"/>
        <v>17.5</v>
      </c>
      <c r="G108" s="43">
        <f t="shared" si="32"/>
        <v>17.5</v>
      </c>
      <c r="H108" s="43">
        <f t="shared" si="33"/>
        <v>17.5</v>
      </c>
      <c r="I108" s="168">
        <v>0.65</v>
      </c>
      <c r="J108" s="168">
        <v>77.05</v>
      </c>
      <c r="K108" s="168">
        <v>68.61</v>
      </c>
      <c r="L108" s="73">
        <f t="shared" si="34"/>
        <v>0.47395833333333331</v>
      </c>
      <c r="M108" s="73">
        <f t="shared" si="35"/>
        <v>56.182291666666664</v>
      </c>
      <c r="N108" s="73">
        <f t="shared" si="36"/>
        <v>50.028124999999996</v>
      </c>
      <c r="O108" s="72">
        <f t="shared" si="37"/>
        <v>6.6441864390840537E-3</v>
      </c>
      <c r="P108" s="72">
        <f t="shared" si="38"/>
        <v>1.4034437467688397E-2</v>
      </c>
      <c r="Q108" s="72">
        <f t="shared" si="39"/>
        <v>3.2153245123186819E-2</v>
      </c>
      <c r="R108" s="75">
        <f>IFERROR(O108*'Fechamento fiscal'!AN12,"")</f>
        <v>-0.11743173254554269</v>
      </c>
      <c r="S108" s="75">
        <f>P108*'Gás fiscal'!H9</f>
        <v>65.70923622371707</v>
      </c>
      <c r="T108" s="104">
        <f>Q108*'Volumes de água'!$C$11</f>
        <v>65.560466806177928</v>
      </c>
      <c r="U108" s="191"/>
      <c r="V108" s="192"/>
      <c r="W108" s="193"/>
    </row>
    <row r="109" spans="1:23" x14ac:dyDescent="0.25">
      <c r="A109" s="42">
        <v>8</v>
      </c>
      <c r="B109" s="16" t="s">
        <v>114</v>
      </c>
      <c r="C109" s="16">
        <v>24</v>
      </c>
      <c r="D109" s="148">
        <v>0</v>
      </c>
      <c r="E109" s="148">
        <v>0</v>
      </c>
      <c r="F109" s="43">
        <f t="shared" si="31"/>
        <v>0</v>
      </c>
      <c r="G109" s="43">
        <f t="shared" si="32"/>
        <v>0</v>
      </c>
      <c r="H109" s="43">
        <f t="shared" si="33"/>
        <v>0</v>
      </c>
      <c r="I109" s="168">
        <v>0.65</v>
      </c>
      <c r="J109" s="168">
        <v>77.05</v>
      </c>
      <c r="K109" s="168">
        <v>68.61</v>
      </c>
      <c r="L109" s="73">
        <f t="shared" si="34"/>
        <v>0</v>
      </c>
      <c r="M109" s="73">
        <f t="shared" si="35"/>
        <v>0</v>
      </c>
      <c r="N109" s="73">
        <f t="shared" si="36"/>
        <v>0</v>
      </c>
      <c r="O109" s="72">
        <f t="shared" si="37"/>
        <v>0</v>
      </c>
      <c r="P109" s="72">
        <f t="shared" si="38"/>
        <v>0</v>
      </c>
      <c r="Q109" s="72">
        <f t="shared" si="39"/>
        <v>0</v>
      </c>
      <c r="R109" s="75">
        <f>IFERROR(O109*'Fechamento fiscal'!AN13,"")</f>
        <v>0</v>
      </c>
      <c r="S109" s="75">
        <f>P109*'Gás fiscal'!H10</f>
        <v>0</v>
      </c>
      <c r="T109" s="104">
        <f>Q109*'Volumes de água'!$C$12</f>
        <v>0</v>
      </c>
      <c r="U109" s="191"/>
      <c r="V109" s="192"/>
      <c r="W109" s="193"/>
    </row>
    <row r="110" spans="1:23" x14ac:dyDescent="0.25">
      <c r="A110" s="42">
        <v>9</v>
      </c>
      <c r="B110" s="16" t="s">
        <v>114</v>
      </c>
      <c r="C110" s="16">
        <v>24</v>
      </c>
      <c r="D110" s="148">
        <v>0</v>
      </c>
      <c r="E110" s="148">
        <v>0</v>
      </c>
      <c r="F110" s="43">
        <f t="shared" si="31"/>
        <v>0</v>
      </c>
      <c r="G110" s="43">
        <f t="shared" si="32"/>
        <v>0</v>
      </c>
      <c r="H110" s="43">
        <f t="shared" si="33"/>
        <v>0</v>
      </c>
      <c r="I110" s="168">
        <v>0.65</v>
      </c>
      <c r="J110" s="168">
        <v>77.05</v>
      </c>
      <c r="K110" s="168">
        <v>68.61</v>
      </c>
      <c r="L110" s="73">
        <f t="shared" si="34"/>
        <v>0</v>
      </c>
      <c r="M110" s="73">
        <f t="shared" si="35"/>
        <v>0</v>
      </c>
      <c r="N110" s="73">
        <f t="shared" si="36"/>
        <v>0</v>
      </c>
      <c r="O110" s="72">
        <f t="shared" si="37"/>
        <v>0</v>
      </c>
      <c r="P110" s="72">
        <f t="shared" si="38"/>
        <v>0</v>
      </c>
      <c r="Q110" s="72">
        <f t="shared" si="39"/>
        <v>0</v>
      </c>
      <c r="R110" s="75">
        <f>IFERROR(O110*'Fechamento fiscal'!AN14,"")</f>
        <v>0</v>
      </c>
      <c r="S110" s="75">
        <f>P110*'Gás fiscal'!H11</f>
        <v>0</v>
      </c>
      <c r="T110" s="104">
        <f>Q110*'Volumes de água'!$C$13</f>
        <v>0</v>
      </c>
      <c r="U110" s="191"/>
      <c r="V110" s="192"/>
      <c r="W110" s="193"/>
    </row>
    <row r="111" spans="1:23" x14ac:dyDescent="0.25">
      <c r="A111" s="42">
        <v>10</v>
      </c>
      <c r="B111" s="16" t="s">
        <v>114</v>
      </c>
      <c r="C111" s="16">
        <v>24</v>
      </c>
      <c r="D111" s="148">
        <v>0</v>
      </c>
      <c r="E111" s="148">
        <v>0</v>
      </c>
      <c r="F111" s="43">
        <f t="shared" si="31"/>
        <v>0</v>
      </c>
      <c r="G111" s="43">
        <f t="shared" si="32"/>
        <v>0</v>
      </c>
      <c r="H111" s="43">
        <f t="shared" si="33"/>
        <v>0</v>
      </c>
      <c r="I111" s="168">
        <v>0.65</v>
      </c>
      <c r="J111" s="168">
        <v>77.05</v>
      </c>
      <c r="K111" s="168">
        <v>68.61</v>
      </c>
      <c r="L111" s="73">
        <f t="shared" si="34"/>
        <v>0</v>
      </c>
      <c r="M111" s="73">
        <f t="shared" si="35"/>
        <v>0</v>
      </c>
      <c r="N111" s="73">
        <f t="shared" si="36"/>
        <v>0</v>
      </c>
      <c r="O111" s="72">
        <f t="shared" si="37"/>
        <v>0</v>
      </c>
      <c r="P111" s="72">
        <f t="shared" si="38"/>
        <v>0</v>
      </c>
      <c r="Q111" s="72">
        <f t="shared" si="39"/>
        <v>0</v>
      </c>
      <c r="R111" s="75">
        <f>IFERROR(O111*'Fechamento fiscal'!AN15,"")</f>
        <v>0</v>
      </c>
      <c r="S111" s="75">
        <f>P111*'Gás fiscal'!H12</f>
        <v>0</v>
      </c>
      <c r="T111" s="104">
        <f>Q111*'Volumes de água'!$C$14</f>
        <v>0</v>
      </c>
      <c r="U111" s="191"/>
      <c r="V111" s="192"/>
      <c r="W111" s="193"/>
    </row>
    <row r="112" spans="1:23" x14ac:dyDescent="0.25">
      <c r="A112" s="42">
        <v>11</v>
      </c>
      <c r="B112" s="16" t="s">
        <v>114</v>
      </c>
      <c r="C112" s="16">
        <v>24</v>
      </c>
      <c r="D112" s="148">
        <v>0</v>
      </c>
      <c r="E112" s="148">
        <v>0</v>
      </c>
      <c r="F112" s="43">
        <f t="shared" si="31"/>
        <v>0</v>
      </c>
      <c r="G112" s="43">
        <f t="shared" si="32"/>
        <v>0</v>
      </c>
      <c r="H112" s="43">
        <f t="shared" si="33"/>
        <v>0</v>
      </c>
      <c r="I112" s="168">
        <v>0.65</v>
      </c>
      <c r="J112" s="168">
        <v>77.05</v>
      </c>
      <c r="K112" s="168">
        <v>68.61</v>
      </c>
      <c r="L112" s="73">
        <f t="shared" si="34"/>
        <v>0</v>
      </c>
      <c r="M112" s="73">
        <f t="shared" si="35"/>
        <v>0</v>
      </c>
      <c r="N112" s="73">
        <f t="shared" si="36"/>
        <v>0</v>
      </c>
      <c r="O112" s="72">
        <f t="shared" si="37"/>
        <v>0</v>
      </c>
      <c r="P112" s="72">
        <f t="shared" si="38"/>
        <v>0</v>
      </c>
      <c r="Q112" s="72">
        <f t="shared" si="39"/>
        <v>0</v>
      </c>
      <c r="R112" s="75">
        <f>IFERROR(O112*'Fechamento fiscal'!AN16,"")</f>
        <v>0</v>
      </c>
      <c r="S112" s="75">
        <f>P112*'Gás fiscal'!H13</f>
        <v>0</v>
      </c>
      <c r="T112" s="104">
        <f>Q112*'Volumes de água'!$C$15</f>
        <v>0</v>
      </c>
      <c r="U112" s="191"/>
      <c r="V112" s="192"/>
      <c r="W112" s="193"/>
    </row>
    <row r="113" spans="1:23" x14ac:dyDescent="0.25">
      <c r="A113" s="42">
        <v>12</v>
      </c>
      <c r="B113" s="16" t="s">
        <v>114</v>
      </c>
      <c r="C113" s="16">
        <v>24</v>
      </c>
      <c r="D113" s="148">
        <v>0</v>
      </c>
      <c r="E113" s="148">
        <v>0</v>
      </c>
      <c r="F113" s="43">
        <f t="shared" si="31"/>
        <v>0</v>
      </c>
      <c r="G113" s="43">
        <f t="shared" si="32"/>
        <v>0</v>
      </c>
      <c r="H113" s="43">
        <f t="shared" si="33"/>
        <v>0</v>
      </c>
      <c r="I113" s="168">
        <v>0.65</v>
      </c>
      <c r="J113" s="168">
        <v>77.05</v>
      </c>
      <c r="K113" s="168">
        <v>68.61</v>
      </c>
      <c r="L113" s="73">
        <f t="shared" si="34"/>
        <v>0</v>
      </c>
      <c r="M113" s="73">
        <f t="shared" si="35"/>
        <v>0</v>
      </c>
      <c r="N113" s="73">
        <f t="shared" si="36"/>
        <v>0</v>
      </c>
      <c r="O113" s="72">
        <f t="shared" si="37"/>
        <v>0</v>
      </c>
      <c r="P113" s="72">
        <f t="shared" si="38"/>
        <v>0</v>
      </c>
      <c r="Q113" s="72">
        <f t="shared" si="39"/>
        <v>0</v>
      </c>
      <c r="R113" s="75">
        <f>IFERROR(O113*'Fechamento fiscal'!AN17,"")</f>
        <v>0</v>
      </c>
      <c r="S113" s="75">
        <f>P113*'Gás fiscal'!H14</f>
        <v>0</v>
      </c>
      <c r="T113" s="104">
        <f>Q113*'Volumes de água'!$C$16</f>
        <v>0</v>
      </c>
      <c r="U113" s="191"/>
      <c r="V113" s="192"/>
      <c r="W113" s="193"/>
    </row>
    <row r="114" spans="1:23" x14ac:dyDescent="0.25">
      <c r="A114" s="42">
        <v>13</v>
      </c>
      <c r="B114" s="16" t="s">
        <v>114</v>
      </c>
      <c r="C114" s="16">
        <v>24</v>
      </c>
      <c r="D114" s="148">
        <v>0</v>
      </c>
      <c r="E114" s="148">
        <v>0</v>
      </c>
      <c r="F114" s="43">
        <f t="shared" si="31"/>
        <v>0</v>
      </c>
      <c r="G114" s="43">
        <f t="shared" si="32"/>
        <v>0</v>
      </c>
      <c r="H114" s="43">
        <f t="shared" si="33"/>
        <v>0</v>
      </c>
      <c r="I114" s="168">
        <v>0.65</v>
      </c>
      <c r="J114" s="168">
        <v>77.05</v>
      </c>
      <c r="K114" s="168">
        <v>68.61</v>
      </c>
      <c r="L114" s="73">
        <f t="shared" si="34"/>
        <v>0</v>
      </c>
      <c r="M114" s="73">
        <f t="shared" si="35"/>
        <v>0</v>
      </c>
      <c r="N114" s="73">
        <f t="shared" si="36"/>
        <v>0</v>
      </c>
      <c r="O114" s="72">
        <f t="shared" si="37"/>
        <v>0</v>
      </c>
      <c r="P114" s="72">
        <f t="shared" si="38"/>
        <v>0</v>
      </c>
      <c r="Q114" s="72">
        <f t="shared" si="39"/>
        <v>0</v>
      </c>
      <c r="R114" s="75">
        <f>IFERROR(O114*'Fechamento fiscal'!AN18,"")</f>
        <v>0</v>
      </c>
      <c r="S114" s="75">
        <f>P114*'Gás fiscal'!H15</f>
        <v>0</v>
      </c>
      <c r="T114" s="104">
        <f>Q114*'Volumes de água'!$C$17</f>
        <v>0</v>
      </c>
      <c r="U114" s="191"/>
      <c r="V114" s="192"/>
      <c r="W114" s="193"/>
    </row>
    <row r="115" spans="1:23" x14ac:dyDescent="0.25">
      <c r="A115" s="42">
        <v>14</v>
      </c>
      <c r="B115" s="16" t="s">
        <v>114</v>
      </c>
      <c r="C115" s="16">
        <v>24</v>
      </c>
      <c r="D115" s="148">
        <v>0</v>
      </c>
      <c r="E115" s="148">
        <v>0</v>
      </c>
      <c r="F115" s="43">
        <f t="shared" si="31"/>
        <v>0</v>
      </c>
      <c r="G115" s="43">
        <f t="shared" si="32"/>
        <v>0</v>
      </c>
      <c r="H115" s="43">
        <f t="shared" si="33"/>
        <v>0</v>
      </c>
      <c r="I115" s="168">
        <v>0.65</v>
      </c>
      <c r="J115" s="168">
        <v>77.05</v>
      </c>
      <c r="K115" s="168">
        <v>68.61</v>
      </c>
      <c r="L115" s="73">
        <f t="shared" si="34"/>
        <v>0</v>
      </c>
      <c r="M115" s="73">
        <f t="shared" si="35"/>
        <v>0</v>
      </c>
      <c r="N115" s="73">
        <f t="shared" si="36"/>
        <v>0</v>
      </c>
      <c r="O115" s="72">
        <f t="shared" si="37"/>
        <v>0</v>
      </c>
      <c r="P115" s="72">
        <f t="shared" si="38"/>
        <v>0</v>
      </c>
      <c r="Q115" s="72">
        <f t="shared" si="39"/>
        <v>0</v>
      </c>
      <c r="R115" s="75">
        <f>IFERROR(O115*'Fechamento fiscal'!AN19,"")</f>
        <v>0</v>
      </c>
      <c r="S115" s="75">
        <f>P115*'Gás fiscal'!H16</f>
        <v>0</v>
      </c>
      <c r="T115" s="104">
        <f>Q115*'Volumes de água'!$C$18</f>
        <v>0</v>
      </c>
      <c r="U115" s="191"/>
      <c r="V115" s="192"/>
      <c r="W115" s="193"/>
    </row>
    <row r="116" spans="1:23" x14ac:dyDescent="0.25">
      <c r="A116" s="42">
        <v>15</v>
      </c>
      <c r="B116" s="16" t="s">
        <v>114</v>
      </c>
      <c r="C116" s="16">
        <v>24</v>
      </c>
      <c r="D116" s="148">
        <v>0</v>
      </c>
      <c r="E116" s="148">
        <v>0</v>
      </c>
      <c r="F116" s="43">
        <f t="shared" si="31"/>
        <v>0</v>
      </c>
      <c r="G116" s="43">
        <f t="shared" si="32"/>
        <v>0</v>
      </c>
      <c r="H116" s="43">
        <f t="shared" si="33"/>
        <v>0</v>
      </c>
      <c r="I116" s="168">
        <v>0.65</v>
      </c>
      <c r="J116" s="168">
        <v>77.05</v>
      </c>
      <c r="K116" s="168">
        <v>68.61</v>
      </c>
      <c r="L116" s="73">
        <f t="shared" si="34"/>
        <v>0</v>
      </c>
      <c r="M116" s="73">
        <f t="shared" si="35"/>
        <v>0</v>
      </c>
      <c r="N116" s="73">
        <f t="shared" si="36"/>
        <v>0</v>
      </c>
      <c r="O116" s="72">
        <f t="shared" si="37"/>
        <v>0</v>
      </c>
      <c r="P116" s="72">
        <f t="shared" si="38"/>
        <v>0</v>
      </c>
      <c r="Q116" s="72">
        <f t="shared" si="39"/>
        <v>0</v>
      </c>
      <c r="R116" s="75">
        <f>IFERROR(O116*'Fechamento fiscal'!AN20,"")</f>
        <v>0</v>
      </c>
      <c r="S116" s="75">
        <f>P116*'Gás fiscal'!H17</f>
        <v>0</v>
      </c>
      <c r="T116" s="104">
        <f>Q116*'Volumes de água'!$C$19</f>
        <v>0</v>
      </c>
      <c r="U116" s="191"/>
      <c r="V116" s="192"/>
      <c r="W116" s="193"/>
    </row>
    <row r="117" spans="1:23" x14ac:dyDescent="0.25">
      <c r="A117" s="42">
        <v>16</v>
      </c>
      <c r="B117" s="16" t="s">
        <v>114</v>
      </c>
      <c r="C117" s="16">
        <v>24</v>
      </c>
      <c r="D117" s="148">
        <v>0</v>
      </c>
      <c r="E117" s="148">
        <v>0</v>
      </c>
      <c r="F117" s="43">
        <f t="shared" si="31"/>
        <v>0</v>
      </c>
      <c r="G117" s="43">
        <f t="shared" si="32"/>
        <v>0</v>
      </c>
      <c r="H117" s="43">
        <f t="shared" si="33"/>
        <v>0</v>
      </c>
      <c r="I117" s="168">
        <v>0.65</v>
      </c>
      <c r="J117" s="168">
        <v>77.05</v>
      </c>
      <c r="K117" s="168">
        <v>68.61</v>
      </c>
      <c r="L117" s="73">
        <f t="shared" si="34"/>
        <v>0</v>
      </c>
      <c r="M117" s="73">
        <f t="shared" si="35"/>
        <v>0</v>
      </c>
      <c r="N117" s="73">
        <f t="shared" si="36"/>
        <v>0</v>
      </c>
      <c r="O117" s="72">
        <f t="shared" si="37"/>
        <v>0</v>
      </c>
      <c r="P117" s="72">
        <f t="shared" si="38"/>
        <v>0</v>
      </c>
      <c r="Q117" s="72">
        <f t="shared" si="39"/>
        <v>0</v>
      </c>
      <c r="R117" s="75">
        <f>IFERROR(O117*'Fechamento fiscal'!AN21,"")</f>
        <v>0</v>
      </c>
      <c r="S117" s="75">
        <f>P117*'Gás fiscal'!H18</f>
        <v>0</v>
      </c>
      <c r="T117" s="104">
        <f>Q117*'Volumes de água'!$C$20</f>
        <v>0</v>
      </c>
      <c r="U117" s="191"/>
      <c r="V117" s="192"/>
      <c r="W117" s="193"/>
    </row>
    <row r="118" spans="1:23" x14ac:dyDescent="0.25">
      <c r="A118" s="42">
        <v>17</v>
      </c>
      <c r="B118" s="16" t="s">
        <v>114</v>
      </c>
      <c r="C118" s="16">
        <v>24</v>
      </c>
      <c r="D118" s="148">
        <v>0</v>
      </c>
      <c r="E118" s="148">
        <v>0</v>
      </c>
      <c r="F118" s="43">
        <f t="shared" si="31"/>
        <v>0</v>
      </c>
      <c r="G118" s="43">
        <f t="shared" si="32"/>
        <v>0</v>
      </c>
      <c r="H118" s="43">
        <f t="shared" si="33"/>
        <v>0</v>
      </c>
      <c r="I118" s="168">
        <v>0.65</v>
      </c>
      <c r="J118" s="168">
        <v>77.05</v>
      </c>
      <c r="K118" s="168">
        <v>68.61</v>
      </c>
      <c r="L118" s="73">
        <f t="shared" si="34"/>
        <v>0</v>
      </c>
      <c r="M118" s="73">
        <f t="shared" si="35"/>
        <v>0</v>
      </c>
      <c r="N118" s="73">
        <f t="shared" si="36"/>
        <v>0</v>
      </c>
      <c r="O118" s="72">
        <f t="shared" si="37"/>
        <v>0</v>
      </c>
      <c r="P118" s="72">
        <f t="shared" si="38"/>
        <v>0</v>
      </c>
      <c r="Q118" s="72">
        <f t="shared" si="39"/>
        <v>0</v>
      </c>
      <c r="R118" s="75">
        <f>IFERROR(O118*'Fechamento fiscal'!AN22,"")</f>
        <v>0</v>
      </c>
      <c r="S118" s="75">
        <f>P118*'Gás fiscal'!H19</f>
        <v>0</v>
      </c>
      <c r="T118" s="104">
        <f>Q118*'Volumes de água'!$C$21</f>
        <v>0</v>
      </c>
      <c r="U118" s="191"/>
      <c r="V118" s="192"/>
      <c r="W118" s="193"/>
    </row>
    <row r="119" spans="1:23" x14ac:dyDescent="0.25">
      <c r="A119" s="42">
        <v>18</v>
      </c>
      <c r="B119" s="16" t="s">
        <v>114</v>
      </c>
      <c r="C119" s="16">
        <v>24</v>
      </c>
      <c r="D119" s="148">
        <v>0</v>
      </c>
      <c r="E119" s="148">
        <v>0</v>
      </c>
      <c r="F119" s="43">
        <f t="shared" si="31"/>
        <v>0</v>
      </c>
      <c r="G119" s="43">
        <f t="shared" si="32"/>
        <v>0</v>
      </c>
      <c r="H119" s="43">
        <f t="shared" si="33"/>
        <v>0</v>
      </c>
      <c r="I119" s="168">
        <v>0.65</v>
      </c>
      <c r="J119" s="168">
        <v>77.05</v>
      </c>
      <c r="K119" s="168">
        <v>68.61</v>
      </c>
      <c r="L119" s="73">
        <f t="shared" si="34"/>
        <v>0</v>
      </c>
      <c r="M119" s="73">
        <f t="shared" si="35"/>
        <v>0</v>
      </c>
      <c r="N119" s="73">
        <f t="shared" si="36"/>
        <v>0</v>
      </c>
      <c r="O119" s="72">
        <f t="shared" si="37"/>
        <v>0</v>
      </c>
      <c r="P119" s="72">
        <f t="shared" si="38"/>
        <v>0</v>
      </c>
      <c r="Q119" s="72">
        <f t="shared" si="39"/>
        <v>0</v>
      </c>
      <c r="R119" s="75">
        <f>IFERROR(O119*'Fechamento fiscal'!AN23,"")</f>
        <v>0</v>
      </c>
      <c r="S119" s="75">
        <f>P119*'Gás fiscal'!H20</f>
        <v>0</v>
      </c>
      <c r="T119" s="104">
        <f>Q119*'Volumes de água'!$C$22</f>
        <v>0</v>
      </c>
      <c r="U119" s="191"/>
      <c r="V119" s="192"/>
      <c r="W119" s="193"/>
    </row>
    <row r="120" spans="1:23" x14ac:dyDescent="0.25">
      <c r="A120" s="42">
        <v>19</v>
      </c>
      <c r="B120" s="16" t="s">
        <v>114</v>
      </c>
      <c r="C120" s="16">
        <v>24</v>
      </c>
      <c r="D120" s="148">
        <v>0</v>
      </c>
      <c r="E120" s="148">
        <v>0</v>
      </c>
      <c r="F120" s="43">
        <f t="shared" si="31"/>
        <v>0</v>
      </c>
      <c r="G120" s="43">
        <f t="shared" si="32"/>
        <v>0</v>
      </c>
      <c r="H120" s="43">
        <f t="shared" si="33"/>
        <v>0</v>
      </c>
      <c r="I120" s="168">
        <v>0.65</v>
      </c>
      <c r="J120" s="168">
        <v>77.05</v>
      </c>
      <c r="K120" s="168">
        <v>68.61</v>
      </c>
      <c r="L120" s="73">
        <f t="shared" si="34"/>
        <v>0</v>
      </c>
      <c r="M120" s="73">
        <f t="shared" si="35"/>
        <v>0</v>
      </c>
      <c r="N120" s="73">
        <f t="shared" si="36"/>
        <v>0</v>
      </c>
      <c r="O120" s="72">
        <f t="shared" si="37"/>
        <v>0</v>
      </c>
      <c r="P120" s="72">
        <f t="shared" si="38"/>
        <v>0</v>
      </c>
      <c r="Q120" s="72">
        <f t="shared" si="39"/>
        <v>0</v>
      </c>
      <c r="R120" s="75">
        <f>IFERROR(O120*'Fechamento fiscal'!AN24,"")</f>
        <v>0</v>
      </c>
      <c r="S120" s="75">
        <f>P120*'Gás fiscal'!H21</f>
        <v>0</v>
      </c>
      <c r="T120" s="104">
        <f>Q120*'Volumes de água'!$C$23</f>
        <v>0</v>
      </c>
      <c r="U120" s="191"/>
      <c r="V120" s="192"/>
      <c r="W120" s="193"/>
    </row>
    <row r="121" spans="1:23" x14ac:dyDescent="0.25">
      <c r="A121" s="42">
        <v>20</v>
      </c>
      <c r="B121" s="16" t="s">
        <v>114</v>
      </c>
      <c r="C121" s="16">
        <v>24</v>
      </c>
      <c r="D121" s="148">
        <v>0</v>
      </c>
      <c r="E121" s="148">
        <v>0</v>
      </c>
      <c r="F121" s="43">
        <f t="shared" si="31"/>
        <v>0</v>
      </c>
      <c r="G121" s="43">
        <f t="shared" si="32"/>
        <v>0</v>
      </c>
      <c r="H121" s="43">
        <f t="shared" si="33"/>
        <v>0</v>
      </c>
      <c r="I121" s="168">
        <v>0.65</v>
      </c>
      <c r="J121" s="168">
        <v>77.05</v>
      </c>
      <c r="K121" s="168">
        <v>68.61</v>
      </c>
      <c r="L121" s="73">
        <f t="shared" si="34"/>
        <v>0</v>
      </c>
      <c r="M121" s="73">
        <f t="shared" si="35"/>
        <v>0</v>
      </c>
      <c r="N121" s="73">
        <f t="shared" si="36"/>
        <v>0</v>
      </c>
      <c r="O121" s="72">
        <f t="shared" si="37"/>
        <v>0</v>
      </c>
      <c r="P121" s="72">
        <f t="shared" si="38"/>
        <v>0</v>
      </c>
      <c r="Q121" s="72">
        <f t="shared" si="39"/>
        <v>0</v>
      </c>
      <c r="R121" s="75">
        <f>IFERROR(O121*'Fechamento fiscal'!AN25,"")</f>
        <v>0</v>
      </c>
      <c r="S121" s="75">
        <f>P121*'Gás fiscal'!H22</f>
        <v>0</v>
      </c>
      <c r="T121" s="104">
        <f>Q121*'Volumes de água'!$C$24</f>
        <v>0</v>
      </c>
      <c r="U121" s="191"/>
      <c r="V121" s="192"/>
      <c r="W121" s="193"/>
    </row>
    <row r="122" spans="1:23" x14ac:dyDescent="0.25">
      <c r="A122" s="42">
        <v>21</v>
      </c>
      <c r="B122" s="16" t="s">
        <v>114</v>
      </c>
      <c r="C122" s="16">
        <v>24</v>
      </c>
      <c r="D122" s="148">
        <v>7.5</v>
      </c>
      <c r="E122" s="148">
        <v>7.5</v>
      </c>
      <c r="F122" s="43">
        <f t="shared" si="31"/>
        <v>7.5</v>
      </c>
      <c r="G122" s="43">
        <f t="shared" si="32"/>
        <v>7.5</v>
      </c>
      <c r="H122" s="43">
        <f t="shared" si="33"/>
        <v>7.5</v>
      </c>
      <c r="I122" s="168">
        <v>0.65</v>
      </c>
      <c r="J122" s="168">
        <v>77.05</v>
      </c>
      <c r="K122" s="168">
        <v>68.61</v>
      </c>
      <c r="L122" s="73">
        <f t="shared" si="34"/>
        <v>0.203125</v>
      </c>
      <c r="M122" s="73">
        <f t="shared" si="35"/>
        <v>24.078125</v>
      </c>
      <c r="N122" s="73">
        <f t="shared" si="36"/>
        <v>21.440625000000001</v>
      </c>
      <c r="O122" s="72">
        <f t="shared" si="37"/>
        <v>2.6613356247205599E-3</v>
      </c>
      <c r="P122" s="72">
        <f t="shared" si="38"/>
        <v>5.2271108783307407E-3</v>
      </c>
      <c r="Q122" s="72">
        <f t="shared" si="39"/>
        <v>1.1858229431476739E-2</v>
      </c>
      <c r="R122" s="75">
        <f>IFERROR(O122*'Fechamento fiscal'!AN26,"")</f>
        <v>0.16637712937193616</v>
      </c>
      <c r="S122" s="75">
        <f>P122*'Gás fiscal'!H23</f>
        <v>21.849323471422498</v>
      </c>
      <c r="T122" s="104">
        <f>Q122*'Volumes de água'!$C$25</f>
        <v>32.610130936561035</v>
      </c>
      <c r="U122" s="191"/>
      <c r="V122" s="192"/>
      <c r="W122" s="193"/>
    </row>
    <row r="123" spans="1:23" x14ac:dyDescent="0.25">
      <c r="A123" s="42">
        <v>22</v>
      </c>
      <c r="B123" s="16" t="s">
        <v>114</v>
      </c>
      <c r="C123" s="16">
        <v>24</v>
      </c>
      <c r="D123" s="148">
        <v>24</v>
      </c>
      <c r="E123" s="148">
        <v>24</v>
      </c>
      <c r="F123" s="43">
        <f t="shared" si="31"/>
        <v>24</v>
      </c>
      <c r="G123" s="43">
        <f t="shared" si="32"/>
        <v>24</v>
      </c>
      <c r="H123" s="43">
        <f t="shared" si="33"/>
        <v>24</v>
      </c>
      <c r="I123" s="168">
        <v>0.65</v>
      </c>
      <c r="J123" s="168">
        <v>77.05</v>
      </c>
      <c r="K123" s="168">
        <v>68.61</v>
      </c>
      <c r="L123" s="73">
        <f t="shared" si="34"/>
        <v>0.65</v>
      </c>
      <c r="M123" s="73">
        <f t="shared" si="35"/>
        <v>77.05</v>
      </c>
      <c r="N123" s="73">
        <f t="shared" si="36"/>
        <v>68.61</v>
      </c>
      <c r="O123" s="72">
        <f t="shared" si="37"/>
        <v>1.0663604298252808E-2</v>
      </c>
      <c r="P123" s="72">
        <f t="shared" si="38"/>
        <v>1.7000678703279575E-2</v>
      </c>
      <c r="Q123" s="72">
        <f t="shared" si="39"/>
        <v>4.5019485642041931E-2</v>
      </c>
      <c r="R123" s="75">
        <f>IFERROR(O123*'Fechamento fiscal'!AN27,"")</f>
        <v>0.19700246989197229</v>
      </c>
      <c r="S123" s="75">
        <f>P123*'Gás fiscal'!H24</f>
        <v>80.022194656336964</v>
      </c>
      <c r="T123" s="104">
        <f>Q123*'Volumes de água'!$C$26</f>
        <v>126.54977413977987</v>
      </c>
      <c r="U123" s="191"/>
      <c r="V123" s="192"/>
      <c r="W123" s="193"/>
    </row>
    <row r="124" spans="1:23" x14ac:dyDescent="0.25">
      <c r="A124" s="42">
        <v>23</v>
      </c>
      <c r="B124" s="16" t="s">
        <v>114</v>
      </c>
      <c r="C124" s="16">
        <v>24</v>
      </c>
      <c r="D124" s="148">
        <v>21</v>
      </c>
      <c r="E124" s="148">
        <v>21</v>
      </c>
      <c r="F124" s="43">
        <f t="shared" si="31"/>
        <v>21</v>
      </c>
      <c r="G124" s="43">
        <f t="shared" si="32"/>
        <v>21</v>
      </c>
      <c r="H124" s="43">
        <f t="shared" si="33"/>
        <v>21</v>
      </c>
      <c r="I124" s="168">
        <v>0.65</v>
      </c>
      <c r="J124" s="168">
        <v>77.05</v>
      </c>
      <c r="K124" s="168">
        <v>68.61</v>
      </c>
      <c r="L124" s="73">
        <f t="shared" si="34"/>
        <v>0.56874999999999998</v>
      </c>
      <c r="M124" s="73">
        <f t="shared" si="35"/>
        <v>67.418750000000003</v>
      </c>
      <c r="N124" s="73">
        <f t="shared" si="36"/>
        <v>60.033749999999998</v>
      </c>
      <c r="O124" s="72">
        <f t="shared" si="37"/>
        <v>1.3186866692273981E-2</v>
      </c>
      <c r="P124" s="72">
        <f t="shared" si="38"/>
        <v>2.7919706427112452E-2</v>
      </c>
      <c r="Q124" s="72">
        <f t="shared" si="39"/>
        <v>5.5473009268740908E-2</v>
      </c>
      <c r="R124" s="75">
        <f>IFERROR(O124*'Fechamento fiscal'!AN28,"")</f>
        <v>-4.343814315132451E-3</v>
      </c>
      <c r="S124" s="75">
        <f>P124*'Gás fiscal'!H25</f>
        <v>58.966419974061502</v>
      </c>
      <c r="T124" s="104">
        <f>Q124*'Volumes de água'!$C$27</f>
        <v>83.542351958723813</v>
      </c>
      <c r="U124" s="191"/>
      <c r="V124" s="192"/>
      <c r="W124" s="193"/>
    </row>
    <row r="125" spans="1:23" x14ac:dyDescent="0.25">
      <c r="A125" s="42">
        <v>24</v>
      </c>
      <c r="B125" s="16" t="s">
        <v>114</v>
      </c>
      <c r="C125" s="16">
        <v>24</v>
      </c>
      <c r="D125" s="148">
        <v>18.600000000000001</v>
      </c>
      <c r="E125" s="148">
        <v>18.600000000000001</v>
      </c>
      <c r="F125" s="43">
        <f t="shared" si="31"/>
        <v>18.600000000000001</v>
      </c>
      <c r="G125" s="43">
        <f t="shared" si="32"/>
        <v>18.600000000000001</v>
      </c>
      <c r="H125" s="43">
        <f t="shared" si="33"/>
        <v>18.600000000000001</v>
      </c>
      <c r="I125" s="168">
        <v>0.65</v>
      </c>
      <c r="J125" s="168">
        <v>77.05</v>
      </c>
      <c r="K125" s="168">
        <v>68.61</v>
      </c>
      <c r="L125" s="73">
        <f t="shared" si="34"/>
        <v>0.50375000000000003</v>
      </c>
      <c r="M125" s="73">
        <f t="shared" si="35"/>
        <v>59.713749999999997</v>
      </c>
      <c r="N125" s="73">
        <f t="shared" si="36"/>
        <v>53.172750000000001</v>
      </c>
      <c r="O125" s="72">
        <f t="shared" si="37"/>
        <v>8.1508988236816977E-3</v>
      </c>
      <c r="P125" s="72">
        <f t="shared" si="38"/>
        <v>2.1222426689414313E-2</v>
      </c>
      <c r="Q125" s="72">
        <f t="shared" si="39"/>
        <v>3.6000553487500198E-2</v>
      </c>
      <c r="R125" s="75">
        <f>IFERROR(O125*'Fechamento fiscal'!AN29,"")</f>
        <v>-1.0796229837982364E-3</v>
      </c>
      <c r="S125" s="75">
        <f>P125*'Gás fiscal'!H26</f>
        <v>50.42448581404841</v>
      </c>
      <c r="T125" s="104">
        <f>Q125*'Volumes de água'!$C$28</f>
        <v>47.556731156987759</v>
      </c>
      <c r="U125" s="191"/>
      <c r="V125" s="192"/>
      <c r="W125" s="193"/>
    </row>
    <row r="126" spans="1:23" x14ac:dyDescent="0.25">
      <c r="A126" s="42">
        <v>25</v>
      </c>
      <c r="B126" s="16" t="s">
        <v>114</v>
      </c>
      <c r="C126" s="16">
        <v>24</v>
      </c>
      <c r="D126" s="148">
        <v>24</v>
      </c>
      <c r="E126" s="148">
        <v>24</v>
      </c>
      <c r="F126" s="43">
        <f t="shared" si="31"/>
        <v>24</v>
      </c>
      <c r="G126" s="43">
        <f t="shared" si="32"/>
        <v>24</v>
      </c>
      <c r="H126" s="43">
        <f t="shared" si="33"/>
        <v>24</v>
      </c>
      <c r="I126" s="168">
        <v>0.65</v>
      </c>
      <c r="J126" s="168">
        <v>77.05</v>
      </c>
      <c r="K126" s="168">
        <v>68.61</v>
      </c>
      <c r="L126" s="73">
        <f t="shared" si="34"/>
        <v>0.65</v>
      </c>
      <c r="M126" s="73">
        <f t="shared" si="35"/>
        <v>77.05</v>
      </c>
      <c r="N126" s="73">
        <f t="shared" si="36"/>
        <v>68.61</v>
      </c>
      <c r="O126" s="72">
        <f t="shared" si="37"/>
        <v>8.974409127204196E-3</v>
      </c>
      <c r="P126" s="72">
        <f t="shared" si="38"/>
        <v>1.8246748014482072E-2</v>
      </c>
      <c r="Q126" s="72">
        <f t="shared" si="39"/>
        <v>4.1648109140586878E-2</v>
      </c>
      <c r="R126" s="75">
        <f>IFERROR(O126*'Fechamento fiscal'!AN30,"")</f>
        <v>0.56141685025533483</v>
      </c>
      <c r="S126" s="75">
        <f>P126*'Gás fiscal'!H27</f>
        <v>86.799780304891215</v>
      </c>
      <c r="T126" s="104">
        <f>Q126*'Volumes de água'!$C$29</f>
        <v>113.99087471778628</v>
      </c>
      <c r="U126" s="191"/>
      <c r="V126" s="192"/>
      <c r="W126" s="193"/>
    </row>
    <row r="127" spans="1:23" x14ac:dyDescent="0.25">
      <c r="A127" s="42">
        <v>26</v>
      </c>
      <c r="B127" s="16" t="s">
        <v>114</v>
      </c>
      <c r="C127" s="16">
        <v>24</v>
      </c>
      <c r="D127" s="148">
        <v>24</v>
      </c>
      <c r="E127" s="148">
        <v>24</v>
      </c>
      <c r="F127" s="43">
        <f t="shared" si="31"/>
        <v>24</v>
      </c>
      <c r="G127" s="43">
        <f t="shared" si="32"/>
        <v>24</v>
      </c>
      <c r="H127" s="43">
        <f t="shared" si="33"/>
        <v>24</v>
      </c>
      <c r="I127" s="168">
        <v>0.65</v>
      </c>
      <c r="J127" s="168">
        <v>77.05</v>
      </c>
      <c r="K127" s="168">
        <v>68.61</v>
      </c>
      <c r="L127" s="73">
        <f t="shared" si="34"/>
        <v>0.65</v>
      </c>
      <c r="M127" s="73">
        <f t="shared" si="35"/>
        <v>77.05</v>
      </c>
      <c r="N127" s="73">
        <f t="shared" si="36"/>
        <v>68.61</v>
      </c>
      <c r="O127" s="72">
        <f t="shared" si="37"/>
        <v>8.755230689104004E-3</v>
      </c>
      <c r="P127" s="72">
        <f t="shared" si="38"/>
        <v>1.7491568348955995E-2</v>
      </c>
      <c r="Q127" s="72">
        <f t="shared" si="39"/>
        <v>3.9563899455450968E-2</v>
      </c>
      <c r="R127" s="75">
        <f>IFERROR(O127*'Fechamento fiscal'!AN31,"")</f>
        <v>0.53637551051465726</v>
      </c>
      <c r="S127" s="75">
        <f>P127*'Gás fiscal'!H28</f>
        <v>82.175388103395264</v>
      </c>
      <c r="T127" s="104">
        <f>Q127*'Volumes de água'!$C$30</f>
        <v>110.81848237471816</v>
      </c>
      <c r="U127" s="191"/>
      <c r="V127" s="192"/>
      <c r="W127" s="193"/>
    </row>
    <row r="128" spans="1:23" x14ac:dyDescent="0.25">
      <c r="A128" s="42">
        <v>27</v>
      </c>
      <c r="B128" s="16" t="s">
        <v>114</v>
      </c>
      <c r="C128" s="16">
        <v>24</v>
      </c>
      <c r="D128" s="148">
        <v>24</v>
      </c>
      <c r="E128" s="148">
        <v>24</v>
      </c>
      <c r="F128" s="43">
        <f t="shared" si="31"/>
        <v>24</v>
      </c>
      <c r="G128" s="43">
        <f t="shared" si="32"/>
        <v>24</v>
      </c>
      <c r="H128" s="43">
        <f t="shared" si="33"/>
        <v>24</v>
      </c>
      <c r="I128" s="168">
        <v>0.65</v>
      </c>
      <c r="J128" s="168">
        <v>77.05</v>
      </c>
      <c r="K128" s="168">
        <v>68.61</v>
      </c>
      <c r="L128" s="73">
        <f t="shared" si="34"/>
        <v>0.65</v>
      </c>
      <c r="M128" s="73">
        <f t="shared" si="35"/>
        <v>77.05</v>
      </c>
      <c r="N128" s="73">
        <f t="shared" si="36"/>
        <v>68.61</v>
      </c>
      <c r="O128" s="72">
        <f t="shared" si="37"/>
        <v>8.5490882068616301E-3</v>
      </c>
      <c r="P128" s="72">
        <f t="shared" si="38"/>
        <v>1.5453810780873236E-2</v>
      </c>
      <c r="Q128" s="72">
        <f t="shared" si="39"/>
        <v>3.5430121141347193E-2</v>
      </c>
      <c r="R128" s="75">
        <f>IFERROR(O128*'Fechamento fiscal'!AN32,"")</f>
        <v>3.1271004678867453E-3</v>
      </c>
      <c r="S128" s="75">
        <f>P128*'Gás fiscal'!H29</f>
        <v>73.80740028945057</v>
      </c>
      <c r="T128" s="104">
        <f>Q128*'Volumes de água'!$C$31</f>
        <v>105.08573930523578</v>
      </c>
      <c r="U128" s="191"/>
      <c r="V128" s="192"/>
      <c r="W128" s="193"/>
    </row>
    <row r="129" spans="1:23" x14ac:dyDescent="0.25">
      <c r="A129" s="42">
        <v>28</v>
      </c>
      <c r="B129" s="16" t="s">
        <v>114</v>
      </c>
      <c r="C129" s="16">
        <v>24</v>
      </c>
      <c r="D129" s="148">
        <v>24</v>
      </c>
      <c r="E129" s="148">
        <v>24</v>
      </c>
      <c r="F129" s="43">
        <f t="shared" si="31"/>
        <v>24</v>
      </c>
      <c r="G129" s="43">
        <f t="shared" si="32"/>
        <v>24</v>
      </c>
      <c r="H129" s="43">
        <f t="shared" si="33"/>
        <v>24</v>
      </c>
      <c r="I129" s="168">
        <v>0.65</v>
      </c>
      <c r="J129" s="168">
        <v>77.05</v>
      </c>
      <c r="K129" s="168">
        <v>68.61</v>
      </c>
      <c r="L129" s="73">
        <f t="shared" si="34"/>
        <v>0.65</v>
      </c>
      <c r="M129" s="73">
        <f t="shared" si="35"/>
        <v>77.05</v>
      </c>
      <c r="N129" s="73">
        <f t="shared" si="36"/>
        <v>68.61</v>
      </c>
      <c r="O129" s="72">
        <f t="shared" si="37"/>
        <v>8.9069972456823892E-3</v>
      </c>
      <c r="P129" s="72">
        <f t="shared" si="38"/>
        <v>1.8731112389834683E-2</v>
      </c>
      <c r="Q129" s="72">
        <f t="shared" si="39"/>
        <v>4.0995203732449678E-2</v>
      </c>
      <c r="R129" s="75">
        <f>IFERROR(O129*'Fechamento fiscal'!AN33,"")</f>
        <v>1.4563262789728305E-3</v>
      </c>
      <c r="S129" s="75">
        <f>P129*'Gás fiscal'!H30</f>
        <v>78.857983161204018</v>
      </c>
      <c r="T129" s="104">
        <f>Q129*'Volumes de água'!$C$32</f>
        <v>110.31809324402208</v>
      </c>
      <c r="U129" s="191"/>
      <c r="V129" s="192"/>
      <c r="W129" s="193"/>
    </row>
    <row r="130" spans="1:23" x14ac:dyDescent="0.25">
      <c r="A130" s="42">
        <v>29</v>
      </c>
      <c r="B130" s="16" t="s">
        <v>114</v>
      </c>
      <c r="C130" s="16">
        <v>24</v>
      </c>
      <c r="D130" s="148">
        <v>24</v>
      </c>
      <c r="E130" s="148">
        <v>24</v>
      </c>
      <c r="F130" s="43">
        <f t="shared" si="31"/>
        <v>24</v>
      </c>
      <c r="G130" s="43">
        <f t="shared" si="32"/>
        <v>24</v>
      </c>
      <c r="H130" s="43">
        <f t="shared" si="33"/>
        <v>24</v>
      </c>
      <c r="I130" s="168">
        <v>0.65</v>
      </c>
      <c r="J130" s="168">
        <v>77.05</v>
      </c>
      <c r="K130" s="168">
        <v>68.61</v>
      </c>
      <c r="L130" s="73">
        <f t="shared" si="34"/>
        <v>0.65</v>
      </c>
      <c r="M130" s="73">
        <f t="shared" si="35"/>
        <v>77.05</v>
      </c>
      <c r="N130" s="73">
        <f t="shared" si="36"/>
        <v>68.61</v>
      </c>
      <c r="O130" s="72">
        <f t="shared" si="37"/>
        <v>9.1719817124795398E-3</v>
      </c>
      <c r="P130" s="72">
        <f t="shared" si="38"/>
        <v>1.8950762328540795E-2</v>
      </c>
      <c r="Q130" s="72">
        <f t="shared" si="39"/>
        <v>4.3625612004832455E-2</v>
      </c>
      <c r="R130" s="75">
        <f>IFERROR(O130*'Fechamento fiscal'!AN34,"")</f>
        <v>0.55608064784468092</v>
      </c>
      <c r="S130" s="75">
        <f>P130*'Gás fiscal'!H31</f>
        <v>87.874684917443659</v>
      </c>
      <c r="T130" s="104">
        <f>Q130*'Volumes de água'!$C$33</f>
        <v>117.65827557703314</v>
      </c>
      <c r="U130" s="191"/>
      <c r="V130" s="192"/>
      <c r="W130" s="193"/>
    </row>
    <row r="131" spans="1:23" x14ac:dyDescent="0.25">
      <c r="A131" s="42">
        <v>30</v>
      </c>
      <c r="B131" s="16" t="s">
        <v>114</v>
      </c>
      <c r="C131" s="16">
        <v>24</v>
      </c>
      <c r="D131" s="148">
        <v>24</v>
      </c>
      <c r="E131" s="148">
        <v>24</v>
      </c>
      <c r="F131" s="43">
        <f t="shared" si="31"/>
        <v>24</v>
      </c>
      <c r="G131" s="43">
        <f t="shared" si="32"/>
        <v>24</v>
      </c>
      <c r="H131" s="43">
        <f t="shared" si="33"/>
        <v>24</v>
      </c>
      <c r="I131" s="168">
        <v>0.65</v>
      </c>
      <c r="J131" s="168">
        <v>77.05</v>
      </c>
      <c r="K131" s="168">
        <v>68.61</v>
      </c>
      <c r="L131" s="73">
        <f t="shared" si="34"/>
        <v>0.65</v>
      </c>
      <c r="M131" s="73">
        <f t="shared" si="35"/>
        <v>77.05</v>
      </c>
      <c r="N131" s="73">
        <f t="shared" si="36"/>
        <v>68.61</v>
      </c>
      <c r="O131" s="72">
        <f t="shared" si="37"/>
        <v>1.2498077218889401E-2</v>
      </c>
      <c r="P131" s="72">
        <f t="shared" si="38"/>
        <v>1.6843114964151272E-2</v>
      </c>
      <c r="Q131" s="72">
        <f t="shared" si="39"/>
        <v>5.0083764932604816E-2</v>
      </c>
      <c r="R131" s="75">
        <f>IFERROR(O131*'Fechamento fiscal'!AN35,"")</f>
        <v>0.18189646662512052</v>
      </c>
      <c r="S131" s="75">
        <f>P131*'Gás fiscal'!H32</f>
        <v>76.754074891637345</v>
      </c>
      <c r="T131" s="104">
        <f>Q131*'Volumes de água'!$C$34</f>
        <v>137.07926462053939</v>
      </c>
      <c r="U131" s="191"/>
      <c r="V131" s="192"/>
      <c r="W131" s="193"/>
    </row>
    <row r="132" spans="1:23" x14ac:dyDescent="0.25">
      <c r="A132" s="42">
        <v>31</v>
      </c>
      <c r="B132" s="16" t="s">
        <v>114</v>
      </c>
      <c r="C132" s="16">
        <v>24</v>
      </c>
      <c r="D132" s="148"/>
      <c r="E132" s="148"/>
      <c r="F132" s="43">
        <f>IF(OR(C132="",E132=""),0,IF(E132&gt;C132,E132,E132/C132*24))</f>
        <v>0</v>
      </c>
      <c r="G132" s="43">
        <f>IF(OR(C132="",D132=""),0,IF(D132&gt;C132,D132,D132/C132*24))</f>
        <v>0</v>
      </c>
      <c r="H132" s="43">
        <f>IF(OR(C132="",D132=""),0,IF(D132&gt;C132,D132,D132/C132*24))</f>
        <v>0</v>
      </c>
      <c r="I132" s="168">
        <v>0.65</v>
      </c>
      <c r="J132" s="168">
        <v>77.05</v>
      </c>
      <c r="K132" s="168">
        <v>68.61</v>
      </c>
      <c r="L132" s="73">
        <f>I132*(G132/C132)</f>
        <v>0</v>
      </c>
      <c r="M132" s="73">
        <f>J132*(F132/C132)</f>
        <v>0</v>
      </c>
      <c r="N132" s="73">
        <f>K132*(H132/C132)</f>
        <v>0</v>
      </c>
      <c r="O132" s="72">
        <f t="shared" si="37"/>
        <v>0</v>
      </c>
      <c r="P132" s="72">
        <f t="shared" si="38"/>
        <v>0</v>
      </c>
      <c r="Q132" s="72">
        <f t="shared" si="39"/>
        <v>0</v>
      </c>
      <c r="R132" s="75" t="str">
        <f>IFERROR(O132*'Fechamento fiscal'!AN36,"")</f>
        <v/>
      </c>
      <c r="S132" s="75">
        <f>P132*'Gás fiscal'!H33</f>
        <v>0</v>
      </c>
      <c r="T132" s="104">
        <f>Q132*'Volumes de água'!$C$35</f>
        <v>0</v>
      </c>
      <c r="U132" s="191"/>
      <c r="V132" s="192"/>
      <c r="W132" s="193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115</v>
      </c>
      <c r="C134" s="16">
        <v>24</v>
      </c>
      <c r="D134" s="148">
        <v>14.5</v>
      </c>
      <c r="E134" s="148">
        <v>14.5</v>
      </c>
      <c r="F134" s="43">
        <f>IF(OR(C134="",E134=""),0,IF(E134&gt;C134,E134,E134/C134*24))</f>
        <v>14.5</v>
      </c>
      <c r="G134" s="43">
        <f>IF(OR(C134="",D134=""),0,IF(D134&gt;C134,D134,D134/C134*24))</f>
        <v>14.5</v>
      </c>
      <c r="H134" s="43">
        <f>IF(OR(C134="",D134=""),0,IF(D134&gt;C134,D134,D134/C134*24))</f>
        <v>14.5</v>
      </c>
      <c r="I134" s="168">
        <v>10.119999999999999</v>
      </c>
      <c r="J134" s="168">
        <v>1017.54</v>
      </c>
      <c r="K134" s="168">
        <v>484.37</v>
      </c>
      <c r="L134" s="73">
        <f>I134*(G134/C134)</f>
        <v>6.1141666666666659</v>
      </c>
      <c r="M134" s="73">
        <f>J134*(F134/C134)</f>
        <v>614.76374999999996</v>
      </c>
      <c r="N134" s="73">
        <f>K134*(H134/C134)</f>
        <v>292.64020833333331</v>
      </c>
      <c r="O134" s="72">
        <f>IF(D134&lt;&gt;0,L134/(L6+L38+L70+L102+L134+L166+L198+L230+L262+L294+L326+L358),0)</f>
        <v>0.12067374667559205</v>
      </c>
      <c r="P134" s="72">
        <f>IF(E134&lt;&gt;0,M134/(M6+M38+M70+M102+M134+M166+M198+M230+M262+M294),0)</f>
        <v>0.219256710518514</v>
      </c>
      <c r="Q134" s="72">
        <f t="shared" ref="Q134" si="40">IF(F134&lt;&gt;0,N134/(N6+N38+N70+N102+N134+N166+N198+N230+N262+N294+N326+N358),0)</f>
        <v>0.26909006270970681</v>
      </c>
      <c r="R134" s="75">
        <f>IFERROR(O134*'Fechamento fiscal'!AN6,"")</f>
        <v>1.0229781160970385E-2</v>
      </c>
      <c r="S134" s="75">
        <f>P134*'Gás fiscal'!H3</f>
        <v>680.57282944946746</v>
      </c>
      <c r="T134" s="104">
        <f>Q134*'Volumes de água'!$C$5</f>
        <v>378.87880829526716</v>
      </c>
      <c r="U134" s="191"/>
      <c r="V134" s="192"/>
      <c r="W134" s="193"/>
    </row>
    <row r="135" spans="1:23" x14ac:dyDescent="0.25">
      <c r="A135" s="42">
        <v>2</v>
      </c>
      <c r="B135" s="16" t="s">
        <v>115</v>
      </c>
      <c r="C135" s="16">
        <v>24</v>
      </c>
      <c r="D135" s="148">
        <v>23</v>
      </c>
      <c r="E135" s="148">
        <v>23</v>
      </c>
      <c r="F135" s="43">
        <f t="shared" ref="F135:F163" si="41">IF(OR(C135="",E135=""),0,IF(E135&gt;C135,E135,E135/C135*24))</f>
        <v>23</v>
      </c>
      <c r="G135" s="43">
        <f t="shared" ref="G135:G163" si="42">IF(OR(C135="",D135=""),0,IF(D135&gt;C135,D135,D135/C135*24))</f>
        <v>23</v>
      </c>
      <c r="H135" s="43">
        <f t="shared" ref="H135:H163" si="43">IF(OR(C135="",D135=""),0,IF(D135&gt;C135,D135,D135/C135*24))</f>
        <v>23</v>
      </c>
      <c r="I135" s="168">
        <v>10.119999999999999</v>
      </c>
      <c r="J135" s="168">
        <v>1017.54</v>
      </c>
      <c r="K135" s="168">
        <v>484.37</v>
      </c>
      <c r="L135" s="73">
        <f t="shared" ref="L135:L163" si="44">I135*(G135/C135)</f>
        <v>9.6983333333333324</v>
      </c>
      <c r="M135" s="73">
        <f t="shared" ref="M135:M163" si="45">J135*(F135/C135)</f>
        <v>975.14250000000004</v>
      </c>
      <c r="N135" s="73">
        <f t="shared" ref="N135:N163" si="46">K135*(H135/C135)</f>
        <v>464.18791666666669</v>
      </c>
      <c r="O135" s="72">
        <f t="shared" ref="O135:O164" si="47">IF(D135&lt;&gt;0,L135/(L7+L39+L71+L103+L135+L167+L199+L231+L263+L295+L327+L359),0)</f>
        <v>0.13859596263934917</v>
      </c>
      <c r="P135" s="72">
        <f t="shared" ref="P135:P164" si="48">IF(E135&lt;&gt;0,M135/(M7+M39+M71+M103+M135+M167+M199+M231+M263+M295),0)</f>
        <v>0.24769597032146873</v>
      </c>
      <c r="Q135" s="72">
        <f t="shared" ref="Q135:Q164" si="49">IF(F135&lt;&gt;0,N135/(N7+N39+N71+N103+N135+N167+N199+N231+N263+N295+N327+N359),0)</f>
        <v>0.30149699666988267</v>
      </c>
      <c r="R135" s="75">
        <f>IFERROR(O135*'Fechamento fiscal'!AN7,"")</f>
        <v>7.2532963742856085</v>
      </c>
      <c r="S135" s="75">
        <f>P135*'Gás fiscal'!H4</f>
        <v>1105.2194195743934</v>
      </c>
      <c r="T135" s="104">
        <f>Q135*'Volumes de água'!$C$6</f>
        <v>622.28980112663783</v>
      </c>
      <c r="U135" s="191"/>
      <c r="V135" s="192"/>
      <c r="W135" s="193"/>
    </row>
    <row r="136" spans="1:23" x14ac:dyDescent="0.25">
      <c r="A136" s="42">
        <v>3</v>
      </c>
      <c r="B136" s="16" t="s">
        <v>115</v>
      </c>
      <c r="C136" s="16">
        <v>24</v>
      </c>
      <c r="D136" s="148">
        <v>24</v>
      </c>
      <c r="E136" s="148">
        <v>24</v>
      </c>
      <c r="F136" s="43">
        <f t="shared" si="41"/>
        <v>24</v>
      </c>
      <c r="G136" s="43">
        <f t="shared" si="42"/>
        <v>24</v>
      </c>
      <c r="H136" s="43">
        <f t="shared" si="43"/>
        <v>24</v>
      </c>
      <c r="I136" s="168">
        <v>10.119999999999999</v>
      </c>
      <c r="J136" s="168">
        <v>1017.54</v>
      </c>
      <c r="K136" s="168">
        <v>484.37</v>
      </c>
      <c r="L136" s="73">
        <f t="shared" si="44"/>
        <v>10.119999999999999</v>
      </c>
      <c r="M136" s="73">
        <f t="shared" si="45"/>
        <v>1017.54</v>
      </c>
      <c r="N136" s="73">
        <f t="shared" si="46"/>
        <v>484.37</v>
      </c>
      <c r="O136" s="72">
        <f t="shared" si="47"/>
        <v>0.1385959626393492</v>
      </c>
      <c r="P136" s="72">
        <f t="shared" si="48"/>
        <v>0.2476959703214687</v>
      </c>
      <c r="Q136" s="72">
        <f t="shared" si="49"/>
        <v>0.30149699666988267</v>
      </c>
      <c r="R136" s="75">
        <f>IFERROR(O136*'Fechamento fiscal'!AN8,"")</f>
        <v>8.6518986237844668</v>
      </c>
      <c r="S136" s="75">
        <f>P136*'Gás fiscal'!H5</f>
        <v>1182.2528663443702</v>
      </c>
      <c r="T136" s="104">
        <f>Q136*'Volumes de água'!$C$7</f>
        <v>635.55566898011261</v>
      </c>
      <c r="U136" s="191"/>
      <c r="V136" s="192"/>
      <c r="W136" s="193"/>
    </row>
    <row r="137" spans="1:23" x14ac:dyDescent="0.25">
      <c r="A137" s="42">
        <v>4</v>
      </c>
      <c r="B137" s="16" t="s">
        <v>115</v>
      </c>
      <c r="C137" s="16">
        <v>24</v>
      </c>
      <c r="D137" s="148">
        <v>24</v>
      </c>
      <c r="E137" s="148">
        <v>24</v>
      </c>
      <c r="F137" s="43">
        <f t="shared" si="41"/>
        <v>24</v>
      </c>
      <c r="G137" s="43">
        <f t="shared" si="42"/>
        <v>24</v>
      </c>
      <c r="H137" s="43">
        <f t="shared" si="43"/>
        <v>24</v>
      </c>
      <c r="I137" s="168">
        <v>10.119999999999999</v>
      </c>
      <c r="J137" s="168">
        <v>1017.54</v>
      </c>
      <c r="K137" s="168">
        <v>484.37</v>
      </c>
      <c r="L137" s="73">
        <f t="shared" si="44"/>
        <v>10.119999999999999</v>
      </c>
      <c r="M137" s="73">
        <f t="shared" si="45"/>
        <v>1017.54</v>
      </c>
      <c r="N137" s="73">
        <f t="shared" si="46"/>
        <v>484.37</v>
      </c>
      <c r="O137" s="72">
        <f t="shared" si="47"/>
        <v>0.1385959626393492</v>
      </c>
      <c r="P137" s="72">
        <f t="shared" si="48"/>
        <v>0.2476959703214687</v>
      </c>
      <c r="Q137" s="72">
        <f t="shared" si="49"/>
        <v>0.30149699666988267</v>
      </c>
      <c r="R137" s="75">
        <f>IFERROR(O137*'Fechamento fiscal'!AN9,"")</f>
        <v>8.6867432675846956</v>
      </c>
      <c r="S137" s="75">
        <f>P137*'Gás fiscal'!H6</f>
        <v>1146.5846466180785</v>
      </c>
      <c r="T137" s="104">
        <f>Q137*'Volumes de água'!$C$8</f>
        <v>635.55566898011261</v>
      </c>
      <c r="U137" s="191"/>
      <c r="V137" s="192"/>
      <c r="W137" s="193"/>
    </row>
    <row r="138" spans="1:23" x14ac:dyDescent="0.25">
      <c r="A138" s="42">
        <v>5</v>
      </c>
      <c r="B138" s="16" t="s">
        <v>115</v>
      </c>
      <c r="C138" s="16">
        <v>24</v>
      </c>
      <c r="D138" s="148">
        <v>23.5</v>
      </c>
      <c r="E138" s="148">
        <v>23.5</v>
      </c>
      <c r="F138" s="43">
        <f t="shared" si="41"/>
        <v>23.5</v>
      </c>
      <c r="G138" s="43">
        <f t="shared" si="42"/>
        <v>23.5</v>
      </c>
      <c r="H138" s="43">
        <f t="shared" si="43"/>
        <v>23.5</v>
      </c>
      <c r="I138" s="168">
        <v>10.119999999999999</v>
      </c>
      <c r="J138" s="168">
        <v>1017.54</v>
      </c>
      <c r="K138" s="168">
        <v>484.37</v>
      </c>
      <c r="L138" s="73">
        <f t="shared" si="44"/>
        <v>9.9091666666666658</v>
      </c>
      <c r="M138" s="73">
        <f t="shared" si="45"/>
        <v>996.34124999999995</v>
      </c>
      <c r="N138" s="73">
        <f t="shared" si="46"/>
        <v>474.27895833333332</v>
      </c>
      <c r="O138" s="72">
        <f t="shared" si="47"/>
        <v>0.1385959626393492</v>
      </c>
      <c r="P138" s="72">
        <f t="shared" si="48"/>
        <v>0.24769597032146873</v>
      </c>
      <c r="Q138" s="72">
        <f t="shared" si="49"/>
        <v>0.30149699666988267</v>
      </c>
      <c r="R138" s="75">
        <f>IFERROR(O138*'Fechamento fiscal'!AN10,"")</f>
        <v>8.71395164116438</v>
      </c>
      <c r="S138" s="75">
        <f>P138*'Gás fiscal'!H7</f>
        <v>1124.0443133188251</v>
      </c>
      <c r="T138" s="104">
        <f>Q138*'Volumes de água'!$C$9</f>
        <v>623.79728610998723</v>
      </c>
      <c r="U138" s="191"/>
      <c r="V138" s="192"/>
      <c r="W138" s="193"/>
    </row>
    <row r="139" spans="1:23" x14ac:dyDescent="0.25">
      <c r="A139" s="42">
        <v>6</v>
      </c>
      <c r="B139" s="16" t="s">
        <v>115</v>
      </c>
      <c r="C139" s="16">
        <v>24</v>
      </c>
      <c r="D139" s="148">
        <v>23.5</v>
      </c>
      <c r="E139" s="148">
        <v>23.5</v>
      </c>
      <c r="F139" s="43">
        <f t="shared" si="41"/>
        <v>23.5</v>
      </c>
      <c r="G139" s="43">
        <f t="shared" si="42"/>
        <v>23.5</v>
      </c>
      <c r="H139" s="43">
        <f t="shared" si="43"/>
        <v>23.5</v>
      </c>
      <c r="I139" s="168">
        <v>10.119999999999999</v>
      </c>
      <c r="J139" s="168">
        <v>1017.54</v>
      </c>
      <c r="K139" s="168">
        <v>484.37</v>
      </c>
      <c r="L139" s="73">
        <f t="shared" si="44"/>
        <v>9.9091666666666658</v>
      </c>
      <c r="M139" s="73">
        <f t="shared" si="45"/>
        <v>996.34124999999995</v>
      </c>
      <c r="N139" s="73">
        <f t="shared" si="46"/>
        <v>474.27895833333332</v>
      </c>
      <c r="O139" s="72">
        <f t="shared" si="47"/>
        <v>0.1385959626393492</v>
      </c>
      <c r="P139" s="72">
        <f t="shared" si="48"/>
        <v>0.24769597032146873</v>
      </c>
      <c r="Q139" s="72">
        <f t="shared" si="49"/>
        <v>0.30149699666988267</v>
      </c>
      <c r="R139" s="75">
        <f>IFERROR(O139*'Fechamento fiscal'!AN11,"")</f>
        <v>2.6970819696102936E-2</v>
      </c>
      <c r="S139" s="75">
        <f>P139*'Gás fiscal'!H8</f>
        <v>1147.823126469686</v>
      </c>
      <c r="T139" s="104">
        <f>Q139*'Volumes de água'!$C$10</f>
        <v>600.88351436307619</v>
      </c>
      <c r="U139" s="191"/>
      <c r="V139" s="192"/>
      <c r="W139" s="193"/>
    </row>
    <row r="140" spans="1:23" x14ac:dyDescent="0.25">
      <c r="A140" s="42">
        <v>7</v>
      </c>
      <c r="B140" s="16" t="s">
        <v>115</v>
      </c>
      <c r="C140" s="16">
        <v>24</v>
      </c>
      <c r="D140" s="148">
        <v>23.5</v>
      </c>
      <c r="E140" s="148">
        <v>23.5</v>
      </c>
      <c r="F140" s="43">
        <f t="shared" si="41"/>
        <v>23.5</v>
      </c>
      <c r="G140" s="43">
        <f t="shared" si="42"/>
        <v>23.5</v>
      </c>
      <c r="H140" s="43">
        <f t="shared" si="43"/>
        <v>23.5</v>
      </c>
      <c r="I140" s="168">
        <v>10.119999999999999</v>
      </c>
      <c r="J140" s="168">
        <v>1017.54</v>
      </c>
      <c r="K140" s="168">
        <v>484.37</v>
      </c>
      <c r="L140" s="73">
        <f t="shared" si="44"/>
        <v>9.9091666666666658</v>
      </c>
      <c r="M140" s="73">
        <f t="shared" si="45"/>
        <v>996.34124999999995</v>
      </c>
      <c r="N140" s="73">
        <f t="shared" si="46"/>
        <v>474.27895833333332</v>
      </c>
      <c r="O140" s="72">
        <f t="shared" si="47"/>
        <v>0.13891168518179953</v>
      </c>
      <c r="P140" s="72">
        <f t="shared" si="48"/>
        <v>0.24888783555797447</v>
      </c>
      <c r="Q140" s="72">
        <f t="shared" si="49"/>
        <v>0.30482069044285343</v>
      </c>
      <c r="R140" s="75">
        <f>IFERROR(O140*'Fechamento fiscal'!AN12,"")</f>
        <v>-2.4551749128774469</v>
      </c>
      <c r="S140" s="75">
        <f>P140*'Gás fiscal'!H9</f>
        <v>1165.2928460824364</v>
      </c>
      <c r="T140" s="104">
        <f>Q140*'Volumes de água'!$C$11</f>
        <v>621.52938781297814</v>
      </c>
      <c r="U140" s="191"/>
      <c r="V140" s="192"/>
      <c r="W140" s="193"/>
    </row>
    <row r="141" spans="1:23" x14ac:dyDescent="0.25">
      <c r="A141" s="42">
        <v>8</v>
      </c>
      <c r="B141" s="16" t="s">
        <v>115</v>
      </c>
      <c r="C141" s="16">
        <v>24</v>
      </c>
      <c r="D141" s="148">
        <v>24</v>
      </c>
      <c r="E141" s="148">
        <v>24</v>
      </c>
      <c r="F141" s="43">
        <f t="shared" si="41"/>
        <v>24</v>
      </c>
      <c r="G141" s="43">
        <f t="shared" si="42"/>
        <v>24</v>
      </c>
      <c r="H141" s="43">
        <f t="shared" si="43"/>
        <v>24</v>
      </c>
      <c r="I141" s="168">
        <v>10.119999999999999</v>
      </c>
      <c r="J141" s="168">
        <v>1017.54</v>
      </c>
      <c r="K141" s="168">
        <v>484.37</v>
      </c>
      <c r="L141" s="73">
        <f t="shared" si="44"/>
        <v>10.119999999999999</v>
      </c>
      <c r="M141" s="73">
        <f t="shared" si="45"/>
        <v>1017.54</v>
      </c>
      <c r="N141" s="73">
        <f t="shared" si="46"/>
        <v>484.37</v>
      </c>
      <c r="O141" s="72">
        <f t="shared" si="47"/>
        <v>0.13984081361927925</v>
      </c>
      <c r="P141" s="72">
        <f t="shared" si="48"/>
        <v>0.25243055641694184</v>
      </c>
      <c r="Q141" s="72">
        <f t="shared" si="49"/>
        <v>0.31494726712355492</v>
      </c>
      <c r="R141" s="75">
        <f>IFERROR(O141*'Fechamento fiscal'!AN13,"")</f>
        <v>-6.9458345947310693E-2</v>
      </c>
      <c r="S141" s="75">
        <f>P141*'Gás fiscal'!H10</f>
        <v>1173.8020873387795</v>
      </c>
      <c r="T141" s="104">
        <f>Q141*'Volumes de água'!$C$12</f>
        <v>650.36610661014095</v>
      </c>
      <c r="U141" s="191"/>
      <c r="V141" s="192"/>
      <c r="W141" s="193"/>
    </row>
    <row r="142" spans="1:23" x14ac:dyDescent="0.25">
      <c r="A142" s="42">
        <v>9</v>
      </c>
      <c r="B142" s="16" t="s">
        <v>115</v>
      </c>
      <c r="C142" s="16">
        <v>24</v>
      </c>
      <c r="D142" s="148">
        <v>23.5</v>
      </c>
      <c r="E142" s="148">
        <v>23.5</v>
      </c>
      <c r="F142" s="43">
        <f t="shared" si="41"/>
        <v>23.5</v>
      </c>
      <c r="G142" s="43">
        <f t="shared" si="42"/>
        <v>23.5</v>
      </c>
      <c r="H142" s="43">
        <f t="shared" si="43"/>
        <v>23.5</v>
      </c>
      <c r="I142" s="168">
        <v>10.119999999999999</v>
      </c>
      <c r="J142" s="168">
        <v>1017.54</v>
      </c>
      <c r="K142" s="168">
        <v>484.37</v>
      </c>
      <c r="L142" s="73">
        <f t="shared" si="44"/>
        <v>9.9091666666666658</v>
      </c>
      <c r="M142" s="73">
        <f t="shared" si="45"/>
        <v>996.34124999999995</v>
      </c>
      <c r="N142" s="73">
        <f t="shared" si="46"/>
        <v>474.27895833333332</v>
      </c>
      <c r="O142" s="72">
        <f t="shared" si="47"/>
        <v>0.13984081361927925</v>
      </c>
      <c r="P142" s="72">
        <f t="shared" si="48"/>
        <v>0.25243055641694184</v>
      </c>
      <c r="Q142" s="72">
        <f t="shared" si="49"/>
        <v>0.31494726712355486</v>
      </c>
      <c r="R142" s="75">
        <f>IFERROR(O142*'Fechamento fiscal'!AN14,"")</f>
        <v>3.7556132624741485</v>
      </c>
      <c r="S142" s="75">
        <f>P142*'Gás fiscal'!H11</f>
        <v>1063.742364740993</v>
      </c>
      <c r="T142" s="104">
        <f>Q142*'Volumes de água'!$C$13</f>
        <v>622.33579983614436</v>
      </c>
      <c r="U142" s="191"/>
      <c r="V142" s="192"/>
      <c r="W142" s="193"/>
    </row>
    <row r="143" spans="1:23" x14ac:dyDescent="0.25">
      <c r="A143" s="42">
        <v>10</v>
      </c>
      <c r="B143" s="16" t="s">
        <v>115</v>
      </c>
      <c r="C143" s="16">
        <v>24</v>
      </c>
      <c r="D143" s="148">
        <v>24</v>
      </c>
      <c r="E143" s="148">
        <v>24</v>
      </c>
      <c r="F143" s="43">
        <f t="shared" si="41"/>
        <v>24</v>
      </c>
      <c r="G143" s="43">
        <f t="shared" si="42"/>
        <v>24</v>
      </c>
      <c r="H143" s="43">
        <f t="shared" si="43"/>
        <v>24</v>
      </c>
      <c r="I143" s="168">
        <v>10.119999999999999</v>
      </c>
      <c r="J143" s="168">
        <v>1017.54</v>
      </c>
      <c r="K143" s="168">
        <v>484.37</v>
      </c>
      <c r="L143" s="73">
        <f t="shared" si="44"/>
        <v>10.119999999999999</v>
      </c>
      <c r="M143" s="73">
        <f t="shared" si="45"/>
        <v>1017.54</v>
      </c>
      <c r="N143" s="73">
        <f t="shared" si="46"/>
        <v>484.37</v>
      </c>
      <c r="O143" s="72">
        <f t="shared" si="47"/>
        <v>0.1400585422562988</v>
      </c>
      <c r="P143" s="72">
        <f t="shared" si="48"/>
        <v>0.25313446301635273</v>
      </c>
      <c r="Q143" s="72">
        <f t="shared" si="49"/>
        <v>0.31675249726159532</v>
      </c>
      <c r="R143" s="75">
        <f>IFERROR(O143*'Fechamento fiscal'!AN15,"")</f>
        <v>8.7759099378396286</v>
      </c>
      <c r="S143" s="75">
        <f>P143*'Gás fiscal'!H12</f>
        <v>994.31217072823347</v>
      </c>
      <c r="T143" s="104">
        <f>Q143*'Volumes de água'!$C$14</f>
        <v>654.0939068451944</v>
      </c>
      <c r="U143" s="191"/>
      <c r="V143" s="192"/>
      <c r="W143" s="193"/>
    </row>
    <row r="144" spans="1:23" x14ac:dyDescent="0.25">
      <c r="A144" s="42">
        <v>11</v>
      </c>
      <c r="B144" s="16" t="s">
        <v>115</v>
      </c>
      <c r="C144" s="16">
        <v>24</v>
      </c>
      <c r="D144" s="148">
        <v>24</v>
      </c>
      <c r="E144" s="148">
        <v>24</v>
      </c>
      <c r="F144" s="43">
        <f t="shared" si="41"/>
        <v>24</v>
      </c>
      <c r="G144" s="43">
        <f t="shared" si="42"/>
        <v>24</v>
      </c>
      <c r="H144" s="43">
        <f t="shared" si="43"/>
        <v>24</v>
      </c>
      <c r="I144" s="168">
        <v>10.119999999999999</v>
      </c>
      <c r="J144" s="168">
        <v>1017.54</v>
      </c>
      <c r="K144" s="168">
        <v>484.37</v>
      </c>
      <c r="L144" s="73">
        <f t="shared" si="44"/>
        <v>10.119999999999999</v>
      </c>
      <c r="M144" s="73">
        <f t="shared" si="45"/>
        <v>1017.54</v>
      </c>
      <c r="N144" s="73">
        <f t="shared" si="46"/>
        <v>484.37</v>
      </c>
      <c r="O144" s="72">
        <f t="shared" si="47"/>
        <v>0.13984081361927925</v>
      </c>
      <c r="P144" s="72">
        <f t="shared" si="48"/>
        <v>0.25243055641694184</v>
      </c>
      <c r="Q144" s="72">
        <f t="shared" si="49"/>
        <v>0.31494726712355492</v>
      </c>
      <c r="R144" s="75">
        <f>IFERROR(O144*'Fechamento fiscal'!AN16,"")</f>
        <v>-6.6430419607785866E-3</v>
      </c>
      <c r="S144" s="75">
        <f>P144*'Gás fiscal'!H13</f>
        <v>1018.3048645859434</v>
      </c>
      <c r="T144" s="104">
        <f>Q144*'Volumes de água'!$C$15</f>
        <v>694.77367127456216</v>
      </c>
      <c r="U144" s="191"/>
      <c r="V144" s="192"/>
      <c r="W144" s="193"/>
    </row>
    <row r="145" spans="1:23" x14ac:dyDescent="0.25">
      <c r="A145" s="42">
        <v>12</v>
      </c>
      <c r="B145" s="16" t="s">
        <v>115</v>
      </c>
      <c r="C145" s="16">
        <v>24</v>
      </c>
      <c r="D145" s="148">
        <v>15.1</v>
      </c>
      <c r="E145" s="148">
        <v>15.1</v>
      </c>
      <c r="F145" s="43">
        <f t="shared" si="41"/>
        <v>15.1</v>
      </c>
      <c r="G145" s="43">
        <f t="shared" si="42"/>
        <v>15.1</v>
      </c>
      <c r="H145" s="43">
        <f t="shared" si="43"/>
        <v>15.1</v>
      </c>
      <c r="I145" s="168">
        <v>10.119999999999999</v>
      </c>
      <c r="J145" s="168">
        <v>1017.54</v>
      </c>
      <c r="K145" s="168">
        <v>484.37</v>
      </c>
      <c r="L145" s="73">
        <f t="shared" si="44"/>
        <v>6.367166666666666</v>
      </c>
      <c r="M145" s="73">
        <f t="shared" si="45"/>
        <v>640.20224999999994</v>
      </c>
      <c r="N145" s="73">
        <f t="shared" si="46"/>
        <v>304.74945833333334</v>
      </c>
      <c r="O145" s="72">
        <f t="shared" si="47"/>
        <v>0.10085442332035791</v>
      </c>
      <c r="P145" s="72">
        <f t="shared" si="48"/>
        <v>0.15927897284705173</v>
      </c>
      <c r="Q145" s="72">
        <f t="shared" si="49"/>
        <v>0.2224988810391525</v>
      </c>
      <c r="R145" s="75">
        <f>IFERROR(O145*'Fechamento fiscal'!AN17,"")</f>
        <v>-7.6173890326600394E-2</v>
      </c>
      <c r="S145" s="75">
        <f>P145*'Gás fiscal'!H14</f>
        <v>758.9643056162015</v>
      </c>
      <c r="T145" s="104">
        <f>Q145*'Volumes de água'!$C$16</f>
        <v>640.79677739275917</v>
      </c>
      <c r="U145" s="191"/>
      <c r="V145" s="192"/>
      <c r="W145" s="193"/>
    </row>
    <row r="146" spans="1:23" x14ac:dyDescent="0.25">
      <c r="A146" s="42">
        <v>13</v>
      </c>
      <c r="B146" s="16" t="s">
        <v>115</v>
      </c>
      <c r="C146" s="16">
        <v>24</v>
      </c>
      <c r="D146" s="148">
        <v>0</v>
      </c>
      <c r="E146" s="148">
        <v>0</v>
      </c>
      <c r="F146" s="43">
        <f t="shared" si="41"/>
        <v>0</v>
      </c>
      <c r="G146" s="43">
        <f t="shared" si="42"/>
        <v>0</v>
      </c>
      <c r="H146" s="43">
        <f t="shared" si="43"/>
        <v>0</v>
      </c>
      <c r="I146" s="168">
        <v>10.119999999999999</v>
      </c>
      <c r="J146" s="168">
        <v>1017.54</v>
      </c>
      <c r="K146" s="168">
        <v>484.37</v>
      </c>
      <c r="L146" s="73">
        <f t="shared" si="44"/>
        <v>0</v>
      </c>
      <c r="M146" s="73">
        <f t="shared" si="45"/>
        <v>0</v>
      </c>
      <c r="N146" s="73">
        <f t="shared" si="46"/>
        <v>0</v>
      </c>
      <c r="O146" s="72">
        <f t="shared" si="47"/>
        <v>0</v>
      </c>
      <c r="P146" s="72">
        <f t="shared" si="48"/>
        <v>0</v>
      </c>
      <c r="Q146" s="72">
        <f t="shared" si="49"/>
        <v>0</v>
      </c>
      <c r="R146" s="75">
        <f>IFERROR(O146*'Fechamento fiscal'!AN18,"")</f>
        <v>0</v>
      </c>
      <c r="S146" s="75">
        <f>P146*'Gás fiscal'!H15</f>
        <v>0</v>
      </c>
      <c r="T146" s="104">
        <f>Q146*'Volumes de água'!$C$17</f>
        <v>0</v>
      </c>
      <c r="U146" s="191"/>
      <c r="V146" s="192"/>
      <c r="W146" s="193"/>
    </row>
    <row r="147" spans="1:23" x14ac:dyDescent="0.25">
      <c r="A147" s="42">
        <v>14</v>
      </c>
      <c r="B147" s="16" t="s">
        <v>115</v>
      </c>
      <c r="C147" s="16">
        <v>24</v>
      </c>
      <c r="D147" s="148">
        <v>0</v>
      </c>
      <c r="E147" s="148">
        <v>0</v>
      </c>
      <c r="F147" s="43">
        <f t="shared" si="41"/>
        <v>0</v>
      </c>
      <c r="G147" s="43">
        <f t="shared" si="42"/>
        <v>0</v>
      </c>
      <c r="H147" s="43">
        <f t="shared" si="43"/>
        <v>0</v>
      </c>
      <c r="I147" s="168">
        <v>10.119999999999999</v>
      </c>
      <c r="J147" s="168">
        <v>1017.54</v>
      </c>
      <c r="K147" s="168">
        <v>484.37</v>
      </c>
      <c r="L147" s="73">
        <f t="shared" si="44"/>
        <v>0</v>
      </c>
      <c r="M147" s="73">
        <f t="shared" si="45"/>
        <v>0</v>
      </c>
      <c r="N147" s="73">
        <f t="shared" si="46"/>
        <v>0</v>
      </c>
      <c r="O147" s="72">
        <f t="shared" si="47"/>
        <v>0</v>
      </c>
      <c r="P147" s="72">
        <f t="shared" si="48"/>
        <v>0</v>
      </c>
      <c r="Q147" s="72">
        <f t="shared" si="49"/>
        <v>0</v>
      </c>
      <c r="R147" s="75">
        <f>IFERROR(O147*'Fechamento fiscal'!AN19,"")</f>
        <v>0</v>
      </c>
      <c r="S147" s="75">
        <f>P147*'Gás fiscal'!H16</f>
        <v>0</v>
      </c>
      <c r="T147" s="104">
        <f>Q147*'Volumes de água'!$C$18</f>
        <v>0</v>
      </c>
      <c r="U147" s="191"/>
      <c r="V147" s="192"/>
      <c r="W147" s="193"/>
    </row>
    <row r="148" spans="1:23" x14ac:dyDescent="0.25">
      <c r="A148" s="42">
        <v>15</v>
      </c>
      <c r="B148" s="16" t="s">
        <v>115</v>
      </c>
      <c r="C148" s="16">
        <v>24</v>
      </c>
      <c r="D148" s="148">
        <v>0</v>
      </c>
      <c r="E148" s="148">
        <v>0</v>
      </c>
      <c r="F148" s="43">
        <f t="shared" si="41"/>
        <v>0</v>
      </c>
      <c r="G148" s="43">
        <f t="shared" si="42"/>
        <v>0</v>
      </c>
      <c r="H148" s="43">
        <f t="shared" si="43"/>
        <v>0</v>
      </c>
      <c r="I148" s="168">
        <v>10.119999999999999</v>
      </c>
      <c r="J148" s="168">
        <v>1017.54</v>
      </c>
      <c r="K148" s="168">
        <v>484.37</v>
      </c>
      <c r="L148" s="73">
        <f t="shared" si="44"/>
        <v>0</v>
      </c>
      <c r="M148" s="73">
        <f t="shared" si="45"/>
        <v>0</v>
      </c>
      <c r="N148" s="73">
        <f t="shared" si="46"/>
        <v>0</v>
      </c>
      <c r="O148" s="72">
        <f t="shared" si="47"/>
        <v>0</v>
      </c>
      <c r="P148" s="72">
        <f t="shared" si="48"/>
        <v>0</v>
      </c>
      <c r="Q148" s="72">
        <f t="shared" si="49"/>
        <v>0</v>
      </c>
      <c r="R148" s="75">
        <f>IFERROR(O148*'Fechamento fiscal'!AN20,"")</f>
        <v>0</v>
      </c>
      <c r="S148" s="75">
        <f>P148*'Gás fiscal'!H17</f>
        <v>0</v>
      </c>
      <c r="T148" s="104">
        <f>Q148*'Volumes de água'!$C$19</f>
        <v>0</v>
      </c>
      <c r="U148" s="191"/>
      <c r="V148" s="192"/>
      <c r="W148" s="193"/>
    </row>
    <row r="149" spans="1:23" x14ac:dyDescent="0.25">
      <c r="A149" s="42">
        <v>16</v>
      </c>
      <c r="B149" s="16" t="s">
        <v>115</v>
      </c>
      <c r="C149" s="16">
        <v>24</v>
      </c>
      <c r="D149" s="148">
        <v>0</v>
      </c>
      <c r="E149" s="148">
        <v>0</v>
      </c>
      <c r="F149" s="43">
        <f t="shared" si="41"/>
        <v>0</v>
      </c>
      <c r="G149" s="43">
        <f t="shared" si="42"/>
        <v>0</v>
      </c>
      <c r="H149" s="43">
        <f t="shared" si="43"/>
        <v>0</v>
      </c>
      <c r="I149" s="168">
        <v>10.119999999999999</v>
      </c>
      <c r="J149" s="168">
        <v>1017.54</v>
      </c>
      <c r="K149" s="168">
        <v>484.37</v>
      </c>
      <c r="L149" s="73">
        <f t="shared" si="44"/>
        <v>0</v>
      </c>
      <c r="M149" s="73">
        <f t="shared" si="45"/>
        <v>0</v>
      </c>
      <c r="N149" s="73">
        <f t="shared" si="46"/>
        <v>0</v>
      </c>
      <c r="O149" s="72">
        <f t="shared" si="47"/>
        <v>0</v>
      </c>
      <c r="P149" s="72">
        <f t="shared" si="48"/>
        <v>0</v>
      </c>
      <c r="Q149" s="72">
        <f t="shared" si="49"/>
        <v>0</v>
      </c>
      <c r="R149" s="75">
        <f>IFERROR(O149*'Fechamento fiscal'!AN21,"")</f>
        <v>0</v>
      </c>
      <c r="S149" s="75">
        <f>P149*'Gás fiscal'!H18</f>
        <v>0</v>
      </c>
      <c r="T149" s="104">
        <f>Q149*'Volumes de água'!$C$20</f>
        <v>0</v>
      </c>
      <c r="U149" s="191"/>
      <c r="V149" s="192"/>
      <c r="W149" s="193"/>
    </row>
    <row r="150" spans="1:23" x14ac:dyDescent="0.25">
      <c r="A150" s="42">
        <v>17</v>
      </c>
      <c r="B150" s="16" t="s">
        <v>115</v>
      </c>
      <c r="C150" s="16">
        <v>24</v>
      </c>
      <c r="D150" s="148">
        <v>7.8</v>
      </c>
      <c r="E150" s="148">
        <v>7.8</v>
      </c>
      <c r="F150" s="43">
        <f t="shared" si="41"/>
        <v>7.8000000000000007</v>
      </c>
      <c r="G150" s="43">
        <f t="shared" si="42"/>
        <v>7.8000000000000007</v>
      </c>
      <c r="H150" s="43">
        <f t="shared" si="43"/>
        <v>7.8000000000000007</v>
      </c>
      <c r="I150" s="168">
        <v>10.119999999999999</v>
      </c>
      <c r="J150" s="168">
        <v>1017.54</v>
      </c>
      <c r="K150" s="168">
        <v>484.37</v>
      </c>
      <c r="L150" s="73">
        <f t="shared" si="44"/>
        <v>3.2889999999999997</v>
      </c>
      <c r="M150" s="73">
        <f t="shared" si="45"/>
        <v>330.70049999999998</v>
      </c>
      <c r="N150" s="73">
        <f t="shared" si="46"/>
        <v>157.42025000000001</v>
      </c>
      <c r="O150" s="72">
        <f t="shared" si="47"/>
        <v>4.4744037982777145E-2</v>
      </c>
      <c r="P150" s="72">
        <f t="shared" si="48"/>
        <v>7.6560788989338921E-2</v>
      </c>
      <c r="Q150" s="72">
        <f t="shared" si="49"/>
        <v>9.4745277677342046E-2</v>
      </c>
      <c r="R150" s="75">
        <f>IFERROR(O150*'Fechamento fiscal'!AN22,"")</f>
        <v>-1.7535724877752342E-2</v>
      </c>
      <c r="S150" s="75">
        <f>P150*'Gás fiscal'!H19</f>
        <v>362.59189665350914</v>
      </c>
      <c r="T150" s="104">
        <f>Q150*'Volumes de água'!$C$21</f>
        <v>256.66495722791961</v>
      </c>
      <c r="U150" s="191"/>
      <c r="V150" s="192"/>
      <c r="W150" s="193"/>
    </row>
    <row r="151" spans="1:23" x14ac:dyDescent="0.25">
      <c r="A151" s="42">
        <v>18</v>
      </c>
      <c r="B151" s="16" t="s">
        <v>115</v>
      </c>
      <c r="C151" s="16">
        <v>24</v>
      </c>
      <c r="D151" s="148">
        <v>24</v>
      </c>
      <c r="E151" s="148">
        <v>24</v>
      </c>
      <c r="F151" s="43">
        <f t="shared" si="41"/>
        <v>24</v>
      </c>
      <c r="G151" s="43">
        <f t="shared" si="42"/>
        <v>24</v>
      </c>
      <c r="H151" s="43">
        <f t="shared" si="43"/>
        <v>24</v>
      </c>
      <c r="I151" s="168">
        <v>10.119999999999999</v>
      </c>
      <c r="J151" s="168">
        <v>1017.54</v>
      </c>
      <c r="K151" s="168">
        <v>484.37</v>
      </c>
      <c r="L151" s="73">
        <f t="shared" si="44"/>
        <v>10.119999999999999</v>
      </c>
      <c r="M151" s="73">
        <f t="shared" si="45"/>
        <v>1017.54</v>
      </c>
      <c r="N151" s="73">
        <f t="shared" si="46"/>
        <v>484.37</v>
      </c>
      <c r="O151" s="72">
        <f t="shared" si="47"/>
        <v>0.12675403621424605</v>
      </c>
      <c r="P151" s="72">
        <f t="shared" si="48"/>
        <v>0.20325232889548236</v>
      </c>
      <c r="Q151" s="72">
        <f t="shared" si="49"/>
        <v>0.24473148205652354</v>
      </c>
      <c r="R151" s="75">
        <f>IFERROR(O151*'Fechamento fiscal'!AN23,"")</f>
        <v>-1.0527163440874461E-2</v>
      </c>
      <c r="S151" s="75">
        <f>P151*'Gás fiscal'!H20</f>
        <v>965.44856225354124</v>
      </c>
      <c r="T151" s="104">
        <f>Q151*'Volumes de água'!$C$22</f>
        <v>469.39498258441216</v>
      </c>
      <c r="U151" s="191"/>
      <c r="V151" s="192"/>
      <c r="W151" s="193"/>
    </row>
    <row r="152" spans="1:23" x14ac:dyDescent="0.25">
      <c r="A152" s="42">
        <v>19</v>
      </c>
      <c r="B152" s="16" t="s">
        <v>115</v>
      </c>
      <c r="C152" s="16">
        <v>24</v>
      </c>
      <c r="D152" s="148">
        <v>23</v>
      </c>
      <c r="E152" s="148">
        <v>23</v>
      </c>
      <c r="F152" s="43">
        <f t="shared" si="41"/>
        <v>23</v>
      </c>
      <c r="G152" s="43">
        <f t="shared" si="42"/>
        <v>23</v>
      </c>
      <c r="H152" s="43">
        <f t="shared" si="43"/>
        <v>23</v>
      </c>
      <c r="I152" s="168">
        <v>10.119999999999999</v>
      </c>
      <c r="J152" s="168">
        <v>1017.54</v>
      </c>
      <c r="K152" s="168">
        <v>484.37</v>
      </c>
      <c r="L152" s="73">
        <f t="shared" si="44"/>
        <v>9.6983333333333324</v>
      </c>
      <c r="M152" s="73">
        <f t="shared" si="45"/>
        <v>975.14250000000004</v>
      </c>
      <c r="N152" s="73">
        <f t="shared" si="46"/>
        <v>464.18791666666669</v>
      </c>
      <c r="O152" s="72">
        <f t="shared" si="47"/>
        <v>0.12283867317767221</v>
      </c>
      <c r="P152" s="72">
        <f t="shared" si="48"/>
        <v>0.19979181448469058</v>
      </c>
      <c r="Q152" s="72">
        <f t="shared" si="49"/>
        <v>0.23850826546381793</v>
      </c>
      <c r="R152" s="75">
        <f>IFERROR(O152*'Fechamento fiscal'!AN24,"")</f>
        <v>7.6528323884705491</v>
      </c>
      <c r="S152" s="75">
        <f>P152*'Gás fiscal'!H21</f>
        <v>901.66045876940859</v>
      </c>
      <c r="T152" s="104">
        <f>Q152*'Volumes de água'!$C$23</f>
        <v>645.40336634509129</v>
      </c>
      <c r="U152" s="191"/>
      <c r="V152" s="192"/>
      <c r="W152" s="193"/>
    </row>
    <row r="153" spans="1:23" x14ac:dyDescent="0.25">
      <c r="A153" s="42">
        <v>20</v>
      </c>
      <c r="B153" s="16" t="s">
        <v>115</v>
      </c>
      <c r="C153" s="16">
        <v>24</v>
      </c>
      <c r="D153" s="148">
        <v>3</v>
      </c>
      <c r="E153" s="148">
        <v>3</v>
      </c>
      <c r="F153" s="43">
        <f t="shared" si="41"/>
        <v>3</v>
      </c>
      <c r="G153" s="43">
        <f t="shared" si="42"/>
        <v>3</v>
      </c>
      <c r="H153" s="43">
        <f t="shared" si="43"/>
        <v>3</v>
      </c>
      <c r="I153" s="168">
        <v>10.119999999999999</v>
      </c>
      <c r="J153" s="168">
        <v>1017.54</v>
      </c>
      <c r="K153" s="168">
        <v>484.37</v>
      </c>
      <c r="L153" s="73">
        <f t="shared" si="44"/>
        <v>1.2649999999999999</v>
      </c>
      <c r="M153" s="73">
        <f t="shared" si="45"/>
        <v>127.1925</v>
      </c>
      <c r="N153" s="73">
        <f t="shared" si="46"/>
        <v>60.546250000000001</v>
      </c>
      <c r="O153" s="72">
        <f t="shared" si="47"/>
        <v>1.7696515255375401E-2</v>
      </c>
      <c r="P153" s="72">
        <f t="shared" si="48"/>
        <v>3.0902403386636641E-2</v>
      </c>
      <c r="Q153" s="72">
        <f t="shared" si="49"/>
        <v>3.8696693880127087E-2</v>
      </c>
      <c r="R153" s="75">
        <f>IFERROR(O153*'Fechamento fiscal'!AN25,"")</f>
        <v>1.1029156048397204</v>
      </c>
      <c r="S153" s="75">
        <f>P153*'Gás fiscal'!H22</f>
        <v>137.26847584343997</v>
      </c>
      <c r="T153" s="104">
        <f>Q153*'Volumes de água'!$C$24</f>
        <v>99.218323108645848</v>
      </c>
      <c r="U153" s="191"/>
      <c r="V153" s="192"/>
      <c r="W153" s="193"/>
    </row>
    <row r="154" spans="1:23" x14ac:dyDescent="0.25">
      <c r="A154" s="42">
        <v>21</v>
      </c>
      <c r="B154" s="16" t="s">
        <v>115</v>
      </c>
      <c r="C154" s="16">
        <v>24</v>
      </c>
      <c r="D154" s="148">
        <v>14</v>
      </c>
      <c r="E154" s="148">
        <v>14</v>
      </c>
      <c r="F154" s="43">
        <f t="shared" si="41"/>
        <v>14</v>
      </c>
      <c r="G154" s="43">
        <f t="shared" si="42"/>
        <v>14</v>
      </c>
      <c r="H154" s="43">
        <f t="shared" si="43"/>
        <v>14</v>
      </c>
      <c r="I154" s="168">
        <v>10.119999999999999</v>
      </c>
      <c r="J154" s="168">
        <v>1017.54</v>
      </c>
      <c r="K154" s="168">
        <v>484.37</v>
      </c>
      <c r="L154" s="73">
        <f t="shared" si="44"/>
        <v>5.9033333333333333</v>
      </c>
      <c r="M154" s="73">
        <f t="shared" si="45"/>
        <v>593.56500000000005</v>
      </c>
      <c r="N154" s="73">
        <f t="shared" si="46"/>
        <v>282.54916666666668</v>
      </c>
      <c r="O154" s="72">
        <f t="shared" si="47"/>
        <v>7.734523719187876E-2</v>
      </c>
      <c r="P154" s="72">
        <f t="shared" si="48"/>
        <v>0.12885679713417827</v>
      </c>
      <c r="Q154" s="72">
        <f t="shared" si="49"/>
        <v>0.15627029734468531</v>
      </c>
      <c r="R154" s="75">
        <f>IFERROR(O154*'Fechamento fiscal'!AN26,"")</f>
        <v>4.835345987572496</v>
      </c>
      <c r="S154" s="75">
        <f>P154*'Gás fiscal'!H23</f>
        <v>538.62141202086514</v>
      </c>
      <c r="T154" s="104">
        <f>Q154*'Volumes de água'!$C$25</f>
        <v>429.74331769788461</v>
      </c>
      <c r="U154" s="191"/>
      <c r="V154" s="192"/>
      <c r="W154" s="193"/>
    </row>
    <row r="155" spans="1:23" x14ac:dyDescent="0.25">
      <c r="A155" s="42">
        <v>22</v>
      </c>
      <c r="B155" s="16" t="s">
        <v>115</v>
      </c>
      <c r="C155" s="16">
        <v>24</v>
      </c>
      <c r="D155" s="148">
        <v>11</v>
      </c>
      <c r="E155" s="148">
        <v>11</v>
      </c>
      <c r="F155" s="43">
        <f t="shared" si="41"/>
        <v>11</v>
      </c>
      <c r="G155" s="43">
        <f t="shared" si="42"/>
        <v>11</v>
      </c>
      <c r="H155" s="43">
        <f t="shared" si="43"/>
        <v>11</v>
      </c>
      <c r="I155" s="168">
        <v>10.119999999999999</v>
      </c>
      <c r="J155" s="168">
        <v>1017.54</v>
      </c>
      <c r="K155" s="168">
        <v>484.37</v>
      </c>
      <c r="L155" s="73">
        <f t="shared" si="44"/>
        <v>4.6383333333333328</v>
      </c>
      <c r="M155" s="73">
        <f t="shared" si="45"/>
        <v>466.37249999999995</v>
      </c>
      <c r="N155" s="73">
        <f t="shared" si="46"/>
        <v>222.00291666666666</v>
      </c>
      <c r="O155" s="72">
        <f t="shared" si="47"/>
        <v>7.6094386569327085E-2</v>
      </c>
      <c r="P155" s="72">
        <f t="shared" si="48"/>
        <v>0.10290264800188519</v>
      </c>
      <c r="Q155" s="72">
        <f t="shared" si="49"/>
        <v>0.14567055996744543</v>
      </c>
      <c r="R155" s="75">
        <f>IFERROR(O155*'Fechamento fiscal'!AN27,"")</f>
        <v>1.4057894197675869</v>
      </c>
      <c r="S155" s="75">
        <f>P155*'Gás fiscal'!H24</f>
        <v>484.36276414487355</v>
      </c>
      <c r="T155" s="104">
        <f>Q155*'Volumes de água'!$C$26</f>
        <v>409.47994406848909</v>
      </c>
      <c r="U155" s="191"/>
      <c r="V155" s="192"/>
      <c r="W155" s="193"/>
    </row>
    <row r="156" spans="1:23" x14ac:dyDescent="0.25">
      <c r="A156" s="42">
        <v>23</v>
      </c>
      <c r="B156" s="16" t="s">
        <v>115</v>
      </c>
      <c r="C156" s="16">
        <v>24</v>
      </c>
      <c r="D156" s="148">
        <v>3.44</v>
      </c>
      <c r="E156" s="148">
        <v>3.44</v>
      </c>
      <c r="F156" s="43">
        <f t="shared" si="41"/>
        <v>3.4400000000000004</v>
      </c>
      <c r="G156" s="43">
        <f t="shared" si="42"/>
        <v>3.4400000000000004</v>
      </c>
      <c r="H156" s="43">
        <f t="shared" si="43"/>
        <v>3.4400000000000004</v>
      </c>
      <c r="I156" s="168">
        <v>10.119999999999999</v>
      </c>
      <c r="J156" s="168">
        <v>1017.54</v>
      </c>
      <c r="K156" s="168">
        <v>484.37</v>
      </c>
      <c r="L156" s="73">
        <f t="shared" si="44"/>
        <v>1.4505333333333332</v>
      </c>
      <c r="M156" s="73">
        <f t="shared" si="45"/>
        <v>145.84739999999999</v>
      </c>
      <c r="N156" s="73">
        <f t="shared" si="46"/>
        <v>69.426366666666667</v>
      </c>
      <c r="O156" s="72">
        <f t="shared" si="47"/>
        <v>3.3631630240644375E-2</v>
      </c>
      <c r="P156" s="72">
        <f t="shared" si="48"/>
        <v>6.039887406927065E-2</v>
      </c>
      <c r="Q156" s="72">
        <f t="shared" si="49"/>
        <v>6.4152072485810147E-2</v>
      </c>
      <c r="R156" s="75">
        <f>IFERROR(O156*'Fechamento fiscal'!AN28,"")</f>
        <v>-1.1078413112809013E-2</v>
      </c>
      <c r="S156" s="75">
        <f>P156*'Gás fiscal'!H25</f>
        <v>127.56242203429962</v>
      </c>
      <c r="T156" s="104">
        <f>Q156*'Volumes de água'!$C$27</f>
        <v>96.61302116363008</v>
      </c>
      <c r="U156" s="191"/>
      <c r="V156" s="192"/>
      <c r="W156" s="193"/>
    </row>
    <row r="157" spans="1:23" x14ac:dyDescent="0.25">
      <c r="A157" s="42">
        <v>24</v>
      </c>
      <c r="B157" s="16" t="s">
        <v>115</v>
      </c>
      <c r="C157" s="16">
        <v>24</v>
      </c>
      <c r="D157" s="148">
        <v>9.1999999999999993</v>
      </c>
      <c r="E157" s="148">
        <v>9.1999999999999993</v>
      </c>
      <c r="F157" s="43">
        <f t="shared" si="41"/>
        <v>9.1999999999999993</v>
      </c>
      <c r="G157" s="43">
        <f t="shared" si="42"/>
        <v>9.1999999999999993</v>
      </c>
      <c r="H157" s="43">
        <f t="shared" si="43"/>
        <v>9.1999999999999993</v>
      </c>
      <c r="I157" s="168">
        <v>10.119999999999999</v>
      </c>
      <c r="J157" s="168">
        <v>1017.54</v>
      </c>
      <c r="K157" s="168">
        <v>484.37</v>
      </c>
      <c r="L157" s="73">
        <f t="shared" si="44"/>
        <v>3.8793333333333329</v>
      </c>
      <c r="M157" s="73">
        <f t="shared" si="45"/>
        <v>390.05699999999996</v>
      </c>
      <c r="N157" s="73">
        <f t="shared" si="46"/>
        <v>185.67516666666666</v>
      </c>
      <c r="O157" s="72">
        <f t="shared" si="47"/>
        <v>6.2769336979326767E-2</v>
      </c>
      <c r="P157" s="72">
        <f t="shared" si="48"/>
        <v>0.13862730254242747</v>
      </c>
      <c r="Q157" s="72">
        <f t="shared" si="49"/>
        <v>0.12571117290122941</v>
      </c>
      <c r="R157" s="75">
        <f>IFERROR(O157*'Fechamento fiscal'!AN29,"")</f>
        <v>-8.3140792624938776E-3</v>
      </c>
      <c r="S157" s="75">
        <f>P157*'Gás fiscal'!H26</f>
        <v>329.37847084080767</v>
      </c>
      <c r="T157" s="104">
        <f>Q157*'Volumes de água'!$C$28</f>
        <v>166.06445940252405</v>
      </c>
      <c r="U157" s="191"/>
      <c r="V157" s="192"/>
      <c r="W157" s="193"/>
    </row>
    <row r="158" spans="1:23" x14ac:dyDescent="0.25">
      <c r="A158" s="42">
        <v>25</v>
      </c>
      <c r="B158" s="16" t="s">
        <v>115</v>
      </c>
      <c r="C158" s="16">
        <v>24</v>
      </c>
      <c r="D158" s="148">
        <v>3.7</v>
      </c>
      <c r="E158" s="148">
        <v>3.7</v>
      </c>
      <c r="F158" s="43">
        <f t="shared" si="41"/>
        <v>3.7</v>
      </c>
      <c r="G158" s="43">
        <f t="shared" si="42"/>
        <v>3.7</v>
      </c>
      <c r="H158" s="43">
        <f t="shared" si="43"/>
        <v>3.7</v>
      </c>
      <c r="I158" s="168">
        <v>10.119999999999999</v>
      </c>
      <c r="J158" s="168">
        <v>1017.54</v>
      </c>
      <c r="K158" s="168">
        <v>484.37</v>
      </c>
      <c r="L158" s="73">
        <f t="shared" si="44"/>
        <v>1.5601666666666667</v>
      </c>
      <c r="M158" s="73">
        <f t="shared" si="45"/>
        <v>156.87075000000002</v>
      </c>
      <c r="N158" s="73">
        <f t="shared" si="46"/>
        <v>74.673708333333337</v>
      </c>
      <c r="O158" s="72">
        <f t="shared" si="47"/>
        <v>2.1540883035835505E-2</v>
      </c>
      <c r="P158" s="72">
        <f t="shared" si="48"/>
        <v>3.7149656665708158E-2</v>
      </c>
      <c r="Q158" s="72">
        <f t="shared" si="49"/>
        <v>4.5328942641000125E-2</v>
      </c>
      <c r="R158" s="75">
        <f>IFERROR(O158*'Fechamento fiscal'!AN30,"")</f>
        <v>1.3475443936513305</v>
      </c>
      <c r="S158" s="75">
        <f>P158*'Gás fiscal'!H27</f>
        <v>176.72091675877371</v>
      </c>
      <c r="T158" s="104">
        <f>Q158*'Volumes de água'!$C$29</f>
        <v>124.06531600841734</v>
      </c>
      <c r="U158" s="191"/>
      <c r="V158" s="192"/>
      <c r="W158" s="193"/>
    </row>
    <row r="159" spans="1:23" x14ac:dyDescent="0.25">
      <c r="A159" s="42">
        <v>26</v>
      </c>
      <c r="B159" s="16" t="s">
        <v>115</v>
      </c>
      <c r="C159" s="16">
        <v>24</v>
      </c>
      <c r="D159" s="148">
        <v>8</v>
      </c>
      <c r="E159" s="148">
        <v>8</v>
      </c>
      <c r="F159" s="43">
        <f t="shared" si="41"/>
        <v>8</v>
      </c>
      <c r="G159" s="43">
        <f t="shared" si="42"/>
        <v>8</v>
      </c>
      <c r="H159" s="43">
        <f t="shared" si="43"/>
        <v>8</v>
      </c>
      <c r="I159" s="168">
        <v>10.119999999999999</v>
      </c>
      <c r="J159" s="168">
        <v>1017.54</v>
      </c>
      <c r="K159" s="168">
        <v>484.37</v>
      </c>
      <c r="L159" s="73">
        <f t="shared" si="44"/>
        <v>3.3733333333333331</v>
      </c>
      <c r="M159" s="73">
        <f t="shared" si="45"/>
        <v>339.17999999999995</v>
      </c>
      <c r="N159" s="73">
        <f t="shared" si="46"/>
        <v>161.45666666666665</v>
      </c>
      <c r="O159" s="72">
        <f t="shared" si="47"/>
        <v>4.5437402345503849E-2</v>
      </c>
      <c r="P159" s="72">
        <f t="shared" si="48"/>
        <v>7.6999223265397709E-2</v>
      </c>
      <c r="Q159" s="72">
        <f t="shared" si="49"/>
        <v>9.3103852593095199E-2</v>
      </c>
      <c r="R159" s="75">
        <f>IFERROR(O159*'Fechamento fiscal'!AN31,"")</f>
        <v>2.7836513673888876</v>
      </c>
      <c r="S159" s="75">
        <f>P159*'Gás fiscal'!H28</f>
        <v>361.74235090083846</v>
      </c>
      <c r="T159" s="104">
        <f>Q159*'Volumes de água'!$C$30</f>
        <v>260.78389111325964</v>
      </c>
      <c r="U159" s="191"/>
      <c r="V159" s="192"/>
      <c r="W159" s="193"/>
    </row>
    <row r="160" spans="1:23" x14ac:dyDescent="0.25">
      <c r="A160" s="42">
        <v>27</v>
      </c>
      <c r="B160" s="16" t="s">
        <v>115</v>
      </c>
      <c r="C160" s="16">
        <v>24</v>
      </c>
      <c r="D160" s="148">
        <v>21.7</v>
      </c>
      <c r="E160" s="148">
        <v>21.7</v>
      </c>
      <c r="F160" s="43">
        <f t="shared" si="41"/>
        <v>21.7</v>
      </c>
      <c r="G160" s="43">
        <f t="shared" si="42"/>
        <v>21.7</v>
      </c>
      <c r="H160" s="43">
        <f t="shared" si="43"/>
        <v>21.7</v>
      </c>
      <c r="I160" s="168">
        <v>10.119999999999999</v>
      </c>
      <c r="J160" s="168">
        <v>1017.54</v>
      </c>
      <c r="K160" s="168">
        <v>484.37</v>
      </c>
      <c r="L160" s="73">
        <f t="shared" si="44"/>
        <v>9.1501666666666654</v>
      </c>
      <c r="M160" s="73">
        <f t="shared" si="45"/>
        <v>920.02575000000002</v>
      </c>
      <c r="N160" s="73">
        <f t="shared" si="46"/>
        <v>437.95120833333334</v>
      </c>
      <c r="O160" s="72">
        <f t="shared" si="47"/>
        <v>0.12034704913972059</v>
      </c>
      <c r="P160" s="72">
        <f t="shared" si="48"/>
        <v>0.1845282784429719</v>
      </c>
      <c r="Q160" s="72">
        <f t="shared" si="49"/>
        <v>0.22615747508015424</v>
      </c>
      <c r="R160" s="75">
        <f>IFERROR(O160*'Fechamento fiscal'!AN32,"")</f>
        <v>4.4020754560884667E-2</v>
      </c>
      <c r="S160" s="75">
        <f>P160*'Gás fiscal'!H29</f>
        <v>881.30705784363374</v>
      </c>
      <c r="T160" s="104">
        <f>Q160*'Volumes de água'!$C$31</f>
        <v>670.78307108773743</v>
      </c>
      <c r="U160" s="191"/>
      <c r="V160" s="192"/>
      <c r="W160" s="193"/>
    </row>
    <row r="161" spans="1:23" x14ac:dyDescent="0.25">
      <c r="A161" s="42">
        <v>28</v>
      </c>
      <c r="B161" s="16" t="s">
        <v>115</v>
      </c>
      <c r="C161" s="16">
        <v>24</v>
      </c>
      <c r="D161" s="148">
        <v>5</v>
      </c>
      <c r="E161" s="148">
        <v>5</v>
      </c>
      <c r="F161" s="43">
        <f t="shared" si="41"/>
        <v>5</v>
      </c>
      <c r="G161" s="43">
        <f t="shared" si="42"/>
        <v>5</v>
      </c>
      <c r="H161" s="43">
        <f t="shared" si="43"/>
        <v>5</v>
      </c>
      <c r="I161" s="168">
        <v>10.119999999999999</v>
      </c>
      <c r="J161" s="168">
        <v>1017.54</v>
      </c>
      <c r="K161" s="168">
        <v>484.37</v>
      </c>
      <c r="L161" s="73">
        <f t="shared" si="44"/>
        <v>2.1083333333333334</v>
      </c>
      <c r="M161" s="73">
        <f t="shared" si="45"/>
        <v>211.98750000000001</v>
      </c>
      <c r="N161" s="73">
        <f t="shared" si="46"/>
        <v>100.91041666666668</v>
      </c>
      <c r="O161" s="72">
        <f t="shared" si="47"/>
        <v>2.8890644912277493E-2</v>
      </c>
      <c r="P161" s="72">
        <f t="shared" si="48"/>
        <v>5.1534869406100976E-2</v>
      </c>
      <c r="Q161" s="72">
        <f t="shared" si="49"/>
        <v>6.0295045765579161E-2</v>
      </c>
      <c r="R161" s="75">
        <f>IFERROR(O161*'Fechamento fiscal'!AN33,"")</f>
        <v>4.7237249817964891E-3</v>
      </c>
      <c r="S161" s="75">
        <f>P161*'Gás fiscal'!H30</f>
        <v>216.96180019968511</v>
      </c>
      <c r="T161" s="104">
        <f>Q161*'Volumes de água'!$C$32</f>
        <v>162.25396815517351</v>
      </c>
      <c r="U161" s="191"/>
      <c r="V161" s="192"/>
      <c r="W161" s="193"/>
    </row>
    <row r="162" spans="1:23" x14ac:dyDescent="0.25">
      <c r="A162" s="42">
        <v>29</v>
      </c>
      <c r="B162" s="16" t="s">
        <v>115</v>
      </c>
      <c r="C162" s="16">
        <v>24</v>
      </c>
      <c r="D162" s="148">
        <v>0</v>
      </c>
      <c r="E162" s="148">
        <v>0</v>
      </c>
      <c r="F162" s="43">
        <f t="shared" si="41"/>
        <v>0</v>
      </c>
      <c r="G162" s="43">
        <f t="shared" si="42"/>
        <v>0</v>
      </c>
      <c r="H162" s="43">
        <f t="shared" si="43"/>
        <v>0</v>
      </c>
      <c r="I162" s="168">
        <v>10.119999999999999</v>
      </c>
      <c r="J162" s="168">
        <v>1017.54</v>
      </c>
      <c r="K162" s="168">
        <v>484.37</v>
      </c>
      <c r="L162" s="73">
        <f t="shared" si="44"/>
        <v>0</v>
      </c>
      <c r="M162" s="73">
        <f t="shared" si="45"/>
        <v>0</v>
      </c>
      <c r="N162" s="73">
        <f t="shared" si="46"/>
        <v>0</v>
      </c>
      <c r="O162" s="72">
        <f t="shared" si="47"/>
        <v>0</v>
      </c>
      <c r="P162" s="72">
        <f t="shared" si="48"/>
        <v>0</v>
      </c>
      <c r="Q162" s="72">
        <f t="shared" si="49"/>
        <v>0</v>
      </c>
      <c r="R162" s="75">
        <f>IFERROR(O162*'Fechamento fiscal'!AN34,"")</f>
        <v>0</v>
      </c>
      <c r="S162" s="75">
        <f>P162*'Gás fiscal'!H31</f>
        <v>0</v>
      </c>
      <c r="T162" s="104">
        <f>Q162*'Volumes de água'!$C$33</f>
        <v>0</v>
      </c>
      <c r="U162" s="191"/>
      <c r="V162" s="192"/>
      <c r="W162" s="193"/>
    </row>
    <row r="163" spans="1:23" x14ac:dyDescent="0.25">
      <c r="A163" s="42">
        <v>30</v>
      </c>
      <c r="B163" s="16" t="s">
        <v>115</v>
      </c>
      <c r="C163" s="16">
        <v>24</v>
      </c>
      <c r="D163" s="148">
        <v>12</v>
      </c>
      <c r="E163" s="148">
        <v>12</v>
      </c>
      <c r="F163" s="43">
        <f t="shared" si="41"/>
        <v>12</v>
      </c>
      <c r="G163" s="43">
        <f t="shared" si="42"/>
        <v>12</v>
      </c>
      <c r="H163" s="43">
        <f t="shared" si="43"/>
        <v>12</v>
      </c>
      <c r="I163" s="168">
        <v>10.119999999999999</v>
      </c>
      <c r="J163" s="168">
        <v>1017.54</v>
      </c>
      <c r="K163" s="168">
        <v>484.37</v>
      </c>
      <c r="L163" s="73">
        <f t="shared" si="44"/>
        <v>5.0599999999999996</v>
      </c>
      <c r="M163" s="73">
        <f t="shared" si="45"/>
        <v>508.77</v>
      </c>
      <c r="N163" s="73">
        <f t="shared" si="46"/>
        <v>242.185</v>
      </c>
      <c r="O163" s="72">
        <f t="shared" si="47"/>
        <v>9.7292724196277477E-2</v>
      </c>
      <c r="P163" s="72">
        <f t="shared" si="48"/>
        <v>0.11121702271656382</v>
      </c>
      <c r="Q163" s="72">
        <f t="shared" si="49"/>
        <v>0.17678963139779766</v>
      </c>
      <c r="R163" s="75">
        <f>IFERROR(O163*'Fechamento fiscal'!AN35,"")</f>
        <v>1.4159940324970919</v>
      </c>
      <c r="S163" s="75">
        <f>P163*'Gás fiscal'!H32</f>
        <v>506.81597251938132</v>
      </c>
      <c r="T163" s="104">
        <f>Q163*'Volumes de água'!$C$34</f>
        <v>483.87322113577221</v>
      </c>
      <c r="U163" s="191"/>
      <c r="V163" s="192"/>
      <c r="W163" s="193"/>
    </row>
    <row r="164" spans="1:23" x14ac:dyDescent="0.25">
      <c r="A164" s="42">
        <v>31</v>
      </c>
      <c r="B164" s="16" t="s">
        <v>115</v>
      </c>
      <c r="C164" s="16">
        <v>24</v>
      </c>
      <c r="D164" s="148"/>
      <c r="E164" s="148"/>
      <c r="F164" s="43">
        <f>IF(OR(C164="",E164=""),0,IF(E164&gt;C164,E164,E164/C164*24))</f>
        <v>0</v>
      </c>
      <c r="G164" s="43">
        <f>IF(OR(C164="",D164=""),0,IF(D164&gt;C164,D164,D164/C164*24))</f>
        <v>0</v>
      </c>
      <c r="H164" s="43">
        <f>IF(OR(C164="",D164=""),0,IF(D164&gt;C164,D164,D164/C164*24))</f>
        <v>0</v>
      </c>
      <c r="I164" s="168">
        <v>10.119999999999999</v>
      </c>
      <c r="J164" s="168">
        <v>1017.54</v>
      </c>
      <c r="K164" s="168">
        <v>484.37</v>
      </c>
      <c r="L164" s="73">
        <f>I164*(G164/C164)</f>
        <v>0</v>
      </c>
      <c r="M164" s="73">
        <f>J164*(F164/C164)</f>
        <v>0</v>
      </c>
      <c r="N164" s="73">
        <f>K164*(H164/C164)</f>
        <v>0</v>
      </c>
      <c r="O164" s="72">
        <f t="shared" si="47"/>
        <v>0</v>
      </c>
      <c r="P164" s="72">
        <f t="shared" si="48"/>
        <v>0</v>
      </c>
      <c r="Q164" s="72">
        <f t="shared" si="49"/>
        <v>0</v>
      </c>
      <c r="R164" s="75" t="str">
        <f>IFERROR(O164*'Fechamento fiscal'!AN36,"")</f>
        <v/>
      </c>
      <c r="S164" s="75">
        <f>P164*'Gás fiscal'!H33</f>
        <v>0</v>
      </c>
      <c r="T164" s="104">
        <f>Q164*'Volumes de água'!$C$35</f>
        <v>0</v>
      </c>
      <c r="U164" s="191"/>
      <c r="V164" s="192"/>
      <c r="W164" s="193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116</v>
      </c>
      <c r="C166" s="16">
        <v>24</v>
      </c>
      <c r="D166" s="148">
        <v>17</v>
      </c>
      <c r="E166" s="148">
        <v>17</v>
      </c>
      <c r="F166" s="43">
        <f>IF(OR(C166="",E166=""),0,IF(E166&gt;C166,E166,E166/C166*24))</f>
        <v>17</v>
      </c>
      <c r="G166" s="43">
        <f>IF(OR(C166="",D166=""),0,IF(D166&gt;C166,D166,D166/C166*24))</f>
        <v>17</v>
      </c>
      <c r="H166" s="43">
        <f>IF(OR(C166="",D166=""),0,IF(D166&gt;C166,D166,D166/C166*24))</f>
        <v>17</v>
      </c>
      <c r="I166" s="168">
        <v>1.1399999999999999</v>
      </c>
      <c r="J166" s="168">
        <v>158.13</v>
      </c>
      <c r="K166" s="168">
        <v>102.1</v>
      </c>
      <c r="L166" s="73">
        <f>I166*(G166/C166)</f>
        <v>0.8075</v>
      </c>
      <c r="M166" s="73">
        <f>J166*(F166/C166)</f>
        <v>112.00875000000001</v>
      </c>
      <c r="N166" s="73">
        <f>K166*(H166/C166)</f>
        <v>72.32083333333334</v>
      </c>
      <c r="O166" s="72">
        <f>IF(D166&lt;&gt;0,L166/(L6+L38+L70+L102+L134+L166+L198+L230+L262+L294+L326+L358),0)</f>
        <v>1.5937421361407758E-2</v>
      </c>
      <c r="P166" s="72">
        <f>IF(E166&lt;&gt;0,M166/(M6+M38+M70+M102+M134+M166+M198+M230+M262+M294),0)</f>
        <v>3.9948142801670736E-2</v>
      </c>
      <c r="Q166" s="72">
        <f t="shared" ref="Q166" si="50">IF(F166&lt;&gt;0,N166/(N6+N38+N70+N102+N134+N166+N198+N230+N262+N294+N326+N358),0)</f>
        <v>6.6500832840844556E-2</v>
      </c>
      <c r="R166" s="75">
        <f>IFERROR(O166*'Fechamento fiscal'!AN6,"")</f>
        <v>1.3510505581273416E-3</v>
      </c>
      <c r="S166" s="75">
        <f>P166*'Gás fiscal'!H3</f>
        <v>123.99903525638597</v>
      </c>
      <c r="T166" s="104">
        <f>Q166*'Volumes de água'!$C$5</f>
        <v>93.633172639909134</v>
      </c>
      <c r="U166" s="191"/>
      <c r="V166" s="192"/>
      <c r="W166" s="193"/>
    </row>
    <row r="167" spans="1:23" x14ac:dyDescent="0.25">
      <c r="A167" s="42">
        <v>2</v>
      </c>
      <c r="B167" s="16" t="s">
        <v>116</v>
      </c>
      <c r="C167" s="16">
        <v>24</v>
      </c>
      <c r="D167" s="148">
        <v>23</v>
      </c>
      <c r="E167" s="148">
        <v>23</v>
      </c>
      <c r="F167" s="43">
        <f t="shared" ref="F167:F195" si="51">IF(OR(C167="",E167=""),0,IF(E167&gt;C167,E167,E167/C167*24))</f>
        <v>23</v>
      </c>
      <c r="G167" s="43">
        <f t="shared" ref="G167:G195" si="52">IF(OR(C167="",D167=""),0,IF(D167&gt;C167,D167,D167/C167*24))</f>
        <v>23</v>
      </c>
      <c r="H167" s="43">
        <f t="shared" ref="H167:H195" si="53">IF(OR(C167="",D167=""),0,IF(D167&gt;C167,D167,D167/C167*24))</f>
        <v>23</v>
      </c>
      <c r="I167" s="168">
        <v>1.1399999999999999</v>
      </c>
      <c r="J167" s="168">
        <v>158.13</v>
      </c>
      <c r="K167" s="168">
        <v>102.1</v>
      </c>
      <c r="L167" s="73">
        <f t="shared" ref="L167:L195" si="54">I167*(G167/C167)</f>
        <v>1.0925</v>
      </c>
      <c r="M167" s="73">
        <f t="shared" ref="M167:M195" si="55">J167*(F167/C167)</f>
        <v>151.54124999999999</v>
      </c>
      <c r="N167" s="73">
        <f t="shared" ref="N167:N195" si="56">K167*(H167/C167)</f>
        <v>97.845833333333331</v>
      </c>
      <c r="O167" s="72">
        <f t="shared" ref="O167:O196" si="57">IF(D167&lt;&gt;0,L167/(L7+L39+L71+L103+L135+L167+L199+L231+L263+L295+L327+L359),0)</f>
        <v>1.5612588676764631E-2</v>
      </c>
      <c r="P167" s="72">
        <f t="shared" ref="P167:P196" si="58">IF(E167&lt;&gt;0,M167/(M7+M39+M71+M103+M135+M167+M199+M231+M263+M295),0)</f>
        <v>3.8492996626111844E-2</v>
      </c>
      <c r="Q167" s="72">
        <f t="shared" ref="Q167:Q196" si="59">IF(F167&lt;&gt;0,N167/(N7+N39+N71+N103+N135+N167+N199+N231+N263+N295+N327+N359),0)</f>
        <v>6.3552332638262113E-2</v>
      </c>
      <c r="R167" s="75">
        <f>IFERROR(O167*'Fechamento fiscal'!AN7,"")</f>
        <v>0.8170709354432405</v>
      </c>
      <c r="S167" s="75">
        <f>P167*'Gás fiscal'!H4</f>
        <v>171.75575094571104</v>
      </c>
      <c r="T167" s="104">
        <f>Q167*'Volumes de água'!$C$6</f>
        <v>131.17201456537299</v>
      </c>
      <c r="U167" s="191"/>
      <c r="V167" s="192"/>
      <c r="W167" s="193"/>
    </row>
    <row r="168" spans="1:23" x14ac:dyDescent="0.25">
      <c r="A168" s="42">
        <v>3</v>
      </c>
      <c r="B168" s="16" t="s">
        <v>116</v>
      </c>
      <c r="C168" s="16">
        <v>24</v>
      </c>
      <c r="D168" s="148">
        <v>24</v>
      </c>
      <c r="E168" s="148">
        <v>24</v>
      </c>
      <c r="F168" s="43">
        <f t="shared" si="51"/>
        <v>24</v>
      </c>
      <c r="G168" s="43">
        <f t="shared" si="52"/>
        <v>24</v>
      </c>
      <c r="H168" s="43">
        <f t="shared" si="53"/>
        <v>24</v>
      </c>
      <c r="I168" s="168">
        <v>1.1399999999999999</v>
      </c>
      <c r="J168" s="168">
        <v>158.13</v>
      </c>
      <c r="K168" s="168">
        <v>102.1</v>
      </c>
      <c r="L168" s="73">
        <f t="shared" si="54"/>
        <v>1.1399999999999999</v>
      </c>
      <c r="M168" s="73">
        <f t="shared" si="55"/>
        <v>158.13</v>
      </c>
      <c r="N168" s="73">
        <f t="shared" si="56"/>
        <v>102.1</v>
      </c>
      <c r="O168" s="72">
        <f t="shared" si="57"/>
        <v>1.5612588676764632E-2</v>
      </c>
      <c r="P168" s="72">
        <f t="shared" si="58"/>
        <v>3.8492996626111844E-2</v>
      </c>
      <c r="Q168" s="72">
        <f t="shared" si="59"/>
        <v>6.3552332638262113E-2</v>
      </c>
      <c r="R168" s="75">
        <f>IFERROR(O168*'Fechamento fiscal'!AN8,"")</f>
        <v>0.97462099121682721</v>
      </c>
      <c r="S168" s="75">
        <f>P168*'Gás fiscal'!H5</f>
        <v>183.72707289643182</v>
      </c>
      <c r="T168" s="104">
        <f>Q168*'Volumes de água'!$C$7</f>
        <v>133.96831720145653</v>
      </c>
      <c r="U168" s="191"/>
      <c r="V168" s="192"/>
      <c r="W168" s="193"/>
    </row>
    <row r="169" spans="1:23" x14ac:dyDescent="0.25">
      <c r="A169" s="42">
        <v>4</v>
      </c>
      <c r="B169" s="16" t="s">
        <v>116</v>
      </c>
      <c r="C169" s="16">
        <v>24</v>
      </c>
      <c r="D169" s="148">
        <v>24</v>
      </c>
      <c r="E169" s="148">
        <v>24</v>
      </c>
      <c r="F169" s="43">
        <f t="shared" si="51"/>
        <v>24</v>
      </c>
      <c r="G169" s="43">
        <f t="shared" si="52"/>
        <v>24</v>
      </c>
      <c r="H169" s="43">
        <f t="shared" si="53"/>
        <v>24</v>
      </c>
      <c r="I169" s="168">
        <v>1.1399999999999999</v>
      </c>
      <c r="J169" s="168">
        <v>158.13</v>
      </c>
      <c r="K169" s="168">
        <v>102.1</v>
      </c>
      <c r="L169" s="73">
        <f t="shared" si="54"/>
        <v>1.1399999999999999</v>
      </c>
      <c r="M169" s="73">
        <f t="shared" si="55"/>
        <v>158.13</v>
      </c>
      <c r="N169" s="73">
        <f t="shared" si="56"/>
        <v>102.1</v>
      </c>
      <c r="O169" s="72">
        <f t="shared" si="57"/>
        <v>1.5612588676764632E-2</v>
      </c>
      <c r="P169" s="72">
        <f t="shared" si="58"/>
        <v>3.8492996626111844E-2</v>
      </c>
      <c r="Q169" s="72">
        <f t="shared" si="59"/>
        <v>6.3552332638262113E-2</v>
      </c>
      <c r="R169" s="75">
        <f>IFERROR(O169*'Fechamento fiscal'!AN9,"")</f>
        <v>0.97854617836428381</v>
      </c>
      <c r="S169" s="75">
        <f>P169*'Gás fiscal'!H6</f>
        <v>178.18408138227173</v>
      </c>
      <c r="T169" s="104">
        <f>Q169*'Volumes de água'!$C$8</f>
        <v>133.96831720145653</v>
      </c>
      <c r="U169" s="191"/>
      <c r="V169" s="192"/>
      <c r="W169" s="193"/>
    </row>
    <row r="170" spans="1:23" x14ac:dyDescent="0.25">
      <c r="A170" s="42">
        <v>5</v>
      </c>
      <c r="B170" s="16" t="s">
        <v>116</v>
      </c>
      <c r="C170" s="16">
        <v>24</v>
      </c>
      <c r="D170" s="148">
        <v>23.5</v>
      </c>
      <c r="E170" s="148">
        <v>23.5</v>
      </c>
      <c r="F170" s="43">
        <f t="shared" si="51"/>
        <v>23.5</v>
      </c>
      <c r="G170" s="43">
        <f t="shared" si="52"/>
        <v>23.5</v>
      </c>
      <c r="H170" s="43">
        <f t="shared" si="53"/>
        <v>23.5</v>
      </c>
      <c r="I170" s="168">
        <v>1.1399999999999999</v>
      </c>
      <c r="J170" s="168">
        <v>158.13</v>
      </c>
      <c r="K170" s="168">
        <v>102.1</v>
      </c>
      <c r="L170" s="73">
        <f t="shared" si="54"/>
        <v>1.11625</v>
      </c>
      <c r="M170" s="73">
        <f t="shared" si="55"/>
        <v>154.83562499999999</v>
      </c>
      <c r="N170" s="73">
        <f t="shared" si="56"/>
        <v>99.972916666666663</v>
      </c>
      <c r="O170" s="72">
        <f t="shared" si="57"/>
        <v>1.5612588676764632E-2</v>
      </c>
      <c r="P170" s="72">
        <f t="shared" si="58"/>
        <v>3.8492996626111851E-2</v>
      </c>
      <c r="Q170" s="72">
        <f t="shared" si="59"/>
        <v>6.3552332638262113E-2</v>
      </c>
      <c r="R170" s="75">
        <f>IFERROR(O170*'Fechamento fiscal'!AN10,"")</f>
        <v>0.98161115325369497</v>
      </c>
      <c r="S170" s="75">
        <f>P170*'Gás fiscal'!H7</f>
        <v>174.68121868929558</v>
      </c>
      <c r="T170" s="104">
        <f>Q170*'Volumes de água'!$C$9</f>
        <v>131.48977622856432</v>
      </c>
      <c r="U170" s="191"/>
      <c r="V170" s="192"/>
      <c r="W170" s="193"/>
    </row>
    <row r="171" spans="1:23" x14ac:dyDescent="0.25">
      <c r="A171" s="42">
        <v>6</v>
      </c>
      <c r="B171" s="16" t="s">
        <v>116</v>
      </c>
      <c r="C171" s="16">
        <v>24</v>
      </c>
      <c r="D171" s="148">
        <v>23.5</v>
      </c>
      <c r="E171" s="148">
        <v>23.5</v>
      </c>
      <c r="F171" s="43">
        <f t="shared" si="51"/>
        <v>23.5</v>
      </c>
      <c r="G171" s="43">
        <f t="shared" si="52"/>
        <v>23.5</v>
      </c>
      <c r="H171" s="43">
        <f t="shared" si="53"/>
        <v>23.5</v>
      </c>
      <c r="I171" s="168">
        <v>1.1399999999999999</v>
      </c>
      <c r="J171" s="168">
        <v>158.13</v>
      </c>
      <c r="K171" s="168">
        <v>102.1</v>
      </c>
      <c r="L171" s="73">
        <f t="shared" si="54"/>
        <v>1.11625</v>
      </c>
      <c r="M171" s="73">
        <f t="shared" si="55"/>
        <v>154.83562499999999</v>
      </c>
      <c r="N171" s="73">
        <f t="shared" si="56"/>
        <v>99.972916666666663</v>
      </c>
      <c r="O171" s="72">
        <f t="shared" si="57"/>
        <v>1.5612588676764632E-2</v>
      </c>
      <c r="P171" s="72">
        <f t="shared" si="58"/>
        <v>3.8492996626111851E-2</v>
      </c>
      <c r="Q171" s="72">
        <f t="shared" si="59"/>
        <v>6.3552332638262113E-2</v>
      </c>
      <c r="R171" s="75">
        <f>IFERROR(O171*'Fechamento fiscal'!AN11,"")</f>
        <v>3.0382148669523068E-3</v>
      </c>
      <c r="S171" s="75">
        <f>P171*'Gás fiscal'!H8</f>
        <v>178.37654636540233</v>
      </c>
      <c r="T171" s="104">
        <f>Q171*'Volumes de água'!$C$10</f>
        <v>126.65979894805639</v>
      </c>
      <c r="U171" s="191"/>
      <c r="V171" s="192"/>
      <c r="W171" s="193"/>
    </row>
    <row r="172" spans="1:23" x14ac:dyDescent="0.25">
      <c r="A172" s="42">
        <v>7</v>
      </c>
      <c r="B172" s="16" t="s">
        <v>116</v>
      </c>
      <c r="C172" s="16">
        <v>24</v>
      </c>
      <c r="D172" s="148">
        <v>23.5</v>
      </c>
      <c r="E172" s="148">
        <v>23.5</v>
      </c>
      <c r="F172" s="43">
        <f t="shared" si="51"/>
        <v>23.5</v>
      </c>
      <c r="G172" s="43">
        <f t="shared" si="52"/>
        <v>23.5</v>
      </c>
      <c r="H172" s="43">
        <f t="shared" si="53"/>
        <v>23.5</v>
      </c>
      <c r="I172" s="168">
        <v>1.1399999999999999</v>
      </c>
      <c r="J172" s="168">
        <v>158.13</v>
      </c>
      <c r="K172" s="168">
        <v>102.1</v>
      </c>
      <c r="L172" s="73">
        <f t="shared" si="54"/>
        <v>1.11625</v>
      </c>
      <c r="M172" s="73">
        <f t="shared" si="55"/>
        <v>154.83562499999999</v>
      </c>
      <c r="N172" s="73">
        <f t="shared" si="56"/>
        <v>99.972916666666663</v>
      </c>
      <c r="O172" s="72">
        <f t="shared" si="57"/>
        <v>1.5648154259609828E-2</v>
      </c>
      <c r="P172" s="72">
        <f t="shared" si="58"/>
        <v>3.8678217501800914E-2</v>
      </c>
      <c r="Q172" s="72">
        <f t="shared" si="59"/>
        <v>6.4252931631222684E-2</v>
      </c>
      <c r="R172" s="75">
        <f>IFERROR(O172*'Fechamento fiscal'!AN12,"")</f>
        <v>-0.27657108702374406</v>
      </c>
      <c r="S172" s="75">
        <f>P172*'Gás fiscal'!H9</f>
        <v>181.09141434343189</v>
      </c>
      <c r="T172" s="104">
        <f>Q172*'Volumes de água'!$C$11</f>
        <v>131.01172759606305</v>
      </c>
      <c r="U172" s="191"/>
      <c r="V172" s="192"/>
      <c r="W172" s="193"/>
    </row>
    <row r="173" spans="1:23" x14ac:dyDescent="0.25">
      <c r="A173" s="42">
        <v>8</v>
      </c>
      <c r="B173" s="16" t="s">
        <v>116</v>
      </c>
      <c r="C173" s="16">
        <v>24</v>
      </c>
      <c r="D173" s="148">
        <v>24</v>
      </c>
      <c r="E173" s="148">
        <v>24</v>
      </c>
      <c r="F173" s="43">
        <f t="shared" si="51"/>
        <v>24</v>
      </c>
      <c r="G173" s="43">
        <f t="shared" si="52"/>
        <v>24</v>
      </c>
      <c r="H173" s="43">
        <f t="shared" si="53"/>
        <v>24</v>
      </c>
      <c r="I173" s="168">
        <v>1.1399999999999999</v>
      </c>
      <c r="J173" s="168">
        <v>158.13</v>
      </c>
      <c r="K173" s="168">
        <v>102.1</v>
      </c>
      <c r="L173" s="73">
        <f t="shared" si="54"/>
        <v>1.1399999999999999</v>
      </c>
      <c r="M173" s="73">
        <f t="shared" si="55"/>
        <v>158.13</v>
      </c>
      <c r="N173" s="73">
        <f t="shared" si="56"/>
        <v>102.1</v>
      </c>
      <c r="O173" s="72">
        <f t="shared" si="57"/>
        <v>1.5752818925491931E-2</v>
      </c>
      <c r="P173" s="72">
        <f t="shared" si="58"/>
        <v>3.9228771238684484E-2</v>
      </c>
      <c r="Q173" s="72">
        <f t="shared" si="59"/>
        <v>6.6387505364318505E-2</v>
      </c>
      <c r="R173" s="75">
        <f>IFERROR(O173*'Fechamento fiscal'!AN13,"")</f>
        <v>-7.824359128451995E-3</v>
      </c>
      <c r="S173" s="75">
        <f>P173*'Gás fiscal'!H10</f>
        <v>182.41378625988284</v>
      </c>
      <c r="T173" s="104">
        <f>Q173*'Volumes de água'!$C$12</f>
        <v>137.09019857731772</v>
      </c>
      <c r="U173" s="191"/>
      <c r="V173" s="192"/>
      <c r="W173" s="193"/>
    </row>
    <row r="174" spans="1:23" x14ac:dyDescent="0.25">
      <c r="A174" s="42">
        <v>9</v>
      </c>
      <c r="B174" s="16" t="s">
        <v>116</v>
      </c>
      <c r="C174" s="16">
        <v>24</v>
      </c>
      <c r="D174" s="148">
        <v>23.5</v>
      </c>
      <c r="E174" s="148">
        <v>23.5</v>
      </c>
      <c r="F174" s="43">
        <f t="shared" si="51"/>
        <v>23.5</v>
      </c>
      <c r="G174" s="43">
        <f t="shared" si="52"/>
        <v>23.5</v>
      </c>
      <c r="H174" s="43">
        <f t="shared" si="53"/>
        <v>23.5</v>
      </c>
      <c r="I174" s="168">
        <v>1.1399999999999999</v>
      </c>
      <c r="J174" s="168">
        <v>158.13</v>
      </c>
      <c r="K174" s="168">
        <v>102.1</v>
      </c>
      <c r="L174" s="73">
        <f t="shared" si="54"/>
        <v>1.11625</v>
      </c>
      <c r="M174" s="73">
        <f t="shared" si="55"/>
        <v>154.83562499999999</v>
      </c>
      <c r="N174" s="73">
        <f t="shared" si="56"/>
        <v>99.972916666666663</v>
      </c>
      <c r="O174" s="72">
        <f t="shared" si="57"/>
        <v>1.5752818925491931E-2</v>
      </c>
      <c r="P174" s="72">
        <f t="shared" si="58"/>
        <v>3.9228771238684484E-2</v>
      </c>
      <c r="Q174" s="72">
        <f t="shared" si="59"/>
        <v>6.6387505364318505E-2</v>
      </c>
      <c r="R174" s="75">
        <f>IFERROR(O174*'Fechamento fiscal'!AN14,"")</f>
        <v>0.42306315407317485</v>
      </c>
      <c r="S174" s="75">
        <f>P174*'Gás fiscal'!H11</f>
        <v>165.31004199981641</v>
      </c>
      <c r="T174" s="104">
        <f>Q174*'Volumes de água'!$C$13</f>
        <v>131.18171059989336</v>
      </c>
      <c r="U174" s="191"/>
      <c r="V174" s="192"/>
      <c r="W174" s="193"/>
    </row>
    <row r="175" spans="1:23" x14ac:dyDescent="0.25">
      <c r="A175" s="42">
        <v>10</v>
      </c>
      <c r="B175" s="16" t="s">
        <v>116</v>
      </c>
      <c r="C175" s="16">
        <v>24</v>
      </c>
      <c r="D175" s="148">
        <v>24</v>
      </c>
      <c r="E175" s="148">
        <v>24</v>
      </c>
      <c r="F175" s="43">
        <f t="shared" si="51"/>
        <v>24</v>
      </c>
      <c r="G175" s="43">
        <f t="shared" si="52"/>
        <v>24</v>
      </c>
      <c r="H175" s="43">
        <f t="shared" si="53"/>
        <v>24</v>
      </c>
      <c r="I175" s="168">
        <v>1.1399999999999999</v>
      </c>
      <c r="J175" s="168">
        <v>158.13</v>
      </c>
      <c r="K175" s="168">
        <v>102.1</v>
      </c>
      <c r="L175" s="73">
        <f t="shared" si="54"/>
        <v>1.1399999999999999</v>
      </c>
      <c r="M175" s="73">
        <f t="shared" si="55"/>
        <v>158.13</v>
      </c>
      <c r="N175" s="73">
        <f t="shared" si="56"/>
        <v>102.1</v>
      </c>
      <c r="O175" s="72">
        <f t="shared" si="57"/>
        <v>1.5777345669187808E-2</v>
      </c>
      <c r="P175" s="72">
        <f t="shared" si="58"/>
        <v>3.9338161287788061E-2</v>
      </c>
      <c r="Q175" s="72">
        <f t="shared" si="59"/>
        <v>6.6768028512106198E-2</v>
      </c>
      <c r="R175" s="75">
        <f>IFERROR(O175*'Fechamento fiscal'!AN15,"")</f>
        <v>0.98859064517165773</v>
      </c>
      <c r="S175" s="75">
        <f>P175*'Gás fiscal'!H12</f>
        <v>154.52029753843149</v>
      </c>
      <c r="T175" s="104">
        <f>Q175*'Volumes de água'!$C$14</f>
        <v>137.87597887749931</v>
      </c>
      <c r="U175" s="191"/>
      <c r="V175" s="192"/>
      <c r="W175" s="193"/>
    </row>
    <row r="176" spans="1:23" x14ac:dyDescent="0.25">
      <c r="A176" s="42">
        <v>11</v>
      </c>
      <c r="B176" s="16" t="s">
        <v>116</v>
      </c>
      <c r="C176" s="16">
        <v>24</v>
      </c>
      <c r="D176" s="148">
        <v>24</v>
      </c>
      <c r="E176" s="148">
        <v>24</v>
      </c>
      <c r="F176" s="43">
        <f t="shared" si="51"/>
        <v>24</v>
      </c>
      <c r="G176" s="43">
        <f t="shared" si="52"/>
        <v>24</v>
      </c>
      <c r="H176" s="43">
        <f t="shared" si="53"/>
        <v>24</v>
      </c>
      <c r="I176" s="168">
        <v>1.1399999999999999</v>
      </c>
      <c r="J176" s="168">
        <v>158.13</v>
      </c>
      <c r="K176" s="168">
        <v>102.1</v>
      </c>
      <c r="L176" s="73">
        <f t="shared" si="54"/>
        <v>1.1399999999999999</v>
      </c>
      <c r="M176" s="73">
        <f t="shared" si="55"/>
        <v>158.13</v>
      </c>
      <c r="N176" s="73">
        <f t="shared" si="56"/>
        <v>102.1</v>
      </c>
      <c r="O176" s="72">
        <f t="shared" si="57"/>
        <v>1.5752818925491931E-2</v>
      </c>
      <c r="P176" s="72">
        <f t="shared" si="58"/>
        <v>3.9228771238684484E-2</v>
      </c>
      <c r="Q176" s="72">
        <f t="shared" si="59"/>
        <v>6.6387505364318505E-2</v>
      </c>
      <c r="R176" s="75">
        <f>IFERROR(O176*'Fechamento fiscal'!AN16,"")</f>
        <v>-7.4832686119442578E-4</v>
      </c>
      <c r="S176" s="75">
        <f>P176*'Gás fiscal'!H13</f>
        <v>158.24886317685321</v>
      </c>
      <c r="T176" s="104">
        <f>Q176*'Volumes de água'!$C$15</f>
        <v>146.45083683368662</v>
      </c>
      <c r="U176" s="191"/>
      <c r="V176" s="192"/>
      <c r="W176" s="193"/>
    </row>
    <row r="177" spans="1:23" x14ac:dyDescent="0.25">
      <c r="A177" s="42">
        <v>12</v>
      </c>
      <c r="B177" s="16" t="s">
        <v>116</v>
      </c>
      <c r="C177" s="16">
        <v>24</v>
      </c>
      <c r="D177" s="148">
        <v>24</v>
      </c>
      <c r="E177" s="148">
        <v>24</v>
      </c>
      <c r="F177" s="43">
        <f t="shared" si="51"/>
        <v>24</v>
      </c>
      <c r="G177" s="43">
        <f t="shared" si="52"/>
        <v>24</v>
      </c>
      <c r="H177" s="43">
        <f t="shared" si="53"/>
        <v>24</v>
      </c>
      <c r="I177" s="168">
        <v>1.1399999999999999</v>
      </c>
      <c r="J177" s="168">
        <v>158.13</v>
      </c>
      <c r="K177" s="168">
        <v>102.1</v>
      </c>
      <c r="L177" s="73">
        <f t="shared" si="54"/>
        <v>1.1399999999999999</v>
      </c>
      <c r="M177" s="73">
        <f t="shared" si="55"/>
        <v>158.13</v>
      </c>
      <c r="N177" s="73">
        <f t="shared" si="56"/>
        <v>102.1</v>
      </c>
      <c r="O177" s="72">
        <f t="shared" si="57"/>
        <v>1.8057332029192682E-2</v>
      </c>
      <c r="P177" s="72">
        <f t="shared" si="58"/>
        <v>3.9341917302390436E-2</v>
      </c>
      <c r="Q177" s="72">
        <f t="shared" si="59"/>
        <v>7.4543646043989317E-2</v>
      </c>
      <c r="R177" s="75">
        <f>IFERROR(O177*'Fechamento fiscal'!AN17,"")</f>
        <v>-1.3638442264585155E-2</v>
      </c>
      <c r="S177" s="75">
        <f>P177*'Gás fiscal'!H14</f>
        <v>187.46423594589044</v>
      </c>
      <c r="T177" s="104">
        <f>Q177*'Volumes de água'!$C$16</f>
        <v>214.68570060668924</v>
      </c>
      <c r="U177" s="191"/>
      <c r="V177" s="192"/>
      <c r="W177" s="193"/>
    </row>
    <row r="178" spans="1:23" x14ac:dyDescent="0.25">
      <c r="A178" s="42">
        <v>13</v>
      </c>
      <c r="B178" s="16" t="s">
        <v>116</v>
      </c>
      <c r="C178" s="16">
        <v>24</v>
      </c>
      <c r="D178" s="148">
        <v>24</v>
      </c>
      <c r="E178" s="148">
        <v>24</v>
      </c>
      <c r="F178" s="43">
        <f t="shared" si="51"/>
        <v>24</v>
      </c>
      <c r="G178" s="43">
        <f t="shared" si="52"/>
        <v>24</v>
      </c>
      <c r="H178" s="43">
        <f t="shared" si="53"/>
        <v>24</v>
      </c>
      <c r="I178" s="168">
        <v>1.1399999999999999</v>
      </c>
      <c r="J178" s="168">
        <v>158.13</v>
      </c>
      <c r="K178" s="168">
        <v>102.1</v>
      </c>
      <c r="L178" s="73">
        <f t="shared" si="54"/>
        <v>1.1399999999999999</v>
      </c>
      <c r="M178" s="73">
        <f t="shared" si="55"/>
        <v>158.13</v>
      </c>
      <c r="N178" s="73">
        <f t="shared" si="56"/>
        <v>102.1</v>
      </c>
      <c r="O178" s="72">
        <f t="shared" si="57"/>
        <v>1.6235153379475342E-2</v>
      </c>
      <c r="P178" s="72">
        <f t="shared" si="58"/>
        <v>4.3447192517455428E-2</v>
      </c>
      <c r="Q178" s="72">
        <f t="shared" si="59"/>
        <v>6.7881576235464633E-2</v>
      </c>
      <c r="R178" s="75">
        <f>IFERROR(O178*'Fechamento fiscal'!AN18,"")</f>
        <v>-1.3090619295963725E-4</v>
      </c>
      <c r="S178" s="75">
        <f>P178*'Gás fiscal'!H15</f>
        <v>185.21538170191249</v>
      </c>
      <c r="T178" s="104">
        <f>Q178*'Volumes de água'!$C$17</f>
        <v>186.47068991882134</v>
      </c>
      <c r="U178" s="191"/>
      <c r="V178" s="192"/>
      <c r="W178" s="193"/>
    </row>
    <row r="179" spans="1:23" x14ac:dyDescent="0.25">
      <c r="A179" s="42">
        <v>14</v>
      </c>
      <c r="B179" s="16" t="s">
        <v>116</v>
      </c>
      <c r="C179" s="16">
        <v>24</v>
      </c>
      <c r="D179" s="148">
        <v>15.15</v>
      </c>
      <c r="E179" s="148">
        <v>15.15</v>
      </c>
      <c r="F179" s="43">
        <f t="shared" si="51"/>
        <v>15.149999999999999</v>
      </c>
      <c r="G179" s="43">
        <f t="shared" si="52"/>
        <v>15.149999999999999</v>
      </c>
      <c r="H179" s="43">
        <f t="shared" si="53"/>
        <v>15.149999999999999</v>
      </c>
      <c r="I179" s="168">
        <v>1.1399999999999999</v>
      </c>
      <c r="J179" s="168">
        <v>158.13</v>
      </c>
      <c r="K179" s="168">
        <v>102.1</v>
      </c>
      <c r="L179" s="73">
        <f t="shared" si="54"/>
        <v>0.71962499999999996</v>
      </c>
      <c r="M179" s="73">
        <f t="shared" si="55"/>
        <v>99.819562499999989</v>
      </c>
      <c r="N179" s="73">
        <f t="shared" si="56"/>
        <v>64.450624999999988</v>
      </c>
      <c r="O179" s="72">
        <f t="shared" si="57"/>
        <v>1.0497330082408688E-2</v>
      </c>
      <c r="P179" s="72">
        <f t="shared" si="58"/>
        <v>2.5721132817044558E-2</v>
      </c>
      <c r="Q179" s="72">
        <f t="shared" si="59"/>
        <v>4.5154502918199668E-2</v>
      </c>
      <c r="R179" s="75">
        <f>IFERROR(O179*'Fechamento fiscal'!AN19,"")</f>
        <v>0.41570796626536038</v>
      </c>
      <c r="S179" s="75">
        <f>P179*'Gás fiscal'!H16</f>
        <v>119.91192119306173</v>
      </c>
      <c r="T179" s="104">
        <f>Q179*'Volumes de água'!$C$18</f>
        <v>122.6847844287485</v>
      </c>
      <c r="U179" s="191"/>
      <c r="V179" s="192"/>
      <c r="W179" s="193"/>
    </row>
    <row r="180" spans="1:23" x14ac:dyDescent="0.25">
      <c r="A180" s="42">
        <v>15</v>
      </c>
      <c r="B180" s="16" t="s">
        <v>116</v>
      </c>
      <c r="C180" s="16">
        <v>24</v>
      </c>
      <c r="D180" s="148">
        <v>24</v>
      </c>
      <c r="E180" s="148">
        <v>24</v>
      </c>
      <c r="F180" s="43">
        <f t="shared" si="51"/>
        <v>24</v>
      </c>
      <c r="G180" s="43">
        <f t="shared" si="52"/>
        <v>24</v>
      </c>
      <c r="H180" s="43">
        <f t="shared" si="53"/>
        <v>24</v>
      </c>
      <c r="I180" s="168">
        <v>1.1399999999999999</v>
      </c>
      <c r="J180" s="168">
        <v>158.13</v>
      </c>
      <c r="K180" s="168">
        <v>102.1</v>
      </c>
      <c r="L180" s="73">
        <f t="shared" si="54"/>
        <v>1.1399999999999999</v>
      </c>
      <c r="M180" s="73">
        <f t="shared" si="55"/>
        <v>158.13</v>
      </c>
      <c r="N180" s="73">
        <f t="shared" si="56"/>
        <v>102.1</v>
      </c>
      <c r="O180" s="72">
        <f t="shared" si="57"/>
        <v>1.6437980868016708E-2</v>
      </c>
      <c r="P180" s="72">
        <f t="shared" si="58"/>
        <v>3.9811822233025797E-2</v>
      </c>
      <c r="Q180" s="72">
        <f t="shared" si="59"/>
        <v>6.9081524148621801E-2</v>
      </c>
      <c r="R180" s="75">
        <f>IFERROR(O180*'Fechamento fiscal'!AN20,"")</f>
        <v>1.0537034500870355</v>
      </c>
      <c r="S180" s="75">
        <f>P180*'Gás fiscal'!H17</f>
        <v>189.34502654027068</v>
      </c>
      <c r="T180" s="104">
        <f>Q180*'Volumes de água'!$C$19</f>
        <v>190.73408817434481</v>
      </c>
      <c r="U180" s="191"/>
      <c r="V180" s="192"/>
      <c r="W180" s="193"/>
    </row>
    <row r="181" spans="1:23" x14ac:dyDescent="0.25">
      <c r="A181" s="42">
        <v>16</v>
      </c>
      <c r="B181" s="16" t="s">
        <v>116</v>
      </c>
      <c r="C181" s="16">
        <v>24</v>
      </c>
      <c r="D181" s="148">
        <v>23.3</v>
      </c>
      <c r="E181" s="148">
        <v>23.3</v>
      </c>
      <c r="F181" s="43">
        <f t="shared" si="51"/>
        <v>23.3</v>
      </c>
      <c r="G181" s="43">
        <f t="shared" si="52"/>
        <v>23.3</v>
      </c>
      <c r="H181" s="43">
        <f t="shared" si="53"/>
        <v>23.3</v>
      </c>
      <c r="I181" s="168">
        <v>1.1399999999999999</v>
      </c>
      <c r="J181" s="168">
        <v>158.13</v>
      </c>
      <c r="K181" s="168">
        <v>102.1</v>
      </c>
      <c r="L181" s="73">
        <f t="shared" si="54"/>
        <v>1.1067499999999999</v>
      </c>
      <c r="M181" s="73">
        <f t="shared" si="55"/>
        <v>153.517875</v>
      </c>
      <c r="N181" s="73">
        <f t="shared" si="56"/>
        <v>99.122083333333322</v>
      </c>
      <c r="O181" s="72">
        <f t="shared" si="57"/>
        <v>1.6070682445565566E-2</v>
      </c>
      <c r="P181" s="72">
        <f t="shared" si="58"/>
        <v>3.9644003715951587E-2</v>
      </c>
      <c r="Q181" s="72">
        <f t="shared" si="59"/>
        <v>6.7283553483924133E-2</v>
      </c>
      <c r="R181" s="75">
        <f>IFERROR(O181*'Fechamento fiscal'!AN21,"")</f>
        <v>0.45067346874132219</v>
      </c>
      <c r="S181" s="75">
        <f>P181*'Gás fiscal'!H18</f>
        <v>182.2831290859454</v>
      </c>
      <c r="T181" s="104">
        <f>Q181*'Volumes de água'!$C$20</f>
        <v>168.27616726329427</v>
      </c>
      <c r="U181" s="191"/>
      <c r="V181" s="192"/>
      <c r="W181" s="193"/>
    </row>
    <row r="182" spans="1:23" x14ac:dyDescent="0.25">
      <c r="A182" s="42">
        <v>17</v>
      </c>
      <c r="B182" s="16" t="s">
        <v>116</v>
      </c>
      <c r="C182" s="16">
        <v>24</v>
      </c>
      <c r="D182" s="148">
        <v>24</v>
      </c>
      <c r="E182" s="148">
        <v>24</v>
      </c>
      <c r="F182" s="43">
        <f t="shared" si="51"/>
        <v>24</v>
      </c>
      <c r="G182" s="43">
        <f t="shared" si="52"/>
        <v>24</v>
      </c>
      <c r="H182" s="43">
        <f t="shared" si="53"/>
        <v>24</v>
      </c>
      <c r="I182" s="168">
        <v>1.1399999999999999</v>
      </c>
      <c r="J182" s="168">
        <v>158.13</v>
      </c>
      <c r="K182" s="168">
        <v>102.1</v>
      </c>
      <c r="L182" s="73">
        <f t="shared" si="54"/>
        <v>1.1399999999999999</v>
      </c>
      <c r="M182" s="73">
        <f t="shared" si="55"/>
        <v>158.13</v>
      </c>
      <c r="N182" s="73">
        <f t="shared" si="56"/>
        <v>102.1</v>
      </c>
      <c r="O182" s="72">
        <f t="shared" si="57"/>
        <v>1.5508727060007887E-2</v>
      </c>
      <c r="P182" s="72">
        <f t="shared" si="58"/>
        <v>3.6608827512762045E-2</v>
      </c>
      <c r="Q182" s="72">
        <f t="shared" si="59"/>
        <v>6.1450117445859868E-2</v>
      </c>
      <c r="R182" s="75">
        <f>IFERROR(O182*'Fechamento fiscal'!AN22,"")</f>
        <v>-6.0780560537055852E-3</v>
      </c>
      <c r="S182" s="75">
        <f>P182*'Gás fiscal'!H19</f>
        <v>173.37940710044106</v>
      </c>
      <c r="T182" s="104">
        <f>Q182*'Volumes de água'!$C$21</f>
        <v>166.46836816083439</v>
      </c>
      <c r="U182" s="191"/>
      <c r="V182" s="192"/>
      <c r="W182" s="193"/>
    </row>
    <row r="183" spans="1:23" x14ac:dyDescent="0.25">
      <c r="A183" s="42">
        <v>18</v>
      </c>
      <c r="B183" s="16" t="s">
        <v>116</v>
      </c>
      <c r="C183" s="16">
        <v>24</v>
      </c>
      <c r="D183" s="148">
        <v>24</v>
      </c>
      <c r="E183" s="148">
        <v>24</v>
      </c>
      <c r="F183" s="43">
        <f t="shared" si="51"/>
        <v>24</v>
      </c>
      <c r="G183" s="43">
        <f t="shared" si="52"/>
        <v>24</v>
      </c>
      <c r="H183" s="43">
        <f t="shared" si="53"/>
        <v>24</v>
      </c>
      <c r="I183" s="168">
        <v>1.1399999999999999</v>
      </c>
      <c r="J183" s="168">
        <v>158.13</v>
      </c>
      <c r="K183" s="168">
        <v>102.1</v>
      </c>
      <c r="L183" s="73">
        <f t="shared" si="54"/>
        <v>1.1399999999999999</v>
      </c>
      <c r="M183" s="73">
        <f t="shared" si="55"/>
        <v>158.13</v>
      </c>
      <c r="N183" s="73">
        <f t="shared" si="56"/>
        <v>102.1</v>
      </c>
      <c r="O183" s="72">
        <f t="shared" si="57"/>
        <v>1.427861672769175E-2</v>
      </c>
      <c r="P183" s="72">
        <f t="shared" si="58"/>
        <v>3.158626763394326E-2</v>
      </c>
      <c r="Q183" s="72">
        <f t="shared" si="59"/>
        <v>5.1586771100545145E-2</v>
      </c>
      <c r="R183" s="75">
        <f>IFERROR(O183*'Fechamento fiscal'!AN23,"")</f>
        <v>-1.1858662374107595E-3</v>
      </c>
      <c r="S183" s="75">
        <f>P183*'Gás fiscal'!H20</f>
        <v>150.03477126123047</v>
      </c>
      <c r="T183" s="104">
        <f>Q183*'Volumes de água'!$C$22</f>
        <v>98.943426970845593</v>
      </c>
      <c r="U183" s="191"/>
      <c r="V183" s="192"/>
      <c r="W183" s="193"/>
    </row>
    <row r="184" spans="1:23" x14ac:dyDescent="0.25">
      <c r="A184" s="42">
        <v>19</v>
      </c>
      <c r="B184" s="16" t="s">
        <v>116</v>
      </c>
      <c r="C184" s="16">
        <v>24</v>
      </c>
      <c r="D184" s="148">
        <v>23.5</v>
      </c>
      <c r="E184" s="148">
        <v>23.5</v>
      </c>
      <c r="F184" s="43">
        <f t="shared" si="51"/>
        <v>23.5</v>
      </c>
      <c r="G184" s="43">
        <f t="shared" si="52"/>
        <v>23.5</v>
      </c>
      <c r="H184" s="43">
        <f t="shared" si="53"/>
        <v>23.5</v>
      </c>
      <c r="I184" s="168">
        <v>1.1399999999999999</v>
      </c>
      <c r="J184" s="168">
        <v>158.13</v>
      </c>
      <c r="K184" s="168">
        <v>102.1</v>
      </c>
      <c r="L184" s="73">
        <f t="shared" si="54"/>
        <v>1.11625</v>
      </c>
      <c r="M184" s="73">
        <f t="shared" si="55"/>
        <v>154.83562499999999</v>
      </c>
      <c r="N184" s="73">
        <f t="shared" si="56"/>
        <v>99.972916666666663</v>
      </c>
      <c r="O184" s="72">
        <f t="shared" si="57"/>
        <v>1.413837452496064E-2</v>
      </c>
      <c r="P184" s="72">
        <f t="shared" si="58"/>
        <v>3.1723456280103798E-2</v>
      </c>
      <c r="Q184" s="72">
        <f t="shared" si="59"/>
        <v>5.1367918231805497E-2</v>
      </c>
      <c r="R184" s="75">
        <f>IFERROR(O184*'Fechamento fiscal'!AN24,"")</f>
        <v>0.88081878195190766</v>
      </c>
      <c r="S184" s="75">
        <f>P184*'Gás fiscal'!H21</f>
        <v>143.16795819210844</v>
      </c>
      <c r="T184" s="104">
        <f>Q184*'Volumes de água'!$C$23</f>
        <v>139.00158673526568</v>
      </c>
      <c r="U184" s="191"/>
      <c r="V184" s="192"/>
      <c r="W184" s="193"/>
    </row>
    <row r="185" spans="1:23" x14ac:dyDescent="0.25">
      <c r="A185" s="42">
        <v>20</v>
      </c>
      <c r="B185" s="16" t="s">
        <v>116</v>
      </c>
      <c r="C185" s="16">
        <v>24</v>
      </c>
      <c r="D185" s="148">
        <v>24</v>
      </c>
      <c r="E185" s="148">
        <v>24</v>
      </c>
      <c r="F185" s="43">
        <f t="shared" si="51"/>
        <v>24</v>
      </c>
      <c r="G185" s="43">
        <f t="shared" si="52"/>
        <v>24</v>
      </c>
      <c r="H185" s="43">
        <f t="shared" si="53"/>
        <v>24</v>
      </c>
      <c r="I185" s="168">
        <v>1.1399999999999999</v>
      </c>
      <c r="J185" s="168">
        <v>158.13</v>
      </c>
      <c r="K185" s="168">
        <v>102.1</v>
      </c>
      <c r="L185" s="73">
        <f t="shared" si="54"/>
        <v>1.1399999999999999</v>
      </c>
      <c r="M185" s="73">
        <f t="shared" si="55"/>
        <v>158.13</v>
      </c>
      <c r="N185" s="73">
        <f t="shared" si="56"/>
        <v>102.1</v>
      </c>
      <c r="O185" s="72">
        <f t="shared" si="57"/>
        <v>1.59478477400221E-2</v>
      </c>
      <c r="P185" s="72">
        <f t="shared" si="58"/>
        <v>3.8418908721259921E-2</v>
      </c>
      <c r="Q185" s="72">
        <f t="shared" si="59"/>
        <v>6.5254783659780338E-2</v>
      </c>
      <c r="R185" s="75">
        <f>IFERROR(O185*'Fechamento fiscal'!AN25,"")</f>
        <v>0.99393184942077573</v>
      </c>
      <c r="S185" s="75">
        <f>P185*'Gás fiscal'!H22</f>
        <v>170.65679253983657</v>
      </c>
      <c r="T185" s="104">
        <f>Q185*'Volumes de água'!$C$24</f>
        <v>167.31326530367679</v>
      </c>
      <c r="U185" s="191"/>
      <c r="V185" s="192"/>
      <c r="W185" s="193"/>
    </row>
    <row r="186" spans="1:23" x14ac:dyDescent="0.25">
      <c r="A186" s="42">
        <v>21</v>
      </c>
      <c r="B186" s="16" t="s">
        <v>116</v>
      </c>
      <c r="C186" s="16">
        <v>24</v>
      </c>
      <c r="D186" s="148">
        <v>24</v>
      </c>
      <c r="E186" s="148">
        <v>24</v>
      </c>
      <c r="F186" s="43">
        <f t="shared" si="51"/>
        <v>24</v>
      </c>
      <c r="G186" s="43">
        <f t="shared" si="52"/>
        <v>24</v>
      </c>
      <c r="H186" s="43">
        <f t="shared" si="53"/>
        <v>24</v>
      </c>
      <c r="I186" s="168">
        <v>1.1399999999999999</v>
      </c>
      <c r="J186" s="168">
        <v>158.13</v>
      </c>
      <c r="K186" s="168">
        <v>102.1</v>
      </c>
      <c r="L186" s="73">
        <f t="shared" si="54"/>
        <v>1.1399999999999999</v>
      </c>
      <c r="M186" s="73">
        <f t="shared" si="55"/>
        <v>158.13</v>
      </c>
      <c r="N186" s="73">
        <f t="shared" si="56"/>
        <v>102.1</v>
      </c>
      <c r="O186" s="72">
        <f t="shared" si="57"/>
        <v>1.4936234398431695E-2</v>
      </c>
      <c r="P186" s="72">
        <f t="shared" si="58"/>
        <v>3.4328380768454354E-2</v>
      </c>
      <c r="Q186" s="72">
        <f t="shared" si="59"/>
        <v>5.6468746827752228E-2</v>
      </c>
      <c r="R186" s="75">
        <f>IFERROR(O186*'Fechamento fiscal'!AN26,"")</f>
        <v>0.93375964299818937</v>
      </c>
      <c r="S186" s="75">
        <f>P186*'Gás fiscal'!H23</f>
        <v>143.49263161213921</v>
      </c>
      <c r="T186" s="104">
        <f>Q186*'Volumes de água'!$C$25</f>
        <v>155.28905377631864</v>
      </c>
      <c r="U186" s="191"/>
      <c r="V186" s="192"/>
      <c r="W186" s="193"/>
    </row>
    <row r="187" spans="1:23" x14ac:dyDescent="0.25">
      <c r="A187" s="42">
        <v>22</v>
      </c>
      <c r="B187" s="16" t="s">
        <v>116</v>
      </c>
      <c r="C187" s="16">
        <v>24</v>
      </c>
      <c r="D187" s="148">
        <v>24</v>
      </c>
      <c r="E187" s="148">
        <v>24</v>
      </c>
      <c r="F187" s="43">
        <f t="shared" si="51"/>
        <v>24</v>
      </c>
      <c r="G187" s="43">
        <f t="shared" si="52"/>
        <v>24</v>
      </c>
      <c r="H187" s="43">
        <f t="shared" si="53"/>
        <v>24</v>
      </c>
      <c r="I187" s="168">
        <v>1.1399999999999999</v>
      </c>
      <c r="J187" s="168">
        <v>158.13</v>
      </c>
      <c r="K187" s="168">
        <v>102.1</v>
      </c>
      <c r="L187" s="73">
        <f t="shared" si="54"/>
        <v>1.1399999999999999</v>
      </c>
      <c r="M187" s="73">
        <f t="shared" si="55"/>
        <v>158.13</v>
      </c>
      <c r="N187" s="73">
        <f t="shared" si="56"/>
        <v>102.1</v>
      </c>
      <c r="O187" s="72">
        <f t="shared" si="57"/>
        <v>1.8702321384628001E-2</v>
      </c>
      <c r="P187" s="72">
        <f t="shared" si="58"/>
        <v>3.4890555786497073E-2</v>
      </c>
      <c r="Q187" s="72">
        <f t="shared" si="59"/>
        <v>6.6994453928763756E-2</v>
      </c>
      <c r="R187" s="75">
        <f>IFERROR(O187*'Fechamento fiscal'!AN27,"")</f>
        <v>0.34551202411822829</v>
      </c>
      <c r="S187" s="75">
        <f>P187*'Gás fiscal'!H24</f>
        <v>164.22984608704172</v>
      </c>
      <c r="T187" s="104">
        <f>Q187*'Volumes de água'!$C$26</f>
        <v>188.32140999375491</v>
      </c>
      <c r="U187" s="191"/>
      <c r="V187" s="192"/>
      <c r="W187" s="193"/>
    </row>
    <row r="188" spans="1:23" x14ac:dyDescent="0.25">
      <c r="A188" s="42">
        <v>23</v>
      </c>
      <c r="B188" s="16" t="s">
        <v>116</v>
      </c>
      <c r="C188" s="16">
        <v>24</v>
      </c>
      <c r="D188" s="148">
        <v>21</v>
      </c>
      <c r="E188" s="148">
        <v>21</v>
      </c>
      <c r="F188" s="43">
        <f t="shared" si="51"/>
        <v>21</v>
      </c>
      <c r="G188" s="43">
        <f t="shared" si="52"/>
        <v>21</v>
      </c>
      <c r="H188" s="43">
        <f t="shared" si="53"/>
        <v>21</v>
      </c>
      <c r="I188" s="168">
        <v>1.1399999999999999</v>
      </c>
      <c r="J188" s="168">
        <v>158.13</v>
      </c>
      <c r="K188" s="168">
        <v>102.1</v>
      </c>
      <c r="L188" s="73">
        <f t="shared" si="54"/>
        <v>0.99749999999999994</v>
      </c>
      <c r="M188" s="73">
        <f t="shared" si="55"/>
        <v>138.36374999999998</v>
      </c>
      <c r="N188" s="73">
        <f t="shared" si="56"/>
        <v>89.337499999999991</v>
      </c>
      <c r="O188" s="72">
        <f t="shared" si="57"/>
        <v>2.3127735429526675E-2</v>
      </c>
      <c r="P188" s="72">
        <f t="shared" si="58"/>
        <v>5.7299716772476202E-2</v>
      </c>
      <c r="Q188" s="72">
        <f t="shared" si="59"/>
        <v>8.2550564733106638E-2</v>
      </c>
      <c r="R188" s="75">
        <f>IFERROR(O188*'Fechamento fiscal'!AN28,"")</f>
        <v>-7.6183820296169148E-3</v>
      </c>
      <c r="S188" s="75">
        <f>P188*'Gás fiscal'!H25</f>
        <v>121.01700182346974</v>
      </c>
      <c r="T188" s="104">
        <f>Q188*'Volumes de água'!$C$27</f>
        <v>124.32115048805859</v>
      </c>
      <c r="U188" s="191"/>
      <c r="V188" s="192"/>
      <c r="W188" s="193"/>
    </row>
    <row r="189" spans="1:23" x14ac:dyDescent="0.25">
      <c r="A189" s="42">
        <v>24</v>
      </c>
      <c r="B189" s="16" t="s">
        <v>116</v>
      </c>
      <c r="C189" s="16">
        <v>24</v>
      </c>
      <c r="D189" s="148">
        <v>18.600000000000001</v>
      </c>
      <c r="E189" s="148">
        <v>18.600000000000001</v>
      </c>
      <c r="F189" s="43">
        <f t="shared" si="51"/>
        <v>18.600000000000001</v>
      </c>
      <c r="G189" s="43">
        <f t="shared" si="52"/>
        <v>18.600000000000001</v>
      </c>
      <c r="H189" s="43">
        <f t="shared" si="53"/>
        <v>18.600000000000001</v>
      </c>
      <c r="I189" s="168">
        <v>1.1399999999999999</v>
      </c>
      <c r="J189" s="168">
        <v>158.13</v>
      </c>
      <c r="K189" s="168">
        <v>102.1</v>
      </c>
      <c r="L189" s="73">
        <f t="shared" si="54"/>
        <v>0.88349999999999995</v>
      </c>
      <c r="M189" s="73">
        <f t="shared" si="55"/>
        <v>122.55074999999999</v>
      </c>
      <c r="N189" s="73">
        <f t="shared" si="56"/>
        <v>79.127499999999998</v>
      </c>
      <c r="O189" s="72">
        <f t="shared" si="57"/>
        <v>1.4295422552303285E-2</v>
      </c>
      <c r="P189" s="72">
        <f t="shared" si="58"/>
        <v>4.3554864794251594E-2</v>
      </c>
      <c r="Q189" s="72">
        <f t="shared" si="59"/>
        <v>5.3573189200900304E-2</v>
      </c>
      <c r="R189" s="75">
        <f>IFERROR(O189*'Fechamento fiscal'!AN29,"")</f>
        <v>-1.8934926177384451E-3</v>
      </c>
      <c r="S189" s="75">
        <f>P189*'Gás fiscal'!H26</f>
        <v>103.48635875114179</v>
      </c>
      <c r="T189" s="104">
        <f>Q189*'Volumes de água'!$C$28</f>
        <v>70.770182934389297</v>
      </c>
      <c r="U189" s="191"/>
      <c r="V189" s="192"/>
      <c r="W189" s="193"/>
    </row>
    <row r="190" spans="1:23" x14ac:dyDescent="0.25">
      <c r="A190" s="42">
        <v>25</v>
      </c>
      <c r="B190" s="16" t="s">
        <v>116</v>
      </c>
      <c r="C190" s="16">
        <v>24</v>
      </c>
      <c r="D190" s="148">
        <v>24</v>
      </c>
      <c r="E190" s="148">
        <v>24</v>
      </c>
      <c r="F190" s="43">
        <f t="shared" si="51"/>
        <v>24</v>
      </c>
      <c r="G190" s="43">
        <f t="shared" si="52"/>
        <v>24</v>
      </c>
      <c r="H190" s="43">
        <f t="shared" si="53"/>
        <v>24</v>
      </c>
      <c r="I190" s="168">
        <v>1.1399999999999999</v>
      </c>
      <c r="J190" s="168">
        <v>158.13</v>
      </c>
      <c r="K190" s="168">
        <v>102.1</v>
      </c>
      <c r="L190" s="73">
        <f t="shared" si="54"/>
        <v>1.1399999999999999</v>
      </c>
      <c r="M190" s="73">
        <f t="shared" si="55"/>
        <v>158.13</v>
      </c>
      <c r="N190" s="73">
        <f t="shared" si="56"/>
        <v>102.1</v>
      </c>
      <c r="O190" s="72">
        <f t="shared" si="57"/>
        <v>1.5739732930788893E-2</v>
      </c>
      <c r="P190" s="72">
        <f t="shared" si="58"/>
        <v>3.7447868442959768E-2</v>
      </c>
      <c r="Q190" s="72">
        <f t="shared" si="59"/>
        <v>6.1977436864216875E-2</v>
      </c>
      <c r="R190" s="75">
        <f>IFERROR(O190*'Fechamento fiscal'!AN30,"")</f>
        <v>0.98463878352474077</v>
      </c>
      <c r="S190" s="75">
        <f>P190*'Gás fiscal'!H27</f>
        <v>178.13951018315962</v>
      </c>
      <c r="T190" s="104">
        <f>Q190*'Volumes de água'!$C$29</f>
        <v>169.63224469736159</v>
      </c>
      <c r="U190" s="191"/>
      <c r="V190" s="192"/>
      <c r="W190" s="193"/>
    </row>
    <row r="191" spans="1:23" x14ac:dyDescent="0.25">
      <c r="A191" s="42">
        <v>26</v>
      </c>
      <c r="B191" s="16" t="s">
        <v>116</v>
      </c>
      <c r="C191" s="16">
        <v>24</v>
      </c>
      <c r="D191" s="148">
        <v>24</v>
      </c>
      <c r="E191" s="148">
        <v>24</v>
      </c>
      <c r="F191" s="43">
        <f t="shared" si="51"/>
        <v>24</v>
      </c>
      <c r="G191" s="43">
        <f t="shared" si="52"/>
        <v>24</v>
      </c>
      <c r="H191" s="43">
        <f t="shared" si="53"/>
        <v>24</v>
      </c>
      <c r="I191" s="168">
        <v>1.1399999999999999</v>
      </c>
      <c r="J191" s="168">
        <v>158.13</v>
      </c>
      <c r="K191" s="168">
        <v>102.1</v>
      </c>
      <c r="L191" s="73">
        <f t="shared" si="54"/>
        <v>1.1399999999999999</v>
      </c>
      <c r="M191" s="73">
        <f t="shared" si="55"/>
        <v>158.13</v>
      </c>
      <c r="N191" s="73">
        <f t="shared" si="56"/>
        <v>102.1</v>
      </c>
      <c r="O191" s="72">
        <f t="shared" si="57"/>
        <v>1.5355327670120867E-2</v>
      </c>
      <c r="P191" s="72">
        <f t="shared" si="58"/>
        <v>3.5898010422068936E-2</v>
      </c>
      <c r="Q191" s="72">
        <f t="shared" si="59"/>
        <v>5.8875880110793526E-2</v>
      </c>
      <c r="R191" s="75">
        <f>IFERROR(O191*'Fechamento fiscal'!AN31,"")</f>
        <v>0.94072012613339884</v>
      </c>
      <c r="S191" s="75">
        <f>P191*'Gás fiscal'!H28</f>
        <v>168.64885296287986</v>
      </c>
      <c r="T191" s="104">
        <f>Q191*'Volumes de água'!$C$30</f>
        <v>164.91134019033265</v>
      </c>
      <c r="U191" s="191"/>
      <c r="V191" s="192"/>
      <c r="W191" s="193"/>
    </row>
    <row r="192" spans="1:23" x14ac:dyDescent="0.25">
      <c r="A192" s="42">
        <v>27</v>
      </c>
      <c r="B192" s="16" t="s">
        <v>116</v>
      </c>
      <c r="C192" s="16">
        <v>24</v>
      </c>
      <c r="D192" s="148">
        <v>24</v>
      </c>
      <c r="E192" s="148">
        <v>24</v>
      </c>
      <c r="F192" s="43">
        <f t="shared" si="51"/>
        <v>24</v>
      </c>
      <c r="G192" s="43">
        <f t="shared" si="52"/>
        <v>24</v>
      </c>
      <c r="H192" s="43">
        <f t="shared" si="53"/>
        <v>24</v>
      </c>
      <c r="I192" s="168">
        <v>1.1399999999999999</v>
      </c>
      <c r="J192" s="168">
        <v>158.13</v>
      </c>
      <c r="K192" s="168">
        <v>102.1</v>
      </c>
      <c r="L192" s="73">
        <f t="shared" si="54"/>
        <v>1.1399999999999999</v>
      </c>
      <c r="M192" s="73">
        <f t="shared" si="55"/>
        <v>158.13</v>
      </c>
      <c r="N192" s="73">
        <f t="shared" si="56"/>
        <v>102.1</v>
      </c>
      <c r="O192" s="72">
        <f t="shared" si="57"/>
        <v>1.4993785470495782E-2</v>
      </c>
      <c r="P192" s="72">
        <f t="shared" si="58"/>
        <v>3.1715913027637703E-2</v>
      </c>
      <c r="Q192" s="72">
        <f t="shared" si="59"/>
        <v>5.2724316696276752E-2</v>
      </c>
      <c r="R192" s="75">
        <f>IFERROR(O192*'Fechamento fiscal'!AN32,"")</f>
        <v>5.4844531282936763E-3</v>
      </c>
      <c r="S192" s="75">
        <f>P192*'Gás fiscal'!H29</f>
        <v>151.47520061999768</v>
      </c>
      <c r="T192" s="104">
        <f>Q192*'Volumes de água'!$C$31</f>
        <v>156.38032332115685</v>
      </c>
      <c r="U192" s="191"/>
      <c r="V192" s="192"/>
      <c r="W192" s="193"/>
    </row>
    <row r="193" spans="1:23" x14ac:dyDescent="0.25">
      <c r="A193" s="42">
        <v>28</v>
      </c>
      <c r="B193" s="16" t="s">
        <v>116</v>
      </c>
      <c r="C193" s="16">
        <v>24</v>
      </c>
      <c r="D193" s="148">
        <v>24</v>
      </c>
      <c r="E193" s="148">
        <v>24</v>
      </c>
      <c r="F193" s="43">
        <f t="shared" si="51"/>
        <v>24</v>
      </c>
      <c r="G193" s="43">
        <f t="shared" si="52"/>
        <v>24</v>
      </c>
      <c r="H193" s="43">
        <f t="shared" si="53"/>
        <v>24</v>
      </c>
      <c r="I193" s="168">
        <v>1.1399999999999999</v>
      </c>
      <c r="J193" s="168">
        <v>158.13</v>
      </c>
      <c r="K193" s="168">
        <v>102.1</v>
      </c>
      <c r="L193" s="73">
        <f t="shared" si="54"/>
        <v>1.1399999999999999</v>
      </c>
      <c r="M193" s="73">
        <f t="shared" si="55"/>
        <v>158.13</v>
      </c>
      <c r="N193" s="73">
        <f t="shared" si="56"/>
        <v>102.1</v>
      </c>
      <c r="O193" s="72">
        <f t="shared" si="57"/>
        <v>1.5621502861658343E-2</v>
      </c>
      <c r="P193" s="72">
        <f t="shared" si="58"/>
        <v>3.8441931242109775E-2</v>
      </c>
      <c r="Q193" s="72">
        <f t="shared" si="59"/>
        <v>6.100583444225495E-2</v>
      </c>
      <c r="R193" s="75">
        <f>IFERROR(O193*'Fechamento fiscal'!AN33,"")</f>
        <v>2.5541722431215792E-3</v>
      </c>
      <c r="S193" s="75">
        <f>P193*'Gás fiscal'!H30</f>
        <v>161.84053052928215</v>
      </c>
      <c r="T193" s="104">
        <f>Q193*'Volumes de água'!$C$32</f>
        <v>164.16670048410808</v>
      </c>
      <c r="U193" s="191"/>
      <c r="V193" s="192"/>
      <c r="W193" s="193"/>
    </row>
    <row r="194" spans="1:23" x14ac:dyDescent="0.25">
      <c r="A194" s="42">
        <v>29</v>
      </c>
      <c r="B194" s="16" t="s">
        <v>116</v>
      </c>
      <c r="C194" s="16">
        <v>24</v>
      </c>
      <c r="D194" s="148">
        <v>24</v>
      </c>
      <c r="E194" s="148">
        <v>24</v>
      </c>
      <c r="F194" s="43">
        <f t="shared" si="51"/>
        <v>24</v>
      </c>
      <c r="G194" s="43">
        <f t="shared" si="52"/>
        <v>24</v>
      </c>
      <c r="H194" s="43">
        <f t="shared" si="53"/>
        <v>24</v>
      </c>
      <c r="I194" s="168">
        <v>1.1399999999999999</v>
      </c>
      <c r="J194" s="168">
        <v>158.13</v>
      </c>
      <c r="K194" s="168">
        <v>102.1</v>
      </c>
      <c r="L194" s="73">
        <f t="shared" si="54"/>
        <v>1.1399999999999999</v>
      </c>
      <c r="M194" s="73">
        <f t="shared" si="55"/>
        <v>158.13</v>
      </c>
      <c r="N194" s="73">
        <f t="shared" si="56"/>
        <v>102.1</v>
      </c>
      <c r="O194" s="72">
        <f t="shared" si="57"/>
        <v>1.60862448495795E-2</v>
      </c>
      <c r="P194" s="72">
        <f t="shared" si="58"/>
        <v>3.8892719623778792E-2</v>
      </c>
      <c r="Q194" s="72">
        <f t="shared" si="59"/>
        <v>6.4920200928339791E-2</v>
      </c>
      <c r="R194" s="75">
        <f>IFERROR(O194*'Fechamento fiscal'!AN34,"")</f>
        <v>0.97527990545067111</v>
      </c>
      <c r="S194" s="75">
        <f>P194*'Gás fiscal'!H31</f>
        <v>180.34554089546225</v>
      </c>
      <c r="T194" s="104">
        <f>Q194*'Volumes de água'!$C$33</f>
        <v>175.08978190373242</v>
      </c>
      <c r="U194" s="191"/>
      <c r="V194" s="192"/>
      <c r="W194" s="193"/>
    </row>
    <row r="195" spans="1:23" x14ac:dyDescent="0.25">
      <c r="A195" s="42">
        <v>30</v>
      </c>
      <c r="B195" s="16" t="s">
        <v>116</v>
      </c>
      <c r="C195" s="16">
        <v>24</v>
      </c>
      <c r="D195" s="148">
        <v>24</v>
      </c>
      <c r="E195" s="148">
        <v>24</v>
      </c>
      <c r="F195" s="43">
        <f t="shared" si="51"/>
        <v>24</v>
      </c>
      <c r="G195" s="43">
        <f t="shared" si="52"/>
        <v>24</v>
      </c>
      <c r="H195" s="43">
        <f t="shared" si="53"/>
        <v>24</v>
      </c>
      <c r="I195" s="168">
        <v>1.1399999999999999</v>
      </c>
      <c r="J195" s="168">
        <v>158.13</v>
      </c>
      <c r="K195" s="168">
        <v>102.1</v>
      </c>
      <c r="L195" s="73">
        <f t="shared" si="54"/>
        <v>1.1399999999999999</v>
      </c>
      <c r="M195" s="73">
        <f t="shared" si="55"/>
        <v>158.13</v>
      </c>
      <c r="N195" s="73">
        <f t="shared" si="56"/>
        <v>102.1</v>
      </c>
      <c r="O195" s="72">
        <f t="shared" si="57"/>
        <v>2.191970466082141E-2</v>
      </c>
      <c r="P195" s="72">
        <f t="shared" si="58"/>
        <v>3.4567187141872041E-2</v>
      </c>
      <c r="Q195" s="72">
        <f t="shared" si="59"/>
        <v>7.4530715633565822E-2</v>
      </c>
      <c r="R195" s="75">
        <f>IFERROR(O195*'Fechamento fiscal'!AN35,"")</f>
        <v>0.3190184183886729</v>
      </c>
      <c r="S195" s="75">
        <f>P195*'Gás fiscal'!H32</f>
        <v>157.5226718055109</v>
      </c>
      <c r="T195" s="104">
        <f>Q195*'Volumes de água'!$C$34</f>
        <v>203.99056868906965</v>
      </c>
      <c r="U195" s="191"/>
      <c r="V195" s="192"/>
      <c r="W195" s="193"/>
    </row>
    <row r="196" spans="1:23" x14ac:dyDescent="0.25">
      <c r="A196" s="42">
        <v>31</v>
      </c>
      <c r="B196" s="16" t="s">
        <v>116</v>
      </c>
      <c r="C196" s="16">
        <v>24</v>
      </c>
      <c r="D196" s="148"/>
      <c r="E196" s="148"/>
      <c r="F196" s="43">
        <f>IF(OR(C196="",E196=""),0,IF(E196&gt;C196,E196,E196/C196*24))</f>
        <v>0</v>
      </c>
      <c r="G196" s="43">
        <f>IF(OR(C196="",D196=""),0,IF(D196&gt;C196,D196,D196/C196*24))</f>
        <v>0</v>
      </c>
      <c r="H196" s="43">
        <f>IF(OR(C196="",D196=""),0,IF(D196&gt;C196,D196,D196/C196*24))</f>
        <v>0</v>
      </c>
      <c r="I196" s="168">
        <v>1.1399999999999999</v>
      </c>
      <c r="J196" s="168">
        <v>158.13</v>
      </c>
      <c r="K196" s="168">
        <v>102.1</v>
      </c>
      <c r="L196" s="73">
        <f>I196*(G196/C196)</f>
        <v>0</v>
      </c>
      <c r="M196" s="73">
        <f>J196*(F196/C196)</f>
        <v>0</v>
      </c>
      <c r="N196" s="73">
        <f>K196*(H196/C196)</f>
        <v>0</v>
      </c>
      <c r="O196" s="72">
        <f t="shared" si="57"/>
        <v>0</v>
      </c>
      <c r="P196" s="72">
        <f t="shared" si="58"/>
        <v>0</v>
      </c>
      <c r="Q196" s="72">
        <f t="shared" si="59"/>
        <v>0</v>
      </c>
      <c r="R196" s="75" t="str">
        <f>IFERROR(O196*'Fechamento fiscal'!AN36,"")</f>
        <v/>
      </c>
      <c r="S196" s="75">
        <f>P196*'Gás fiscal'!H33</f>
        <v>0</v>
      </c>
      <c r="T196" s="104">
        <f>Q196*'Volumes de água'!$C$35</f>
        <v>0</v>
      </c>
      <c r="U196" s="191"/>
      <c r="V196" s="192"/>
      <c r="W196" s="193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117</v>
      </c>
      <c r="C198" s="16">
        <v>24</v>
      </c>
      <c r="D198" s="148">
        <v>17</v>
      </c>
      <c r="E198" s="148">
        <v>17</v>
      </c>
      <c r="F198" s="43">
        <f>IF(OR(C198="",E198=""),0,IF(E198&gt;C198,E198,E198/C198*24))</f>
        <v>17</v>
      </c>
      <c r="G198" s="43">
        <f>IF(OR(C198="",D198=""),0,IF(D198&gt;C198,D198,D198/C198*24))</f>
        <v>17</v>
      </c>
      <c r="H198" s="43">
        <f>IF(OR(C198="",D198=""),0,IF(D198&gt;C198,D198,D198/C198*24))</f>
        <v>17</v>
      </c>
      <c r="I198" s="168">
        <v>3.64</v>
      </c>
      <c r="J198" s="168">
        <v>83.66</v>
      </c>
      <c r="K198" s="168">
        <v>56.63</v>
      </c>
      <c r="L198" s="73">
        <f>I198*(G198/C198)</f>
        <v>2.5783333333333336</v>
      </c>
      <c r="M198" s="73">
        <f>J198*(F198/C198)</f>
        <v>59.259166666666665</v>
      </c>
      <c r="N198" s="73">
        <f>K198*(H198/C198)</f>
        <v>40.112916666666671</v>
      </c>
      <c r="O198" s="72">
        <f>IF(D198&lt;&gt;0,L198/(L6+L38+L70+L102+L134+L166+L198+L230+L262+L294+L326+L358),0)</f>
        <v>5.0887906803091437E-2</v>
      </c>
      <c r="P198" s="72">
        <f>IF(E198&lt;&gt;0,M198/(M6+M38+M70+M102+M134+M166+M198+M230+M262+M294),0)</f>
        <v>2.113489930302772E-2</v>
      </c>
      <c r="Q198" s="72">
        <f t="shared" ref="Q198" si="60">IF(F198&lt;&gt;0,N198/(N6+N38+N70+N102+N134+N166+N198+N230+N262+N294+N326+N358),0)</f>
        <v>3.6884839997816131E-2</v>
      </c>
      <c r="R198" s="75">
        <f>IFERROR(O198*'Fechamento fiscal'!AN6,"")</f>
        <v>4.3138807294592308E-3</v>
      </c>
      <c r="S198" s="75">
        <f>P198*'Gás fiscal'!H3</f>
        <v>65.602727436598045</v>
      </c>
      <c r="T198" s="104">
        <f>Q198*'Volumes de água'!$C$5</f>
        <v>51.933854716925111</v>
      </c>
      <c r="U198" s="191"/>
      <c r="V198" s="192"/>
      <c r="W198" s="193"/>
    </row>
    <row r="199" spans="1:23" x14ac:dyDescent="0.25">
      <c r="A199" s="42">
        <v>2</v>
      </c>
      <c r="B199" s="16" t="s">
        <v>117</v>
      </c>
      <c r="C199" s="16">
        <v>24</v>
      </c>
      <c r="D199" s="148">
        <v>23</v>
      </c>
      <c r="E199" s="148">
        <v>23</v>
      </c>
      <c r="F199" s="43">
        <f t="shared" ref="F199:F227" si="61">IF(OR(C199="",E199=""),0,IF(E199&gt;C199,E199,E199/C199*24))</f>
        <v>23</v>
      </c>
      <c r="G199" s="43">
        <f t="shared" ref="G199:G227" si="62">IF(OR(C199="",D199=""),0,IF(D199&gt;C199,D199,D199/C199*24))</f>
        <v>23</v>
      </c>
      <c r="H199" s="43">
        <f t="shared" ref="H199:H227" si="63">IF(OR(C199="",D199=""),0,IF(D199&gt;C199,D199,D199/C199*24))</f>
        <v>23</v>
      </c>
      <c r="I199" s="168">
        <v>3.64</v>
      </c>
      <c r="J199" s="168">
        <v>83.66</v>
      </c>
      <c r="K199" s="168">
        <v>56.63</v>
      </c>
      <c r="L199" s="73">
        <f t="shared" ref="L199:L227" si="64">I199*(G199/C199)</f>
        <v>3.4883333333333337</v>
      </c>
      <c r="M199" s="73">
        <f t="shared" ref="M199:M227" si="65">J199*(F199/C199)</f>
        <v>80.174166666666665</v>
      </c>
      <c r="N199" s="73">
        <f t="shared" ref="N199:N227" si="66">K199*(H199/C199)</f>
        <v>54.270416666666669</v>
      </c>
      <c r="O199" s="72">
        <f t="shared" ref="O199:O228" si="67">IF(D199&lt;&gt;0,L199/(L7+L39+L71+L103+L135+L167+L199+L231+L263+L295+L327+L359),0)</f>
        <v>4.9850721739844964E-2</v>
      </c>
      <c r="P199" s="72">
        <f t="shared" ref="P199:P228" si="68">IF(E199&lt;&gt;0,M199/(M7+M39+M71+M103+M135+M167+M199+M231+M263+M295),0)</f>
        <v>2.0365042039717427E-2</v>
      </c>
      <c r="Q199" s="72">
        <f t="shared" ref="Q199:Q228" si="69">IF(F199&lt;&gt;0,N199/(N7+N39+N71+N103+N135+N167+N199+N231+N263+N295+N327+N359),0)</f>
        <v>3.5249447573993967E-2</v>
      </c>
      <c r="R199" s="75">
        <f>IFERROR(O199*'Fechamento fiscal'!AN7,"")</f>
        <v>2.6088931622924525</v>
      </c>
      <c r="S199" s="75">
        <f>P199*'Gás fiscal'!H4</f>
        <v>90.868817581219162</v>
      </c>
      <c r="T199" s="104">
        <f>Q199*'Volumes de água'!$C$6</f>
        <v>72.754859792723551</v>
      </c>
      <c r="U199" s="191"/>
      <c r="V199" s="192"/>
      <c r="W199" s="193"/>
    </row>
    <row r="200" spans="1:23" x14ac:dyDescent="0.25">
      <c r="A200" s="42">
        <v>3</v>
      </c>
      <c r="B200" s="16" t="s">
        <v>117</v>
      </c>
      <c r="C200" s="16">
        <v>24</v>
      </c>
      <c r="D200" s="148">
        <v>24</v>
      </c>
      <c r="E200" s="148">
        <v>24</v>
      </c>
      <c r="F200" s="43">
        <f t="shared" si="61"/>
        <v>24</v>
      </c>
      <c r="G200" s="43">
        <f t="shared" si="62"/>
        <v>24</v>
      </c>
      <c r="H200" s="43">
        <f t="shared" si="63"/>
        <v>24</v>
      </c>
      <c r="I200" s="168">
        <v>3.64</v>
      </c>
      <c r="J200" s="168">
        <v>83.66</v>
      </c>
      <c r="K200" s="168">
        <v>56.63</v>
      </c>
      <c r="L200" s="73">
        <f t="shared" si="64"/>
        <v>3.64</v>
      </c>
      <c r="M200" s="73">
        <f t="shared" si="65"/>
        <v>83.66</v>
      </c>
      <c r="N200" s="73">
        <f t="shared" si="66"/>
        <v>56.63</v>
      </c>
      <c r="O200" s="72">
        <f t="shared" si="67"/>
        <v>4.9850721739844971E-2</v>
      </c>
      <c r="P200" s="72">
        <f t="shared" si="68"/>
        <v>2.0365042039717427E-2</v>
      </c>
      <c r="Q200" s="72">
        <f t="shared" si="69"/>
        <v>3.5249447573993967E-2</v>
      </c>
      <c r="R200" s="75">
        <f>IFERROR(O200*'Fechamento fiscal'!AN8,"")</f>
        <v>3.1119477263414486</v>
      </c>
      <c r="S200" s="75">
        <f>P200*'Gás fiscal'!H5</f>
        <v>97.202345655571278</v>
      </c>
      <c r="T200" s="104">
        <f>Q200*'Volumes de água'!$C$7</f>
        <v>74.305835485979287</v>
      </c>
      <c r="U200" s="191"/>
      <c r="V200" s="192"/>
      <c r="W200" s="193"/>
    </row>
    <row r="201" spans="1:23" x14ac:dyDescent="0.25">
      <c r="A201" s="42">
        <v>4</v>
      </c>
      <c r="B201" s="16" t="s">
        <v>117</v>
      </c>
      <c r="C201" s="16">
        <v>24</v>
      </c>
      <c r="D201" s="148">
        <v>24</v>
      </c>
      <c r="E201" s="148">
        <v>24</v>
      </c>
      <c r="F201" s="43">
        <f t="shared" si="61"/>
        <v>24</v>
      </c>
      <c r="G201" s="43">
        <f t="shared" si="62"/>
        <v>24</v>
      </c>
      <c r="H201" s="43">
        <f t="shared" si="63"/>
        <v>24</v>
      </c>
      <c r="I201" s="168">
        <v>3.64</v>
      </c>
      <c r="J201" s="168">
        <v>83.66</v>
      </c>
      <c r="K201" s="168">
        <v>56.63</v>
      </c>
      <c r="L201" s="73">
        <f t="shared" si="64"/>
        <v>3.64</v>
      </c>
      <c r="M201" s="73">
        <f t="shared" si="65"/>
        <v>83.66</v>
      </c>
      <c r="N201" s="73">
        <f t="shared" si="66"/>
        <v>56.63</v>
      </c>
      <c r="O201" s="72">
        <f t="shared" si="67"/>
        <v>4.9850721739844971E-2</v>
      </c>
      <c r="P201" s="72">
        <f t="shared" si="68"/>
        <v>2.0365042039717427E-2</v>
      </c>
      <c r="Q201" s="72">
        <f t="shared" si="69"/>
        <v>3.5249447573993967E-2</v>
      </c>
      <c r="R201" s="75">
        <f>IFERROR(O201*'Fechamento fiscal'!AN9,"")</f>
        <v>3.1244807800403449</v>
      </c>
      <c r="S201" s="75">
        <f>P201*'Gás fiscal'!H6</f>
        <v>94.269779601851965</v>
      </c>
      <c r="T201" s="104">
        <f>Q201*'Volumes de água'!$C$8</f>
        <v>74.305835485979287</v>
      </c>
      <c r="U201" s="191"/>
      <c r="V201" s="192"/>
      <c r="W201" s="193"/>
    </row>
    <row r="202" spans="1:23" x14ac:dyDescent="0.25">
      <c r="A202" s="42">
        <v>5</v>
      </c>
      <c r="B202" s="16" t="s">
        <v>117</v>
      </c>
      <c r="C202" s="16">
        <v>24</v>
      </c>
      <c r="D202" s="148">
        <v>23.5</v>
      </c>
      <c r="E202" s="148">
        <v>23.5</v>
      </c>
      <c r="F202" s="43">
        <f t="shared" si="61"/>
        <v>23.5</v>
      </c>
      <c r="G202" s="43">
        <f t="shared" si="62"/>
        <v>23.5</v>
      </c>
      <c r="H202" s="43">
        <f t="shared" si="63"/>
        <v>23.5</v>
      </c>
      <c r="I202" s="168">
        <v>3.64</v>
      </c>
      <c r="J202" s="168">
        <v>83.66</v>
      </c>
      <c r="K202" s="168">
        <v>56.63</v>
      </c>
      <c r="L202" s="73">
        <f t="shared" si="64"/>
        <v>3.5641666666666665</v>
      </c>
      <c r="M202" s="73">
        <f t="shared" si="65"/>
        <v>81.917083333333323</v>
      </c>
      <c r="N202" s="73">
        <f t="shared" si="66"/>
        <v>55.450208333333336</v>
      </c>
      <c r="O202" s="72">
        <f t="shared" si="67"/>
        <v>4.9850721739844964E-2</v>
      </c>
      <c r="P202" s="72">
        <f t="shared" si="68"/>
        <v>2.0365042039717431E-2</v>
      </c>
      <c r="Q202" s="72">
        <f t="shared" si="69"/>
        <v>3.5249447573993967E-2</v>
      </c>
      <c r="R202" s="75">
        <f>IFERROR(O202*'Fechamento fiscal'!AN10,"")</f>
        <v>3.1342671910907454</v>
      </c>
      <c r="S202" s="75">
        <f>P202*'Gás fiscal'!H7</f>
        <v>92.416560776237702</v>
      </c>
      <c r="T202" s="104">
        <f>Q202*'Volumes de água'!$C$9</f>
        <v>72.931107030593523</v>
      </c>
      <c r="U202" s="191"/>
      <c r="V202" s="192"/>
      <c r="W202" s="193"/>
    </row>
    <row r="203" spans="1:23" x14ac:dyDescent="0.25">
      <c r="A203" s="42">
        <v>6</v>
      </c>
      <c r="B203" s="16" t="s">
        <v>117</v>
      </c>
      <c r="C203" s="16">
        <v>24</v>
      </c>
      <c r="D203" s="148">
        <v>23.5</v>
      </c>
      <c r="E203" s="148">
        <v>23.5</v>
      </c>
      <c r="F203" s="43">
        <f t="shared" si="61"/>
        <v>23.5</v>
      </c>
      <c r="G203" s="43">
        <f t="shared" si="62"/>
        <v>23.5</v>
      </c>
      <c r="H203" s="43">
        <f t="shared" si="63"/>
        <v>23.5</v>
      </c>
      <c r="I203" s="168">
        <v>3.64</v>
      </c>
      <c r="J203" s="168">
        <v>83.66</v>
      </c>
      <c r="K203" s="168">
        <v>56.63</v>
      </c>
      <c r="L203" s="73">
        <f t="shared" si="64"/>
        <v>3.5641666666666665</v>
      </c>
      <c r="M203" s="73">
        <f t="shared" si="65"/>
        <v>81.917083333333323</v>
      </c>
      <c r="N203" s="73">
        <f t="shared" si="66"/>
        <v>55.450208333333336</v>
      </c>
      <c r="O203" s="72">
        <f t="shared" si="67"/>
        <v>4.9850721739844964E-2</v>
      </c>
      <c r="P203" s="72">
        <f t="shared" si="68"/>
        <v>2.0365042039717431E-2</v>
      </c>
      <c r="Q203" s="72">
        <f t="shared" si="69"/>
        <v>3.5249447573993967E-2</v>
      </c>
      <c r="R203" s="75">
        <f>IFERROR(O203*'Fechamento fiscal'!AN11,"")</f>
        <v>9.7009667681635051E-3</v>
      </c>
      <c r="S203" s="75">
        <f>P203*'Gás fiscal'!H8</f>
        <v>94.371604812050577</v>
      </c>
      <c r="T203" s="104">
        <f>Q203*'Volumes de água'!$C$10</f>
        <v>70.252149014969973</v>
      </c>
      <c r="U203" s="191"/>
      <c r="V203" s="192"/>
      <c r="W203" s="193"/>
    </row>
    <row r="204" spans="1:23" x14ac:dyDescent="0.25">
      <c r="A204" s="42">
        <v>7</v>
      </c>
      <c r="B204" s="16" t="s">
        <v>117</v>
      </c>
      <c r="C204" s="16">
        <v>24</v>
      </c>
      <c r="D204" s="148">
        <v>23.5</v>
      </c>
      <c r="E204" s="148">
        <v>23.5</v>
      </c>
      <c r="F204" s="43">
        <f t="shared" si="61"/>
        <v>23.5</v>
      </c>
      <c r="G204" s="43">
        <f t="shared" si="62"/>
        <v>23.5</v>
      </c>
      <c r="H204" s="43">
        <f t="shared" si="63"/>
        <v>23.5</v>
      </c>
      <c r="I204" s="168">
        <v>3.64</v>
      </c>
      <c r="J204" s="168">
        <v>83.66</v>
      </c>
      <c r="K204" s="168">
        <v>56.63</v>
      </c>
      <c r="L204" s="73">
        <f t="shared" si="64"/>
        <v>3.5641666666666665</v>
      </c>
      <c r="M204" s="73">
        <f t="shared" si="65"/>
        <v>81.917083333333323</v>
      </c>
      <c r="N204" s="73">
        <f t="shared" si="66"/>
        <v>55.450208333333336</v>
      </c>
      <c r="O204" s="72">
        <f t="shared" si="67"/>
        <v>4.9964282021912082E-2</v>
      </c>
      <c r="P204" s="72">
        <f t="shared" si="68"/>
        <v>2.0463034694243119E-2</v>
      </c>
      <c r="Q204" s="72">
        <f t="shared" si="69"/>
        <v>3.563803641798375E-2</v>
      </c>
      <c r="R204" s="75">
        <f>IFERROR(O204*'Fechamento fiscal'!AN12,"")</f>
        <v>-0.88308662874248101</v>
      </c>
      <c r="S204" s="75">
        <f>P204*'Gás fiscal'!H9</f>
        <v>95.807928438446282</v>
      </c>
      <c r="T204" s="104">
        <f>Q204*'Volumes de água'!$C$11</f>
        <v>72.665956256268871</v>
      </c>
      <c r="U204" s="191"/>
      <c r="V204" s="192"/>
      <c r="W204" s="193"/>
    </row>
    <row r="205" spans="1:23" x14ac:dyDescent="0.25">
      <c r="A205" s="42">
        <v>8</v>
      </c>
      <c r="B205" s="16" t="s">
        <v>117</v>
      </c>
      <c r="C205" s="16">
        <v>24</v>
      </c>
      <c r="D205" s="148">
        <v>24</v>
      </c>
      <c r="E205" s="148">
        <v>24</v>
      </c>
      <c r="F205" s="43">
        <f t="shared" si="61"/>
        <v>24</v>
      </c>
      <c r="G205" s="43">
        <f t="shared" si="62"/>
        <v>24</v>
      </c>
      <c r="H205" s="43">
        <f t="shared" si="63"/>
        <v>24</v>
      </c>
      <c r="I205" s="168">
        <v>3.64</v>
      </c>
      <c r="J205" s="168">
        <v>83.66</v>
      </c>
      <c r="K205" s="168">
        <v>56.63</v>
      </c>
      <c r="L205" s="73">
        <f t="shared" si="64"/>
        <v>3.64</v>
      </c>
      <c r="M205" s="73">
        <f t="shared" si="65"/>
        <v>83.66</v>
      </c>
      <c r="N205" s="73">
        <f t="shared" si="66"/>
        <v>56.63</v>
      </c>
      <c r="O205" s="72">
        <f t="shared" si="67"/>
        <v>5.0298474463851432E-2</v>
      </c>
      <c r="P205" s="72">
        <f t="shared" si="68"/>
        <v>2.0754309756708684E-2</v>
      </c>
      <c r="Q205" s="72">
        <f t="shared" si="69"/>
        <v>3.6821982652119077E-2</v>
      </c>
      <c r="R205" s="75">
        <f>IFERROR(O205*'Fechamento fiscal'!AN13,"")</f>
        <v>-2.498304142768883E-2</v>
      </c>
      <c r="S205" s="75">
        <f>P205*'Gás fiscal'!H10</f>
        <v>96.507540368695373</v>
      </c>
      <c r="T205" s="104">
        <f>Q205*'Volumes de água'!$C$12</f>
        <v>76.037394176625895</v>
      </c>
      <c r="U205" s="191"/>
      <c r="V205" s="192"/>
      <c r="W205" s="193"/>
    </row>
    <row r="206" spans="1:23" x14ac:dyDescent="0.25">
      <c r="A206" s="42">
        <v>9</v>
      </c>
      <c r="B206" s="16" t="s">
        <v>117</v>
      </c>
      <c r="C206" s="16">
        <v>24</v>
      </c>
      <c r="D206" s="148">
        <v>23.5</v>
      </c>
      <c r="E206" s="148">
        <v>23.5</v>
      </c>
      <c r="F206" s="43">
        <f t="shared" si="61"/>
        <v>23.5</v>
      </c>
      <c r="G206" s="43">
        <f t="shared" si="62"/>
        <v>23.5</v>
      </c>
      <c r="H206" s="43">
        <f t="shared" si="63"/>
        <v>23.5</v>
      </c>
      <c r="I206" s="168">
        <v>3.64</v>
      </c>
      <c r="J206" s="168">
        <v>83.66</v>
      </c>
      <c r="K206" s="168">
        <v>56.63</v>
      </c>
      <c r="L206" s="73">
        <f t="shared" si="64"/>
        <v>3.5641666666666665</v>
      </c>
      <c r="M206" s="73">
        <f t="shared" si="65"/>
        <v>81.917083333333323</v>
      </c>
      <c r="N206" s="73">
        <f t="shared" si="66"/>
        <v>55.450208333333336</v>
      </c>
      <c r="O206" s="72">
        <f t="shared" si="67"/>
        <v>5.0298474463851425E-2</v>
      </c>
      <c r="P206" s="72">
        <f t="shared" si="68"/>
        <v>2.0754309756708684E-2</v>
      </c>
      <c r="Q206" s="72">
        <f t="shared" si="69"/>
        <v>3.682198265211907E-2</v>
      </c>
      <c r="R206" s="75">
        <f>IFERROR(O206*'Fechamento fiscal'!AN14,"")</f>
        <v>1.3508332287950493</v>
      </c>
      <c r="S206" s="75">
        <f>P206*'Gás fiscal'!H11</f>
        <v>87.458661314770396</v>
      </c>
      <c r="T206" s="104">
        <f>Q206*'Volumes de água'!$C$13</f>
        <v>72.760237720587284</v>
      </c>
      <c r="U206" s="191"/>
      <c r="V206" s="192"/>
      <c r="W206" s="193"/>
    </row>
    <row r="207" spans="1:23" x14ac:dyDescent="0.25">
      <c r="A207" s="42">
        <v>10</v>
      </c>
      <c r="B207" s="16" t="s">
        <v>117</v>
      </c>
      <c r="C207" s="16">
        <v>24</v>
      </c>
      <c r="D207" s="148">
        <v>24</v>
      </c>
      <c r="E207" s="148">
        <v>24</v>
      </c>
      <c r="F207" s="43">
        <f t="shared" si="61"/>
        <v>24</v>
      </c>
      <c r="G207" s="43">
        <f t="shared" si="62"/>
        <v>24</v>
      </c>
      <c r="H207" s="43">
        <f t="shared" si="63"/>
        <v>24</v>
      </c>
      <c r="I207" s="168">
        <v>3.64</v>
      </c>
      <c r="J207" s="168">
        <v>83.66</v>
      </c>
      <c r="K207" s="168">
        <v>56.63</v>
      </c>
      <c r="L207" s="73">
        <f t="shared" si="64"/>
        <v>3.64</v>
      </c>
      <c r="M207" s="73">
        <f t="shared" si="65"/>
        <v>83.66</v>
      </c>
      <c r="N207" s="73">
        <f t="shared" si="66"/>
        <v>56.63</v>
      </c>
      <c r="O207" s="72">
        <f t="shared" si="67"/>
        <v>5.0376787926178626E-2</v>
      </c>
      <c r="P207" s="72">
        <f t="shared" si="68"/>
        <v>2.0812183477748363E-2</v>
      </c>
      <c r="Q207" s="72">
        <f t="shared" si="69"/>
        <v>3.7033040691876344E-2</v>
      </c>
      <c r="R207" s="75">
        <f>IFERROR(O207*'Fechamento fiscal'!AN15,"")</f>
        <v>3.1565525863375745</v>
      </c>
      <c r="S207" s="75">
        <f>P207*'Gás fiscal'!H12</f>
        <v>81.750256700595571</v>
      </c>
      <c r="T207" s="104">
        <f>Q207*'Volumes de água'!$C$14</f>
        <v>76.473229028724646</v>
      </c>
      <c r="U207" s="191"/>
      <c r="V207" s="192"/>
      <c r="W207" s="193"/>
    </row>
    <row r="208" spans="1:23" x14ac:dyDescent="0.25">
      <c r="A208" s="42">
        <v>11</v>
      </c>
      <c r="B208" s="16" t="s">
        <v>117</v>
      </c>
      <c r="C208" s="16">
        <v>24</v>
      </c>
      <c r="D208" s="148">
        <v>24</v>
      </c>
      <c r="E208" s="148">
        <v>24</v>
      </c>
      <c r="F208" s="43">
        <f t="shared" si="61"/>
        <v>24</v>
      </c>
      <c r="G208" s="43">
        <f t="shared" si="62"/>
        <v>24</v>
      </c>
      <c r="H208" s="43">
        <f t="shared" si="63"/>
        <v>24</v>
      </c>
      <c r="I208" s="168">
        <v>3.64</v>
      </c>
      <c r="J208" s="168">
        <v>83.66</v>
      </c>
      <c r="K208" s="168">
        <v>56.63</v>
      </c>
      <c r="L208" s="73">
        <f t="shared" si="64"/>
        <v>3.64</v>
      </c>
      <c r="M208" s="73">
        <f t="shared" si="65"/>
        <v>83.66</v>
      </c>
      <c r="N208" s="73">
        <f t="shared" si="66"/>
        <v>56.63</v>
      </c>
      <c r="O208" s="72">
        <f t="shared" si="67"/>
        <v>5.0298474463851432E-2</v>
      </c>
      <c r="P208" s="72">
        <f t="shared" si="68"/>
        <v>2.0754309756708684E-2</v>
      </c>
      <c r="Q208" s="72">
        <f t="shared" si="69"/>
        <v>3.6821982652119077E-2</v>
      </c>
      <c r="R208" s="75">
        <f>IFERROR(O208*'Fechamento fiscal'!AN16,"")</f>
        <v>-2.3893945392523771E-3</v>
      </c>
      <c r="S208" s="75">
        <f>P208*'Gás fiscal'!H13</f>
        <v>83.722885558562837</v>
      </c>
      <c r="T208" s="104">
        <f>Q208*'Volumes de água'!$C$15</f>
        <v>81.229293730574682</v>
      </c>
      <c r="U208" s="191"/>
      <c r="V208" s="192"/>
      <c r="W208" s="193"/>
    </row>
    <row r="209" spans="1:23" x14ac:dyDescent="0.25">
      <c r="A209" s="42">
        <v>12</v>
      </c>
      <c r="B209" s="16" t="s">
        <v>117</v>
      </c>
      <c r="C209" s="16">
        <v>24</v>
      </c>
      <c r="D209" s="148">
        <v>24</v>
      </c>
      <c r="E209" s="148">
        <v>24</v>
      </c>
      <c r="F209" s="43">
        <f t="shared" si="61"/>
        <v>24</v>
      </c>
      <c r="G209" s="43">
        <f t="shared" si="62"/>
        <v>24</v>
      </c>
      <c r="H209" s="43">
        <f t="shared" si="63"/>
        <v>24</v>
      </c>
      <c r="I209" s="168">
        <v>3.64</v>
      </c>
      <c r="J209" s="168">
        <v>83.66</v>
      </c>
      <c r="K209" s="168">
        <v>56.63</v>
      </c>
      <c r="L209" s="73">
        <f t="shared" si="64"/>
        <v>3.64</v>
      </c>
      <c r="M209" s="73">
        <f t="shared" si="65"/>
        <v>83.66</v>
      </c>
      <c r="N209" s="73">
        <f t="shared" si="66"/>
        <v>56.63</v>
      </c>
      <c r="O209" s="72">
        <f t="shared" si="67"/>
        <v>5.7656744373913486E-2</v>
      </c>
      <c r="P209" s="72">
        <f t="shared" si="68"/>
        <v>2.0814170628710455E-2</v>
      </c>
      <c r="Q209" s="72">
        <f t="shared" si="69"/>
        <v>4.1345804852802301E-2</v>
      </c>
      <c r="R209" s="75">
        <f>IFERROR(O209*'Fechamento fiscal'!AN17,"")</f>
        <v>-4.3547306879903484E-2</v>
      </c>
      <c r="S209" s="75">
        <f>P209*'Gás fiscal'!H14</f>
        <v>99.179523045805325</v>
      </c>
      <c r="T209" s="104">
        <f>Q209*'Volumes de água'!$C$16</f>
        <v>119.07591797607063</v>
      </c>
      <c r="U209" s="191"/>
      <c r="V209" s="192"/>
      <c r="W209" s="193"/>
    </row>
    <row r="210" spans="1:23" x14ac:dyDescent="0.25">
      <c r="A210" s="42">
        <v>13</v>
      </c>
      <c r="B210" s="16" t="s">
        <v>117</v>
      </c>
      <c r="C210" s="16">
        <v>24</v>
      </c>
      <c r="D210" s="148">
        <v>24</v>
      </c>
      <c r="E210" s="148">
        <v>24</v>
      </c>
      <c r="F210" s="43">
        <f t="shared" si="61"/>
        <v>24</v>
      </c>
      <c r="G210" s="43">
        <f t="shared" si="62"/>
        <v>24</v>
      </c>
      <c r="H210" s="43">
        <f t="shared" si="63"/>
        <v>24</v>
      </c>
      <c r="I210" s="168">
        <v>3.64</v>
      </c>
      <c r="J210" s="168">
        <v>83.66</v>
      </c>
      <c r="K210" s="168">
        <v>56.63</v>
      </c>
      <c r="L210" s="73">
        <f t="shared" si="64"/>
        <v>3.64</v>
      </c>
      <c r="M210" s="73">
        <f t="shared" si="65"/>
        <v>83.66</v>
      </c>
      <c r="N210" s="73">
        <f t="shared" si="66"/>
        <v>56.63</v>
      </c>
      <c r="O210" s="72">
        <f t="shared" si="67"/>
        <v>5.1838559913412505E-2</v>
      </c>
      <c r="P210" s="72">
        <f t="shared" si="68"/>
        <v>2.2986100841145395E-2</v>
      </c>
      <c r="Q210" s="72">
        <f t="shared" si="69"/>
        <v>3.7650672499650956E-2</v>
      </c>
      <c r="R210" s="75">
        <f>IFERROR(O210*'Fechamento fiscal'!AN18,"")</f>
        <v>-4.179811775202453E-4</v>
      </c>
      <c r="S210" s="75">
        <f>P210*'Gás fiscal'!H15</f>
        <v>97.989747885802814</v>
      </c>
      <c r="T210" s="104">
        <f>Q210*'Volumes de água'!$C$17</f>
        <v>103.42639735654117</v>
      </c>
      <c r="U210" s="191"/>
      <c r="V210" s="192"/>
      <c r="W210" s="193"/>
    </row>
    <row r="211" spans="1:23" x14ac:dyDescent="0.25">
      <c r="A211" s="42">
        <v>14</v>
      </c>
      <c r="B211" s="16" t="s">
        <v>117</v>
      </c>
      <c r="C211" s="16">
        <v>24</v>
      </c>
      <c r="D211" s="148">
        <v>24</v>
      </c>
      <c r="E211" s="148">
        <v>24</v>
      </c>
      <c r="F211" s="43">
        <f t="shared" si="61"/>
        <v>24</v>
      </c>
      <c r="G211" s="43">
        <f t="shared" si="62"/>
        <v>24</v>
      </c>
      <c r="H211" s="43">
        <f t="shared" si="63"/>
        <v>24</v>
      </c>
      <c r="I211" s="168">
        <v>3.64</v>
      </c>
      <c r="J211" s="168">
        <v>83.66</v>
      </c>
      <c r="K211" s="168">
        <v>56.63</v>
      </c>
      <c r="L211" s="73">
        <f t="shared" si="64"/>
        <v>3.64</v>
      </c>
      <c r="M211" s="73">
        <f t="shared" si="65"/>
        <v>83.66</v>
      </c>
      <c r="N211" s="73">
        <f t="shared" si="66"/>
        <v>56.63</v>
      </c>
      <c r="O211" s="72">
        <f t="shared" si="67"/>
        <v>5.3097490359517288E-2</v>
      </c>
      <c r="P211" s="72">
        <f t="shared" si="68"/>
        <v>2.1557196982043954E-2</v>
      </c>
      <c r="Q211" s="72">
        <f t="shared" si="69"/>
        <v>3.9675325107516764E-2</v>
      </c>
      <c r="R211" s="75">
        <f>IFERROR(O211*'Fechamento fiscal'!AN19,"")</f>
        <v>2.1027298901593356</v>
      </c>
      <c r="S211" s="75">
        <f>P211*'Gás fiscal'!H16</f>
        <v>100.49965233028891</v>
      </c>
      <c r="T211" s="104">
        <f>Q211*'Volumes de água'!$C$18</f>
        <v>107.79785831712304</v>
      </c>
      <c r="U211" s="191"/>
      <c r="V211" s="192"/>
      <c r="W211" s="193"/>
    </row>
    <row r="212" spans="1:23" x14ac:dyDescent="0.25">
      <c r="A212" s="42">
        <v>15</v>
      </c>
      <c r="B212" s="16" t="s">
        <v>117</v>
      </c>
      <c r="C212" s="16">
        <v>24</v>
      </c>
      <c r="D212" s="148">
        <v>24</v>
      </c>
      <c r="E212" s="148">
        <v>24</v>
      </c>
      <c r="F212" s="43">
        <f t="shared" si="61"/>
        <v>24</v>
      </c>
      <c r="G212" s="43">
        <f t="shared" si="62"/>
        <v>24</v>
      </c>
      <c r="H212" s="43">
        <f t="shared" si="63"/>
        <v>24</v>
      </c>
      <c r="I212" s="168">
        <v>3.64</v>
      </c>
      <c r="J212" s="168">
        <v>83.66</v>
      </c>
      <c r="K212" s="168">
        <v>56.63</v>
      </c>
      <c r="L212" s="73">
        <f t="shared" si="64"/>
        <v>3.64</v>
      </c>
      <c r="M212" s="73">
        <f t="shared" si="65"/>
        <v>83.66</v>
      </c>
      <c r="N212" s="73">
        <f t="shared" si="66"/>
        <v>56.63</v>
      </c>
      <c r="O212" s="72">
        <f t="shared" si="67"/>
        <v>5.2486184525948096E-2</v>
      </c>
      <c r="P212" s="72">
        <f t="shared" si="68"/>
        <v>2.1062777765224423E-2</v>
      </c>
      <c r="Q212" s="72">
        <f t="shared" si="69"/>
        <v>3.8316226371561728E-2</v>
      </c>
      <c r="R212" s="75">
        <f>IFERROR(O212*'Fechamento fiscal'!AN20,"")</f>
        <v>3.364456630102465</v>
      </c>
      <c r="S212" s="75">
        <f>P212*'Gás fiscal'!H17</f>
        <v>100.17457105140736</v>
      </c>
      <c r="T212" s="104">
        <f>Q212*'Volumes de água'!$C$19</f>
        <v>105.79110101188193</v>
      </c>
      <c r="U212" s="191"/>
      <c r="V212" s="192"/>
      <c r="W212" s="193"/>
    </row>
    <row r="213" spans="1:23" x14ac:dyDescent="0.25">
      <c r="A213" s="42">
        <v>16</v>
      </c>
      <c r="B213" s="16" t="s">
        <v>117</v>
      </c>
      <c r="C213" s="16">
        <v>24</v>
      </c>
      <c r="D213" s="148">
        <v>23.3</v>
      </c>
      <c r="E213" s="148">
        <v>23.3</v>
      </c>
      <c r="F213" s="43">
        <f t="shared" si="61"/>
        <v>23.3</v>
      </c>
      <c r="G213" s="43">
        <f t="shared" si="62"/>
        <v>23.3</v>
      </c>
      <c r="H213" s="43">
        <f t="shared" si="63"/>
        <v>23.3</v>
      </c>
      <c r="I213" s="168">
        <v>3.64</v>
      </c>
      <c r="J213" s="168">
        <v>83.66</v>
      </c>
      <c r="K213" s="168">
        <v>56.63</v>
      </c>
      <c r="L213" s="73">
        <f t="shared" si="64"/>
        <v>3.5338333333333334</v>
      </c>
      <c r="M213" s="73">
        <f t="shared" si="65"/>
        <v>81.219916666666663</v>
      </c>
      <c r="N213" s="73">
        <f t="shared" si="66"/>
        <v>54.978291666666671</v>
      </c>
      <c r="O213" s="72">
        <f t="shared" si="67"/>
        <v>5.1313407106893569E-2</v>
      </c>
      <c r="P213" s="72">
        <f t="shared" si="68"/>
        <v>2.0973991974176369E-2</v>
      </c>
      <c r="Q213" s="72">
        <f t="shared" si="69"/>
        <v>3.731897780406096E-2</v>
      </c>
      <c r="R213" s="75">
        <f>IFERROR(O213*'Fechamento fiscal'!AN21,"")</f>
        <v>1.4389924791389588</v>
      </c>
      <c r="S213" s="75">
        <f>P213*'Gás fiscal'!H18</f>
        <v>96.438415097262947</v>
      </c>
      <c r="T213" s="104">
        <f>Q213*'Volumes de água'!$C$20</f>
        <v>93.334763487956465</v>
      </c>
      <c r="U213" s="191"/>
      <c r="V213" s="192"/>
      <c r="W213" s="193"/>
    </row>
    <row r="214" spans="1:23" x14ac:dyDescent="0.25">
      <c r="A214" s="42">
        <v>17</v>
      </c>
      <c r="B214" s="16" t="s">
        <v>117</v>
      </c>
      <c r="C214" s="16">
        <v>24</v>
      </c>
      <c r="D214" s="148">
        <v>24</v>
      </c>
      <c r="E214" s="148">
        <v>24</v>
      </c>
      <c r="F214" s="43">
        <f t="shared" si="61"/>
        <v>24</v>
      </c>
      <c r="G214" s="43">
        <f t="shared" si="62"/>
        <v>24</v>
      </c>
      <c r="H214" s="43">
        <f t="shared" si="63"/>
        <v>24</v>
      </c>
      <c r="I214" s="168">
        <v>3.64</v>
      </c>
      <c r="J214" s="168">
        <v>83.66</v>
      </c>
      <c r="K214" s="168">
        <v>56.63</v>
      </c>
      <c r="L214" s="73">
        <f t="shared" si="64"/>
        <v>3.64</v>
      </c>
      <c r="M214" s="73">
        <f t="shared" si="65"/>
        <v>83.66</v>
      </c>
      <c r="N214" s="73">
        <f t="shared" si="66"/>
        <v>56.63</v>
      </c>
      <c r="O214" s="72">
        <f t="shared" si="67"/>
        <v>4.9519093419674316E-2</v>
      </c>
      <c r="P214" s="72">
        <f t="shared" si="68"/>
        <v>1.9368206600377361E-2</v>
      </c>
      <c r="Q214" s="72">
        <f t="shared" si="69"/>
        <v>3.4083449078932855E-2</v>
      </c>
      <c r="R214" s="75">
        <f>IFERROR(O214*'Fechamento fiscal'!AN22,"")</f>
        <v>-1.9407126346919591E-2</v>
      </c>
      <c r="S214" s="75">
        <f>P214*'Gás fiscal'!H19</f>
        <v>91.727826459387188</v>
      </c>
      <c r="T214" s="104">
        <f>Q214*'Volumes de água'!$C$21</f>
        <v>92.332063554829105</v>
      </c>
      <c r="U214" s="191"/>
      <c r="V214" s="192"/>
      <c r="W214" s="193"/>
    </row>
    <row r="215" spans="1:23" x14ac:dyDescent="0.25">
      <c r="A215" s="42">
        <v>18</v>
      </c>
      <c r="B215" s="16" t="s">
        <v>117</v>
      </c>
      <c r="C215" s="16">
        <v>24</v>
      </c>
      <c r="D215" s="148">
        <v>24</v>
      </c>
      <c r="E215" s="148">
        <v>24</v>
      </c>
      <c r="F215" s="43">
        <f t="shared" si="61"/>
        <v>24</v>
      </c>
      <c r="G215" s="43">
        <f t="shared" si="62"/>
        <v>24</v>
      </c>
      <c r="H215" s="43">
        <f t="shared" si="63"/>
        <v>24</v>
      </c>
      <c r="I215" s="168">
        <v>3.64</v>
      </c>
      <c r="J215" s="168">
        <v>83.66</v>
      </c>
      <c r="K215" s="168">
        <v>56.63</v>
      </c>
      <c r="L215" s="73">
        <f t="shared" si="64"/>
        <v>3.64</v>
      </c>
      <c r="M215" s="73">
        <f t="shared" si="65"/>
        <v>83.66</v>
      </c>
      <c r="N215" s="73">
        <f t="shared" si="66"/>
        <v>56.63</v>
      </c>
      <c r="O215" s="72">
        <f t="shared" si="67"/>
        <v>4.5591372709471903E-2</v>
      </c>
      <c r="P215" s="72">
        <f t="shared" si="68"/>
        <v>1.6710979259189865E-2</v>
      </c>
      <c r="Q215" s="72">
        <f t="shared" si="69"/>
        <v>2.8612721326384639E-2</v>
      </c>
      <c r="R215" s="75">
        <f>IFERROR(O215*'Fechamento fiscal'!AN23,"")</f>
        <v>-3.7864500913817236E-3</v>
      </c>
      <c r="S215" s="75">
        <f>P215*'Gás fiscal'!H20</f>
        <v>79.377151481151856</v>
      </c>
      <c r="T215" s="104">
        <f>Q215*'Volumes de água'!$C$22</f>
        <v>54.87919950400574</v>
      </c>
      <c r="U215" s="191"/>
      <c r="V215" s="192"/>
      <c r="W215" s="193"/>
    </row>
    <row r="216" spans="1:23" x14ac:dyDescent="0.25">
      <c r="A216" s="42">
        <v>19</v>
      </c>
      <c r="B216" s="16" t="s">
        <v>117</v>
      </c>
      <c r="C216" s="16">
        <v>24</v>
      </c>
      <c r="D216" s="148">
        <v>23.5</v>
      </c>
      <c r="E216" s="148">
        <v>23.5</v>
      </c>
      <c r="F216" s="43">
        <f t="shared" si="61"/>
        <v>23.5</v>
      </c>
      <c r="G216" s="43">
        <f t="shared" si="62"/>
        <v>23.5</v>
      </c>
      <c r="H216" s="43">
        <f t="shared" si="63"/>
        <v>23.5</v>
      </c>
      <c r="I216" s="168">
        <v>3.64</v>
      </c>
      <c r="J216" s="168">
        <v>83.66</v>
      </c>
      <c r="K216" s="168">
        <v>56.63</v>
      </c>
      <c r="L216" s="73">
        <f t="shared" si="64"/>
        <v>3.5641666666666665</v>
      </c>
      <c r="M216" s="73">
        <f t="shared" si="65"/>
        <v>81.917083333333323</v>
      </c>
      <c r="N216" s="73">
        <f t="shared" si="66"/>
        <v>55.450208333333336</v>
      </c>
      <c r="O216" s="72">
        <f t="shared" si="67"/>
        <v>4.514358181654099E-2</v>
      </c>
      <c r="P216" s="72">
        <f t="shared" si="68"/>
        <v>1.6783560060668331E-2</v>
      </c>
      <c r="Q216" s="72">
        <f t="shared" si="69"/>
        <v>2.84913340790122E-2</v>
      </c>
      <c r="R216" s="75">
        <f>IFERROR(O216*'Fechamento fiscal'!AN24,"")</f>
        <v>2.8124389178113542</v>
      </c>
      <c r="S216" s="75">
        <f>P216*'Gás fiscal'!H21</f>
        <v>75.744206553796175</v>
      </c>
      <c r="T216" s="104">
        <f>Q216*'Volumes de água'!$C$23</f>
        <v>77.097550017807009</v>
      </c>
      <c r="U216" s="191"/>
      <c r="V216" s="192"/>
      <c r="W216" s="193"/>
    </row>
    <row r="217" spans="1:23" x14ac:dyDescent="0.25">
      <c r="A217" s="42">
        <v>20</v>
      </c>
      <c r="B217" s="16" t="s">
        <v>117</v>
      </c>
      <c r="C217" s="16">
        <v>24</v>
      </c>
      <c r="D217" s="148">
        <v>24</v>
      </c>
      <c r="E217" s="148">
        <v>24</v>
      </c>
      <c r="F217" s="43">
        <f t="shared" si="61"/>
        <v>24</v>
      </c>
      <c r="G217" s="43">
        <f t="shared" si="62"/>
        <v>24</v>
      </c>
      <c r="H217" s="43">
        <f t="shared" si="63"/>
        <v>24</v>
      </c>
      <c r="I217" s="168">
        <v>3.64</v>
      </c>
      <c r="J217" s="168">
        <v>83.66</v>
      </c>
      <c r="K217" s="168">
        <v>56.63</v>
      </c>
      <c r="L217" s="73">
        <f t="shared" si="64"/>
        <v>3.64</v>
      </c>
      <c r="M217" s="73">
        <f t="shared" si="65"/>
        <v>83.66</v>
      </c>
      <c r="N217" s="73">
        <f t="shared" si="66"/>
        <v>56.63</v>
      </c>
      <c r="O217" s="72">
        <f t="shared" si="67"/>
        <v>5.0921198047088119E-2</v>
      </c>
      <c r="P217" s="72">
        <f t="shared" si="68"/>
        <v>2.0325845213562288E-2</v>
      </c>
      <c r="Q217" s="72">
        <f t="shared" si="69"/>
        <v>3.6193715951551034E-2</v>
      </c>
      <c r="R217" s="75">
        <f>IFERROR(O217*'Fechamento fiscal'!AN25,"")</f>
        <v>3.1736069577996702</v>
      </c>
      <c r="S217" s="75">
        <f>P217*'Gás fiscal'!H22</f>
        <v>90.287404438643676</v>
      </c>
      <c r="T217" s="104">
        <f>Q217*'Volumes de água'!$C$24</f>
        <v>92.800687699776844</v>
      </c>
      <c r="U217" s="191"/>
      <c r="V217" s="192"/>
      <c r="W217" s="193"/>
    </row>
    <row r="218" spans="1:23" x14ac:dyDescent="0.25">
      <c r="A218" s="42">
        <v>21</v>
      </c>
      <c r="B218" s="16" t="s">
        <v>117</v>
      </c>
      <c r="C218" s="16">
        <v>24</v>
      </c>
      <c r="D218" s="148">
        <v>24</v>
      </c>
      <c r="E218" s="148">
        <v>24</v>
      </c>
      <c r="F218" s="43">
        <f t="shared" si="61"/>
        <v>24</v>
      </c>
      <c r="G218" s="43">
        <f t="shared" si="62"/>
        <v>24</v>
      </c>
      <c r="H218" s="43">
        <f t="shared" si="63"/>
        <v>24</v>
      </c>
      <c r="I218" s="168">
        <v>3.64</v>
      </c>
      <c r="J218" s="168">
        <v>83.66</v>
      </c>
      <c r="K218" s="168">
        <v>56.63</v>
      </c>
      <c r="L218" s="73">
        <f t="shared" si="64"/>
        <v>3.64</v>
      </c>
      <c r="M218" s="73">
        <f t="shared" si="65"/>
        <v>83.66</v>
      </c>
      <c r="N218" s="73">
        <f t="shared" si="66"/>
        <v>56.63</v>
      </c>
      <c r="O218" s="72">
        <f t="shared" si="67"/>
        <v>4.7691134394992438E-2</v>
      </c>
      <c r="P218" s="72">
        <f t="shared" si="68"/>
        <v>1.8161717163655798E-2</v>
      </c>
      <c r="Q218" s="72">
        <f t="shared" si="69"/>
        <v>3.1320520400152881E-2</v>
      </c>
      <c r="R218" s="75">
        <f>IFERROR(O218*'Fechamento fiscal'!AN26,"")</f>
        <v>2.9814781583450962</v>
      </c>
      <c r="S218" s="75">
        <f>P218*'Gás fiscal'!H23</f>
        <v>75.915977744081232</v>
      </c>
      <c r="T218" s="104">
        <f>Q218*'Volumes de água'!$C$25</f>
        <v>86.131431100420428</v>
      </c>
      <c r="U218" s="191"/>
      <c r="V218" s="192"/>
      <c r="W218" s="193"/>
    </row>
    <row r="219" spans="1:23" x14ac:dyDescent="0.25">
      <c r="A219" s="42">
        <v>22</v>
      </c>
      <c r="B219" s="16" t="s">
        <v>117</v>
      </c>
      <c r="C219" s="16">
        <v>24</v>
      </c>
      <c r="D219" s="148">
        <v>24</v>
      </c>
      <c r="E219" s="148">
        <v>24</v>
      </c>
      <c r="F219" s="43">
        <f t="shared" si="61"/>
        <v>24</v>
      </c>
      <c r="G219" s="43">
        <f t="shared" si="62"/>
        <v>24</v>
      </c>
      <c r="H219" s="43">
        <f t="shared" si="63"/>
        <v>24</v>
      </c>
      <c r="I219" s="168">
        <v>3.64</v>
      </c>
      <c r="J219" s="168">
        <v>83.66</v>
      </c>
      <c r="K219" s="168">
        <v>56.63</v>
      </c>
      <c r="L219" s="73">
        <f t="shared" si="64"/>
        <v>3.64</v>
      </c>
      <c r="M219" s="73">
        <f t="shared" si="65"/>
        <v>83.66</v>
      </c>
      <c r="N219" s="73">
        <f t="shared" si="66"/>
        <v>56.63</v>
      </c>
      <c r="O219" s="72">
        <f t="shared" si="67"/>
        <v>5.9716184070215728E-2</v>
      </c>
      <c r="P219" s="72">
        <f t="shared" si="68"/>
        <v>1.8459140562185197E-2</v>
      </c>
      <c r="Q219" s="72">
        <f t="shared" si="69"/>
        <v>3.7158628070380915E-2</v>
      </c>
      <c r="R219" s="75">
        <f>IFERROR(O219*'Fechamento fiscal'!AN27,"")</f>
        <v>1.1032138313950448</v>
      </c>
      <c r="S219" s="75">
        <f>P219*'Gás fiscal'!H24</f>
        <v>86.88717462620572</v>
      </c>
      <c r="T219" s="104">
        <f>Q219*'Volumes de água'!$C$26</f>
        <v>104.45290350584075</v>
      </c>
      <c r="U219" s="191"/>
      <c r="V219" s="192"/>
      <c r="W219" s="193"/>
    </row>
    <row r="220" spans="1:23" x14ac:dyDescent="0.25">
      <c r="A220" s="42">
        <v>23</v>
      </c>
      <c r="B220" s="16" t="s">
        <v>117</v>
      </c>
      <c r="C220" s="16">
        <v>24</v>
      </c>
      <c r="D220" s="148">
        <v>21</v>
      </c>
      <c r="E220" s="148">
        <v>21</v>
      </c>
      <c r="F220" s="43">
        <f t="shared" si="61"/>
        <v>21</v>
      </c>
      <c r="G220" s="43">
        <f t="shared" si="62"/>
        <v>21</v>
      </c>
      <c r="H220" s="43">
        <f t="shared" si="63"/>
        <v>21</v>
      </c>
      <c r="I220" s="168">
        <v>3.64</v>
      </c>
      <c r="J220" s="168">
        <v>83.66</v>
      </c>
      <c r="K220" s="168">
        <v>56.63</v>
      </c>
      <c r="L220" s="73">
        <f t="shared" si="64"/>
        <v>3.1850000000000001</v>
      </c>
      <c r="M220" s="73">
        <f t="shared" si="65"/>
        <v>73.202500000000001</v>
      </c>
      <c r="N220" s="73">
        <f t="shared" si="66"/>
        <v>49.551250000000003</v>
      </c>
      <c r="O220" s="72">
        <f t="shared" si="67"/>
        <v>7.3846453476734311E-2</v>
      </c>
      <c r="P220" s="72">
        <f t="shared" si="68"/>
        <v>3.0314894739678491E-2</v>
      </c>
      <c r="Q220" s="72">
        <f t="shared" si="69"/>
        <v>4.5786860732966013E-2</v>
      </c>
      <c r="R220" s="75">
        <f>IFERROR(O220*'Fechamento fiscal'!AN28,"")</f>
        <v>-2.4325360164741731E-2</v>
      </c>
      <c r="S220" s="75">
        <f>P220*'Gás fiscal'!H25</f>
        <v>64.025057690200967</v>
      </c>
      <c r="T220" s="104">
        <f>Q220*'Volumes de água'!$C$27</f>
        <v>68.955012263846811</v>
      </c>
      <c r="U220" s="191"/>
      <c r="V220" s="192"/>
      <c r="W220" s="193"/>
    </row>
    <row r="221" spans="1:23" x14ac:dyDescent="0.25">
      <c r="A221" s="42">
        <v>24</v>
      </c>
      <c r="B221" s="16" t="s">
        <v>117</v>
      </c>
      <c r="C221" s="16">
        <v>24</v>
      </c>
      <c r="D221" s="148">
        <v>18.600000000000001</v>
      </c>
      <c r="E221" s="148">
        <v>18.600000000000001</v>
      </c>
      <c r="F221" s="43">
        <f t="shared" si="61"/>
        <v>18.600000000000001</v>
      </c>
      <c r="G221" s="43">
        <f t="shared" si="62"/>
        <v>18.600000000000001</v>
      </c>
      <c r="H221" s="43">
        <f t="shared" si="63"/>
        <v>18.600000000000001</v>
      </c>
      <c r="I221" s="168">
        <v>3.64</v>
      </c>
      <c r="J221" s="168">
        <v>83.66</v>
      </c>
      <c r="K221" s="168">
        <v>56.63</v>
      </c>
      <c r="L221" s="73">
        <f t="shared" si="64"/>
        <v>2.8210000000000002</v>
      </c>
      <c r="M221" s="73">
        <f t="shared" si="65"/>
        <v>64.836500000000001</v>
      </c>
      <c r="N221" s="73">
        <f t="shared" si="66"/>
        <v>43.888250000000006</v>
      </c>
      <c r="O221" s="72">
        <f t="shared" si="67"/>
        <v>4.5645033412617511E-2</v>
      </c>
      <c r="P221" s="72">
        <f t="shared" si="68"/>
        <v>2.3043065760368613E-2</v>
      </c>
      <c r="Q221" s="72">
        <f t="shared" si="69"/>
        <v>2.9714492697815717E-2</v>
      </c>
      <c r="R221" s="75">
        <f>IFERROR(O221*'Fechamento fiscal'!AN29,"")</f>
        <v>-6.0458887092701237E-3</v>
      </c>
      <c r="S221" s="75">
        <f>P221*'Gás fiscal'!H26</f>
        <v>54.750324246635827</v>
      </c>
      <c r="T221" s="104">
        <f>Q221*'Volumes de água'!$C$28</f>
        <v>39.252844853814565</v>
      </c>
      <c r="U221" s="191"/>
      <c r="V221" s="192"/>
      <c r="W221" s="193"/>
    </row>
    <row r="222" spans="1:23" x14ac:dyDescent="0.25">
      <c r="A222" s="42">
        <v>25</v>
      </c>
      <c r="B222" s="16" t="s">
        <v>117</v>
      </c>
      <c r="C222" s="16">
        <v>24</v>
      </c>
      <c r="D222" s="148">
        <v>24</v>
      </c>
      <c r="E222" s="148">
        <v>24</v>
      </c>
      <c r="F222" s="43">
        <f t="shared" si="61"/>
        <v>24</v>
      </c>
      <c r="G222" s="43">
        <f t="shared" si="62"/>
        <v>24</v>
      </c>
      <c r="H222" s="43">
        <f t="shared" si="63"/>
        <v>24</v>
      </c>
      <c r="I222" s="168">
        <v>3.64</v>
      </c>
      <c r="J222" s="168">
        <v>83.66</v>
      </c>
      <c r="K222" s="168">
        <v>56.63</v>
      </c>
      <c r="L222" s="73">
        <f t="shared" si="64"/>
        <v>3.64</v>
      </c>
      <c r="M222" s="73">
        <f t="shared" si="65"/>
        <v>83.66</v>
      </c>
      <c r="N222" s="73">
        <f t="shared" si="66"/>
        <v>56.63</v>
      </c>
      <c r="O222" s="72">
        <f t="shared" si="67"/>
        <v>5.0256691112343495E-2</v>
      </c>
      <c r="P222" s="72">
        <f t="shared" si="68"/>
        <v>1.9812108227015835E-2</v>
      </c>
      <c r="Q222" s="72">
        <f t="shared" si="69"/>
        <v>3.4375928008037238E-2</v>
      </c>
      <c r="R222" s="75">
        <f>IFERROR(O222*'Fechamento fiscal'!AN30,"")</f>
        <v>3.1439343614298747</v>
      </c>
      <c r="S222" s="75">
        <f>P222*'Gás fiscal'!H27</f>
        <v>94.246198835914328</v>
      </c>
      <c r="T222" s="104">
        <f>Q222*'Volumes de água'!$C$29</f>
        <v>94.086914957997919</v>
      </c>
      <c r="U222" s="191"/>
      <c r="V222" s="192"/>
      <c r="W222" s="193"/>
    </row>
    <row r="223" spans="1:23" x14ac:dyDescent="0.25">
      <c r="A223" s="42">
        <v>26</v>
      </c>
      <c r="B223" s="16" t="s">
        <v>117</v>
      </c>
      <c r="C223" s="16">
        <v>24</v>
      </c>
      <c r="D223" s="148">
        <v>24</v>
      </c>
      <c r="E223" s="148">
        <v>24</v>
      </c>
      <c r="F223" s="43">
        <f t="shared" si="61"/>
        <v>24</v>
      </c>
      <c r="G223" s="43">
        <f t="shared" si="62"/>
        <v>24</v>
      </c>
      <c r="H223" s="43">
        <f t="shared" si="63"/>
        <v>24</v>
      </c>
      <c r="I223" s="168">
        <v>3.64</v>
      </c>
      <c r="J223" s="168">
        <v>83.66</v>
      </c>
      <c r="K223" s="168">
        <v>56.63</v>
      </c>
      <c r="L223" s="73">
        <f t="shared" si="64"/>
        <v>3.64</v>
      </c>
      <c r="M223" s="73">
        <f t="shared" si="65"/>
        <v>83.66</v>
      </c>
      <c r="N223" s="73">
        <f t="shared" si="66"/>
        <v>56.63</v>
      </c>
      <c r="O223" s="72">
        <f t="shared" si="67"/>
        <v>4.9029291858982423E-2</v>
      </c>
      <c r="P223" s="72">
        <f t="shared" si="68"/>
        <v>1.8992142869223343E-2</v>
      </c>
      <c r="Q223" s="72">
        <f t="shared" si="69"/>
        <v>3.2655642416006249E-2</v>
      </c>
      <c r="R223" s="75">
        <f>IFERROR(O223*'Fechamento fiscal'!AN31,"")</f>
        <v>3.0037028588820811</v>
      </c>
      <c r="S223" s="75">
        <f>P223*'Gás fiscal'!H28</f>
        <v>89.225087199611266</v>
      </c>
      <c r="T223" s="104">
        <f>Q223*'Volumes de água'!$C$30</f>
        <v>91.468454407233509</v>
      </c>
      <c r="U223" s="191"/>
      <c r="V223" s="192"/>
      <c r="W223" s="193"/>
    </row>
    <row r="224" spans="1:23" x14ac:dyDescent="0.25">
      <c r="A224" s="42">
        <v>27</v>
      </c>
      <c r="B224" s="16" t="s">
        <v>117</v>
      </c>
      <c r="C224" s="16">
        <v>24</v>
      </c>
      <c r="D224" s="148">
        <v>24</v>
      </c>
      <c r="E224" s="148">
        <v>24</v>
      </c>
      <c r="F224" s="43">
        <f t="shared" si="61"/>
        <v>24</v>
      </c>
      <c r="G224" s="43">
        <f t="shared" si="62"/>
        <v>24</v>
      </c>
      <c r="H224" s="43">
        <f t="shared" si="63"/>
        <v>24</v>
      </c>
      <c r="I224" s="168">
        <v>3.64</v>
      </c>
      <c r="J224" s="168">
        <v>83.66</v>
      </c>
      <c r="K224" s="168">
        <v>56.63</v>
      </c>
      <c r="L224" s="73">
        <f t="shared" si="64"/>
        <v>3.64</v>
      </c>
      <c r="M224" s="73">
        <f t="shared" si="65"/>
        <v>83.66</v>
      </c>
      <c r="N224" s="73">
        <f t="shared" si="66"/>
        <v>56.63</v>
      </c>
      <c r="O224" s="72">
        <f t="shared" si="67"/>
        <v>4.7874893958425133E-2</v>
      </c>
      <c r="P224" s="72">
        <f t="shared" si="68"/>
        <v>1.6779569239816418E-2</v>
      </c>
      <c r="Q224" s="72">
        <f t="shared" si="69"/>
        <v>2.9243663609306102E-2</v>
      </c>
      <c r="R224" s="75">
        <f>IFERROR(O224*'Fechamento fiscal'!AN32,"")</f>
        <v>1.7511762620165777E-2</v>
      </c>
      <c r="S224" s="75">
        <f>P224*'Gás fiscal'!H29</f>
        <v>80.139222689363208</v>
      </c>
      <c r="T224" s="104">
        <f>Q224*'Volumes de água'!$C$31</f>
        <v>86.736706265201903</v>
      </c>
      <c r="U224" s="191"/>
      <c r="V224" s="192"/>
      <c r="W224" s="193"/>
    </row>
    <row r="225" spans="1:23" x14ac:dyDescent="0.25">
      <c r="A225" s="42">
        <v>28</v>
      </c>
      <c r="B225" s="16" t="s">
        <v>117</v>
      </c>
      <c r="C225" s="16">
        <v>24</v>
      </c>
      <c r="D225" s="148">
        <v>24</v>
      </c>
      <c r="E225" s="148">
        <v>24</v>
      </c>
      <c r="F225" s="43">
        <f t="shared" si="61"/>
        <v>24</v>
      </c>
      <c r="G225" s="43">
        <f t="shared" si="62"/>
        <v>24</v>
      </c>
      <c r="H225" s="43">
        <f t="shared" si="63"/>
        <v>24</v>
      </c>
      <c r="I225" s="168">
        <v>3.64</v>
      </c>
      <c r="J225" s="168">
        <v>83.66</v>
      </c>
      <c r="K225" s="168">
        <v>56.63</v>
      </c>
      <c r="L225" s="73">
        <f t="shared" si="64"/>
        <v>3.64</v>
      </c>
      <c r="M225" s="73">
        <f t="shared" si="65"/>
        <v>83.66</v>
      </c>
      <c r="N225" s="73">
        <f t="shared" si="66"/>
        <v>56.63</v>
      </c>
      <c r="O225" s="72">
        <f t="shared" si="67"/>
        <v>4.9879184575821377E-2</v>
      </c>
      <c r="P225" s="72">
        <f t="shared" si="68"/>
        <v>2.0338025470909404E-2</v>
      </c>
      <c r="Q225" s="72">
        <f t="shared" si="69"/>
        <v>3.3837026488392735E-2</v>
      </c>
      <c r="R225" s="75">
        <f>IFERROR(O225*'Fechamento fiscal'!AN33,"")</f>
        <v>8.1554271622478504E-3</v>
      </c>
      <c r="S225" s="75">
        <f>P225*'Gás fiscal'!H30</f>
        <v>85.62308723252859</v>
      </c>
      <c r="T225" s="104">
        <f>Q225*'Volumes de água'!$C$32</f>
        <v>91.055438280264852</v>
      </c>
      <c r="U225" s="191"/>
      <c r="V225" s="192"/>
      <c r="W225" s="193"/>
    </row>
    <row r="226" spans="1:23" x14ac:dyDescent="0.25">
      <c r="A226" s="42">
        <v>29</v>
      </c>
      <c r="B226" s="16" t="s">
        <v>117</v>
      </c>
      <c r="C226" s="16">
        <v>24</v>
      </c>
      <c r="D226" s="148">
        <v>24</v>
      </c>
      <c r="E226" s="148">
        <v>24</v>
      </c>
      <c r="F226" s="43">
        <f t="shared" si="61"/>
        <v>24</v>
      </c>
      <c r="G226" s="43">
        <f t="shared" si="62"/>
        <v>24</v>
      </c>
      <c r="H226" s="43">
        <f t="shared" si="63"/>
        <v>24</v>
      </c>
      <c r="I226" s="168">
        <v>3.64</v>
      </c>
      <c r="J226" s="168">
        <v>83.66</v>
      </c>
      <c r="K226" s="168">
        <v>56.63</v>
      </c>
      <c r="L226" s="73">
        <f t="shared" si="64"/>
        <v>3.64</v>
      </c>
      <c r="M226" s="73">
        <f t="shared" si="65"/>
        <v>83.66</v>
      </c>
      <c r="N226" s="73">
        <f t="shared" si="66"/>
        <v>56.63</v>
      </c>
      <c r="O226" s="72">
        <f t="shared" si="67"/>
        <v>5.1363097589885429E-2</v>
      </c>
      <c r="P226" s="72">
        <f t="shared" si="68"/>
        <v>2.0576518837193029E-2</v>
      </c>
      <c r="Q226" s="72">
        <f t="shared" si="69"/>
        <v>3.6008138869460166E-2</v>
      </c>
      <c r="R226" s="75">
        <f>IFERROR(O226*'Fechamento fiscal'!AN34,"")</f>
        <v>3.1140516279302135</v>
      </c>
      <c r="S226" s="75">
        <f>P226*'Gás fiscal'!H31</f>
        <v>95.413317848064068</v>
      </c>
      <c r="T226" s="104">
        <f>Q226*'Volumes de água'!$C$33</f>
        <v>97.113950530934062</v>
      </c>
      <c r="U226" s="191"/>
      <c r="V226" s="192"/>
      <c r="W226" s="193"/>
    </row>
    <row r="227" spans="1:23" x14ac:dyDescent="0.25">
      <c r="A227" s="42">
        <v>30</v>
      </c>
      <c r="B227" s="16" t="s">
        <v>117</v>
      </c>
      <c r="C227" s="16">
        <v>24</v>
      </c>
      <c r="D227" s="148">
        <v>24</v>
      </c>
      <c r="E227" s="148">
        <v>24</v>
      </c>
      <c r="F227" s="43">
        <f t="shared" si="61"/>
        <v>24</v>
      </c>
      <c r="G227" s="43">
        <f t="shared" si="62"/>
        <v>24</v>
      </c>
      <c r="H227" s="43">
        <f t="shared" si="63"/>
        <v>24</v>
      </c>
      <c r="I227" s="168">
        <v>3.64</v>
      </c>
      <c r="J227" s="168">
        <v>83.66</v>
      </c>
      <c r="K227" s="168">
        <v>56.63</v>
      </c>
      <c r="L227" s="73">
        <f t="shared" si="64"/>
        <v>3.64</v>
      </c>
      <c r="M227" s="73">
        <f t="shared" si="65"/>
        <v>83.66</v>
      </c>
      <c r="N227" s="73">
        <f t="shared" si="66"/>
        <v>56.63</v>
      </c>
      <c r="O227" s="72">
        <f t="shared" si="67"/>
        <v>6.9989232425780645E-2</v>
      </c>
      <c r="P227" s="72">
        <f t="shared" si="68"/>
        <v>1.8288059674249131E-2</v>
      </c>
      <c r="Q227" s="72">
        <f t="shared" si="69"/>
        <v>4.1338632970899444E-2</v>
      </c>
      <c r="R227" s="75">
        <f>IFERROR(O227*'Fechamento fiscal'!AN35,"")</f>
        <v>1.018620213100675</v>
      </c>
      <c r="S227" s="75">
        <f>P227*'Gás fiscal'!H32</f>
        <v>83.338687935553295</v>
      </c>
      <c r="T227" s="104">
        <f>Q227*'Volumes de água'!$C$34</f>
        <v>113.14383844135178</v>
      </c>
      <c r="U227" s="191"/>
      <c r="V227" s="192"/>
      <c r="W227" s="193"/>
    </row>
    <row r="228" spans="1:23" x14ac:dyDescent="0.25">
      <c r="A228" s="42">
        <v>31</v>
      </c>
      <c r="B228" s="16" t="s">
        <v>117</v>
      </c>
      <c r="C228" s="16">
        <v>24</v>
      </c>
      <c r="D228" s="148"/>
      <c r="E228" s="148"/>
      <c r="F228" s="43">
        <f>IF(OR(C228="",E228=""),0,IF(E228&gt;C228,E228,E228/C228*24))</f>
        <v>0</v>
      </c>
      <c r="G228" s="43">
        <f>IF(OR(C228="",D228=""),0,IF(D228&gt;C228,D228,D228/C228*24))</f>
        <v>0</v>
      </c>
      <c r="H228" s="43">
        <f>IF(OR(C228="",D228=""),0,IF(D228&gt;C228,D228,D228/C228*24))</f>
        <v>0</v>
      </c>
      <c r="I228" s="168">
        <v>3.64</v>
      </c>
      <c r="J228" s="168">
        <v>83.66</v>
      </c>
      <c r="K228" s="168">
        <v>56.63</v>
      </c>
      <c r="L228" s="73">
        <f>I228*(G228/C228)</f>
        <v>0</v>
      </c>
      <c r="M228" s="73">
        <f>J228*(F228/C228)</f>
        <v>0</v>
      </c>
      <c r="N228" s="73">
        <f>K228*(H228/C228)</f>
        <v>0</v>
      </c>
      <c r="O228" s="72">
        <f t="shared" si="67"/>
        <v>0</v>
      </c>
      <c r="P228" s="72">
        <f t="shared" si="68"/>
        <v>0</v>
      </c>
      <c r="Q228" s="72">
        <f t="shared" si="69"/>
        <v>0</v>
      </c>
      <c r="R228" s="75" t="str">
        <f>IFERROR(O228*'Fechamento fiscal'!AN36,"")</f>
        <v/>
      </c>
      <c r="S228" s="75">
        <f>P228*'Gás fiscal'!H33</f>
        <v>0</v>
      </c>
      <c r="T228" s="104">
        <f>Q228*'Volumes de água'!$C$35</f>
        <v>0</v>
      </c>
      <c r="U228" s="191"/>
      <c r="V228" s="192"/>
      <c r="W228" s="193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118</v>
      </c>
      <c r="C230" s="16">
        <v>24</v>
      </c>
      <c r="D230" s="148">
        <v>17</v>
      </c>
      <c r="E230" s="148">
        <v>17</v>
      </c>
      <c r="F230" s="43">
        <f>IF(OR(C230="",E230=""),0,IF(E230&gt;C230,E230,E230/C230*24))</f>
        <v>17</v>
      </c>
      <c r="G230" s="43">
        <f>IF(OR(C230="",D230=""),0,IF(D230&gt;C230,D230,D230/C230*24))</f>
        <v>17</v>
      </c>
      <c r="H230" s="43">
        <f>IF(OR(C230="",D230=""),0,IF(D230&gt;C230,D230,D230/C230*24))</f>
        <v>17</v>
      </c>
      <c r="I230" s="168">
        <v>23.92</v>
      </c>
      <c r="J230" s="168">
        <v>985.86</v>
      </c>
      <c r="K230" s="168">
        <v>444.98</v>
      </c>
      <c r="L230" s="73">
        <f>I230*(G230/C230)</f>
        <v>16.943333333333335</v>
      </c>
      <c r="M230" s="73">
        <f>J230*(F230/C230)</f>
        <v>698.3175</v>
      </c>
      <c r="N230" s="73">
        <f>K230*(H230/C230)</f>
        <v>315.19416666666672</v>
      </c>
      <c r="O230" s="72">
        <f>IF(D230&lt;&gt;0,L230/(L6+L38+L70+L102+L134+L166+L198+L230+L262+L294+L326+L358),0)</f>
        <v>0.33440624470602948</v>
      </c>
      <c r="P230" s="72">
        <f>IF(E230&lt;&gt;0,M230/(M6+M38+M70+M102+M134+M166+M198+M230+M262+M294),0)</f>
        <v>0.24905632114371157</v>
      </c>
      <c r="Q230" s="72">
        <f t="shared" ref="Q230" si="70">IF(F230&lt;&gt;0,N230/(N6+N38+N70+N102+N134+N166+N198+N230+N262+N294+N326+N358),0)</f>
        <v>0.28982899703740461</v>
      </c>
      <c r="R230" s="75">
        <f>IFERROR(O230*'Fechamento fiscal'!AN6,"")</f>
        <v>2.8348359079303519E-2</v>
      </c>
      <c r="S230" s="75">
        <f>P230*'Gás fiscal'!H3</f>
        <v>773.07082083008072</v>
      </c>
      <c r="T230" s="104">
        <f>Q230*'Volumes de água'!$C$5</f>
        <v>408.07922782866569</v>
      </c>
      <c r="U230" s="191"/>
      <c r="V230" s="192"/>
      <c r="W230" s="193"/>
    </row>
    <row r="231" spans="1:23" x14ac:dyDescent="0.25">
      <c r="A231" s="42">
        <v>2</v>
      </c>
      <c r="B231" s="16" t="s">
        <v>118</v>
      </c>
      <c r="C231" s="16">
        <v>24</v>
      </c>
      <c r="D231" s="148">
        <v>23</v>
      </c>
      <c r="E231" s="148">
        <v>23</v>
      </c>
      <c r="F231" s="43">
        <f t="shared" ref="F231:F259" si="71">IF(OR(C231="",E231=""),0,IF(E231&gt;C231,E231,E231/C231*24))</f>
        <v>23</v>
      </c>
      <c r="G231" s="43">
        <f t="shared" ref="G231:G236" si="72">IF(OR(C231="",D231=""),0,IF(D231&gt;C231,D231,D231/C231*24))</f>
        <v>23</v>
      </c>
      <c r="H231" s="43">
        <f t="shared" ref="H231:H236" si="73">IF(OR(C231="",D231=""),0,IF(D231&gt;C231,D231,D231/C231*24))</f>
        <v>23</v>
      </c>
      <c r="I231" s="168">
        <v>23.92</v>
      </c>
      <c r="J231" s="168">
        <v>985.86</v>
      </c>
      <c r="K231" s="168">
        <v>444.98</v>
      </c>
      <c r="L231" s="73">
        <f t="shared" ref="L231:L259" si="74">I231*(G231/C231)</f>
        <v>22.923333333333336</v>
      </c>
      <c r="M231" s="73">
        <f t="shared" ref="M231:M259" si="75">J231*(F231/C231)</f>
        <v>944.78250000000003</v>
      </c>
      <c r="N231" s="73">
        <f t="shared" ref="N231:N259" si="76">K231*(H231/C231)</f>
        <v>426.43916666666672</v>
      </c>
      <c r="O231" s="72">
        <f t="shared" ref="O231:O236" si="77">IF(D231&lt;&gt;0,L231/(L7+L39+L71+L103+L135+L167+L199+L231+L263+L295+L327+L359),0)</f>
        <v>0.32759045714755264</v>
      </c>
      <c r="P231" s="72">
        <f t="shared" ref="P231:P260" si="78">IF(E231&lt;&gt;0,M231/(M7+M39+M71+M103+M135+M167+M199+M231+M263+M295),0)</f>
        <v>0.23998422597747818</v>
      </c>
      <c r="Q231" s="72">
        <f t="shared" ref="Q231:Q260" si="79">IF(F231&lt;&gt;0,N231/(N7+N39+N71+N103+N135+N167+N199+N231+N263+N295+N327+N359),0)</f>
        <v>0.27697861877937197</v>
      </c>
      <c r="R231" s="75">
        <f>IFERROR(O231*'Fechamento fiscal'!AN7,"")</f>
        <v>17.144155066493258</v>
      </c>
      <c r="S231" s="75">
        <f>P231*'Gás fiscal'!H4</f>
        <v>1070.8096163115076</v>
      </c>
      <c r="T231" s="104">
        <f>Q231*'Volumes de água'!$C$6</f>
        <v>571.68386916062377</v>
      </c>
      <c r="U231" s="191"/>
      <c r="V231" s="192"/>
      <c r="W231" s="193"/>
    </row>
    <row r="232" spans="1:23" x14ac:dyDescent="0.25">
      <c r="A232" s="42">
        <v>3</v>
      </c>
      <c r="B232" s="16" t="s">
        <v>118</v>
      </c>
      <c r="C232" s="16">
        <v>24</v>
      </c>
      <c r="D232" s="148">
        <v>24</v>
      </c>
      <c r="E232" s="148">
        <v>24</v>
      </c>
      <c r="F232" s="43">
        <f t="shared" si="71"/>
        <v>24</v>
      </c>
      <c r="G232" s="43">
        <f t="shared" si="72"/>
        <v>24</v>
      </c>
      <c r="H232" s="43">
        <f t="shared" si="73"/>
        <v>24</v>
      </c>
      <c r="I232" s="168">
        <v>23.92</v>
      </c>
      <c r="J232" s="168">
        <v>985.86</v>
      </c>
      <c r="K232" s="168">
        <v>444.98</v>
      </c>
      <c r="L232" s="73">
        <f t="shared" si="74"/>
        <v>23.92</v>
      </c>
      <c r="M232" s="73">
        <f t="shared" si="75"/>
        <v>985.86</v>
      </c>
      <c r="N232" s="73">
        <f t="shared" si="76"/>
        <v>444.98</v>
      </c>
      <c r="O232" s="72">
        <f t="shared" si="77"/>
        <v>0.32759045714755269</v>
      </c>
      <c r="P232" s="72">
        <f t="shared" si="78"/>
        <v>0.23998422597747818</v>
      </c>
      <c r="Q232" s="72">
        <f t="shared" si="79"/>
        <v>0.27697861877937197</v>
      </c>
      <c r="R232" s="75">
        <f>IFERROR(O232*'Fechamento fiscal'!AN8,"")</f>
        <v>20.449942201672378</v>
      </c>
      <c r="S232" s="75">
        <f>P232*'Gás fiscal'!H5</f>
        <v>1145.4447105905033</v>
      </c>
      <c r="T232" s="104">
        <f>Q232*'Volumes de água'!$C$7</f>
        <v>583.87092838691615</v>
      </c>
      <c r="U232" s="191"/>
      <c r="V232" s="192"/>
      <c r="W232" s="193"/>
    </row>
    <row r="233" spans="1:23" x14ac:dyDescent="0.25">
      <c r="A233" s="42">
        <v>4</v>
      </c>
      <c r="B233" s="16" t="s">
        <v>118</v>
      </c>
      <c r="C233" s="16">
        <v>24</v>
      </c>
      <c r="D233" s="148">
        <v>24</v>
      </c>
      <c r="E233" s="148">
        <v>24</v>
      </c>
      <c r="F233" s="43">
        <f t="shared" si="71"/>
        <v>24</v>
      </c>
      <c r="G233" s="43">
        <f t="shared" si="72"/>
        <v>24</v>
      </c>
      <c r="H233" s="43">
        <f t="shared" si="73"/>
        <v>24</v>
      </c>
      <c r="I233" s="168">
        <v>23.92</v>
      </c>
      <c r="J233" s="168">
        <v>985.86</v>
      </c>
      <c r="K233" s="168">
        <v>444.98</v>
      </c>
      <c r="L233" s="73">
        <f t="shared" si="74"/>
        <v>23.92</v>
      </c>
      <c r="M233" s="73">
        <f t="shared" si="75"/>
        <v>985.86</v>
      </c>
      <c r="N233" s="73">
        <f t="shared" si="76"/>
        <v>444.98</v>
      </c>
      <c r="O233" s="72">
        <f t="shared" si="77"/>
        <v>0.32759045714755269</v>
      </c>
      <c r="P233" s="72">
        <f t="shared" si="78"/>
        <v>0.23998422597747818</v>
      </c>
      <c r="Q233" s="72">
        <f t="shared" si="79"/>
        <v>0.27697861877937197</v>
      </c>
      <c r="R233" s="75">
        <f>IFERROR(O233*'Fechamento fiscal'!AN9,"")</f>
        <v>20.532302268836556</v>
      </c>
      <c r="S233" s="75">
        <f>P233*'Gás fiscal'!H6</f>
        <v>1110.8869820497464</v>
      </c>
      <c r="T233" s="104">
        <f>Q233*'Volumes de água'!$C$8</f>
        <v>583.87092838691615</v>
      </c>
      <c r="U233" s="191"/>
      <c r="V233" s="192"/>
      <c r="W233" s="193"/>
    </row>
    <row r="234" spans="1:23" x14ac:dyDescent="0.25">
      <c r="A234" s="42">
        <v>5</v>
      </c>
      <c r="B234" s="16" t="s">
        <v>118</v>
      </c>
      <c r="C234" s="16">
        <v>24</v>
      </c>
      <c r="D234" s="148">
        <v>23.5</v>
      </c>
      <c r="E234" s="148">
        <v>23.5</v>
      </c>
      <c r="F234" s="43">
        <f t="shared" si="71"/>
        <v>23.5</v>
      </c>
      <c r="G234" s="43">
        <f t="shared" si="72"/>
        <v>23.5</v>
      </c>
      <c r="H234" s="43">
        <f t="shared" si="73"/>
        <v>23.5</v>
      </c>
      <c r="I234" s="168">
        <v>23.92</v>
      </c>
      <c r="J234" s="168">
        <v>985.86</v>
      </c>
      <c r="K234" s="168">
        <v>444.98</v>
      </c>
      <c r="L234" s="73">
        <f t="shared" si="74"/>
        <v>23.421666666666667</v>
      </c>
      <c r="M234" s="73">
        <f t="shared" si="75"/>
        <v>965.32124999999996</v>
      </c>
      <c r="N234" s="73">
        <f t="shared" si="76"/>
        <v>435.70958333333334</v>
      </c>
      <c r="O234" s="72">
        <f t="shared" si="77"/>
        <v>0.32759045714755264</v>
      </c>
      <c r="P234" s="72">
        <f t="shared" si="78"/>
        <v>0.2399842259774782</v>
      </c>
      <c r="Q234" s="72">
        <f t="shared" si="79"/>
        <v>0.27697861877937197</v>
      </c>
      <c r="R234" s="75">
        <f>IFERROR(O234*'Fechamento fiscal'!AN10,"")</f>
        <v>20.5966129700249</v>
      </c>
      <c r="S234" s="75">
        <f>P234*'Gás fiscal'!H7</f>
        <v>1089.0484174857961</v>
      </c>
      <c r="T234" s="104">
        <f>Q234*'Volumes de água'!$C$9</f>
        <v>573.06876225452061</v>
      </c>
      <c r="U234" s="191"/>
      <c r="V234" s="192"/>
      <c r="W234" s="193"/>
    </row>
    <row r="235" spans="1:23" x14ac:dyDescent="0.25">
      <c r="A235" s="42">
        <v>6</v>
      </c>
      <c r="B235" s="16" t="s">
        <v>118</v>
      </c>
      <c r="C235" s="16">
        <v>24</v>
      </c>
      <c r="D235" s="148">
        <v>23.5</v>
      </c>
      <c r="E235" s="148">
        <v>23.5</v>
      </c>
      <c r="F235" s="43">
        <f t="shared" si="71"/>
        <v>23.5</v>
      </c>
      <c r="G235" s="43">
        <f t="shared" si="72"/>
        <v>23.5</v>
      </c>
      <c r="H235" s="43">
        <f t="shared" si="73"/>
        <v>23.5</v>
      </c>
      <c r="I235" s="168">
        <v>23.92</v>
      </c>
      <c r="J235" s="168">
        <v>985.86</v>
      </c>
      <c r="K235" s="168">
        <v>444.98</v>
      </c>
      <c r="L235" s="73">
        <f t="shared" si="74"/>
        <v>23.421666666666667</v>
      </c>
      <c r="M235" s="73">
        <f t="shared" si="75"/>
        <v>965.32124999999996</v>
      </c>
      <c r="N235" s="73">
        <f t="shared" si="76"/>
        <v>435.70958333333334</v>
      </c>
      <c r="O235" s="72">
        <f t="shared" si="77"/>
        <v>0.32759045714755264</v>
      </c>
      <c r="P235" s="72">
        <f t="shared" si="78"/>
        <v>0.2399842259774782</v>
      </c>
      <c r="Q235" s="72">
        <f t="shared" si="79"/>
        <v>0.27697861877937197</v>
      </c>
      <c r="R235" s="75">
        <f>IFERROR(O235*'Fechamento fiscal'!AN11,"")</f>
        <v>6.3749210190788747E-2</v>
      </c>
      <c r="S235" s="75">
        <f>P235*'Gás fiscal'!H8</f>
        <v>1112.086903179634</v>
      </c>
      <c r="T235" s="104">
        <f>Q235*'Volumes de água'!$C$10</f>
        <v>552.01838722728837</v>
      </c>
      <c r="U235" s="191"/>
      <c r="V235" s="192"/>
      <c r="W235" s="193"/>
    </row>
    <row r="236" spans="1:23" x14ac:dyDescent="0.25">
      <c r="A236" s="42">
        <v>7</v>
      </c>
      <c r="B236" s="16" t="s">
        <v>118</v>
      </c>
      <c r="C236" s="16">
        <v>24</v>
      </c>
      <c r="D236" s="148">
        <v>23.5</v>
      </c>
      <c r="E236" s="148">
        <v>23.5</v>
      </c>
      <c r="F236" s="43">
        <f t="shared" si="71"/>
        <v>23.5</v>
      </c>
      <c r="G236" s="43">
        <f t="shared" si="72"/>
        <v>23.5</v>
      </c>
      <c r="H236" s="43">
        <f t="shared" si="73"/>
        <v>23.5</v>
      </c>
      <c r="I236" s="168">
        <v>23.92</v>
      </c>
      <c r="J236" s="168">
        <v>985.86</v>
      </c>
      <c r="K236" s="168">
        <v>444.98</v>
      </c>
      <c r="L236" s="73">
        <f t="shared" si="74"/>
        <v>23.421666666666667</v>
      </c>
      <c r="M236" s="73">
        <f t="shared" si="75"/>
        <v>965.32124999999996</v>
      </c>
      <c r="N236" s="73">
        <f t="shared" si="76"/>
        <v>435.70958333333334</v>
      </c>
      <c r="O236" s="72">
        <f t="shared" si="77"/>
        <v>0.32833671042970797</v>
      </c>
      <c r="P236" s="72">
        <f t="shared" si="78"/>
        <v>0.24113898378755105</v>
      </c>
      <c r="Q236" s="72">
        <f t="shared" si="79"/>
        <v>0.28003202269599875</v>
      </c>
      <c r="R236" s="75">
        <f>IFERROR(O236*'Fechamento fiscal'!AN12,"")</f>
        <v>-5.8031407031648747</v>
      </c>
      <c r="S236" s="75">
        <f>P236*'Gás fiscal'!H9</f>
        <v>1129.0127220933141</v>
      </c>
      <c r="T236" s="104">
        <f>Q236*'Volumes de água'!$C$11</f>
        <v>570.98529427714141</v>
      </c>
      <c r="U236" s="191"/>
      <c r="V236" s="192"/>
      <c r="W236" s="193"/>
    </row>
    <row r="237" spans="1:23" x14ac:dyDescent="0.25">
      <c r="A237" s="42">
        <v>8</v>
      </c>
      <c r="B237" s="16" t="s">
        <v>118</v>
      </c>
      <c r="C237" s="16">
        <v>24</v>
      </c>
      <c r="D237" s="148">
        <v>24</v>
      </c>
      <c r="E237" s="148">
        <v>24</v>
      </c>
      <c r="F237" s="43">
        <f t="shared" si="71"/>
        <v>24</v>
      </c>
      <c r="G237" s="43">
        <f>IF(OR(C237="",D238=""),0,IF(D238&gt;C237,D238,D238/C237*24))</f>
        <v>24</v>
      </c>
      <c r="H237" s="43">
        <f>IF(OR(C237="",D238=""),0,IF(D238&gt;C237,D238,D238/C237*24))</f>
        <v>24</v>
      </c>
      <c r="I237" s="168">
        <v>23.92</v>
      </c>
      <c r="J237" s="168">
        <v>985.86</v>
      </c>
      <c r="K237" s="168">
        <v>444.98</v>
      </c>
      <c r="L237" s="73">
        <f t="shared" si="74"/>
        <v>23.92</v>
      </c>
      <c r="M237" s="73">
        <f t="shared" si="75"/>
        <v>985.86</v>
      </c>
      <c r="N237" s="73">
        <f t="shared" si="76"/>
        <v>444.98</v>
      </c>
      <c r="O237" s="72">
        <f>IF(D238&lt;&gt;0,L237/(L13+L45+L77+L109+L141+L173+L205+L237+L269+L301+L333+L365),0)</f>
        <v>0.3305328321910237</v>
      </c>
      <c r="P237" s="72">
        <f t="shared" si="78"/>
        <v>0.24457140588989748</v>
      </c>
      <c r="Q237" s="72">
        <f t="shared" si="79"/>
        <v>0.28933508459367729</v>
      </c>
      <c r="R237" s="75">
        <f>IFERROR(O237*'Fechamento fiscal'!AN13,"")</f>
        <v>-0.16417427223909803</v>
      </c>
      <c r="S237" s="75">
        <f>P237*'Gás fiscal'!H10</f>
        <v>1137.2570373880233</v>
      </c>
      <c r="T237" s="104">
        <f>Q237*'Volumes de água'!$C$12</f>
        <v>597.47694968594362</v>
      </c>
      <c r="U237" s="191"/>
      <c r="V237" s="192"/>
      <c r="W237" s="193"/>
    </row>
    <row r="238" spans="1:23" x14ac:dyDescent="0.25">
      <c r="A238" s="42">
        <v>9</v>
      </c>
      <c r="B238" s="16" t="s">
        <v>118</v>
      </c>
      <c r="C238" s="16">
        <v>24</v>
      </c>
      <c r="D238" s="148">
        <v>24</v>
      </c>
      <c r="E238" s="148">
        <v>23.5</v>
      </c>
      <c r="F238" s="43">
        <f t="shared" si="71"/>
        <v>23.5</v>
      </c>
      <c r="G238" s="43">
        <f>IF(OR(C238="",D239=""),0,IF(D239&gt;C238,D239,D239/C238*24))</f>
        <v>23.5</v>
      </c>
      <c r="H238" s="43">
        <f>IF(OR(C238="",D239=""),0,IF(D239&gt;C238,D239,D239/C238*24))</f>
        <v>23.5</v>
      </c>
      <c r="I238" s="168">
        <v>23.92</v>
      </c>
      <c r="J238" s="168">
        <v>985.86</v>
      </c>
      <c r="K238" s="168">
        <v>444.98</v>
      </c>
      <c r="L238" s="73">
        <f t="shared" si="74"/>
        <v>23.421666666666667</v>
      </c>
      <c r="M238" s="73">
        <f t="shared" si="75"/>
        <v>965.32124999999996</v>
      </c>
      <c r="N238" s="73">
        <f t="shared" si="76"/>
        <v>435.70958333333334</v>
      </c>
      <c r="O238" s="72">
        <f>IF(D239&lt;&gt;0,L238/(L14+L46+L78+L110+L142+L174+L206+L238+L270+L302+L334+L366),0)</f>
        <v>0.3305328321910237</v>
      </c>
      <c r="P238" s="72">
        <f t="shared" si="78"/>
        <v>0.24457140588989748</v>
      </c>
      <c r="Q238" s="72">
        <f t="shared" si="79"/>
        <v>0.28933508459367724</v>
      </c>
      <c r="R238" s="75">
        <f>IFERROR(O238*'Fechamento fiscal'!AN14,"")</f>
        <v>8.8769040749388974</v>
      </c>
      <c r="S238" s="75">
        <f>P238*'Gás fiscal'!H11</f>
        <v>1030.6239044200279</v>
      </c>
      <c r="T238" s="104">
        <f>Q238*'Volumes de água'!$C$13</f>
        <v>571.72612715710625</v>
      </c>
      <c r="U238" s="191"/>
      <c r="V238" s="192"/>
      <c r="W238" s="193"/>
    </row>
    <row r="239" spans="1:23" x14ac:dyDescent="0.25">
      <c r="A239" s="42">
        <v>10</v>
      </c>
      <c r="B239" s="16" t="s">
        <v>118</v>
      </c>
      <c r="C239" s="16">
        <v>24</v>
      </c>
      <c r="D239" s="148">
        <v>23.5</v>
      </c>
      <c r="E239" s="148">
        <v>24</v>
      </c>
      <c r="F239" s="43">
        <f t="shared" si="71"/>
        <v>24</v>
      </c>
      <c r="G239" s="43">
        <f t="shared" ref="G239:G260" si="80">IF(OR(C239="",D240=""),0,IF(D240&gt;C239,D240,D240/C239*24))</f>
        <v>24</v>
      </c>
      <c r="H239" s="43">
        <f t="shared" ref="H239:H260" si="81">IF(OR(C239="",D240=""),0,IF(D240&gt;C239,D240,D240/C239*24))</f>
        <v>24</v>
      </c>
      <c r="I239" s="168">
        <v>23.92</v>
      </c>
      <c r="J239" s="168">
        <v>985.86</v>
      </c>
      <c r="K239" s="168">
        <v>444.98</v>
      </c>
      <c r="L239" s="73">
        <f t="shared" si="74"/>
        <v>23.92</v>
      </c>
      <c r="M239" s="73">
        <f t="shared" si="75"/>
        <v>985.86</v>
      </c>
      <c r="N239" s="73">
        <f t="shared" si="76"/>
        <v>444.98</v>
      </c>
      <c r="O239" s="72">
        <f t="shared" ref="O239:O260" si="82">IF(D240&lt;&gt;0,L239/(L15+L47+L79+L111+L143+L175+L207+L239+L271+L303+L335+L367),0)</f>
        <v>0.33104746351488812</v>
      </c>
      <c r="P239" s="72">
        <f t="shared" si="78"/>
        <v>0.24525339712375094</v>
      </c>
      <c r="Q239" s="72">
        <f t="shared" si="79"/>
        <v>0.29099350957215492</v>
      </c>
      <c r="R239" s="75">
        <f>IFERROR(O239*'Fechamento fiscal'!AN15,"")</f>
        <v>20.74305985307549</v>
      </c>
      <c r="S239" s="75">
        <f>P239*'Gás fiscal'!H12</f>
        <v>963.35534390209364</v>
      </c>
      <c r="T239" s="104">
        <f>Q239*'Volumes de água'!$C$14</f>
        <v>600.90159726649995</v>
      </c>
      <c r="U239" s="191"/>
      <c r="V239" s="192"/>
      <c r="W239" s="193"/>
    </row>
    <row r="240" spans="1:23" x14ac:dyDescent="0.25">
      <c r="A240" s="42">
        <v>11</v>
      </c>
      <c r="B240" s="16" t="s">
        <v>118</v>
      </c>
      <c r="C240" s="16">
        <v>24</v>
      </c>
      <c r="D240" s="148">
        <v>24</v>
      </c>
      <c r="E240" s="148">
        <v>24</v>
      </c>
      <c r="F240" s="43">
        <f t="shared" si="71"/>
        <v>24</v>
      </c>
      <c r="G240" s="43">
        <f t="shared" si="80"/>
        <v>24</v>
      </c>
      <c r="H240" s="43">
        <f t="shared" si="81"/>
        <v>24</v>
      </c>
      <c r="I240" s="168">
        <v>23.92</v>
      </c>
      <c r="J240" s="168">
        <v>985.86</v>
      </c>
      <c r="K240" s="168">
        <v>444.98</v>
      </c>
      <c r="L240" s="73">
        <f t="shared" si="74"/>
        <v>23.92</v>
      </c>
      <c r="M240" s="73">
        <f t="shared" si="75"/>
        <v>985.86</v>
      </c>
      <c r="N240" s="73">
        <f t="shared" si="76"/>
        <v>444.98</v>
      </c>
      <c r="O240" s="72">
        <f t="shared" si="82"/>
        <v>0.3305328321910237</v>
      </c>
      <c r="P240" s="72">
        <f t="shared" si="78"/>
        <v>0.24457140588989748</v>
      </c>
      <c r="Q240" s="72">
        <f t="shared" si="79"/>
        <v>0.28933508459367729</v>
      </c>
      <c r="R240" s="75">
        <f>IFERROR(O240*'Fechamento fiscal'!AN16,"")</f>
        <v>-1.5701735543658481E-2</v>
      </c>
      <c r="S240" s="75">
        <f>P240*'Gás fiscal'!H13</f>
        <v>986.60105135984645</v>
      </c>
      <c r="T240" s="104">
        <f>Q240*'Volumes de água'!$C$15</f>
        <v>638.27319661365209</v>
      </c>
      <c r="U240" s="191"/>
      <c r="V240" s="192"/>
      <c r="W240" s="193"/>
    </row>
    <row r="241" spans="1:23" x14ac:dyDescent="0.25">
      <c r="A241" s="42">
        <v>12</v>
      </c>
      <c r="B241" s="16" t="s">
        <v>118</v>
      </c>
      <c r="C241" s="16">
        <v>24</v>
      </c>
      <c r="D241" s="148">
        <v>24</v>
      </c>
      <c r="E241" s="148">
        <v>24</v>
      </c>
      <c r="F241" s="43">
        <f t="shared" si="71"/>
        <v>24</v>
      </c>
      <c r="G241" s="43">
        <f t="shared" si="80"/>
        <v>15.5</v>
      </c>
      <c r="H241" s="43">
        <f t="shared" si="81"/>
        <v>15.5</v>
      </c>
      <c r="I241" s="168">
        <v>23.92</v>
      </c>
      <c r="J241" s="168">
        <v>985.86</v>
      </c>
      <c r="K241" s="168">
        <v>444.98</v>
      </c>
      <c r="L241" s="73">
        <f t="shared" si="74"/>
        <v>15.448333333333336</v>
      </c>
      <c r="M241" s="73">
        <f t="shared" si="75"/>
        <v>985.86</v>
      </c>
      <c r="N241" s="73">
        <f t="shared" si="76"/>
        <v>287.38291666666669</v>
      </c>
      <c r="O241" s="72">
        <f t="shared" si="82"/>
        <v>0.24469796868214477</v>
      </c>
      <c r="P241" s="72">
        <f t="shared" si="78"/>
        <v>0.24527681396151674</v>
      </c>
      <c r="Q241" s="72">
        <f t="shared" si="79"/>
        <v>0.20981949480009091</v>
      </c>
      <c r="R241" s="75">
        <f>IFERROR(O241*'Fechamento fiscal'!AN17,"")</f>
        <v>-0.18481684407959043</v>
      </c>
      <c r="S241" s="75">
        <f>P241*'Gás fiscal'!H14</f>
        <v>1168.7440185266273</v>
      </c>
      <c r="T241" s="104">
        <f>Q241*'Volumes de água'!$C$16</f>
        <v>604.28014502426186</v>
      </c>
      <c r="U241" s="191"/>
      <c r="V241" s="192"/>
      <c r="W241" s="193"/>
    </row>
    <row r="242" spans="1:23" x14ac:dyDescent="0.25">
      <c r="A242" s="42">
        <v>13</v>
      </c>
      <c r="B242" s="16" t="s">
        <v>118</v>
      </c>
      <c r="C242" s="16">
        <v>24</v>
      </c>
      <c r="D242" s="148">
        <v>15.5</v>
      </c>
      <c r="E242" s="148">
        <v>15.5</v>
      </c>
      <c r="F242" s="43">
        <f t="shared" si="71"/>
        <v>15.5</v>
      </c>
      <c r="G242" s="43">
        <f t="shared" si="80"/>
        <v>24</v>
      </c>
      <c r="H242" s="43">
        <f t="shared" si="81"/>
        <v>24</v>
      </c>
      <c r="I242" s="168">
        <v>23.92</v>
      </c>
      <c r="J242" s="168">
        <v>985.86</v>
      </c>
      <c r="K242" s="168">
        <v>444.98</v>
      </c>
      <c r="L242" s="73">
        <f t="shared" si="74"/>
        <v>23.92</v>
      </c>
      <c r="M242" s="73">
        <f t="shared" si="75"/>
        <v>636.70125000000007</v>
      </c>
      <c r="N242" s="73">
        <f t="shared" si="76"/>
        <v>444.98</v>
      </c>
      <c r="O242" s="72">
        <f t="shared" si="82"/>
        <v>0.34065339371671077</v>
      </c>
      <c r="P242" s="72">
        <f t="shared" si="78"/>
        <v>0.17493759428858865</v>
      </c>
      <c r="Q242" s="72">
        <f t="shared" si="79"/>
        <v>0.29584665811221406</v>
      </c>
      <c r="R242" s="75">
        <f>IFERROR(O242*'Fechamento fiscal'!AN18,"")</f>
        <v>-2.7467334522758981E-3</v>
      </c>
      <c r="S242" s="75">
        <f>P242*'Gás fiscal'!H15</f>
        <v>745.75896445225339</v>
      </c>
      <c r="T242" s="104">
        <f>Q242*'Volumes de água'!$C$17</f>
        <v>812.69076983425202</v>
      </c>
      <c r="U242" s="191"/>
      <c r="V242" s="192"/>
      <c r="W242" s="193"/>
    </row>
    <row r="243" spans="1:23" x14ac:dyDescent="0.25">
      <c r="A243" s="42">
        <v>14</v>
      </c>
      <c r="B243" s="16" t="s">
        <v>118</v>
      </c>
      <c r="C243" s="16">
        <v>24</v>
      </c>
      <c r="D243" s="148">
        <v>24</v>
      </c>
      <c r="E243" s="148">
        <v>24</v>
      </c>
      <c r="F243" s="43">
        <f t="shared" si="71"/>
        <v>24</v>
      </c>
      <c r="G243" s="43">
        <f t="shared" si="80"/>
        <v>24</v>
      </c>
      <c r="H243" s="43">
        <f t="shared" si="81"/>
        <v>24</v>
      </c>
      <c r="I243" s="168">
        <v>23.92</v>
      </c>
      <c r="J243" s="168">
        <v>985.86</v>
      </c>
      <c r="K243" s="168">
        <v>444.98</v>
      </c>
      <c r="L243" s="73">
        <f t="shared" si="74"/>
        <v>23.92</v>
      </c>
      <c r="M243" s="73">
        <f t="shared" si="75"/>
        <v>985.86</v>
      </c>
      <c r="N243" s="73">
        <f t="shared" si="76"/>
        <v>444.98</v>
      </c>
      <c r="O243" s="72">
        <f t="shared" si="82"/>
        <v>0.34892636521968506</v>
      </c>
      <c r="P243" s="72">
        <f t="shared" si="78"/>
        <v>0.25403273029784668</v>
      </c>
      <c r="Q243" s="72">
        <f t="shared" si="79"/>
        <v>0.3117557154572278</v>
      </c>
      <c r="R243" s="75">
        <f>IFERROR(O243*'Fechamento fiscal'!AN19,"")</f>
        <v>13.81793927818992</v>
      </c>
      <c r="S243" s="75">
        <f>P243*'Gás fiscal'!H16</f>
        <v>1184.3005886485612</v>
      </c>
      <c r="T243" s="104">
        <f>Q243*'Volumes de água'!$C$18</f>
        <v>847.04027889728798</v>
      </c>
      <c r="U243" s="191"/>
      <c r="V243" s="192"/>
      <c r="W243" s="193"/>
    </row>
    <row r="244" spans="1:23" x14ac:dyDescent="0.25">
      <c r="A244" s="42">
        <v>15</v>
      </c>
      <c r="B244" s="16" t="s">
        <v>118</v>
      </c>
      <c r="C244" s="16">
        <v>24</v>
      </c>
      <c r="D244" s="148">
        <v>24</v>
      </c>
      <c r="E244" s="148">
        <v>24</v>
      </c>
      <c r="F244" s="43">
        <f t="shared" si="71"/>
        <v>24</v>
      </c>
      <c r="G244" s="43">
        <f t="shared" si="80"/>
        <v>23.3</v>
      </c>
      <c r="H244" s="43">
        <f t="shared" si="81"/>
        <v>23.3</v>
      </c>
      <c r="I244" s="168">
        <v>23.92</v>
      </c>
      <c r="J244" s="168">
        <v>985.86</v>
      </c>
      <c r="K244" s="168">
        <v>444.98</v>
      </c>
      <c r="L244" s="73">
        <f t="shared" si="74"/>
        <v>23.222333333333335</v>
      </c>
      <c r="M244" s="73">
        <f t="shared" si="75"/>
        <v>985.86</v>
      </c>
      <c r="N244" s="73">
        <f t="shared" si="76"/>
        <v>432.00141666666667</v>
      </c>
      <c r="O244" s="72">
        <f t="shared" si="82"/>
        <v>0.33484936056494746</v>
      </c>
      <c r="P244" s="72">
        <f t="shared" si="78"/>
        <v>0.24820643183868218</v>
      </c>
      <c r="Q244" s="72">
        <f t="shared" si="79"/>
        <v>0.29229496863562354</v>
      </c>
      <c r="R244" s="75">
        <f>IFERROR(O244*'Fechamento fiscal'!AN20,"")</f>
        <v>21.464432238951325</v>
      </c>
      <c r="S244" s="75">
        <f>P244*'Gás fiscal'!H17</f>
        <v>1180.4697898247725</v>
      </c>
      <c r="T244" s="104">
        <f>Q244*'Volumes de água'!$C$19</f>
        <v>807.02640840295658</v>
      </c>
      <c r="U244" s="191"/>
      <c r="V244" s="192"/>
      <c r="W244" s="193"/>
    </row>
    <row r="245" spans="1:23" x14ac:dyDescent="0.25">
      <c r="A245" s="42">
        <v>16</v>
      </c>
      <c r="B245" s="16" t="s">
        <v>118</v>
      </c>
      <c r="C245" s="16">
        <v>24</v>
      </c>
      <c r="D245" s="148">
        <v>23.3</v>
      </c>
      <c r="E245" s="148">
        <v>23.3</v>
      </c>
      <c r="F245" s="43">
        <f t="shared" si="71"/>
        <v>23.3</v>
      </c>
      <c r="G245" s="43">
        <f t="shared" si="80"/>
        <v>24</v>
      </c>
      <c r="H245" s="43">
        <f t="shared" si="81"/>
        <v>24</v>
      </c>
      <c r="I245" s="168">
        <v>23.92</v>
      </c>
      <c r="J245" s="168">
        <v>985.86</v>
      </c>
      <c r="K245" s="168">
        <v>444.98</v>
      </c>
      <c r="L245" s="73">
        <f t="shared" si="74"/>
        <v>23.92</v>
      </c>
      <c r="M245" s="73">
        <f t="shared" si="75"/>
        <v>957.10575000000006</v>
      </c>
      <c r="N245" s="73">
        <f t="shared" si="76"/>
        <v>444.98</v>
      </c>
      <c r="O245" s="72">
        <f t="shared" si="82"/>
        <v>0.34733293345193444</v>
      </c>
      <c r="P245" s="72">
        <f t="shared" si="78"/>
        <v>0.24716016886996794</v>
      </c>
      <c r="Q245" s="72">
        <f t="shared" si="79"/>
        <v>0.30205010450187164</v>
      </c>
      <c r="R245" s="75">
        <f>IFERROR(O245*'Fechamento fiscal'!AN21,"")</f>
        <v>9.7403292272802613</v>
      </c>
      <c r="S245" s="75">
        <f>P245*'Gás fiscal'!H18</f>
        <v>1136.4424564641126</v>
      </c>
      <c r="T245" s="104">
        <f>Q245*'Volumes de água'!$C$20</f>
        <v>755.42731135918098</v>
      </c>
      <c r="U245" s="191"/>
      <c r="V245" s="192"/>
      <c r="W245" s="193"/>
    </row>
    <row r="246" spans="1:23" x14ac:dyDescent="0.25">
      <c r="A246" s="42">
        <v>17</v>
      </c>
      <c r="B246" s="16" t="s">
        <v>118</v>
      </c>
      <c r="C246" s="16">
        <v>24</v>
      </c>
      <c r="D246" s="148">
        <v>24</v>
      </c>
      <c r="E246" s="148">
        <v>24</v>
      </c>
      <c r="F246" s="43">
        <f t="shared" si="71"/>
        <v>24</v>
      </c>
      <c r="G246" s="43">
        <f t="shared" si="80"/>
        <v>24</v>
      </c>
      <c r="H246" s="43">
        <f t="shared" si="81"/>
        <v>24</v>
      </c>
      <c r="I246" s="168">
        <v>23.92</v>
      </c>
      <c r="J246" s="168">
        <v>985.86</v>
      </c>
      <c r="K246" s="168">
        <v>444.98</v>
      </c>
      <c r="L246" s="73">
        <f t="shared" si="74"/>
        <v>23.92</v>
      </c>
      <c r="M246" s="73">
        <f t="shared" si="75"/>
        <v>985.86</v>
      </c>
      <c r="N246" s="73">
        <f t="shared" si="76"/>
        <v>444.98</v>
      </c>
      <c r="O246" s="72">
        <f t="shared" si="82"/>
        <v>0.32541118532928837</v>
      </c>
      <c r="P246" s="72">
        <f t="shared" si="78"/>
        <v>0.22823739133454493</v>
      </c>
      <c r="Q246" s="72">
        <f t="shared" si="79"/>
        <v>0.26781658433945865</v>
      </c>
      <c r="R246" s="75">
        <f>IFERROR(O246*'Fechamento fiscal'!AN22,"")</f>
        <v>-0.12753254456547161</v>
      </c>
      <c r="S246" s="75">
        <f>P246*'Gás fiscal'!H19</f>
        <v>1080.9322853604049</v>
      </c>
      <c r="T246" s="104">
        <f>Q246*'Volumes de água'!$C$21</f>
        <v>725.51512697559349</v>
      </c>
      <c r="U246" s="191"/>
      <c r="V246" s="192"/>
      <c r="W246" s="193"/>
    </row>
    <row r="247" spans="1:23" x14ac:dyDescent="0.25">
      <c r="A247" s="42">
        <v>18</v>
      </c>
      <c r="B247" s="16" t="s">
        <v>118</v>
      </c>
      <c r="C247" s="16">
        <v>24</v>
      </c>
      <c r="D247" s="148">
        <v>24</v>
      </c>
      <c r="E247" s="148">
        <v>24</v>
      </c>
      <c r="F247" s="43">
        <f t="shared" si="71"/>
        <v>24</v>
      </c>
      <c r="G247" s="43">
        <f t="shared" si="80"/>
        <v>23.5</v>
      </c>
      <c r="H247" s="43">
        <f t="shared" si="81"/>
        <v>23.5</v>
      </c>
      <c r="I247" s="168">
        <v>23.92</v>
      </c>
      <c r="J247" s="168">
        <v>985.86</v>
      </c>
      <c r="K247" s="168">
        <v>444.98</v>
      </c>
      <c r="L247" s="73">
        <f t="shared" si="74"/>
        <v>23.421666666666667</v>
      </c>
      <c r="M247" s="73">
        <f t="shared" si="75"/>
        <v>985.86</v>
      </c>
      <c r="N247" s="73">
        <f t="shared" si="76"/>
        <v>435.70958333333334</v>
      </c>
      <c r="O247" s="72">
        <f t="shared" si="82"/>
        <v>0.29335877320797099</v>
      </c>
      <c r="P247" s="72">
        <f t="shared" si="78"/>
        <v>0.19692428893694622</v>
      </c>
      <c r="Q247" s="72">
        <f t="shared" si="79"/>
        <v>0.22014545094741006</v>
      </c>
      <c r="R247" s="75">
        <f>IFERROR(O247*'Fechamento fiscal'!AN23,"")</f>
        <v>-2.4364003266569303E-2</v>
      </c>
      <c r="S247" s="75">
        <f>P247*'Gás fiscal'!H20</f>
        <v>935.39037245049451</v>
      </c>
      <c r="T247" s="104">
        <f>Q247*'Volumes de água'!$C$22</f>
        <v>422.23897491713251</v>
      </c>
      <c r="U247" s="191"/>
      <c r="V247" s="192"/>
      <c r="W247" s="193"/>
    </row>
    <row r="248" spans="1:23" x14ac:dyDescent="0.25">
      <c r="A248" s="42">
        <v>19</v>
      </c>
      <c r="B248" s="16" t="s">
        <v>118</v>
      </c>
      <c r="C248" s="16">
        <v>24</v>
      </c>
      <c r="D248" s="148">
        <v>23.5</v>
      </c>
      <c r="E248" s="148">
        <v>23.5</v>
      </c>
      <c r="F248" s="43">
        <f t="shared" si="71"/>
        <v>23.5</v>
      </c>
      <c r="G248" s="43">
        <f t="shared" si="80"/>
        <v>24</v>
      </c>
      <c r="H248" s="43">
        <f t="shared" si="81"/>
        <v>24</v>
      </c>
      <c r="I248" s="168">
        <v>23.92</v>
      </c>
      <c r="J248" s="168">
        <v>985.86</v>
      </c>
      <c r="K248" s="168">
        <v>444.98</v>
      </c>
      <c r="L248" s="73">
        <f t="shared" si="74"/>
        <v>23.92</v>
      </c>
      <c r="M248" s="73">
        <f t="shared" si="75"/>
        <v>965.32124999999996</v>
      </c>
      <c r="N248" s="73">
        <f t="shared" si="76"/>
        <v>444.98</v>
      </c>
      <c r="O248" s="72">
        <f t="shared" si="82"/>
        <v>0.30296969194809276</v>
      </c>
      <c r="P248" s="72">
        <f t="shared" si="78"/>
        <v>0.19777959026309447</v>
      </c>
      <c r="Q248" s="72">
        <f t="shared" si="79"/>
        <v>0.22863888557939921</v>
      </c>
      <c r="R248" s="75">
        <f>IFERROR(O248*'Fechamento fiscal'!AN24,"")</f>
        <v>18.874970001603256</v>
      </c>
      <c r="S248" s="75">
        <f>P248*'Gás fiscal'!H21</f>
        <v>892.57929085734531</v>
      </c>
      <c r="T248" s="104">
        <f>Q248*'Volumes de água'!$C$23</f>
        <v>618.69682437785423</v>
      </c>
      <c r="U248" s="191"/>
      <c r="V248" s="192"/>
      <c r="W248" s="193"/>
    </row>
    <row r="249" spans="1:23" x14ac:dyDescent="0.25">
      <c r="A249" s="42">
        <v>20</v>
      </c>
      <c r="B249" s="16" t="s">
        <v>118</v>
      </c>
      <c r="C249" s="16">
        <v>24</v>
      </c>
      <c r="D249" s="148">
        <v>24</v>
      </c>
      <c r="E249" s="148">
        <v>24</v>
      </c>
      <c r="F249" s="43">
        <f t="shared" si="71"/>
        <v>24</v>
      </c>
      <c r="G249" s="43">
        <f t="shared" si="80"/>
        <v>24</v>
      </c>
      <c r="H249" s="43">
        <f t="shared" si="81"/>
        <v>24</v>
      </c>
      <c r="I249" s="168">
        <v>23.92</v>
      </c>
      <c r="J249" s="168">
        <v>985.86</v>
      </c>
      <c r="K249" s="168">
        <v>444.98</v>
      </c>
      <c r="L249" s="73">
        <f t="shared" si="74"/>
        <v>23.92</v>
      </c>
      <c r="M249" s="73">
        <f t="shared" si="75"/>
        <v>985.86</v>
      </c>
      <c r="N249" s="73">
        <f t="shared" si="76"/>
        <v>444.98</v>
      </c>
      <c r="O249" s="72">
        <f t="shared" si="82"/>
        <v>0.33462501573800763</v>
      </c>
      <c r="P249" s="72">
        <f t="shared" si="78"/>
        <v>0.2395223256304389</v>
      </c>
      <c r="Q249" s="72">
        <f t="shared" si="79"/>
        <v>0.28439837054778705</v>
      </c>
      <c r="R249" s="75">
        <f>IFERROR(O249*'Fechamento fiscal'!AN25,"")</f>
        <v>20.855131436969263</v>
      </c>
      <c r="S249" s="75">
        <f>P249*'Gás fiscal'!H22</f>
        <v>1063.9581704504096</v>
      </c>
      <c r="T249" s="104">
        <f>Q249*'Volumes de água'!$C$24</f>
        <v>729.19742208452601</v>
      </c>
      <c r="U249" s="191"/>
      <c r="V249" s="192"/>
      <c r="W249" s="193"/>
    </row>
    <row r="250" spans="1:23" x14ac:dyDescent="0.25">
      <c r="A250" s="42">
        <v>21</v>
      </c>
      <c r="B250" s="16" t="s">
        <v>118</v>
      </c>
      <c r="C250" s="16">
        <v>24</v>
      </c>
      <c r="D250" s="148">
        <v>24</v>
      </c>
      <c r="E250" s="148">
        <v>24</v>
      </c>
      <c r="F250" s="43">
        <f t="shared" si="71"/>
        <v>24</v>
      </c>
      <c r="G250" s="43">
        <f t="shared" si="80"/>
        <v>24</v>
      </c>
      <c r="H250" s="43">
        <f t="shared" si="81"/>
        <v>24</v>
      </c>
      <c r="I250" s="168">
        <v>23.92</v>
      </c>
      <c r="J250" s="168">
        <v>985.86</v>
      </c>
      <c r="K250" s="168">
        <v>444.98</v>
      </c>
      <c r="L250" s="73">
        <f t="shared" si="74"/>
        <v>23.92</v>
      </c>
      <c r="M250" s="73">
        <f t="shared" si="75"/>
        <v>985.86</v>
      </c>
      <c r="N250" s="73">
        <f t="shared" si="76"/>
        <v>444.98</v>
      </c>
      <c r="O250" s="72">
        <f t="shared" si="82"/>
        <v>0.31339888316709319</v>
      </c>
      <c r="P250" s="72">
        <f t="shared" si="78"/>
        <v>0.21401996752285091</v>
      </c>
      <c r="Q250" s="72">
        <f t="shared" si="79"/>
        <v>0.24610639533215659</v>
      </c>
      <c r="R250" s="75">
        <f>IFERROR(O250*'Fechamento fiscal'!AN26,"")</f>
        <v>19.592570754839205</v>
      </c>
      <c r="S250" s="75">
        <f>P250*'Gás fiscal'!H23</f>
        <v>894.60346424551676</v>
      </c>
      <c r="T250" s="104">
        <f>Q250*'Volumes de água'!$C$25</f>
        <v>676.79258716343065</v>
      </c>
      <c r="U250" s="191"/>
      <c r="V250" s="192"/>
      <c r="W250" s="193"/>
    </row>
    <row r="251" spans="1:23" x14ac:dyDescent="0.25">
      <c r="A251" s="42">
        <v>22</v>
      </c>
      <c r="B251" s="16" t="s">
        <v>118</v>
      </c>
      <c r="C251" s="16">
        <v>24</v>
      </c>
      <c r="D251" s="148">
        <v>24</v>
      </c>
      <c r="E251" s="148">
        <v>24</v>
      </c>
      <c r="F251" s="43">
        <f t="shared" si="71"/>
        <v>24</v>
      </c>
      <c r="G251" s="43">
        <f t="shared" si="80"/>
        <v>9.4</v>
      </c>
      <c r="H251" s="43">
        <f t="shared" si="81"/>
        <v>9.4</v>
      </c>
      <c r="I251" s="168">
        <v>23.92</v>
      </c>
      <c r="J251" s="168">
        <v>985.86</v>
      </c>
      <c r="K251" s="168">
        <v>444.98</v>
      </c>
      <c r="L251" s="73">
        <f t="shared" si="74"/>
        <v>9.3686666666666678</v>
      </c>
      <c r="M251" s="73">
        <f t="shared" si="75"/>
        <v>985.86</v>
      </c>
      <c r="N251" s="73">
        <f t="shared" si="76"/>
        <v>174.28383333333335</v>
      </c>
      <c r="O251" s="72">
        <f t="shared" si="82"/>
        <v>0.15369808328548384</v>
      </c>
      <c r="P251" s="72">
        <f t="shared" si="78"/>
        <v>0.21752484239344846</v>
      </c>
      <c r="Q251" s="72">
        <f t="shared" si="79"/>
        <v>0.11435896418000335</v>
      </c>
      <c r="R251" s="75">
        <f>IFERROR(O251*'Fechamento fiscal'!AN27,"")</f>
        <v>2.8394622660429611</v>
      </c>
      <c r="S251" s="75">
        <f>P251*'Gás fiscal'!H24</f>
        <v>1023.8894331459619</v>
      </c>
      <c r="T251" s="104">
        <f>Q251*'Volumes de água'!$C$26</f>
        <v>321.4630483099894</v>
      </c>
      <c r="U251" s="191"/>
      <c r="V251" s="192"/>
      <c r="W251" s="193"/>
    </row>
    <row r="252" spans="1:23" x14ac:dyDescent="0.25">
      <c r="A252" s="42">
        <v>23</v>
      </c>
      <c r="B252" s="16" t="s">
        <v>118</v>
      </c>
      <c r="C252" s="16">
        <v>24</v>
      </c>
      <c r="D252" s="148">
        <v>9.4</v>
      </c>
      <c r="E252" s="148">
        <v>9.4</v>
      </c>
      <c r="F252" s="43">
        <f t="shared" si="71"/>
        <v>9.4</v>
      </c>
      <c r="G252" s="43">
        <f t="shared" si="80"/>
        <v>9.3000000000000007</v>
      </c>
      <c r="H252" s="43">
        <f t="shared" si="81"/>
        <v>9.3000000000000007</v>
      </c>
      <c r="I252" s="168">
        <v>23.92</v>
      </c>
      <c r="J252" s="168">
        <v>985.86</v>
      </c>
      <c r="K252" s="168">
        <v>444.98</v>
      </c>
      <c r="L252" s="73">
        <f t="shared" si="74"/>
        <v>9.2690000000000001</v>
      </c>
      <c r="M252" s="73">
        <f t="shared" si="75"/>
        <v>386.12849999999997</v>
      </c>
      <c r="N252" s="73">
        <f t="shared" si="76"/>
        <v>172.42975000000001</v>
      </c>
      <c r="O252" s="72">
        <f t="shared" si="82"/>
        <v>0.21490825032208799</v>
      </c>
      <c r="P252" s="72">
        <f t="shared" si="78"/>
        <v>0.15990498730903924</v>
      </c>
      <c r="Q252" s="72">
        <f t="shared" si="79"/>
        <v>0.1593303286893902</v>
      </c>
      <c r="R252" s="75">
        <f>IFERROR(O252*'Fechamento fiscal'!AN28,"")</f>
        <v>-7.0791762438615735E-2</v>
      </c>
      <c r="S252" s="75">
        <f>P252*'Gás fiscal'!H25</f>
        <v>337.71933319669085</v>
      </c>
      <c r="T252" s="104">
        <f>Q252*'Volumes de água'!$C$27</f>
        <v>239.95147500622164</v>
      </c>
      <c r="U252" s="191"/>
      <c r="V252" s="192"/>
      <c r="W252" s="193"/>
    </row>
    <row r="253" spans="1:23" x14ac:dyDescent="0.25">
      <c r="A253" s="42">
        <v>24</v>
      </c>
      <c r="B253" s="16" t="s">
        <v>118</v>
      </c>
      <c r="C253" s="16">
        <v>24</v>
      </c>
      <c r="D253" s="148">
        <v>9.3000000000000007</v>
      </c>
      <c r="E253" s="148">
        <v>9.3000000000000007</v>
      </c>
      <c r="F253" s="43">
        <f t="shared" si="71"/>
        <v>9.3000000000000007</v>
      </c>
      <c r="G253" s="43">
        <f t="shared" si="80"/>
        <v>24</v>
      </c>
      <c r="H253" s="43">
        <f t="shared" si="81"/>
        <v>24</v>
      </c>
      <c r="I253" s="168">
        <v>23.92</v>
      </c>
      <c r="J253" s="168">
        <v>985.86</v>
      </c>
      <c r="K253" s="168">
        <v>444.98</v>
      </c>
      <c r="L253" s="73">
        <f t="shared" si="74"/>
        <v>23.92</v>
      </c>
      <c r="M253" s="73">
        <f t="shared" si="75"/>
        <v>382.02075000000002</v>
      </c>
      <c r="N253" s="73">
        <f t="shared" si="76"/>
        <v>444.98</v>
      </c>
      <c r="O253" s="72">
        <f t="shared" si="82"/>
        <v>0.38703622801482129</v>
      </c>
      <c r="P253" s="72">
        <f t="shared" si="78"/>
        <v>0.13577119776785201</v>
      </c>
      <c r="Q253" s="72">
        <f t="shared" si="79"/>
        <v>0.3012732328282407</v>
      </c>
      <c r="R253" s="75">
        <f>IFERROR(O253*'Fechamento fiscal'!AN29,"")</f>
        <v>-5.1264678456483997E-2</v>
      </c>
      <c r="S253" s="75">
        <f>P253*'Gás fiscal'!H26</f>
        <v>322.59236589641637</v>
      </c>
      <c r="T253" s="104">
        <f>Q253*'Volumes de água'!$C$28</f>
        <v>397.98194056610595</v>
      </c>
      <c r="U253" s="191"/>
      <c r="V253" s="192"/>
      <c r="W253" s="193"/>
    </row>
    <row r="254" spans="1:23" x14ac:dyDescent="0.25">
      <c r="A254" s="42">
        <v>25</v>
      </c>
      <c r="B254" s="16" t="s">
        <v>118</v>
      </c>
      <c r="C254" s="16">
        <v>24</v>
      </c>
      <c r="D254" s="148">
        <v>24</v>
      </c>
      <c r="E254" s="148">
        <v>24</v>
      </c>
      <c r="F254" s="43">
        <f t="shared" si="71"/>
        <v>24</v>
      </c>
      <c r="G254" s="43">
        <f t="shared" si="80"/>
        <v>24</v>
      </c>
      <c r="H254" s="43">
        <f t="shared" si="81"/>
        <v>24</v>
      </c>
      <c r="I254" s="168">
        <v>23.92</v>
      </c>
      <c r="J254" s="168">
        <v>985.86</v>
      </c>
      <c r="K254" s="168">
        <v>444.98</v>
      </c>
      <c r="L254" s="73">
        <f t="shared" si="74"/>
        <v>23.92</v>
      </c>
      <c r="M254" s="73">
        <f t="shared" si="75"/>
        <v>985.86</v>
      </c>
      <c r="N254" s="73">
        <f t="shared" si="76"/>
        <v>444.98</v>
      </c>
      <c r="O254" s="72">
        <f t="shared" si="82"/>
        <v>0.3302582558811144</v>
      </c>
      <c r="P254" s="72">
        <f t="shared" si="78"/>
        <v>0.23346838413442306</v>
      </c>
      <c r="Q254" s="72">
        <f t="shared" si="79"/>
        <v>0.27011478801017852</v>
      </c>
      <c r="R254" s="75">
        <f>IFERROR(O254*'Fechamento fiscal'!AN30,"")</f>
        <v>20.660140089396322</v>
      </c>
      <c r="S254" s="75">
        <f>P254*'Gás fiscal'!H27</f>
        <v>1110.6091033274504</v>
      </c>
      <c r="T254" s="104">
        <f>Q254*'Volumes de água'!$C$29</f>
        <v>739.30417478385857</v>
      </c>
      <c r="U254" s="191"/>
      <c r="V254" s="192"/>
      <c r="W254" s="193"/>
    </row>
    <row r="255" spans="1:23" x14ac:dyDescent="0.25">
      <c r="A255" s="42">
        <v>26</v>
      </c>
      <c r="B255" s="16" t="s">
        <v>118</v>
      </c>
      <c r="C255" s="16">
        <v>24</v>
      </c>
      <c r="D255" s="148">
        <v>24</v>
      </c>
      <c r="E255" s="148">
        <v>24</v>
      </c>
      <c r="F255" s="43">
        <f t="shared" si="71"/>
        <v>24</v>
      </c>
      <c r="G255" s="43">
        <f t="shared" si="80"/>
        <v>24</v>
      </c>
      <c r="H255" s="43">
        <f t="shared" si="81"/>
        <v>24</v>
      </c>
      <c r="I255" s="168">
        <v>23.92</v>
      </c>
      <c r="J255" s="168">
        <v>985.86</v>
      </c>
      <c r="K255" s="168">
        <v>444.98</v>
      </c>
      <c r="L255" s="73">
        <f t="shared" si="74"/>
        <v>23.92</v>
      </c>
      <c r="M255" s="73">
        <f t="shared" si="75"/>
        <v>985.86</v>
      </c>
      <c r="N255" s="73">
        <f t="shared" si="76"/>
        <v>444.98</v>
      </c>
      <c r="O255" s="72">
        <f t="shared" si="82"/>
        <v>0.32219248935902733</v>
      </c>
      <c r="P255" s="72">
        <f t="shared" si="78"/>
        <v>0.22380580885790732</v>
      </c>
      <c r="Q255" s="72">
        <f t="shared" si="79"/>
        <v>0.25659734702939185</v>
      </c>
      <c r="R255" s="75">
        <f>IFERROR(O255*'Fechamento fiscal'!AN31,"")</f>
        <v>19.738618786939387</v>
      </c>
      <c r="S255" s="75">
        <f>P255*'Gás fiscal'!H28</f>
        <v>1051.4396900144486</v>
      </c>
      <c r="T255" s="104">
        <f>Q255*'Volumes de água'!$C$30</f>
        <v>718.72916902932661</v>
      </c>
      <c r="U255" s="191"/>
      <c r="V255" s="192"/>
      <c r="W255" s="193"/>
    </row>
    <row r="256" spans="1:23" x14ac:dyDescent="0.25">
      <c r="A256" s="42">
        <v>27</v>
      </c>
      <c r="B256" s="16" t="s">
        <v>118</v>
      </c>
      <c r="C256" s="16">
        <v>24</v>
      </c>
      <c r="D256" s="148">
        <v>24</v>
      </c>
      <c r="E256" s="148">
        <v>24</v>
      </c>
      <c r="F256" s="43">
        <f t="shared" si="71"/>
        <v>24</v>
      </c>
      <c r="G256" s="43">
        <f t="shared" si="80"/>
        <v>20</v>
      </c>
      <c r="H256" s="43">
        <f t="shared" si="81"/>
        <v>20</v>
      </c>
      <c r="I256" s="168">
        <v>23.92</v>
      </c>
      <c r="J256" s="168">
        <v>985.86</v>
      </c>
      <c r="K256" s="168">
        <v>444.98</v>
      </c>
      <c r="L256" s="73">
        <f t="shared" si="74"/>
        <v>19.933333333333337</v>
      </c>
      <c r="M256" s="73">
        <f t="shared" si="75"/>
        <v>985.86</v>
      </c>
      <c r="N256" s="73">
        <f t="shared" si="76"/>
        <v>370.81666666666672</v>
      </c>
      <c r="O256" s="72">
        <f t="shared" si="82"/>
        <v>0.26217203834375674</v>
      </c>
      <c r="P256" s="72">
        <f t="shared" si="78"/>
        <v>0.19773256192643335</v>
      </c>
      <c r="Q256" s="72">
        <f t="shared" si="79"/>
        <v>0.19148927884026473</v>
      </c>
      <c r="R256" s="75">
        <f>IFERROR(O256*'Fechamento fiscal'!AN32,"")</f>
        <v>9.5897747681860226E-2</v>
      </c>
      <c r="S256" s="75">
        <f>P256*'Gás fiscal'!H29</f>
        <v>944.37071576064568</v>
      </c>
      <c r="T256" s="104">
        <f>Q256*'Volumes de água'!$C$31</f>
        <v>567.95720104022519</v>
      </c>
      <c r="U256" s="191"/>
      <c r="V256" s="192"/>
      <c r="W256" s="193"/>
    </row>
    <row r="257" spans="1:23" x14ac:dyDescent="0.25">
      <c r="A257" s="42">
        <v>28</v>
      </c>
      <c r="B257" s="16" t="s">
        <v>118</v>
      </c>
      <c r="C257" s="16">
        <v>24</v>
      </c>
      <c r="D257" s="148">
        <v>20</v>
      </c>
      <c r="E257" s="148">
        <v>20</v>
      </c>
      <c r="F257" s="43">
        <f t="shared" si="71"/>
        <v>20</v>
      </c>
      <c r="G257" s="43">
        <f t="shared" si="80"/>
        <v>24</v>
      </c>
      <c r="H257" s="43">
        <f t="shared" si="81"/>
        <v>24</v>
      </c>
      <c r="I257" s="168">
        <v>23.92</v>
      </c>
      <c r="J257" s="168">
        <v>985.86</v>
      </c>
      <c r="K257" s="168">
        <v>444.98</v>
      </c>
      <c r="L257" s="73">
        <f t="shared" si="74"/>
        <v>23.92</v>
      </c>
      <c r="M257" s="73">
        <f t="shared" si="75"/>
        <v>821.55000000000007</v>
      </c>
      <c r="N257" s="73">
        <f t="shared" si="76"/>
        <v>444.98</v>
      </c>
      <c r="O257" s="72">
        <f t="shared" si="82"/>
        <v>0.32777749864111194</v>
      </c>
      <c r="P257" s="72">
        <f t="shared" si="78"/>
        <v>0.19972154943372725</v>
      </c>
      <c r="Q257" s="72">
        <f t="shared" si="79"/>
        <v>0.26588027629886984</v>
      </c>
      <c r="R257" s="75">
        <f>IFERROR(O257*'Fechamento fiscal'!AN33,"")</f>
        <v>5.3592807066200163E-2</v>
      </c>
      <c r="S257" s="75">
        <f>P257*'Gás fiscal'!H30</f>
        <v>840.82772311599172</v>
      </c>
      <c r="T257" s="104">
        <f>Q257*'Volumes de água'!$C$32</f>
        <v>715.48382352025874</v>
      </c>
      <c r="U257" s="191"/>
      <c r="V257" s="192"/>
      <c r="W257" s="193"/>
    </row>
    <row r="258" spans="1:23" x14ac:dyDescent="0.25">
      <c r="A258" s="42">
        <v>29</v>
      </c>
      <c r="B258" s="16" t="s">
        <v>118</v>
      </c>
      <c r="C258" s="16">
        <v>24</v>
      </c>
      <c r="D258" s="148">
        <v>24</v>
      </c>
      <c r="E258" s="148">
        <v>24</v>
      </c>
      <c r="F258" s="43">
        <f t="shared" si="71"/>
        <v>24</v>
      </c>
      <c r="G258" s="43">
        <f t="shared" si="80"/>
        <v>24</v>
      </c>
      <c r="H258" s="43">
        <f t="shared" si="81"/>
        <v>24</v>
      </c>
      <c r="I258" s="168">
        <v>23.92</v>
      </c>
      <c r="J258" s="168">
        <v>985.86</v>
      </c>
      <c r="K258" s="168">
        <v>444.98</v>
      </c>
      <c r="L258" s="73">
        <f t="shared" si="74"/>
        <v>23.92</v>
      </c>
      <c r="M258" s="73">
        <f t="shared" si="75"/>
        <v>985.86</v>
      </c>
      <c r="N258" s="73">
        <f t="shared" si="76"/>
        <v>444.98</v>
      </c>
      <c r="O258" s="72">
        <f t="shared" si="82"/>
        <v>0.33752892701924708</v>
      </c>
      <c r="P258" s="72">
        <f t="shared" si="78"/>
        <v>0.24247629525263115</v>
      </c>
      <c r="Q258" s="72">
        <f t="shared" si="79"/>
        <v>0.28294016659248428</v>
      </c>
      <c r="R258" s="75">
        <f>IFERROR(O258*'Fechamento fiscal'!AN34,"")</f>
        <v>20.463767840684259</v>
      </c>
      <c r="S258" s="75">
        <f>P258*'Gás fiscal'!H31</f>
        <v>1124.3625810864505</v>
      </c>
      <c r="T258" s="104">
        <f>Q258*'Volumes de água'!$C$33</f>
        <v>763.08962929993004</v>
      </c>
      <c r="U258" s="191"/>
      <c r="V258" s="192"/>
      <c r="W258" s="193"/>
    </row>
    <row r="259" spans="1:23" x14ac:dyDescent="0.25">
      <c r="A259" s="42">
        <v>30</v>
      </c>
      <c r="B259" s="16" t="s">
        <v>118</v>
      </c>
      <c r="C259" s="16">
        <v>24</v>
      </c>
      <c r="D259" s="148">
        <v>24</v>
      </c>
      <c r="E259" s="148">
        <v>24</v>
      </c>
      <c r="F259" s="43">
        <f t="shared" si="71"/>
        <v>24</v>
      </c>
      <c r="G259" s="43">
        <f t="shared" si="80"/>
        <v>0</v>
      </c>
      <c r="H259" s="43">
        <f t="shared" si="81"/>
        <v>0</v>
      </c>
      <c r="I259" s="168">
        <v>23.92</v>
      </c>
      <c r="J259" s="168">
        <v>985.86</v>
      </c>
      <c r="K259" s="168">
        <v>444.98</v>
      </c>
      <c r="L259" s="73">
        <f t="shared" si="74"/>
        <v>0</v>
      </c>
      <c r="M259" s="73">
        <f t="shared" si="75"/>
        <v>985.86</v>
      </c>
      <c r="N259" s="73">
        <f t="shared" si="76"/>
        <v>0</v>
      </c>
      <c r="O259" s="72">
        <f t="shared" si="82"/>
        <v>0</v>
      </c>
      <c r="P259" s="72">
        <f t="shared" si="78"/>
        <v>0.21550880361529104</v>
      </c>
      <c r="Q259" s="72">
        <f t="shared" si="79"/>
        <v>0</v>
      </c>
      <c r="R259" s="75">
        <f>IFERROR(O259*'Fechamento fiscal'!AN35,"")</f>
        <v>0</v>
      </c>
      <c r="S259" s="75">
        <f>P259*'Gás fiscal'!H32</f>
        <v>982.07361807488121</v>
      </c>
      <c r="T259" s="104">
        <f>Q259*'Volumes de água'!$C$34</f>
        <v>0</v>
      </c>
      <c r="U259" s="191"/>
      <c r="V259" s="192"/>
      <c r="W259" s="193"/>
    </row>
    <row r="260" spans="1:23" x14ac:dyDescent="0.25">
      <c r="A260" s="42">
        <v>31</v>
      </c>
      <c r="B260" s="16" t="s">
        <v>118</v>
      </c>
      <c r="C260" s="16">
        <v>24</v>
      </c>
      <c r="D260" s="148"/>
      <c r="E260" s="148"/>
      <c r="F260" s="43">
        <f>IF(OR(C260="",E260=""),0,IF(E260&gt;C260,E260,E260/C260*24))</f>
        <v>0</v>
      </c>
      <c r="G260" s="43">
        <f t="shared" si="80"/>
        <v>0</v>
      </c>
      <c r="H260" s="43">
        <f t="shared" si="81"/>
        <v>0</v>
      </c>
      <c r="I260" s="168">
        <v>23.92</v>
      </c>
      <c r="J260" s="168">
        <v>985.86</v>
      </c>
      <c r="K260" s="168">
        <v>444.98</v>
      </c>
      <c r="L260" s="73">
        <f>I260*(G260/C260)</f>
        <v>0</v>
      </c>
      <c r="M260" s="73">
        <f>J260*(F260/C260)</f>
        <v>0</v>
      </c>
      <c r="N260" s="73">
        <f>K260*(H260/C260)</f>
        <v>0</v>
      </c>
      <c r="O260" s="72">
        <f t="shared" si="82"/>
        <v>0</v>
      </c>
      <c r="P260" s="72">
        <f t="shared" si="78"/>
        <v>0</v>
      </c>
      <c r="Q260" s="72">
        <f t="shared" si="79"/>
        <v>0</v>
      </c>
      <c r="R260" s="75" t="str">
        <f>IFERROR(O260*'Fechamento fiscal'!AN36,"")</f>
        <v/>
      </c>
      <c r="S260" s="75">
        <f>P260*'Gás fiscal'!H33</f>
        <v>0</v>
      </c>
      <c r="T260" s="104">
        <f>Q260*'Volumes de água'!$C$35</f>
        <v>0</v>
      </c>
      <c r="U260" s="191"/>
      <c r="V260" s="192"/>
      <c r="W260" s="193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119</v>
      </c>
      <c r="C262" s="16">
        <v>24</v>
      </c>
      <c r="D262" s="148">
        <v>17</v>
      </c>
      <c r="E262" s="148">
        <v>17</v>
      </c>
      <c r="F262" s="43">
        <f>IF(OR(C262="",E262=""),0,IF(E262&gt;C262,E262,E262/C262*24))</f>
        <v>17</v>
      </c>
      <c r="G262" s="43">
        <f>IF(OR(C262="",D262=""),0,IF(D262&gt;C262,D262,D262/C262*24))</f>
        <v>17</v>
      </c>
      <c r="H262" s="43">
        <f>IF(OR(C262="",D262=""),0,IF(D262&gt;C262,D262,D262/C262*24))</f>
        <v>17</v>
      </c>
      <c r="I262" s="168">
        <v>5.4779999999999998</v>
      </c>
      <c r="J262" s="168">
        <v>171.69</v>
      </c>
      <c r="K262" s="168">
        <v>21.97</v>
      </c>
      <c r="L262" s="73">
        <f>I262*(G262/C262)</f>
        <v>3.8802500000000002</v>
      </c>
      <c r="M262" s="73">
        <f>J262*(F262/C262)</f>
        <v>121.61375000000001</v>
      </c>
      <c r="N262" s="73">
        <f>K262*(H262/C262)</f>
        <v>15.562083333333334</v>
      </c>
      <c r="O262" s="72">
        <f>IF(D262&lt;&gt;0,L262/(L6+L38+L70+L102+L134+L166+L198+L230+L262+L294+L326+L358),0)</f>
        <v>7.6583503699817271E-2</v>
      </c>
      <c r="P262" s="72">
        <f>IF(E262&lt;&gt;0,M262/(M6+M38+M70+M102+M134+M166+M198+M230+M262+M294),0)</f>
        <v>4.3373785098456012E-2</v>
      </c>
      <c r="Q262" s="72">
        <f t="shared" ref="Q262" si="83">IF(F262&lt;&gt;0,N262/(N6+N38+N70+N102+N134+N166+N198+N230+N262+N294+N326+N358),0)</f>
        <v>1.4309728673000536E-2</v>
      </c>
      <c r="R262" s="75">
        <f>IFERROR(O262*'Fechamento fiscal'!AN6,"")</f>
        <v>6.4921534714224346E-3</v>
      </c>
      <c r="S262" s="75">
        <f>P262*'Gás fiscal'!H3</f>
        <v>134.63222894560747</v>
      </c>
      <c r="T262" s="104">
        <f>Q262*'Volumes de água'!$C$5</f>
        <v>20.148097971584754</v>
      </c>
      <c r="U262" s="191"/>
      <c r="V262" s="192"/>
      <c r="W262" s="193"/>
    </row>
    <row r="263" spans="1:23" x14ac:dyDescent="0.25">
      <c r="A263" s="42">
        <v>2</v>
      </c>
      <c r="B263" s="16" t="s">
        <v>119</v>
      </c>
      <c r="C263" s="16">
        <v>24</v>
      </c>
      <c r="D263" s="148">
        <v>23</v>
      </c>
      <c r="E263" s="148">
        <v>23</v>
      </c>
      <c r="F263" s="43">
        <f t="shared" ref="F263:F291" si="84">IF(OR(C263="",E263=""),0,IF(E263&gt;C263,E263,E263/C263*24))</f>
        <v>23</v>
      </c>
      <c r="G263" s="43">
        <f t="shared" ref="G263:G291" si="85">IF(OR(C263="",D263=""),0,IF(D263&gt;C263,D263,D263/C263*24))</f>
        <v>23</v>
      </c>
      <c r="H263" s="43">
        <f t="shared" ref="H263:H291" si="86">IF(OR(C263="",D263=""),0,IF(D263&gt;C263,D263,D263/C263*24))</f>
        <v>23</v>
      </c>
      <c r="I263" s="168">
        <v>5.4779999999999998</v>
      </c>
      <c r="J263" s="168">
        <v>171.69</v>
      </c>
      <c r="K263" s="168">
        <v>21.97</v>
      </c>
      <c r="L263" s="73">
        <f t="shared" ref="L263:L291" si="87">I263*(G263/C263)</f>
        <v>5.2497499999999997</v>
      </c>
      <c r="M263" s="73">
        <f t="shared" ref="M263:M291" si="88">J263*(F263/C263)</f>
        <v>164.53625</v>
      </c>
      <c r="N263" s="73">
        <f t="shared" ref="N263:N291" si="89">K263*(H263/C263)</f>
        <v>21.054583333333333</v>
      </c>
      <c r="O263" s="72">
        <f t="shared" ref="O263:O292" si="90">IF(D263&lt;&gt;0,L263/(L7+L39+L71+L103+L135+L167+L199+L231+L263+L295+L327+L359),0)</f>
        <v>7.5022597167821614E-2</v>
      </c>
      <c r="P263" s="72">
        <f t="shared" ref="P263:P292" si="91">IF(E263&lt;&gt;0,M263/(M7+M39+M71+M103+M135+M167+M199+M231+M263+M295),0)</f>
        <v>4.1793856894562338E-2</v>
      </c>
      <c r="Q263" s="72">
        <f t="shared" ref="Q263:Q292" si="92">IF(F263&lt;&gt;0,N263/(N7+N39+N71+N103+N135+N167+N199+N231+N263+N295+N327+N359),0)</f>
        <v>1.3675266876225452E-2</v>
      </c>
      <c r="R263" s="75">
        <f>IFERROR(O263*'Fechamento fiscal'!AN7,"")</f>
        <v>3.9262408634719925</v>
      </c>
      <c r="S263" s="75">
        <f>P263*'Gás fiscal'!H4</f>
        <v>186.48418946353715</v>
      </c>
      <c r="T263" s="104">
        <f>Q263*'Volumes de água'!$C$6</f>
        <v>28.225750832529332</v>
      </c>
      <c r="U263" s="191"/>
      <c r="V263" s="192"/>
      <c r="W263" s="193"/>
    </row>
    <row r="264" spans="1:23" x14ac:dyDescent="0.25">
      <c r="A264" s="42">
        <v>3</v>
      </c>
      <c r="B264" s="16" t="s">
        <v>119</v>
      </c>
      <c r="C264" s="16">
        <v>24</v>
      </c>
      <c r="D264" s="148">
        <v>24</v>
      </c>
      <c r="E264" s="148">
        <v>24</v>
      </c>
      <c r="F264" s="43">
        <f t="shared" si="84"/>
        <v>24</v>
      </c>
      <c r="G264" s="43">
        <f t="shared" si="85"/>
        <v>24</v>
      </c>
      <c r="H264" s="43">
        <f t="shared" si="86"/>
        <v>24</v>
      </c>
      <c r="I264" s="168">
        <v>5.4779999999999998</v>
      </c>
      <c r="J264" s="168">
        <v>171.69</v>
      </c>
      <c r="K264" s="168">
        <v>21.97</v>
      </c>
      <c r="L264" s="73">
        <f t="shared" si="87"/>
        <v>5.4779999999999998</v>
      </c>
      <c r="M264" s="73">
        <f t="shared" si="88"/>
        <v>171.69</v>
      </c>
      <c r="N264" s="73">
        <f t="shared" si="89"/>
        <v>21.97</v>
      </c>
      <c r="O264" s="72">
        <f t="shared" si="90"/>
        <v>7.5022597167821628E-2</v>
      </c>
      <c r="P264" s="72">
        <f t="shared" si="91"/>
        <v>4.1793856894562338E-2</v>
      </c>
      <c r="Q264" s="72">
        <f t="shared" si="92"/>
        <v>1.3675266876225452E-2</v>
      </c>
      <c r="R264" s="75">
        <f>IFERROR(O264*'Fechamento fiscal'!AN8,"")</f>
        <v>4.6833103420050701</v>
      </c>
      <c r="S264" s="75">
        <f>P264*'Gás fiscal'!H5</f>
        <v>199.48207895774604</v>
      </c>
      <c r="T264" s="104">
        <f>Q264*'Volumes de água'!$C$7</f>
        <v>28.827462575083253</v>
      </c>
      <c r="U264" s="191"/>
      <c r="V264" s="192"/>
      <c r="W264" s="193"/>
    </row>
    <row r="265" spans="1:23" x14ac:dyDescent="0.25">
      <c r="A265" s="42">
        <v>4</v>
      </c>
      <c r="B265" s="16" t="s">
        <v>119</v>
      </c>
      <c r="C265" s="16">
        <v>24</v>
      </c>
      <c r="D265" s="148">
        <v>24</v>
      </c>
      <c r="E265" s="148">
        <v>24</v>
      </c>
      <c r="F265" s="43">
        <f t="shared" si="84"/>
        <v>24</v>
      </c>
      <c r="G265" s="43">
        <f t="shared" si="85"/>
        <v>24</v>
      </c>
      <c r="H265" s="43">
        <f t="shared" si="86"/>
        <v>24</v>
      </c>
      <c r="I265" s="168">
        <v>5.4779999999999998</v>
      </c>
      <c r="J265" s="168">
        <v>171.69</v>
      </c>
      <c r="K265" s="168">
        <v>21.97</v>
      </c>
      <c r="L265" s="73">
        <f t="shared" si="87"/>
        <v>5.4779999999999998</v>
      </c>
      <c r="M265" s="73">
        <f t="shared" si="88"/>
        <v>171.69</v>
      </c>
      <c r="N265" s="73">
        <f t="shared" si="89"/>
        <v>21.97</v>
      </c>
      <c r="O265" s="72">
        <f t="shared" si="90"/>
        <v>7.5022597167821628E-2</v>
      </c>
      <c r="P265" s="72">
        <f t="shared" si="91"/>
        <v>4.1793856894562338E-2</v>
      </c>
      <c r="Q265" s="72">
        <f t="shared" si="92"/>
        <v>1.3675266876225452E-2</v>
      </c>
      <c r="R265" s="75">
        <f>IFERROR(O265*'Fechamento fiscal'!AN9,"")</f>
        <v>4.7021718991925852</v>
      </c>
      <c r="S265" s="75">
        <f>P265*'Gás fiscal'!H6</f>
        <v>193.46376356492905</v>
      </c>
      <c r="T265" s="104">
        <f>Q265*'Volumes de água'!$C$8</f>
        <v>28.827462575083253</v>
      </c>
      <c r="U265" s="191"/>
      <c r="V265" s="192"/>
      <c r="W265" s="193"/>
    </row>
    <row r="266" spans="1:23" x14ac:dyDescent="0.25">
      <c r="A266" s="42">
        <v>5</v>
      </c>
      <c r="B266" s="16" t="s">
        <v>119</v>
      </c>
      <c r="C266" s="16">
        <v>24</v>
      </c>
      <c r="D266" s="148">
        <v>23.5</v>
      </c>
      <c r="E266" s="148">
        <v>23.5</v>
      </c>
      <c r="F266" s="43">
        <f t="shared" si="84"/>
        <v>23.5</v>
      </c>
      <c r="G266" s="43">
        <f t="shared" si="85"/>
        <v>23.5</v>
      </c>
      <c r="H266" s="43">
        <f t="shared" si="86"/>
        <v>23.5</v>
      </c>
      <c r="I266" s="168">
        <v>5.4779999999999998</v>
      </c>
      <c r="J266" s="168">
        <v>171.69</v>
      </c>
      <c r="K266" s="168">
        <v>21.97</v>
      </c>
      <c r="L266" s="73">
        <f t="shared" si="87"/>
        <v>5.3638749999999993</v>
      </c>
      <c r="M266" s="73">
        <f t="shared" si="88"/>
        <v>168.113125</v>
      </c>
      <c r="N266" s="73">
        <f t="shared" si="89"/>
        <v>21.512291666666666</v>
      </c>
      <c r="O266" s="72">
        <f t="shared" si="90"/>
        <v>7.5022597167821628E-2</v>
      </c>
      <c r="P266" s="72">
        <f t="shared" si="91"/>
        <v>4.1793856894562345E-2</v>
      </c>
      <c r="Q266" s="72">
        <f t="shared" si="92"/>
        <v>1.3675266876225452E-2</v>
      </c>
      <c r="R266" s="75">
        <f>IFERROR(O266*'Fechamento fiscal'!AN10,"")</f>
        <v>4.7168999101085447</v>
      </c>
      <c r="S266" s="75">
        <f>P266*'Gás fiscal'!H7</f>
        <v>189.66052258752393</v>
      </c>
      <c r="T266" s="104">
        <f>Q266*'Volumes de água'!$C$9</f>
        <v>28.29412716691046</v>
      </c>
      <c r="U266" s="191"/>
      <c r="V266" s="192"/>
      <c r="W266" s="193"/>
    </row>
    <row r="267" spans="1:23" x14ac:dyDescent="0.25">
      <c r="A267" s="42">
        <v>6</v>
      </c>
      <c r="B267" s="16" t="s">
        <v>119</v>
      </c>
      <c r="C267" s="16">
        <v>24</v>
      </c>
      <c r="D267" s="148">
        <v>23.5</v>
      </c>
      <c r="E267" s="148">
        <v>23.5</v>
      </c>
      <c r="F267" s="43">
        <f t="shared" si="84"/>
        <v>23.5</v>
      </c>
      <c r="G267" s="43">
        <f t="shared" si="85"/>
        <v>23.5</v>
      </c>
      <c r="H267" s="43">
        <f t="shared" si="86"/>
        <v>23.5</v>
      </c>
      <c r="I267" s="168">
        <v>5.4779999999999998</v>
      </c>
      <c r="J267" s="168">
        <v>171.69</v>
      </c>
      <c r="K267" s="168">
        <v>21.97</v>
      </c>
      <c r="L267" s="73">
        <f t="shared" si="87"/>
        <v>5.3638749999999993</v>
      </c>
      <c r="M267" s="73">
        <f t="shared" si="88"/>
        <v>168.113125</v>
      </c>
      <c r="N267" s="73">
        <f t="shared" si="89"/>
        <v>21.512291666666666</v>
      </c>
      <c r="O267" s="72">
        <f t="shared" si="90"/>
        <v>7.5022597167821628E-2</v>
      </c>
      <c r="P267" s="72">
        <f t="shared" si="91"/>
        <v>4.1793856894562345E-2</v>
      </c>
      <c r="Q267" s="72">
        <f t="shared" si="92"/>
        <v>1.3675266876225452E-2</v>
      </c>
      <c r="R267" s="75">
        <f>IFERROR(O267*'Fechamento fiscal'!AN11,"")</f>
        <v>1.459942196593398E-2</v>
      </c>
      <c r="S267" s="75">
        <f>P267*'Gás fiscal'!H8</f>
        <v>193.67273284940191</v>
      </c>
      <c r="T267" s="104">
        <f>Q267*'Volumes de água'!$C$10</f>
        <v>27.254806884317325</v>
      </c>
      <c r="U267" s="191"/>
      <c r="V267" s="192"/>
      <c r="W267" s="193"/>
    </row>
    <row r="268" spans="1:23" x14ac:dyDescent="0.25">
      <c r="A268" s="42">
        <v>7</v>
      </c>
      <c r="B268" s="16" t="s">
        <v>119</v>
      </c>
      <c r="C268" s="16">
        <v>24</v>
      </c>
      <c r="D268" s="148">
        <v>23.5</v>
      </c>
      <c r="E268" s="148">
        <v>23.5</v>
      </c>
      <c r="F268" s="43">
        <f t="shared" si="84"/>
        <v>23.5</v>
      </c>
      <c r="G268" s="43">
        <f t="shared" si="85"/>
        <v>23.5</v>
      </c>
      <c r="H268" s="43">
        <f t="shared" si="86"/>
        <v>23.5</v>
      </c>
      <c r="I268" s="168">
        <v>5.4779999999999998</v>
      </c>
      <c r="J268" s="168">
        <v>171.69</v>
      </c>
      <c r="K268" s="168">
        <v>21.97</v>
      </c>
      <c r="L268" s="73">
        <f t="shared" si="87"/>
        <v>5.3638749999999993</v>
      </c>
      <c r="M268" s="73">
        <f t="shared" si="88"/>
        <v>168.113125</v>
      </c>
      <c r="N268" s="73">
        <f t="shared" si="89"/>
        <v>21.512291666666666</v>
      </c>
      <c r="O268" s="72">
        <f t="shared" si="90"/>
        <v>7.5193499152756693E-2</v>
      </c>
      <c r="P268" s="72">
        <f t="shared" si="91"/>
        <v>4.1994960873232144E-2</v>
      </c>
      <c r="Q268" s="72">
        <f t="shared" si="92"/>
        <v>1.3826022604681317E-2</v>
      </c>
      <c r="R268" s="75">
        <f>IFERROR(O268*'Fechamento fiscal'!AN12,"")</f>
        <v>-1.3289968550140963</v>
      </c>
      <c r="S268" s="75">
        <f>P268*'Gás fiscal'!H9</f>
        <v>196.62040680847289</v>
      </c>
      <c r="T268" s="104">
        <f>Q268*'Volumes de água'!$C$11</f>
        <v>28.191260090945207</v>
      </c>
      <c r="U268" s="191"/>
      <c r="V268" s="192"/>
      <c r="W268" s="193"/>
    </row>
    <row r="269" spans="1:23" x14ac:dyDescent="0.25">
      <c r="A269" s="42">
        <v>8</v>
      </c>
      <c r="B269" s="16" t="s">
        <v>119</v>
      </c>
      <c r="C269" s="16">
        <v>24</v>
      </c>
      <c r="D269" s="148">
        <v>24</v>
      </c>
      <c r="E269" s="148">
        <v>24</v>
      </c>
      <c r="F269" s="43">
        <f t="shared" si="84"/>
        <v>24</v>
      </c>
      <c r="G269" s="43">
        <f t="shared" si="85"/>
        <v>24</v>
      </c>
      <c r="H269" s="43">
        <f t="shared" si="86"/>
        <v>24</v>
      </c>
      <c r="I269" s="168">
        <v>5.4779999999999998</v>
      </c>
      <c r="J269" s="168">
        <v>171.69</v>
      </c>
      <c r="K269" s="168">
        <v>21.97</v>
      </c>
      <c r="L269" s="73">
        <f t="shared" si="87"/>
        <v>5.4779999999999998</v>
      </c>
      <c r="M269" s="73">
        <f t="shared" si="88"/>
        <v>171.69</v>
      </c>
      <c r="N269" s="73">
        <f t="shared" si="89"/>
        <v>21.97</v>
      </c>
      <c r="O269" s="72">
        <f t="shared" si="90"/>
        <v>7.5696440415653335E-2</v>
      </c>
      <c r="P269" s="72">
        <f t="shared" si="91"/>
        <v>4.2592725820336047E-2</v>
      </c>
      <c r="Q269" s="72">
        <f t="shared" si="92"/>
        <v>1.4285342731185873E-2</v>
      </c>
      <c r="R269" s="75">
        <f>IFERROR(O269*'Fechamento fiscal'!AN13,"")</f>
        <v>-3.7598104654087749E-2</v>
      </c>
      <c r="S269" s="75">
        <f>P269*'Gás fiscal'!H10</f>
        <v>198.05617506456261</v>
      </c>
      <c r="T269" s="104">
        <f>Q269*'Volumes de água'!$C$12</f>
        <v>29.499232739898829</v>
      </c>
      <c r="U269" s="191"/>
      <c r="V269" s="192"/>
      <c r="W269" s="193"/>
    </row>
    <row r="270" spans="1:23" x14ac:dyDescent="0.25">
      <c r="A270" s="42">
        <v>9</v>
      </c>
      <c r="B270" s="16" t="s">
        <v>119</v>
      </c>
      <c r="C270" s="16">
        <v>24</v>
      </c>
      <c r="D270" s="148">
        <v>23.5</v>
      </c>
      <c r="E270" s="148">
        <v>23.5</v>
      </c>
      <c r="F270" s="43">
        <f t="shared" si="84"/>
        <v>23.5</v>
      </c>
      <c r="G270" s="43">
        <f t="shared" si="85"/>
        <v>23.5</v>
      </c>
      <c r="H270" s="43">
        <f t="shared" si="86"/>
        <v>23.5</v>
      </c>
      <c r="I270" s="168">
        <v>5.4779999999999998</v>
      </c>
      <c r="J270" s="168">
        <v>171.69</v>
      </c>
      <c r="K270" s="168">
        <v>21.97</v>
      </c>
      <c r="L270" s="73">
        <f t="shared" si="87"/>
        <v>5.3638749999999993</v>
      </c>
      <c r="M270" s="73">
        <f t="shared" si="88"/>
        <v>168.113125</v>
      </c>
      <c r="N270" s="73">
        <f t="shared" si="89"/>
        <v>21.512291666666666</v>
      </c>
      <c r="O270" s="72">
        <f t="shared" si="90"/>
        <v>7.5696440415653321E-2</v>
      </c>
      <c r="P270" s="72">
        <f t="shared" si="91"/>
        <v>4.2592725820336054E-2</v>
      </c>
      <c r="Q270" s="72">
        <f t="shared" si="92"/>
        <v>1.4285342731185872E-2</v>
      </c>
      <c r="R270" s="75">
        <f>IFERROR(O270*'Fechamento fiscal'!AN14,"")</f>
        <v>2.0329297877305716</v>
      </c>
      <c r="S270" s="75">
        <f>P270*'Gás fiscal'!H11</f>
        <v>179.48574660689613</v>
      </c>
      <c r="T270" s="104">
        <f>Q270*'Volumes de água'!$C$13</f>
        <v>28.227837236823284</v>
      </c>
      <c r="U270" s="191"/>
      <c r="V270" s="192"/>
      <c r="W270" s="193"/>
    </row>
    <row r="271" spans="1:23" x14ac:dyDescent="0.25">
      <c r="A271" s="42">
        <v>10</v>
      </c>
      <c r="B271" s="16" t="s">
        <v>119</v>
      </c>
      <c r="C271" s="16">
        <v>24</v>
      </c>
      <c r="D271" s="148">
        <v>24</v>
      </c>
      <c r="E271" s="148">
        <v>24</v>
      </c>
      <c r="F271" s="43">
        <f t="shared" si="84"/>
        <v>24</v>
      </c>
      <c r="G271" s="43">
        <f t="shared" si="85"/>
        <v>24</v>
      </c>
      <c r="H271" s="43">
        <f t="shared" si="86"/>
        <v>24</v>
      </c>
      <c r="I271" s="168">
        <v>5.4779999999999998</v>
      </c>
      <c r="J271" s="168">
        <v>171.69</v>
      </c>
      <c r="K271" s="168">
        <v>21.97</v>
      </c>
      <c r="L271" s="73">
        <f t="shared" si="87"/>
        <v>5.4779999999999998</v>
      </c>
      <c r="M271" s="73">
        <f t="shared" si="88"/>
        <v>171.69</v>
      </c>
      <c r="N271" s="73">
        <f t="shared" si="89"/>
        <v>21.97</v>
      </c>
      <c r="O271" s="72">
        <f t="shared" si="90"/>
        <v>7.581429787351826E-2</v>
      </c>
      <c r="P271" s="72">
        <f t="shared" si="91"/>
        <v>4.2711496310000201E-2</v>
      </c>
      <c r="Q271" s="72">
        <f t="shared" si="92"/>
        <v>1.4367224156816584E-2</v>
      </c>
      <c r="R271" s="75">
        <f>IFERROR(O271*'Fechamento fiscal'!AN15,"")</f>
        <v>4.7504382054827552</v>
      </c>
      <c r="S271" s="75">
        <f>P271*'Gás fiscal'!H12</f>
        <v>167.77075750568079</v>
      </c>
      <c r="T271" s="104">
        <f>Q271*'Volumes de água'!$C$14</f>
        <v>29.668317883826244</v>
      </c>
      <c r="U271" s="191"/>
      <c r="V271" s="192"/>
      <c r="W271" s="193"/>
    </row>
    <row r="272" spans="1:23" x14ac:dyDescent="0.25">
      <c r="A272" s="42">
        <v>11</v>
      </c>
      <c r="B272" s="16" t="s">
        <v>119</v>
      </c>
      <c r="C272" s="16">
        <v>24</v>
      </c>
      <c r="D272" s="148">
        <v>24</v>
      </c>
      <c r="E272" s="148">
        <v>24</v>
      </c>
      <c r="F272" s="43">
        <f t="shared" si="84"/>
        <v>24</v>
      </c>
      <c r="G272" s="43">
        <f t="shared" si="85"/>
        <v>24</v>
      </c>
      <c r="H272" s="43">
        <f t="shared" si="86"/>
        <v>24</v>
      </c>
      <c r="I272" s="168">
        <v>5.4779999999999998</v>
      </c>
      <c r="J272" s="168">
        <v>171.69</v>
      </c>
      <c r="K272" s="168">
        <v>21.97</v>
      </c>
      <c r="L272" s="73">
        <f t="shared" si="87"/>
        <v>5.4779999999999998</v>
      </c>
      <c r="M272" s="73">
        <f t="shared" si="88"/>
        <v>171.69</v>
      </c>
      <c r="N272" s="73">
        <f t="shared" si="89"/>
        <v>21.97</v>
      </c>
      <c r="O272" s="72">
        <f t="shared" si="90"/>
        <v>7.5696440415653335E-2</v>
      </c>
      <c r="P272" s="72">
        <f t="shared" si="91"/>
        <v>4.2592725820336047E-2</v>
      </c>
      <c r="Q272" s="72">
        <f t="shared" si="92"/>
        <v>1.4285342731185873E-2</v>
      </c>
      <c r="R272" s="75">
        <f>IFERROR(O272*'Fechamento fiscal'!AN16,"")</f>
        <v>-3.5959074961605833E-3</v>
      </c>
      <c r="S272" s="75">
        <f>P272*'Gás fiscal'!H13</f>
        <v>171.81905595923561</v>
      </c>
      <c r="T272" s="104">
        <f>Q272*'Volumes de água'!$C$15</f>
        <v>31.513466064996038</v>
      </c>
      <c r="U272" s="191"/>
      <c r="V272" s="192"/>
      <c r="W272" s="193"/>
    </row>
    <row r="273" spans="1:23" x14ac:dyDescent="0.25">
      <c r="A273" s="42">
        <v>12</v>
      </c>
      <c r="B273" s="16" t="s">
        <v>119</v>
      </c>
      <c r="C273" s="16">
        <v>24</v>
      </c>
      <c r="D273" s="148">
        <v>24</v>
      </c>
      <c r="E273" s="148">
        <v>24</v>
      </c>
      <c r="F273" s="43">
        <f t="shared" si="84"/>
        <v>24</v>
      </c>
      <c r="G273" s="43">
        <f t="shared" si="85"/>
        <v>24</v>
      </c>
      <c r="H273" s="43">
        <f t="shared" si="86"/>
        <v>24</v>
      </c>
      <c r="I273" s="168">
        <v>5.4779999999999998</v>
      </c>
      <c r="J273" s="168">
        <v>171.69</v>
      </c>
      <c r="K273" s="168">
        <v>21.97</v>
      </c>
      <c r="L273" s="73">
        <f t="shared" si="87"/>
        <v>5.4779999999999998</v>
      </c>
      <c r="M273" s="73">
        <f t="shared" si="88"/>
        <v>171.69</v>
      </c>
      <c r="N273" s="73">
        <f t="shared" si="89"/>
        <v>21.97</v>
      </c>
      <c r="O273" s="72">
        <f t="shared" si="90"/>
        <v>8.6770232329752214E-2</v>
      </c>
      <c r="P273" s="72">
        <f t="shared" si="91"/>
        <v>4.2715574411227565E-2</v>
      </c>
      <c r="Q273" s="72">
        <f t="shared" si="92"/>
        <v>1.6040390828466651E-2</v>
      </c>
      <c r="R273" s="75">
        <f>IFERROR(O273*'Fechamento fiscal'!AN17,"")</f>
        <v>-6.5536304145085517E-2</v>
      </c>
      <c r="S273" s="75">
        <f>P273*'Gás fiscal'!H14</f>
        <v>203.53971206949936</v>
      </c>
      <c r="T273" s="104">
        <f>Q273*'Volumes de água'!$C$16</f>
        <v>46.196325585983956</v>
      </c>
      <c r="U273" s="191"/>
      <c r="V273" s="192"/>
      <c r="W273" s="193"/>
    </row>
    <row r="274" spans="1:23" x14ac:dyDescent="0.25">
      <c r="A274" s="42">
        <v>13</v>
      </c>
      <c r="B274" s="16" t="s">
        <v>119</v>
      </c>
      <c r="C274" s="16">
        <v>24</v>
      </c>
      <c r="D274" s="148">
        <v>24</v>
      </c>
      <c r="E274" s="148">
        <v>24</v>
      </c>
      <c r="F274" s="43">
        <f t="shared" si="84"/>
        <v>24</v>
      </c>
      <c r="G274" s="43">
        <f t="shared" si="85"/>
        <v>24</v>
      </c>
      <c r="H274" s="43">
        <f t="shared" si="86"/>
        <v>24</v>
      </c>
      <c r="I274" s="168">
        <v>5.4779999999999998</v>
      </c>
      <c r="J274" s="168">
        <v>171.69</v>
      </c>
      <c r="K274" s="168">
        <v>21.97</v>
      </c>
      <c r="L274" s="73">
        <f t="shared" si="87"/>
        <v>5.4779999999999998</v>
      </c>
      <c r="M274" s="73">
        <f t="shared" si="88"/>
        <v>171.69</v>
      </c>
      <c r="N274" s="73">
        <f t="shared" si="89"/>
        <v>21.97</v>
      </c>
      <c r="O274" s="72">
        <f t="shared" si="90"/>
        <v>7.8014184397163094E-2</v>
      </c>
      <c r="P274" s="72">
        <f t="shared" si="91"/>
        <v>4.7172886127375725E-2</v>
      </c>
      <c r="Q274" s="72">
        <f t="shared" si="92"/>
        <v>1.4606838686514769E-2</v>
      </c>
      <c r="R274" s="75">
        <f>IFERROR(O274*'Fechamento fiscal'!AN18,"")</f>
        <v>-6.2903870616920422E-4</v>
      </c>
      <c r="S274" s="75">
        <f>P274*'Gás fiscal'!H15</f>
        <v>201.09801356100272</v>
      </c>
      <c r="T274" s="104">
        <f>Q274*'Volumes de água'!$C$17</f>
        <v>40.124985871856069</v>
      </c>
      <c r="U274" s="191"/>
      <c r="V274" s="192"/>
      <c r="W274" s="193"/>
    </row>
    <row r="275" spans="1:23" x14ac:dyDescent="0.25">
      <c r="A275" s="42">
        <v>14</v>
      </c>
      <c r="B275" s="16" t="s">
        <v>119</v>
      </c>
      <c r="C275" s="16">
        <v>24</v>
      </c>
      <c r="D275" s="148">
        <v>24</v>
      </c>
      <c r="E275" s="148">
        <v>24</v>
      </c>
      <c r="F275" s="43">
        <f t="shared" si="84"/>
        <v>24</v>
      </c>
      <c r="G275" s="43">
        <f t="shared" si="85"/>
        <v>24</v>
      </c>
      <c r="H275" s="43">
        <f t="shared" si="86"/>
        <v>24</v>
      </c>
      <c r="I275" s="168">
        <v>5.4779999999999998</v>
      </c>
      <c r="J275" s="168">
        <v>171.69</v>
      </c>
      <c r="K275" s="168">
        <v>21.97</v>
      </c>
      <c r="L275" s="73">
        <f t="shared" si="87"/>
        <v>5.4779999999999998</v>
      </c>
      <c r="M275" s="73">
        <f t="shared" si="88"/>
        <v>171.69</v>
      </c>
      <c r="N275" s="73">
        <f t="shared" si="89"/>
        <v>21.97</v>
      </c>
      <c r="O275" s="72">
        <f t="shared" si="90"/>
        <v>7.9908805546548264E-2</v>
      </c>
      <c r="P275" s="72">
        <f t="shared" si="91"/>
        <v>4.4240439276202803E-2</v>
      </c>
      <c r="Q275" s="72">
        <f t="shared" si="92"/>
        <v>1.5392316662760785E-2</v>
      </c>
      <c r="R275" s="75">
        <f>IFERROR(O275*'Fechamento fiscal'!AN19,"")</f>
        <v>3.1644929500804504</v>
      </c>
      <c r="S275" s="75">
        <f>P275*'Gás fiscal'!H16</f>
        <v>206.24892790565747</v>
      </c>
      <c r="T275" s="104">
        <f>Q275*'Volumes de água'!$C$18</f>
        <v>41.820924372721052</v>
      </c>
      <c r="U275" s="191"/>
      <c r="V275" s="192"/>
      <c r="W275" s="193"/>
    </row>
    <row r="276" spans="1:23" x14ac:dyDescent="0.25">
      <c r="A276" s="42">
        <v>15</v>
      </c>
      <c r="B276" s="16" t="s">
        <v>119</v>
      </c>
      <c r="C276" s="16">
        <v>24</v>
      </c>
      <c r="D276" s="148">
        <v>24</v>
      </c>
      <c r="E276" s="148">
        <v>24</v>
      </c>
      <c r="F276" s="43">
        <f t="shared" si="84"/>
        <v>24</v>
      </c>
      <c r="G276" s="43">
        <f t="shared" si="85"/>
        <v>24</v>
      </c>
      <c r="H276" s="43">
        <f t="shared" si="86"/>
        <v>24</v>
      </c>
      <c r="I276" s="168">
        <v>5.4779999999999998</v>
      </c>
      <c r="J276" s="168">
        <v>171.69</v>
      </c>
      <c r="K276" s="168">
        <v>21.97</v>
      </c>
      <c r="L276" s="73">
        <f t="shared" si="87"/>
        <v>5.4779999999999998</v>
      </c>
      <c r="M276" s="73">
        <f t="shared" si="88"/>
        <v>171.69</v>
      </c>
      <c r="N276" s="73">
        <f t="shared" si="89"/>
        <v>21.97</v>
      </c>
      <c r="O276" s="72">
        <f t="shared" si="90"/>
        <v>7.8988823855259238E-2</v>
      </c>
      <c r="P276" s="72">
        <f t="shared" si="91"/>
        <v>4.3225774737166885E-2</v>
      </c>
      <c r="Q276" s="72">
        <f t="shared" si="92"/>
        <v>1.4865044912294035E-2</v>
      </c>
      <c r="R276" s="75">
        <f>IFERROR(O276*'Fechamento fiscal'!AN20,"")</f>
        <v>5.0633223680498078</v>
      </c>
      <c r="S276" s="75">
        <f>P276*'Gás fiscal'!H17</f>
        <v>205.5817846499657</v>
      </c>
      <c r="T276" s="104">
        <f>Q276*'Volumes de água'!$C$19</f>
        <v>41.042389002843827</v>
      </c>
      <c r="U276" s="191"/>
      <c r="V276" s="192"/>
      <c r="W276" s="193"/>
    </row>
    <row r="277" spans="1:23" x14ac:dyDescent="0.25">
      <c r="A277" s="42">
        <v>16</v>
      </c>
      <c r="B277" s="16" t="s">
        <v>119</v>
      </c>
      <c r="C277" s="16">
        <v>24</v>
      </c>
      <c r="D277" s="148">
        <v>23.3</v>
      </c>
      <c r="E277" s="148">
        <v>23.3</v>
      </c>
      <c r="F277" s="43">
        <f t="shared" si="84"/>
        <v>23.3</v>
      </c>
      <c r="G277" s="43">
        <f t="shared" si="85"/>
        <v>23.3</v>
      </c>
      <c r="H277" s="43">
        <f t="shared" si="86"/>
        <v>23.3</v>
      </c>
      <c r="I277" s="168">
        <v>5.4779999999999998</v>
      </c>
      <c r="J277" s="168">
        <v>171.69</v>
      </c>
      <c r="K277" s="168">
        <v>21.97</v>
      </c>
      <c r="L277" s="73">
        <f t="shared" si="87"/>
        <v>5.318225</v>
      </c>
      <c r="M277" s="73">
        <f t="shared" si="88"/>
        <v>166.68237500000001</v>
      </c>
      <c r="N277" s="73">
        <f t="shared" si="89"/>
        <v>21.329208333333334</v>
      </c>
      <c r="O277" s="72">
        <f t="shared" si="90"/>
        <v>7.7223858277901916E-2</v>
      </c>
      <c r="P277" s="72">
        <f t="shared" si="91"/>
        <v>4.3043565408156119E-2</v>
      </c>
      <c r="Q277" s="72">
        <f t="shared" si="92"/>
        <v>1.4478155436256742E-2</v>
      </c>
      <c r="R277" s="75">
        <f>IFERROR(O277*'Fechamento fiscal'!AN21,"")</f>
        <v>2.1656046155833009</v>
      </c>
      <c r="S277" s="75">
        <f>P277*'Gás fiscal'!H18</f>
        <v>197.91431374670182</v>
      </c>
      <c r="T277" s="104">
        <f>Q277*'Volumes de água'!$C$20</f>
        <v>36.209866746078113</v>
      </c>
      <c r="U277" s="191"/>
      <c r="V277" s="192"/>
      <c r="W277" s="193"/>
    </row>
    <row r="278" spans="1:23" x14ac:dyDescent="0.25">
      <c r="A278" s="42">
        <v>17</v>
      </c>
      <c r="B278" s="16" t="s">
        <v>119</v>
      </c>
      <c r="C278" s="16">
        <v>24</v>
      </c>
      <c r="D278" s="148">
        <v>24</v>
      </c>
      <c r="E278" s="148">
        <v>24</v>
      </c>
      <c r="F278" s="43">
        <f t="shared" si="84"/>
        <v>24</v>
      </c>
      <c r="G278" s="43">
        <f t="shared" si="85"/>
        <v>24</v>
      </c>
      <c r="H278" s="43">
        <f t="shared" si="86"/>
        <v>24</v>
      </c>
      <c r="I278" s="168">
        <v>5.4779999999999998</v>
      </c>
      <c r="J278" s="168">
        <v>171.69</v>
      </c>
      <c r="K278" s="168">
        <v>21.97</v>
      </c>
      <c r="L278" s="73">
        <f t="shared" si="87"/>
        <v>5.4779999999999998</v>
      </c>
      <c r="M278" s="73">
        <f t="shared" si="88"/>
        <v>171.69</v>
      </c>
      <c r="N278" s="73">
        <f t="shared" si="89"/>
        <v>21.97</v>
      </c>
      <c r="O278" s="72">
        <f t="shared" si="90"/>
        <v>7.4523514767301069E-2</v>
      </c>
      <c r="P278" s="72">
        <f t="shared" si="91"/>
        <v>3.9748116079593471E-2</v>
      </c>
      <c r="Q278" s="72">
        <f t="shared" si="92"/>
        <v>1.3222909699172785E-2</v>
      </c>
      <c r="R278" s="75">
        <f>IFERROR(O278*'Fechamento fiscal'!AN22,"")</f>
        <v>-2.9206658826490525E-2</v>
      </c>
      <c r="S278" s="75">
        <f>P278*'Gás fiscal'!H19</f>
        <v>188.24707775295468</v>
      </c>
      <c r="T278" s="104">
        <f>Q278*'Volumes de água'!$C$21</f>
        <v>35.820862375059079</v>
      </c>
      <c r="U278" s="191"/>
      <c r="V278" s="192"/>
      <c r="W278" s="193"/>
    </row>
    <row r="279" spans="1:23" x14ac:dyDescent="0.25">
      <c r="A279" s="42">
        <v>18</v>
      </c>
      <c r="B279" s="16" t="s">
        <v>119</v>
      </c>
      <c r="C279" s="16">
        <v>24</v>
      </c>
      <c r="D279" s="148">
        <v>24</v>
      </c>
      <c r="E279" s="148">
        <v>24</v>
      </c>
      <c r="F279" s="43">
        <f t="shared" si="84"/>
        <v>24</v>
      </c>
      <c r="G279" s="43">
        <f t="shared" si="85"/>
        <v>24</v>
      </c>
      <c r="H279" s="43">
        <f t="shared" si="86"/>
        <v>24</v>
      </c>
      <c r="I279" s="168">
        <v>5.4779999999999998</v>
      </c>
      <c r="J279" s="168">
        <v>171.69</v>
      </c>
      <c r="K279" s="168">
        <v>21.97</v>
      </c>
      <c r="L279" s="73">
        <f t="shared" si="87"/>
        <v>5.4779999999999998</v>
      </c>
      <c r="M279" s="73">
        <f t="shared" si="88"/>
        <v>171.69</v>
      </c>
      <c r="N279" s="73">
        <f t="shared" si="89"/>
        <v>21.97</v>
      </c>
      <c r="O279" s="72">
        <f t="shared" si="90"/>
        <v>6.8612510907276672E-2</v>
      </c>
      <c r="P279" s="72">
        <f t="shared" si="91"/>
        <v>3.4294860494983363E-2</v>
      </c>
      <c r="Q279" s="72">
        <f t="shared" si="92"/>
        <v>1.1100503046806825E-2</v>
      </c>
      <c r="R279" s="75">
        <f>IFERROR(O279*'Fechamento fiscal'!AN23,"")</f>
        <v>-5.6983993408211758E-3</v>
      </c>
      <c r="S279" s="75">
        <f>P279*'Gás fiscal'!H20</f>
        <v>162.90058735117097</v>
      </c>
      <c r="T279" s="104">
        <f>Q279*'Volumes de água'!$C$22</f>
        <v>21.290764843775491</v>
      </c>
      <c r="U279" s="191"/>
      <c r="V279" s="192"/>
      <c r="W279" s="193"/>
    </row>
    <row r="280" spans="1:23" x14ac:dyDescent="0.25">
      <c r="A280" s="42">
        <v>19</v>
      </c>
      <c r="B280" s="16" t="s">
        <v>119</v>
      </c>
      <c r="C280" s="16">
        <v>24</v>
      </c>
      <c r="D280" s="148">
        <v>23.5</v>
      </c>
      <c r="E280" s="148">
        <v>23.5</v>
      </c>
      <c r="F280" s="43">
        <f t="shared" si="84"/>
        <v>23.5</v>
      </c>
      <c r="G280" s="43">
        <f t="shared" si="85"/>
        <v>23.5</v>
      </c>
      <c r="H280" s="43">
        <f t="shared" si="86"/>
        <v>23.5</v>
      </c>
      <c r="I280" s="168">
        <v>5.4779999999999998</v>
      </c>
      <c r="J280" s="168">
        <v>171.69</v>
      </c>
      <c r="K280" s="168">
        <v>21.97</v>
      </c>
      <c r="L280" s="73">
        <f t="shared" si="87"/>
        <v>5.3638749999999993</v>
      </c>
      <c r="M280" s="73">
        <f t="shared" si="88"/>
        <v>168.113125</v>
      </c>
      <c r="N280" s="73">
        <f t="shared" si="89"/>
        <v>21.512291666666666</v>
      </c>
      <c r="O280" s="72">
        <f t="shared" si="90"/>
        <v>6.793861021731086E-2</v>
      </c>
      <c r="P280" s="72">
        <f t="shared" si="91"/>
        <v>3.4443813373370144E-2</v>
      </c>
      <c r="Q280" s="72">
        <f t="shared" si="92"/>
        <v>1.1053410025002612E-2</v>
      </c>
      <c r="R280" s="75">
        <f>IFERROR(O280*'Fechamento fiscal'!AN24,"")</f>
        <v>4.2325660416952191</v>
      </c>
      <c r="S280" s="75">
        <f>P280*'Gás fiscal'!H21</f>
        <v>155.44492975401946</v>
      </c>
      <c r="T280" s="104">
        <f>Q280*'Volumes de água'!$C$23</f>
        <v>29.91052752765707</v>
      </c>
      <c r="U280" s="191"/>
      <c r="V280" s="192"/>
      <c r="W280" s="193"/>
    </row>
    <row r="281" spans="1:23" x14ac:dyDescent="0.25">
      <c r="A281" s="42">
        <v>20</v>
      </c>
      <c r="B281" s="16" t="s">
        <v>119</v>
      </c>
      <c r="C281" s="16">
        <v>24</v>
      </c>
      <c r="D281" s="148">
        <v>24</v>
      </c>
      <c r="E281" s="148">
        <v>24</v>
      </c>
      <c r="F281" s="43">
        <f t="shared" si="84"/>
        <v>24</v>
      </c>
      <c r="G281" s="43">
        <f t="shared" si="85"/>
        <v>24</v>
      </c>
      <c r="H281" s="43">
        <f t="shared" si="86"/>
        <v>24</v>
      </c>
      <c r="I281" s="168">
        <v>5.4779999999999998</v>
      </c>
      <c r="J281" s="168">
        <v>171.69</v>
      </c>
      <c r="K281" s="168">
        <v>21.97</v>
      </c>
      <c r="L281" s="73">
        <f t="shared" si="87"/>
        <v>5.4779999999999998</v>
      </c>
      <c r="M281" s="73">
        <f t="shared" si="88"/>
        <v>171.69</v>
      </c>
      <c r="N281" s="73">
        <f t="shared" si="89"/>
        <v>21.97</v>
      </c>
      <c r="O281" s="72">
        <f t="shared" si="90"/>
        <v>7.6633605192843041E-2</v>
      </c>
      <c r="P281" s="72">
        <f t="shared" si="91"/>
        <v>4.1713415786714197E-2</v>
      </c>
      <c r="Q281" s="72">
        <f t="shared" si="92"/>
        <v>1.4041602321306306E-2</v>
      </c>
      <c r="R281" s="75">
        <f>IFERROR(O281*'Fechamento fiscal'!AN25,"")</f>
        <v>4.7761040974798323</v>
      </c>
      <c r="S281" s="75">
        <f>P281*'Gás fiscal'!H22</f>
        <v>185.29099292458446</v>
      </c>
      <c r="T281" s="104">
        <f>Q281*'Volumes de água'!$C$24</f>
        <v>36.002668351829371</v>
      </c>
      <c r="U281" s="191"/>
      <c r="V281" s="192"/>
      <c r="W281" s="193"/>
    </row>
    <row r="282" spans="1:23" x14ac:dyDescent="0.25">
      <c r="A282" s="42">
        <v>21</v>
      </c>
      <c r="B282" s="16" t="s">
        <v>119</v>
      </c>
      <c r="C282" s="16">
        <v>24</v>
      </c>
      <c r="D282" s="148">
        <v>24</v>
      </c>
      <c r="E282" s="148">
        <v>24</v>
      </c>
      <c r="F282" s="43">
        <f t="shared" si="84"/>
        <v>24</v>
      </c>
      <c r="G282" s="43">
        <f t="shared" si="85"/>
        <v>24</v>
      </c>
      <c r="H282" s="43">
        <f t="shared" si="86"/>
        <v>24</v>
      </c>
      <c r="I282" s="168">
        <v>5.4779999999999998</v>
      </c>
      <c r="J282" s="168">
        <v>171.69</v>
      </c>
      <c r="K282" s="168">
        <v>21.97</v>
      </c>
      <c r="L282" s="73">
        <f t="shared" si="87"/>
        <v>5.4779999999999998</v>
      </c>
      <c r="M282" s="73">
        <f t="shared" si="88"/>
        <v>171.69</v>
      </c>
      <c r="N282" s="73">
        <f t="shared" si="89"/>
        <v>21.97</v>
      </c>
      <c r="O282" s="72">
        <f t="shared" si="90"/>
        <v>7.1772536872463891E-2</v>
      </c>
      <c r="P282" s="72">
        <f t="shared" si="91"/>
        <v>3.7272115943438489E-2</v>
      </c>
      <c r="Q282" s="72">
        <f t="shared" si="92"/>
        <v>1.215101241729399E-2</v>
      </c>
      <c r="R282" s="75">
        <f>IFERROR(O282*'Fechamento fiscal'!AN26,"")</f>
        <v>4.4869608108281422</v>
      </c>
      <c r="S282" s="75">
        <f>P282*'Gás fiscal'!H23</f>
        <v>155.79744464357287</v>
      </c>
      <c r="T282" s="104">
        <f>Q282*'Volumes de água'!$C$25</f>
        <v>33.415284147558474</v>
      </c>
      <c r="U282" s="191"/>
      <c r="V282" s="192"/>
      <c r="W282" s="193"/>
    </row>
    <row r="283" spans="1:23" x14ac:dyDescent="0.25">
      <c r="A283" s="42">
        <v>22</v>
      </c>
      <c r="B283" s="16" t="s">
        <v>119</v>
      </c>
      <c r="C283" s="16">
        <v>24</v>
      </c>
      <c r="D283" s="148">
        <v>24</v>
      </c>
      <c r="E283" s="148">
        <v>24</v>
      </c>
      <c r="F283" s="43">
        <f t="shared" si="84"/>
        <v>24</v>
      </c>
      <c r="G283" s="43">
        <f t="shared" si="85"/>
        <v>24</v>
      </c>
      <c r="H283" s="43">
        <f t="shared" si="86"/>
        <v>24</v>
      </c>
      <c r="I283" s="168">
        <v>5.4779999999999998</v>
      </c>
      <c r="J283" s="168">
        <v>171.69</v>
      </c>
      <c r="K283" s="168">
        <v>21.97</v>
      </c>
      <c r="L283" s="73">
        <f t="shared" si="87"/>
        <v>5.4779999999999998</v>
      </c>
      <c r="M283" s="73">
        <f t="shared" si="88"/>
        <v>171.69</v>
      </c>
      <c r="N283" s="73">
        <f t="shared" si="89"/>
        <v>21.97</v>
      </c>
      <c r="O283" s="72">
        <f t="shared" si="90"/>
        <v>8.9869575916659825E-2</v>
      </c>
      <c r="P283" s="72">
        <f t="shared" si="91"/>
        <v>3.7882498722466844E-2</v>
      </c>
      <c r="Q283" s="72">
        <f t="shared" si="92"/>
        <v>1.4415946648530261E-2</v>
      </c>
      <c r="R283" s="75">
        <f>IFERROR(O283*'Fechamento fiscal'!AN27,"")</f>
        <v>1.6602762001049605</v>
      </c>
      <c r="S283" s="75">
        <f>P283*'Gás fiscal'!H24</f>
        <v>178.31292148665145</v>
      </c>
      <c r="T283" s="104">
        <f>Q283*'Volumes de água'!$C$26</f>
        <v>40.523226029018566</v>
      </c>
      <c r="U283" s="191"/>
      <c r="V283" s="192"/>
      <c r="W283" s="193"/>
    </row>
    <row r="284" spans="1:23" x14ac:dyDescent="0.25">
      <c r="A284" s="42">
        <v>23</v>
      </c>
      <c r="B284" s="16" t="s">
        <v>119</v>
      </c>
      <c r="C284" s="16">
        <v>24</v>
      </c>
      <c r="D284" s="148">
        <v>24</v>
      </c>
      <c r="E284" s="148">
        <v>24</v>
      </c>
      <c r="F284" s="43">
        <f t="shared" si="84"/>
        <v>24</v>
      </c>
      <c r="G284" s="43">
        <f t="shared" si="85"/>
        <v>24</v>
      </c>
      <c r="H284" s="43">
        <f t="shared" si="86"/>
        <v>24</v>
      </c>
      <c r="I284" s="168">
        <v>5.4779999999999998</v>
      </c>
      <c r="J284" s="168">
        <v>171.69</v>
      </c>
      <c r="K284" s="168">
        <v>21.97</v>
      </c>
      <c r="L284" s="73">
        <f t="shared" si="87"/>
        <v>5.4779999999999998</v>
      </c>
      <c r="M284" s="73">
        <f t="shared" si="88"/>
        <v>171.69</v>
      </c>
      <c r="N284" s="73">
        <f t="shared" si="89"/>
        <v>21.97</v>
      </c>
      <c r="O284" s="72">
        <f t="shared" si="90"/>
        <v>0.12701126284004724</v>
      </c>
      <c r="P284" s="72">
        <f t="shared" si="91"/>
        <v>7.1100908819444697E-2</v>
      </c>
      <c r="Q284" s="72">
        <f t="shared" si="92"/>
        <v>2.0300947610872849E-2</v>
      </c>
      <c r="R284" s="75">
        <f>IFERROR(O284*'Fechamento fiscal'!AN28,"")</f>
        <v>-4.1838091988211985E-2</v>
      </c>
      <c r="S284" s="75">
        <f>P284*'Gás fiscal'!H25</f>
        <v>150.16511942666719</v>
      </c>
      <c r="T284" s="104">
        <f>Q284*'Volumes de água'!$C$27</f>
        <v>30.57322710197451</v>
      </c>
      <c r="U284" s="191"/>
      <c r="V284" s="192"/>
      <c r="W284" s="193"/>
    </row>
    <row r="285" spans="1:23" x14ac:dyDescent="0.25">
      <c r="A285" s="42">
        <v>24</v>
      </c>
      <c r="B285" s="16" t="s">
        <v>119</v>
      </c>
      <c r="C285" s="16">
        <v>24</v>
      </c>
      <c r="D285" s="148">
        <v>23.5</v>
      </c>
      <c r="E285" s="148">
        <v>23.5</v>
      </c>
      <c r="F285" s="43">
        <f t="shared" si="84"/>
        <v>23.5</v>
      </c>
      <c r="G285" s="43">
        <f t="shared" si="85"/>
        <v>23.5</v>
      </c>
      <c r="H285" s="43">
        <f t="shared" si="86"/>
        <v>23.5</v>
      </c>
      <c r="I285" s="168">
        <v>5.4779999999999998</v>
      </c>
      <c r="J285" s="168">
        <v>171.69</v>
      </c>
      <c r="K285" s="168">
        <v>21.97</v>
      </c>
      <c r="L285" s="73">
        <f t="shared" si="87"/>
        <v>5.3638749999999993</v>
      </c>
      <c r="M285" s="73">
        <f t="shared" si="88"/>
        <v>168.113125</v>
      </c>
      <c r="N285" s="73">
        <f t="shared" si="89"/>
        <v>21.512291666666666</v>
      </c>
      <c r="O285" s="72">
        <f t="shared" si="90"/>
        <v>8.6789880750125378E-2</v>
      </c>
      <c r="P285" s="72">
        <f t="shared" si="91"/>
        <v>5.9747854905123944E-2</v>
      </c>
      <c r="Q285" s="72">
        <f t="shared" si="92"/>
        <v>1.4564874052678072E-2</v>
      </c>
      <c r="R285" s="75">
        <f>IFERROR(O285*'Fechamento fiscal'!AN29,"")</f>
        <v>-1.1495707657013923E-2</v>
      </c>
      <c r="S285" s="75">
        <f>P285*'Gás fiscal'!H26</f>
        <v>141.9609032545745</v>
      </c>
      <c r="T285" s="104">
        <f>Q285*'Volumes de água'!$C$28</f>
        <v>19.240198623587734</v>
      </c>
      <c r="U285" s="191"/>
      <c r="V285" s="192"/>
      <c r="W285" s="193"/>
    </row>
    <row r="286" spans="1:23" x14ac:dyDescent="0.25">
      <c r="A286" s="42">
        <v>25</v>
      </c>
      <c r="B286" s="16" t="s">
        <v>119</v>
      </c>
      <c r="C286" s="16">
        <v>24</v>
      </c>
      <c r="D286" s="148">
        <v>24</v>
      </c>
      <c r="E286" s="148">
        <v>24</v>
      </c>
      <c r="F286" s="43">
        <f t="shared" si="84"/>
        <v>24</v>
      </c>
      <c r="G286" s="43">
        <f t="shared" si="85"/>
        <v>24</v>
      </c>
      <c r="H286" s="43">
        <f t="shared" si="86"/>
        <v>24</v>
      </c>
      <c r="I286" s="168">
        <v>5.4779999999999998</v>
      </c>
      <c r="J286" s="168">
        <v>171.69</v>
      </c>
      <c r="K286" s="168">
        <v>21.97</v>
      </c>
      <c r="L286" s="73">
        <f t="shared" si="87"/>
        <v>5.4779999999999998</v>
      </c>
      <c r="M286" s="73">
        <f t="shared" si="88"/>
        <v>171.69</v>
      </c>
      <c r="N286" s="73">
        <f t="shared" si="89"/>
        <v>21.97</v>
      </c>
      <c r="O286" s="72">
        <f t="shared" si="90"/>
        <v>7.5633558767422435E-2</v>
      </c>
      <c r="P286" s="72">
        <f t="shared" si="91"/>
        <v>4.0659106639927667E-2</v>
      </c>
      <c r="Q286" s="72">
        <f t="shared" si="92"/>
        <v>1.3336378921712485E-2</v>
      </c>
      <c r="R286" s="75">
        <f>IFERROR(O286*'Fechamento fiscal'!AN30,"")</f>
        <v>4.7314484703057289</v>
      </c>
      <c r="S286" s="75">
        <f>P286*'Gás fiscal'!H27</f>
        <v>193.41537028613592</v>
      </c>
      <c r="T286" s="104">
        <f>Q286*'Volumes de água'!$C$29</f>
        <v>36.501669108727071</v>
      </c>
      <c r="U286" s="191"/>
      <c r="V286" s="192"/>
      <c r="W286" s="193"/>
    </row>
    <row r="287" spans="1:23" x14ac:dyDescent="0.25">
      <c r="A287" s="42">
        <v>26</v>
      </c>
      <c r="B287" s="16" t="s">
        <v>119</v>
      </c>
      <c r="C287" s="16">
        <v>24</v>
      </c>
      <c r="D287" s="148">
        <v>24</v>
      </c>
      <c r="E287" s="148">
        <v>24</v>
      </c>
      <c r="F287" s="43">
        <f t="shared" si="84"/>
        <v>24</v>
      </c>
      <c r="G287" s="43">
        <f t="shared" si="85"/>
        <v>24</v>
      </c>
      <c r="H287" s="43">
        <f t="shared" si="86"/>
        <v>24</v>
      </c>
      <c r="I287" s="168">
        <v>5.4779999999999998</v>
      </c>
      <c r="J287" s="168">
        <v>171.69</v>
      </c>
      <c r="K287" s="168">
        <v>21.97</v>
      </c>
      <c r="L287" s="73">
        <f t="shared" si="87"/>
        <v>5.4779999999999998</v>
      </c>
      <c r="M287" s="73">
        <f t="shared" si="88"/>
        <v>171.69</v>
      </c>
      <c r="N287" s="73">
        <f t="shared" si="89"/>
        <v>21.97</v>
      </c>
      <c r="O287" s="72">
        <f t="shared" si="90"/>
        <v>7.3786390330633431E-2</v>
      </c>
      <c r="P287" s="72">
        <f t="shared" si="91"/>
        <v>3.8976344838835233E-2</v>
      </c>
      <c r="Q287" s="72">
        <f t="shared" si="92"/>
        <v>1.2668982233439118E-2</v>
      </c>
      <c r="R287" s="75">
        <f>IFERROR(O287*'Fechamento fiscal'!AN31,"")</f>
        <v>4.5204077639989118</v>
      </c>
      <c r="S287" s="75">
        <f>P287*'Gás fiscal'!H28</f>
        <v>183.11086805284793</v>
      </c>
      <c r="T287" s="104">
        <f>Q287*'Volumes de água'!$C$30</f>
        <v>35.485819235862969</v>
      </c>
      <c r="U287" s="191"/>
      <c r="V287" s="192"/>
      <c r="W287" s="193"/>
    </row>
    <row r="288" spans="1:23" x14ac:dyDescent="0.25">
      <c r="A288" s="42">
        <v>27</v>
      </c>
      <c r="B288" s="16" t="s">
        <v>119</v>
      </c>
      <c r="C288" s="16">
        <v>24</v>
      </c>
      <c r="D288" s="148">
        <v>24</v>
      </c>
      <c r="E288" s="148">
        <v>24</v>
      </c>
      <c r="F288" s="43">
        <f t="shared" si="84"/>
        <v>24</v>
      </c>
      <c r="G288" s="43">
        <f t="shared" si="85"/>
        <v>24</v>
      </c>
      <c r="H288" s="43">
        <f t="shared" si="86"/>
        <v>24</v>
      </c>
      <c r="I288" s="168">
        <v>5.4779999999999998</v>
      </c>
      <c r="J288" s="168">
        <v>171.69</v>
      </c>
      <c r="K288" s="168">
        <v>21.97</v>
      </c>
      <c r="L288" s="73">
        <f t="shared" si="87"/>
        <v>5.4779999999999998</v>
      </c>
      <c r="M288" s="73">
        <f t="shared" si="88"/>
        <v>171.69</v>
      </c>
      <c r="N288" s="73">
        <f t="shared" si="89"/>
        <v>21.97</v>
      </c>
      <c r="O288" s="72">
        <f t="shared" si="90"/>
        <v>7.2049084918750783E-2</v>
      </c>
      <c r="P288" s="72">
        <f t="shared" si="91"/>
        <v>3.4435623270189827E-2</v>
      </c>
      <c r="Q288" s="72">
        <f t="shared" si="92"/>
        <v>1.1345281467357495E-2</v>
      </c>
      <c r="R288" s="75">
        <f>IFERROR(O288*'Fechamento fiscal'!AN32,"")</f>
        <v>2.635424055859014E-2</v>
      </c>
      <c r="S288" s="75">
        <f>P288*'Gás fiscal'!H29</f>
        <v>164.4645367384266</v>
      </c>
      <c r="T288" s="104">
        <f>Q288*'Volumes de água'!$C$31</f>
        <v>33.650104832182329</v>
      </c>
      <c r="U288" s="191"/>
      <c r="V288" s="192"/>
      <c r="W288" s="193"/>
    </row>
    <row r="289" spans="1:23" x14ac:dyDescent="0.25">
      <c r="A289" s="42">
        <v>28</v>
      </c>
      <c r="B289" s="16" t="s">
        <v>119</v>
      </c>
      <c r="C289" s="16">
        <v>24</v>
      </c>
      <c r="D289" s="148">
        <v>24</v>
      </c>
      <c r="E289" s="148">
        <v>24</v>
      </c>
      <c r="F289" s="43">
        <f t="shared" si="84"/>
        <v>24</v>
      </c>
      <c r="G289" s="43">
        <f t="shared" si="85"/>
        <v>24</v>
      </c>
      <c r="H289" s="43">
        <f t="shared" si="86"/>
        <v>24</v>
      </c>
      <c r="I289" s="168">
        <v>5.4779999999999998</v>
      </c>
      <c r="J289" s="168">
        <v>171.69</v>
      </c>
      <c r="K289" s="168">
        <v>21.97</v>
      </c>
      <c r="L289" s="73">
        <f t="shared" si="87"/>
        <v>5.4779999999999998</v>
      </c>
      <c r="M289" s="73">
        <f t="shared" si="88"/>
        <v>171.69</v>
      </c>
      <c r="N289" s="73">
        <f t="shared" si="89"/>
        <v>21.97</v>
      </c>
      <c r="O289" s="72">
        <f t="shared" si="90"/>
        <v>7.5065432172074037E-2</v>
      </c>
      <c r="P289" s="72">
        <f t="shared" si="91"/>
        <v>4.1738412540048238E-2</v>
      </c>
      <c r="Q289" s="72">
        <f t="shared" si="92"/>
        <v>1.3127308351580227E-2</v>
      </c>
      <c r="R289" s="75">
        <f>IFERROR(O289*'Fechamento fiscal'!AN33,"")</f>
        <v>1.2273469778789485E-2</v>
      </c>
      <c r="S289" s="75">
        <f>P289*'Gás fiscal'!H30</f>
        <v>175.71871679360308</v>
      </c>
      <c r="T289" s="104">
        <f>Q289*'Volumes de água'!$C$32</f>
        <v>35.325586774102391</v>
      </c>
      <c r="U289" s="191"/>
      <c r="V289" s="192"/>
      <c r="W289" s="193"/>
    </row>
    <row r="290" spans="1:23" x14ac:dyDescent="0.25">
      <c r="A290" s="42">
        <v>29</v>
      </c>
      <c r="B290" s="16" t="s">
        <v>119</v>
      </c>
      <c r="C290" s="16">
        <v>24</v>
      </c>
      <c r="D290" s="148">
        <v>24</v>
      </c>
      <c r="E290" s="148">
        <v>24</v>
      </c>
      <c r="F290" s="43">
        <f t="shared" si="84"/>
        <v>24</v>
      </c>
      <c r="G290" s="43">
        <f t="shared" si="85"/>
        <v>24</v>
      </c>
      <c r="H290" s="43">
        <f t="shared" si="86"/>
        <v>24</v>
      </c>
      <c r="I290" s="168">
        <v>5.4779999999999998</v>
      </c>
      <c r="J290" s="168">
        <v>171.69</v>
      </c>
      <c r="K290" s="168">
        <v>21.97</v>
      </c>
      <c r="L290" s="73">
        <f t="shared" si="87"/>
        <v>5.4779999999999998</v>
      </c>
      <c r="M290" s="73">
        <f t="shared" si="88"/>
        <v>171.69</v>
      </c>
      <c r="N290" s="73">
        <f t="shared" si="89"/>
        <v>21.97</v>
      </c>
      <c r="O290" s="72">
        <f t="shared" si="90"/>
        <v>7.7298639724558332E-2</v>
      </c>
      <c r="P290" s="72">
        <f t="shared" si="91"/>
        <v>4.2227857030333153E-2</v>
      </c>
      <c r="Q290" s="72">
        <f t="shared" si="92"/>
        <v>1.3969606409359698E-2</v>
      </c>
      <c r="R290" s="75">
        <f>IFERROR(O290*'Fechamento fiscal'!AN34,"")</f>
        <v>4.6864765982971726</v>
      </c>
      <c r="S290" s="75">
        <f>P290*'Gás fiscal'!H31</f>
        <v>195.81057304965483</v>
      </c>
      <c r="T290" s="104">
        <f>Q290*'Volumes de água'!$C$33</f>
        <v>37.676028486043109</v>
      </c>
      <c r="U290" s="191"/>
      <c r="V290" s="192"/>
      <c r="W290" s="193"/>
    </row>
    <row r="291" spans="1:23" x14ac:dyDescent="0.25">
      <c r="A291" s="42">
        <v>30</v>
      </c>
      <c r="B291" s="16" t="s">
        <v>119</v>
      </c>
      <c r="C291" s="16">
        <v>24</v>
      </c>
      <c r="D291" s="148">
        <v>24</v>
      </c>
      <c r="E291" s="148">
        <v>24</v>
      </c>
      <c r="F291" s="43">
        <f t="shared" si="84"/>
        <v>24</v>
      </c>
      <c r="G291" s="43">
        <f t="shared" si="85"/>
        <v>24</v>
      </c>
      <c r="H291" s="43">
        <f t="shared" si="86"/>
        <v>24</v>
      </c>
      <c r="I291" s="168">
        <v>5.4779999999999998</v>
      </c>
      <c r="J291" s="168">
        <v>171.69</v>
      </c>
      <c r="K291" s="168">
        <v>21.97</v>
      </c>
      <c r="L291" s="73">
        <f t="shared" si="87"/>
        <v>5.4779999999999998</v>
      </c>
      <c r="M291" s="73">
        <f t="shared" si="88"/>
        <v>171.69</v>
      </c>
      <c r="N291" s="73">
        <f t="shared" si="89"/>
        <v>21.97</v>
      </c>
      <c r="O291" s="72">
        <f t="shared" si="90"/>
        <v>0.10532994923857868</v>
      </c>
      <c r="P291" s="72">
        <f t="shared" si="91"/>
        <v>3.7531400495718778E-2</v>
      </c>
      <c r="Q291" s="72">
        <f t="shared" si="92"/>
        <v>1.603760844730109E-2</v>
      </c>
      <c r="R291" s="75">
        <f>IFERROR(O291*'Fechamento fiscal'!AN35,"")</f>
        <v>1.5329674525729389</v>
      </c>
      <c r="S291" s="75">
        <f>P291*'Gás fiscal'!H32</f>
        <v>171.03059205899046</v>
      </c>
      <c r="T291" s="104">
        <f>Q291*'Volumes de água'!$C$34</f>
        <v>43.894934320263083</v>
      </c>
      <c r="U291" s="191"/>
      <c r="V291" s="192"/>
      <c r="W291" s="193"/>
    </row>
    <row r="292" spans="1:23" x14ac:dyDescent="0.25">
      <c r="A292" s="42">
        <v>31</v>
      </c>
      <c r="B292" s="16" t="s">
        <v>119</v>
      </c>
      <c r="C292" s="16">
        <v>24</v>
      </c>
      <c r="D292" s="148"/>
      <c r="E292" s="148"/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68">
        <v>5.4779999999999998</v>
      </c>
      <c r="J292" s="168">
        <v>171.69</v>
      </c>
      <c r="K292" s="168">
        <v>21.97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90"/>
        <v>0</v>
      </c>
      <c r="P292" s="72">
        <f t="shared" si="91"/>
        <v>0</v>
      </c>
      <c r="Q292" s="72">
        <f t="shared" si="92"/>
        <v>0</v>
      </c>
      <c r="R292" s="75" t="str">
        <f>IFERROR(O292*'Fechamento fiscal'!AN36,"")</f>
        <v/>
      </c>
      <c r="S292" s="75">
        <f>P292*'Gás fiscal'!H33</f>
        <v>0</v>
      </c>
      <c r="T292" s="104">
        <f>Q292*'Volumes de água'!$C$35</f>
        <v>0</v>
      </c>
      <c r="U292" s="191"/>
      <c r="V292" s="192"/>
      <c r="W292" s="193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120</v>
      </c>
      <c r="C294" s="16">
        <v>24</v>
      </c>
      <c r="D294" s="148">
        <v>17</v>
      </c>
      <c r="E294" s="148">
        <v>17</v>
      </c>
      <c r="F294" s="43">
        <f>IF(OR(C294="",E294=""),0,IF(E294&gt;C294,E294,E294/C294*24))</f>
        <v>17</v>
      </c>
      <c r="G294" s="43">
        <f>IF(OR(C294="",D294=""),0,IF(D294&gt;C294,D294,D294/C294*24))</f>
        <v>17</v>
      </c>
      <c r="H294" s="43">
        <f>IF(OR(C294="",D294=""),0,IF(D294&gt;C294,D294,D294/C294*24))</f>
        <v>17</v>
      </c>
      <c r="I294" s="168">
        <v>17.760000000000002</v>
      </c>
      <c r="J294" s="168">
        <v>1479.58</v>
      </c>
      <c r="K294" s="168">
        <v>318.87</v>
      </c>
      <c r="L294" s="73">
        <f>I294*(G294/C294)</f>
        <v>12.580000000000002</v>
      </c>
      <c r="M294" s="73">
        <f>J294*(F294/C294)</f>
        <v>1048.0358333333334</v>
      </c>
      <c r="N294" s="73">
        <f>K294*(H294/C294)</f>
        <v>225.86625000000001</v>
      </c>
      <c r="O294" s="72">
        <f>IF(D294&lt;&gt;0,L294/(L6+L38+L70+L102+L134+L166+L198+L230+L262+L294+L326+L358),0)</f>
        <v>0.24828824857772089</v>
      </c>
      <c r="P294" s="72">
        <f>IF(E294&lt;&gt;0,M294/(M6+M38+M70+M102+M134+M166+M198+M230+M262+M294),0)</f>
        <v>0.37378405822105853</v>
      </c>
      <c r="Q294" s="72">
        <f t="shared" ref="Q294" si="93">IF(F294&lt;&gt;0,N294/(N6+N38+N70+N102+N134+N166+N198+N230+N262+N294+N326+N358),0)</f>
        <v>0.20768972152752302</v>
      </c>
      <c r="R294" s="75">
        <f>IFERROR(O294*'Fechamento fiscal'!AN6,"")</f>
        <v>2.1047945537141743E-2</v>
      </c>
      <c r="S294" s="75">
        <f>P294*'Gás fiscal'!H3</f>
        <v>1160.2257167181656</v>
      </c>
      <c r="T294" s="104">
        <f>Q294*'Volumes de água'!$C$5</f>
        <v>292.4271279107524</v>
      </c>
      <c r="U294" s="191"/>
      <c r="V294" s="192"/>
      <c r="W294" s="193"/>
    </row>
    <row r="295" spans="1:23" x14ac:dyDescent="0.25">
      <c r="A295" s="42">
        <v>2</v>
      </c>
      <c r="B295" s="16" t="s">
        <v>120</v>
      </c>
      <c r="C295" s="16">
        <v>24</v>
      </c>
      <c r="D295" s="148">
        <v>23</v>
      </c>
      <c r="E295" s="148">
        <v>23</v>
      </c>
      <c r="F295" s="43">
        <f t="shared" ref="F295:F323" si="94">IF(OR(C295="",E295=""),0,IF(E295&gt;C295,E295,E295/C295*24))</f>
        <v>23</v>
      </c>
      <c r="G295" s="43">
        <f t="shared" ref="G295:G323" si="95">IF(OR(C295="",D295=""),0,IF(D295&gt;C295,D295,D295/C295*24))</f>
        <v>23</v>
      </c>
      <c r="H295" s="43">
        <f t="shared" ref="H295:H323" si="96">IF(OR(C295="",D295=""),0,IF(D295&gt;C295,D295,D295/C295*24))</f>
        <v>23</v>
      </c>
      <c r="I295" s="168">
        <v>17.760000000000002</v>
      </c>
      <c r="J295" s="168">
        <v>1479.58</v>
      </c>
      <c r="K295" s="168">
        <v>318.87</v>
      </c>
      <c r="L295" s="73">
        <f t="shared" ref="L295:L323" si="97">I295*(G295/C295)</f>
        <v>17.020000000000003</v>
      </c>
      <c r="M295" s="73">
        <f t="shared" ref="M295:M323" si="98">J295*(F295/C295)</f>
        <v>1417.9308333333333</v>
      </c>
      <c r="N295" s="73">
        <f t="shared" ref="N295:N323" si="99">K295*(H295/C295)</f>
        <v>305.58375000000001</v>
      </c>
      <c r="O295" s="72">
        <f t="shared" ref="O295:O324" si="100">IF(D295&lt;&gt;0,L295/(L7+L39+L71+L103+L135+L167+L199+L231+L263+L295+L327+L359),0)</f>
        <v>0.2432276972801227</v>
      </c>
      <c r="P295" s="72">
        <f t="shared" ref="P295:P324" si="101">IF(E295&lt;&gt;0,M295/(M7+M39+M71+M103+M135+M167+M199+M231+M263+M295),0)</f>
        <v>0.36016864572227009</v>
      </c>
      <c r="Q295" s="72">
        <f t="shared" ref="Q295:Q324" si="102">IF(F295&lt;&gt;0,N295/(N7+N39+N71+N103+N135+N167+N199+N231+N263+N295+N327+N359),0)</f>
        <v>0.19848121751579473</v>
      </c>
      <c r="R295" s="75">
        <f>IFERROR(O295*'Fechamento fiscal'!AN7,"")</f>
        <v>12.729105099536801</v>
      </c>
      <c r="S295" s="75">
        <f>P295*'Gás fiscal'!H4</f>
        <v>1607.0724972127691</v>
      </c>
      <c r="T295" s="104">
        <f>Q295*'Volumes de água'!$C$6</f>
        <v>409.66523295260032</v>
      </c>
      <c r="U295" s="191"/>
      <c r="V295" s="192"/>
      <c r="W295" s="193"/>
    </row>
    <row r="296" spans="1:23" x14ac:dyDescent="0.25">
      <c r="A296" s="42">
        <v>3</v>
      </c>
      <c r="B296" s="16" t="s">
        <v>120</v>
      </c>
      <c r="C296" s="16">
        <v>24</v>
      </c>
      <c r="D296" s="148">
        <v>24</v>
      </c>
      <c r="E296" s="148">
        <v>24</v>
      </c>
      <c r="F296" s="43">
        <f t="shared" si="94"/>
        <v>24</v>
      </c>
      <c r="G296" s="43">
        <f t="shared" si="95"/>
        <v>24</v>
      </c>
      <c r="H296" s="43">
        <f t="shared" si="96"/>
        <v>24</v>
      </c>
      <c r="I296" s="168">
        <v>17.760000000000002</v>
      </c>
      <c r="J296" s="168">
        <v>1479.58</v>
      </c>
      <c r="K296" s="168">
        <v>318.87</v>
      </c>
      <c r="L296" s="73">
        <f t="shared" si="97"/>
        <v>17.760000000000002</v>
      </c>
      <c r="M296" s="73">
        <f t="shared" si="98"/>
        <v>1479.58</v>
      </c>
      <c r="N296" s="73">
        <f t="shared" si="99"/>
        <v>318.87</v>
      </c>
      <c r="O296" s="72">
        <f t="shared" si="100"/>
        <v>0.24322769728012272</v>
      </c>
      <c r="P296" s="72">
        <f t="shared" si="101"/>
        <v>0.36016864572227003</v>
      </c>
      <c r="Q296" s="72">
        <f t="shared" si="102"/>
        <v>0.19848121751579473</v>
      </c>
      <c r="R296" s="75">
        <f>IFERROR(O296*'Fechamento fiscal'!AN8,"")</f>
        <v>15.18356912632531</v>
      </c>
      <c r="S296" s="75">
        <f>P296*'Gás fiscal'!H5</f>
        <v>1719.0849460323948</v>
      </c>
      <c r="T296" s="104">
        <f>Q296*'Volumes de água'!$C$7</f>
        <v>418.39840652329531</v>
      </c>
      <c r="U296" s="191"/>
      <c r="V296" s="192"/>
      <c r="W296" s="193"/>
    </row>
    <row r="297" spans="1:23" x14ac:dyDescent="0.25">
      <c r="A297" s="42">
        <v>4</v>
      </c>
      <c r="B297" s="16" t="s">
        <v>120</v>
      </c>
      <c r="C297" s="16">
        <v>24</v>
      </c>
      <c r="D297" s="148">
        <v>24</v>
      </c>
      <c r="E297" s="148">
        <v>24</v>
      </c>
      <c r="F297" s="43">
        <f t="shared" si="94"/>
        <v>24</v>
      </c>
      <c r="G297" s="43">
        <f t="shared" si="95"/>
        <v>24</v>
      </c>
      <c r="H297" s="43">
        <f t="shared" si="96"/>
        <v>24</v>
      </c>
      <c r="I297" s="168">
        <v>17.760000000000002</v>
      </c>
      <c r="J297" s="168">
        <v>1479.58</v>
      </c>
      <c r="K297" s="168">
        <v>318.87</v>
      </c>
      <c r="L297" s="73">
        <f t="shared" si="97"/>
        <v>17.760000000000002</v>
      </c>
      <c r="M297" s="73">
        <f t="shared" si="98"/>
        <v>1479.58</v>
      </c>
      <c r="N297" s="73">
        <f t="shared" si="99"/>
        <v>318.87</v>
      </c>
      <c r="O297" s="72">
        <f t="shared" si="100"/>
        <v>0.24322769728012272</v>
      </c>
      <c r="P297" s="72">
        <f t="shared" si="101"/>
        <v>0.36016864572227003</v>
      </c>
      <c r="Q297" s="72">
        <f t="shared" si="102"/>
        <v>0.19848121751579473</v>
      </c>
      <c r="R297" s="75">
        <f>IFERROR(O297*'Fechamento fiscal'!AN9,"")</f>
        <v>15.24471941030674</v>
      </c>
      <c r="S297" s="75">
        <f>P297*'Gás fiscal'!H6</f>
        <v>1667.2206610483879</v>
      </c>
      <c r="T297" s="104">
        <f>Q297*'Volumes de água'!$C$8</f>
        <v>418.39840652329531</v>
      </c>
      <c r="U297" s="191"/>
      <c r="V297" s="192"/>
      <c r="W297" s="193"/>
    </row>
    <row r="298" spans="1:23" x14ac:dyDescent="0.25">
      <c r="A298" s="42">
        <v>5</v>
      </c>
      <c r="B298" s="16" t="s">
        <v>120</v>
      </c>
      <c r="C298" s="16">
        <v>24</v>
      </c>
      <c r="D298" s="148">
        <v>23.5</v>
      </c>
      <c r="E298" s="148">
        <v>23.5</v>
      </c>
      <c r="F298" s="43">
        <f t="shared" si="94"/>
        <v>23.5</v>
      </c>
      <c r="G298" s="43">
        <f t="shared" si="95"/>
        <v>23.5</v>
      </c>
      <c r="H298" s="43">
        <f t="shared" si="96"/>
        <v>23.5</v>
      </c>
      <c r="I298" s="168">
        <v>17.760000000000002</v>
      </c>
      <c r="J298" s="168">
        <v>1479.58</v>
      </c>
      <c r="K298" s="168">
        <v>318.87</v>
      </c>
      <c r="L298" s="73">
        <f t="shared" si="97"/>
        <v>17.39</v>
      </c>
      <c r="M298" s="73">
        <f t="shared" si="98"/>
        <v>1448.7554166666666</v>
      </c>
      <c r="N298" s="73">
        <f t="shared" si="99"/>
        <v>312.22687500000001</v>
      </c>
      <c r="O298" s="72">
        <f t="shared" si="100"/>
        <v>0.24322769728012272</v>
      </c>
      <c r="P298" s="72">
        <f t="shared" si="101"/>
        <v>0.36016864572227009</v>
      </c>
      <c r="Q298" s="72">
        <f t="shared" si="102"/>
        <v>0.19848121751579473</v>
      </c>
      <c r="R298" s="75">
        <f>IFERROR(O298*'Fechamento fiscal'!AN10,"")</f>
        <v>15.292468492794407</v>
      </c>
      <c r="S298" s="75">
        <f>P298*'Gás fiscal'!H7</f>
        <v>1634.4453142876616</v>
      </c>
      <c r="T298" s="104">
        <f>Q298*'Volumes de água'!$C$9</f>
        <v>410.65763904017928</v>
      </c>
      <c r="U298" s="191"/>
      <c r="V298" s="192"/>
      <c r="W298" s="193"/>
    </row>
    <row r="299" spans="1:23" x14ac:dyDescent="0.25">
      <c r="A299" s="42">
        <v>6</v>
      </c>
      <c r="B299" s="16" t="s">
        <v>120</v>
      </c>
      <c r="C299" s="16">
        <v>24</v>
      </c>
      <c r="D299" s="148">
        <v>23.5</v>
      </c>
      <c r="E299" s="148">
        <v>23.5</v>
      </c>
      <c r="F299" s="43">
        <f t="shared" si="94"/>
        <v>23.5</v>
      </c>
      <c r="G299" s="43">
        <f t="shared" si="95"/>
        <v>23.5</v>
      </c>
      <c r="H299" s="43">
        <f t="shared" si="96"/>
        <v>23.5</v>
      </c>
      <c r="I299" s="168">
        <v>17.760000000000002</v>
      </c>
      <c r="J299" s="168">
        <v>1479.58</v>
      </c>
      <c r="K299" s="168">
        <v>318.87</v>
      </c>
      <c r="L299" s="73">
        <f t="shared" si="97"/>
        <v>17.39</v>
      </c>
      <c r="M299" s="73">
        <f t="shared" si="98"/>
        <v>1448.7554166666666</v>
      </c>
      <c r="N299" s="73">
        <f t="shared" si="99"/>
        <v>312.22687500000001</v>
      </c>
      <c r="O299" s="72">
        <f t="shared" si="100"/>
        <v>0.24322769728012272</v>
      </c>
      <c r="P299" s="72">
        <f t="shared" si="101"/>
        <v>0.36016864572227009</v>
      </c>
      <c r="Q299" s="72">
        <f t="shared" si="102"/>
        <v>0.19848121751579473</v>
      </c>
      <c r="R299" s="75">
        <f>IFERROR(O299*'Fechamento fiscal'!AN11,"")</f>
        <v>4.7332189506204367E-2</v>
      </c>
      <c r="S299" s="75">
        <f>P299*'Gás fiscal'!H8</f>
        <v>1669.0215042769996</v>
      </c>
      <c r="T299" s="104">
        <f>Q299*'Volumes de água'!$C$10</f>
        <v>395.57306650897891</v>
      </c>
      <c r="U299" s="191"/>
      <c r="V299" s="192"/>
      <c r="W299" s="193"/>
    </row>
    <row r="300" spans="1:23" x14ac:dyDescent="0.25">
      <c r="A300" s="42">
        <v>7</v>
      </c>
      <c r="B300" s="16" t="s">
        <v>120</v>
      </c>
      <c r="C300" s="16">
        <v>24</v>
      </c>
      <c r="D300" s="148">
        <v>23.5</v>
      </c>
      <c r="E300" s="148">
        <v>23.5</v>
      </c>
      <c r="F300" s="43">
        <f t="shared" si="94"/>
        <v>23.5</v>
      </c>
      <c r="G300" s="43">
        <f t="shared" si="95"/>
        <v>23.5</v>
      </c>
      <c r="H300" s="43">
        <f t="shared" si="96"/>
        <v>23.5</v>
      </c>
      <c r="I300" s="168">
        <v>17.760000000000002</v>
      </c>
      <c r="J300" s="168">
        <v>1479.58</v>
      </c>
      <c r="K300" s="168">
        <v>318.87</v>
      </c>
      <c r="L300" s="73">
        <f t="shared" si="97"/>
        <v>17.39</v>
      </c>
      <c r="M300" s="73">
        <f t="shared" si="98"/>
        <v>1448.7554166666666</v>
      </c>
      <c r="N300" s="73">
        <f t="shared" si="99"/>
        <v>312.22687500000001</v>
      </c>
      <c r="O300" s="72">
        <f t="shared" si="100"/>
        <v>0.24378177162339523</v>
      </c>
      <c r="P300" s="72">
        <f t="shared" si="101"/>
        <v>0.36190170778039965</v>
      </c>
      <c r="Q300" s="72">
        <f t="shared" si="102"/>
        <v>0.20066926845492633</v>
      </c>
      <c r="R300" s="75">
        <f>IFERROR(O300*'Fechamento fiscal'!AN12,"")</f>
        <v>-4.3086864083699075</v>
      </c>
      <c r="S300" s="75">
        <f>P300*'Gás fiscal'!H9</f>
        <v>1694.4237958278311</v>
      </c>
      <c r="T300" s="104">
        <f>Q300*'Volumes de água'!$C$11</f>
        <v>409.16463837959481</v>
      </c>
      <c r="U300" s="191"/>
      <c r="V300" s="192"/>
      <c r="W300" s="193"/>
    </row>
    <row r="301" spans="1:23" x14ac:dyDescent="0.25">
      <c r="A301" s="42">
        <v>8</v>
      </c>
      <c r="B301" s="16" t="s">
        <v>120</v>
      </c>
      <c r="C301" s="16">
        <v>24</v>
      </c>
      <c r="D301" s="148">
        <v>24</v>
      </c>
      <c r="E301" s="148">
        <v>24</v>
      </c>
      <c r="F301" s="43">
        <f t="shared" si="94"/>
        <v>24</v>
      </c>
      <c r="G301" s="43">
        <f t="shared" si="95"/>
        <v>24</v>
      </c>
      <c r="H301" s="43">
        <f t="shared" si="96"/>
        <v>24</v>
      </c>
      <c r="I301" s="168">
        <v>17.760000000000002</v>
      </c>
      <c r="J301" s="168">
        <v>1479.58</v>
      </c>
      <c r="K301" s="168">
        <v>318.87</v>
      </c>
      <c r="L301" s="73">
        <f t="shared" si="97"/>
        <v>17.760000000000002</v>
      </c>
      <c r="M301" s="73">
        <f t="shared" si="98"/>
        <v>1479.58</v>
      </c>
      <c r="N301" s="73">
        <f t="shared" si="99"/>
        <v>318.87</v>
      </c>
      <c r="O301" s="72">
        <f t="shared" si="100"/>
        <v>0.2454123369445059</v>
      </c>
      <c r="P301" s="72">
        <f t="shared" si="101"/>
        <v>0.36705309143952947</v>
      </c>
      <c r="Q301" s="72">
        <f t="shared" si="102"/>
        <v>0.20733578683173598</v>
      </c>
      <c r="R301" s="75">
        <f>IFERROR(O301*'Fechamento fiscal'!AN13,"")</f>
        <v>-0.12189527905377846</v>
      </c>
      <c r="S301" s="75">
        <f>P301*'Gás fiscal'!H10</f>
        <v>1706.796875193812</v>
      </c>
      <c r="T301" s="104">
        <f>Q301*'Volumes de água'!$C$12</f>
        <v>428.14839980753482</v>
      </c>
      <c r="U301" s="191"/>
      <c r="V301" s="192"/>
      <c r="W301" s="193"/>
    </row>
    <row r="302" spans="1:23" x14ac:dyDescent="0.25">
      <c r="A302" s="42">
        <v>9</v>
      </c>
      <c r="B302" s="16" t="s">
        <v>120</v>
      </c>
      <c r="C302" s="16">
        <v>24</v>
      </c>
      <c r="D302" s="148">
        <v>23.5</v>
      </c>
      <c r="E302" s="148">
        <v>23.5</v>
      </c>
      <c r="F302" s="43">
        <f t="shared" si="94"/>
        <v>23.5</v>
      </c>
      <c r="G302" s="43">
        <f t="shared" si="95"/>
        <v>23.5</v>
      </c>
      <c r="H302" s="43">
        <f t="shared" si="96"/>
        <v>23.5</v>
      </c>
      <c r="I302" s="168">
        <v>17.760000000000002</v>
      </c>
      <c r="J302" s="168">
        <v>1479.58</v>
      </c>
      <c r="K302" s="168">
        <v>318.87</v>
      </c>
      <c r="L302" s="73">
        <f t="shared" si="97"/>
        <v>17.39</v>
      </c>
      <c r="M302" s="73">
        <f t="shared" si="98"/>
        <v>1448.7554166666666</v>
      </c>
      <c r="N302" s="73">
        <f t="shared" si="99"/>
        <v>312.22687500000001</v>
      </c>
      <c r="O302" s="72">
        <f t="shared" si="100"/>
        <v>0.24541233694450587</v>
      </c>
      <c r="P302" s="72">
        <f t="shared" si="101"/>
        <v>0.36705309143952947</v>
      </c>
      <c r="Q302" s="72">
        <f t="shared" si="102"/>
        <v>0.20733578683173595</v>
      </c>
      <c r="R302" s="75">
        <f>IFERROR(O302*'Fechamento fiscal'!AN14,"")</f>
        <v>6.5908786108241975</v>
      </c>
      <c r="S302" s="75">
        <f>P302*'Gás fiscal'!H11</f>
        <v>1546.7617273261772</v>
      </c>
      <c r="T302" s="104">
        <f>Q302*'Volumes de água'!$C$13</f>
        <v>409.69551477951023</v>
      </c>
      <c r="U302" s="191"/>
      <c r="V302" s="192"/>
      <c r="W302" s="193"/>
    </row>
    <row r="303" spans="1:23" x14ac:dyDescent="0.25">
      <c r="A303" s="42">
        <v>10</v>
      </c>
      <c r="B303" s="16" t="s">
        <v>120</v>
      </c>
      <c r="C303" s="16">
        <v>24</v>
      </c>
      <c r="D303" s="148">
        <v>24</v>
      </c>
      <c r="E303" s="148">
        <v>24</v>
      </c>
      <c r="F303" s="43">
        <f t="shared" si="94"/>
        <v>24</v>
      </c>
      <c r="G303" s="43">
        <f t="shared" si="95"/>
        <v>24</v>
      </c>
      <c r="H303" s="43">
        <f t="shared" si="96"/>
        <v>24</v>
      </c>
      <c r="I303" s="168">
        <v>17.760000000000002</v>
      </c>
      <c r="J303" s="168">
        <v>1479.58</v>
      </c>
      <c r="K303" s="168">
        <v>318.87</v>
      </c>
      <c r="L303" s="73">
        <f t="shared" si="97"/>
        <v>17.760000000000002</v>
      </c>
      <c r="M303" s="73">
        <f t="shared" si="98"/>
        <v>1479.58</v>
      </c>
      <c r="N303" s="73">
        <f t="shared" si="99"/>
        <v>318.87</v>
      </c>
      <c r="O303" s="72">
        <f t="shared" si="100"/>
        <v>0.24579443779366275</v>
      </c>
      <c r="P303" s="72">
        <f t="shared" si="101"/>
        <v>0.36807662479090275</v>
      </c>
      <c r="Q303" s="72">
        <f t="shared" si="102"/>
        <v>0.20852420422776988</v>
      </c>
      <c r="R303" s="75">
        <f>IFERROR(O303*'Fechamento fiscal'!AN15,"")</f>
        <v>15.401201630042671</v>
      </c>
      <c r="S303" s="75">
        <f>P303*'Gás fiscal'!H12</f>
        <v>1445.804982178666</v>
      </c>
      <c r="T303" s="104">
        <f>Q303*'Volumes de água'!$C$14</f>
        <v>430.60248173034478</v>
      </c>
      <c r="U303" s="191"/>
      <c r="V303" s="192"/>
      <c r="W303" s="193"/>
    </row>
    <row r="304" spans="1:23" x14ac:dyDescent="0.25">
      <c r="A304" s="42">
        <v>11</v>
      </c>
      <c r="B304" s="16" t="s">
        <v>120</v>
      </c>
      <c r="C304" s="16">
        <v>24</v>
      </c>
      <c r="D304" s="148">
        <v>24</v>
      </c>
      <c r="E304" s="148">
        <v>24</v>
      </c>
      <c r="F304" s="43">
        <f t="shared" si="94"/>
        <v>24</v>
      </c>
      <c r="G304" s="43">
        <f t="shared" si="95"/>
        <v>24</v>
      </c>
      <c r="H304" s="43">
        <f t="shared" si="96"/>
        <v>24</v>
      </c>
      <c r="I304" s="168">
        <v>17.760000000000002</v>
      </c>
      <c r="J304" s="168">
        <v>1479.58</v>
      </c>
      <c r="K304" s="168">
        <v>318.87</v>
      </c>
      <c r="L304" s="73">
        <f t="shared" si="97"/>
        <v>17.760000000000002</v>
      </c>
      <c r="M304" s="73">
        <f t="shared" si="98"/>
        <v>1479.58</v>
      </c>
      <c r="N304" s="73">
        <f t="shared" si="99"/>
        <v>318.87</v>
      </c>
      <c r="O304" s="72">
        <f t="shared" si="100"/>
        <v>0.2454123369445059</v>
      </c>
      <c r="P304" s="72">
        <f t="shared" si="101"/>
        <v>0.36705309143952947</v>
      </c>
      <c r="Q304" s="72">
        <f t="shared" si="102"/>
        <v>0.20733578683173598</v>
      </c>
      <c r="R304" s="75">
        <f>IFERROR(O304*'Fechamento fiscal'!AN16,"")</f>
        <v>-1.1658144784923687E-2</v>
      </c>
      <c r="S304" s="75">
        <f>P304*'Gás fiscal'!H13</f>
        <v>1480.6921708670618</v>
      </c>
      <c r="T304" s="104">
        <f>Q304*'Volumes de água'!$C$15</f>
        <v>457.38274575080959</v>
      </c>
      <c r="U304" s="191"/>
      <c r="V304" s="192"/>
      <c r="W304" s="193"/>
    </row>
    <row r="305" spans="1:23" x14ac:dyDescent="0.25">
      <c r="A305" s="42">
        <v>12</v>
      </c>
      <c r="B305" s="16" t="s">
        <v>120</v>
      </c>
      <c r="C305" s="16">
        <v>24</v>
      </c>
      <c r="D305" s="148">
        <v>24</v>
      </c>
      <c r="E305" s="148">
        <v>24</v>
      </c>
      <c r="F305" s="43">
        <f t="shared" si="94"/>
        <v>24</v>
      </c>
      <c r="G305" s="43">
        <f t="shared" si="95"/>
        <v>24</v>
      </c>
      <c r="H305" s="43">
        <f t="shared" si="96"/>
        <v>24</v>
      </c>
      <c r="I305" s="168">
        <v>17.760000000000002</v>
      </c>
      <c r="J305" s="168">
        <v>1479.58</v>
      </c>
      <c r="K305" s="168">
        <v>318.87</v>
      </c>
      <c r="L305" s="73">
        <f t="shared" si="97"/>
        <v>17.760000000000002</v>
      </c>
      <c r="M305" s="73">
        <f t="shared" si="98"/>
        <v>1479.58</v>
      </c>
      <c r="N305" s="73">
        <f t="shared" si="99"/>
        <v>318.87</v>
      </c>
      <c r="O305" s="72">
        <f t="shared" si="100"/>
        <v>0.28131422529689659</v>
      </c>
      <c r="P305" s="72">
        <f t="shared" si="101"/>
        <v>0.36811176881218521</v>
      </c>
      <c r="Q305" s="72">
        <f t="shared" si="102"/>
        <v>0.23280834881534646</v>
      </c>
      <c r="R305" s="75">
        <f>IFERROR(O305*'Fechamento fiscal'!AN17,"")</f>
        <v>-0.21247257422722143</v>
      </c>
      <c r="S305" s="75">
        <f>P305*'Gás fiscal'!H14</f>
        <v>1754.0525783900625</v>
      </c>
      <c r="T305" s="104">
        <f>Q305*'Volumes de água'!$C$16</f>
        <v>670.48804458819779</v>
      </c>
      <c r="U305" s="191"/>
      <c r="V305" s="192"/>
      <c r="W305" s="193"/>
    </row>
    <row r="306" spans="1:23" x14ac:dyDescent="0.25">
      <c r="A306" s="42">
        <v>13</v>
      </c>
      <c r="B306" s="16" t="s">
        <v>120</v>
      </c>
      <c r="C306" s="16">
        <v>24</v>
      </c>
      <c r="D306" s="148">
        <v>24</v>
      </c>
      <c r="E306" s="148">
        <v>24</v>
      </c>
      <c r="F306" s="43">
        <f t="shared" si="94"/>
        <v>24</v>
      </c>
      <c r="G306" s="43">
        <f t="shared" si="95"/>
        <v>24</v>
      </c>
      <c r="H306" s="43">
        <f t="shared" si="96"/>
        <v>24</v>
      </c>
      <c r="I306" s="168">
        <v>17.760000000000002</v>
      </c>
      <c r="J306" s="168">
        <v>1479.58</v>
      </c>
      <c r="K306" s="168">
        <v>318.87</v>
      </c>
      <c r="L306" s="73">
        <f t="shared" si="97"/>
        <v>17.760000000000002</v>
      </c>
      <c r="M306" s="73">
        <f t="shared" si="98"/>
        <v>1479.58</v>
      </c>
      <c r="N306" s="73">
        <f t="shared" si="99"/>
        <v>318.87</v>
      </c>
      <c r="O306" s="72">
        <f t="shared" si="100"/>
        <v>0.25292660001708961</v>
      </c>
      <c r="P306" s="72">
        <f t="shared" si="101"/>
        <v>0.40652372797683367</v>
      </c>
      <c r="Q306" s="72">
        <f t="shared" si="102"/>
        <v>0.21200194137318912</v>
      </c>
      <c r="R306" s="75">
        <f>IFERROR(O306*'Fechamento fiscal'!AN18,"")</f>
        <v>-2.0393806903185596E-3</v>
      </c>
      <c r="S306" s="75">
        <f>P306*'Gás fiscal'!H15</f>
        <v>1733.0106523652419</v>
      </c>
      <c r="T306" s="104">
        <f>Q306*'Volumes de água'!$C$17</f>
        <v>582.36933295215056</v>
      </c>
      <c r="U306" s="191"/>
      <c r="V306" s="192"/>
      <c r="W306" s="193"/>
    </row>
    <row r="307" spans="1:23" x14ac:dyDescent="0.25">
      <c r="A307" s="42">
        <v>14</v>
      </c>
      <c r="B307" s="16" t="s">
        <v>120</v>
      </c>
      <c r="C307" s="16">
        <v>24</v>
      </c>
      <c r="D307" s="148">
        <v>24</v>
      </c>
      <c r="E307" s="148">
        <v>24</v>
      </c>
      <c r="F307" s="43">
        <f t="shared" si="94"/>
        <v>24</v>
      </c>
      <c r="G307" s="43">
        <f t="shared" si="95"/>
        <v>24</v>
      </c>
      <c r="H307" s="43">
        <f t="shared" si="96"/>
        <v>24</v>
      </c>
      <c r="I307" s="168">
        <v>17.760000000000002</v>
      </c>
      <c r="J307" s="168">
        <v>1479.58</v>
      </c>
      <c r="K307" s="168">
        <v>318.87</v>
      </c>
      <c r="L307" s="73">
        <f t="shared" si="97"/>
        <v>17.760000000000002</v>
      </c>
      <c r="M307" s="73">
        <f t="shared" si="98"/>
        <v>1479.58</v>
      </c>
      <c r="N307" s="73">
        <f t="shared" si="99"/>
        <v>318.87</v>
      </c>
      <c r="O307" s="72">
        <f t="shared" si="100"/>
        <v>0.25906907384204042</v>
      </c>
      <c r="P307" s="72">
        <f t="shared" si="101"/>
        <v>0.38125265970227823</v>
      </c>
      <c r="Q307" s="72">
        <f t="shared" si="102"/>
        <v>0.22340227647949623</v>
      </c>
      <c r="R307" s="75">
        <f>IFERROR(O307*'Fechamento fiscal'!AN19,"")</f>
        <v>10.259473310227968</v>
      </c>
      <c r="S307" s="75">
        <f>P307*'Gás fiscal'!H16</f>
        <v>1777.3998995320212</v>
      </c>
      <c r="T307" s="104">
        <f>Q307*'Volumes de água'!$C$18</f>
        <v>606.98398519479122</v>
      </c>
      <c r="U307" s="191"/>
      <c r="V307" s="192"/>
      <c r="W307" s="193"/>
    </row>
    <row r="308" spans="1:23" x14ac:dyDescent="0.25">
      <c r="A308" s="42">
        <v>15</v>
      </c>
      <c r="B308" s="16" t="s">
        <v>120</v>
      </c>
      <c r="C308" s="16">
        <v>24</v>
      </c>
      <c r="D308" s="148">
        <v>24</v>
      </c>
      <c r="E308" s="148">
        <v>24</v>
      </c>
      <c r="F308" s="43">
        <f t="shared" si="94"/>
        <v>24</v>
      </c>
      <c r="G308" s="43">
        <f t="shared" si="95"/>
        <v>24</v>
      </c>
      <c r="H308" s="43">
        <f t="shared" si="96"/>
        <v>24</v>
      </c>
      <c r="I308" s="168">
        <v>17.760000000000002</v>
      </c>
      <c r="J308" s="168">
        <v>1479.58</v>
      </c>
      <c r="K308" s="168">
        <v>318.87</v>
      </c>
      <c r="L308" s="73">
        <f t="shared" si="97"/>
        <v>17.760000000000002</v>
      </c>
      <c r="M308" s="73">
        <f t="shared" si="98"/>
        <v>1479.58</v>
      </c>
      <c r="N308" s="73">
        <f t="shared" si="99"/>
        <v>318.87</v>
      </c>
      <c r="O308" s="72">
        <f t="shared" si="100"/>
        <v>0.25608643878594456</v>
      </c>
      <c r="P308" s="72">
        <f t="shared" si="101"/>
        <v>0.37250854322102261</v>
      </c>
      <c r="Q308" s="72">
        <f t="shared" si="102"/>
        <v>0.21574951621225302</v>
      </c>
      <c r="R308" s="75">
        <f>IFERROR(O308*'Fechamento fiscal'!AN20,"")</f>
        <v>16.415590590829609</v>
      </c>
      <c r="S308" s="75">
        <f>P308*'Gás fiscal'!H17</f>
        <v>1771.6506315591835</v>
      </c>
      <c r="T308" s="104">
        <f>Q308*'Volumes de água'!$C$19</f>
        <v>595.6844142620306</v>
      </c>
      <c r="U308" s="191"/>
      <c r="V308" s="192"/>
      <c r="W308" s="193"/>
    </row>
    <row r="309" spans="1:23" x14ac:dyDescent="0.25">
      <c r="A309" s="42">
        <v>16</v>
      </c>
      <c r="B309" s="16" t="s">
        <v>120</v>
      </c>
      <c r="C309" s="16">
        <v>24</v>
      </c>
      <c r="D309" s="148">
        <v>23.3</v>
      </c>
      <c r="E309" s="148">
        <v>23.3</v>
      </c>
      <c r="F309" s="43">
        <f t="shared" si="94"/>
        <v>23.3</v>
      </c>
      <c r="G309" s="43">
        <f t="shared" si="95"/>
        <v>23.3</v>
      </c>
      <c r="H309" s="43">
        <f t="shared" si="96"/>
        <v>23.3</v>
      </c>
      <c r="I309" s="168">
        <v>17.760000000000002</v>
      </c>
      <c r="J309" s="168">
        <v>1479.58</v>
      </c>
      <c r="K309" s="168">
        <v>318.87</v>
      </c>
      <c r="L309" s="73">
        <f t="shared" si="97"/>
        <v>17.242000000000001</v>
      </c>
      <c r="M309" s="73">
        <f t="shared" si="98"/>
        <v>1436.4255833333332</v>
      </c>
      <c r="N309" s="73">
        <f t="shared" si="99"/>
        <v>309.56962499999997</v>
      </c>
      <c r="O309" s="72">
        <f t="shared" si="100"/>
        <v>0.25036431599407416</v>
      </c>
      <c r="P309" s="72">
        <f t="shared" si="101"/>
        <v>0.37093831036519093</v>
      </c>
      <c r="Q309" s="72">
        <f t="shared" si="102"/>
        <v>0.21013424779058656</v>
      </c>
      <c r="R309" s="75">
        <f>IFERROR(O309*'Fechamento fiscal'!AN21,"")</f>
        <v>7.0210182498648104</v>
      </c>
      <c r="S309" s="75">
        <f>P309*'Gás fiscal'!H18</f>
        <v>1705.5743510591478</v>
      </c>
      <c r="T309" s="104">
        <f>Q309*'Volumes de água'!$C$20</f>
        <v>525.545753724257</v>
      </c>
      <c r="U309" s="191"/>
      <c r="V309" s="192"/>
      <c r="W309" s="193"/>
    </row>
    <row r="310" spans="1:23" x14ac:dyDescent="0.25">
      <c r="A310" s="42">
        <v>17</v>
      </c>
      <c r="B310" s="16" t="s">
        <v>120</v>
      </c>
      <c r="C310" s="16">
        <v>24</v>
      </c>
      <c r="D310" s="148">
        <v>24</v>
      </c>
      <c r="E310" s="148">
        <v>24</v>
      </c>
      <c r="F310" s="43">
        <f t="shared" si="94"/>
        <v>24</v>
      </c>
      <c r="G310" s="43">
        <f t="shared" si="95"/>
        <v>24</v>
      </c>
      <c r="H310" s="43">
        <f t="shared" si="96"/>
        <v>24</v>
      </c>
      <c r="I310" s="168">
        <v>17.760000000000002</v>
      </c>
      <c r="J310" s="168">
        <v>1479.58</v>
      </c>
      <c r="K310" s="168">
        <v>318.87</v>
      </c>
      <c r="L310" s="73">
        <f t="shared" si="97"/>
        <v>17.760000000000002</v>
      </c>
      <c r="M310" s="73">
        <f t="shared" si="98"/>
        <v>1479.58</v>
      </c>
      <c r="N310" s="73">
        <f t="shared" si="99"/>
        <v>318.87</v>
      </c>
      <c r="O310" s="72">
        <f t="shared" si="100"/>
        <v>0.24160964261907031</v>
      </c>
      <c r="P310" s="72">
        <f t="shared" si="101"/>
        <v>0.34253898065725963</v>
      </c>
      <c r="Q310" s="72">
        <f t="shared" si="102"/>
        <v>0.19191575856965071</v>
      </c>
      <c r="R310" s="75">
        <f>IFERROR(O310*'Fechamento fiscal'!AN22,"")</f>
        <v>-9.4689715362992297E-2</v>
      </c>
      <c r="S310" s="75">
        <f>P310*'Gás fiscal'!H19</f>
        <v>1622.2646123927816</v>
      </c>
      <c r="T310" s="104">
        <f>Q310*'Volumes de água'!$C$21</f>
        <v>519.8997899651838</v>
      </c>
      <c r="U310" s="191"/>
      <c r="V310" s="192"/>
      <c r="W310" s="193"/>
    </row>
    <row r="311" spans="1:23" x14ac:dyDescent="0.25">
      <c r="A311" s="42">
        <v>18</v>
      </c>
      <c r="B311" s="16" t="s">
        <v>120</v>
      </c>
      <c r="C311" s="16">
        <v>24</v>
      </c>
      <c r="D311" s="148">
        <v>24</v>
      </c>
      <c r="E311" s="148">
        <v>24</v>
      </c>
      <c r="F311" s="43">
        <f t="shared" si="94"/>
        <v>24</v>
      </c>
      <c r="G311" s="43">
        <f t="shared" si="95"/>
        <v>24</v>
      </c>
      <c r="H311" s="43">
        <f t="shared" si="96"/>
        <v>24</v>
      </c>
      <c r="I311" s="168">
        <v>17.760000000000002</v>
      </c>
      <c r="J311" s="168">
        <v>1479.58</v>
      </c>
      <c r="K311" s="168">
        <v>318.87</v>
      </c>
      <c r="L311" s="73">
        <f t="shared" si="97"/>
        <v>17.760000000000002</v>
      </c>
      <c r="M311" s="73">
        <f t="shared" si="98"/>
        <v>1479.58</v>
      </c>
      <c r="N311" s="73">
        <f t="shared" si="99"/>
        <v>318.87</v>
      </c>
      <c r="O311" s="72">
        <f t="shared" si="100"/>
        <v>0.22244581849456624</v>
      </c>
      <c r="P311" s="72">
        <f t="shared" si="101"/>
        <v>0.29554423490691056</v>
      </c>
      <c r="Q311" s="72">
        <f t="shared" si="102"/>
        <v>0.16111139765750079</v>
      </c>
      <c r="R311" s="75">
        <f>IFERROR(O311*'Fechamento fiscal'!AN23,"")</f>
        <v>-1.847454769860973E-2</v>
      </c>
      <c r="S311" s="75">
        <f>P311*'Gás fiscal'!H20</f>
        <v>1403.8351158078251</v>
      </c>
      <c r="T311" s="104">
        <f>Q311*'Volumes de água'!$C$22</f>
        <v>309.01166070708655</v>
      </c>
      <c r="U311" s="191"/>
      <c r="V311" s="192"/>
      <c r="W311" s="193"/>
    </row>
    <row r="312" spans="1:23" x14ac:dyDescent="0.25">
      <c r="A312" s="42">
        <v>19</v>
      </c>
      <c r="B312" s="16" t="s">
        <v>120</v>
      </c>
      <c r="C312" s="16">
        <v>24</v>
      </c>
      <c r="D312" s="148">
        <v>23.5</v>
      </c>
      <c r="E312" s="148">
        <v>23.5</v>
      </c>
      <c r="F312" s="43">
        <f t="shared" si="94"/>
        <v>23.5</v>
      </c>
      <c r="G312" s="43">
        <f t="shared" si="95"/>
        <v>23.5</v>
      </c>
      <c r="H312" s="43">
        <f t="shared" si="96"/>
        <v>23.5</v>
      </c>
      <c r="I312" s="168">
        <v>17.760000000000002</v>
      </c>
      <c r="J312" s="168">
        <v>1479.58</v>
      </c>
      <c r="K312" s="168">
        <v>318.87</v>
      </c>
      <c r="L312" s="73">
        <f t="shared" si="97"/>
        <v>17.39</v>
      </c>
      <c r="M312" s="73">
        <f t="shared" si="98"/>
        <v>1448.7554166666666</v>
      </c>
      <c r="N312" s="73">
        <f t="shared" si="99"/>
        <v>312.22687500000001</v>
      </c>
      <c r="O312" s="72">
        <f t="shared" si="100"/>
        <v>0.22026099259938683</v>
      </c>
      <c r="P312" s="72">
        <f t="shared" si="101"/>
        <v>0.2968278722754441</v>
      </c>
      <c r="Q312" s="72">
        <f t="shared" si="102"/>
        <v>0.16042789506930283</v>
      </c>
      <c r="R312" s="75">
        <f>IFERROR(O312*'Fechamento fiscal'!AN24,"")</f>
        <v>13.72222944514551</v>
      </c>
      <c r="S312" s="75">
        <f>P312*'Gás fiscal'!H21</f>
        <v>1339.5841875790793</v>
      </c>
      <c r="T312" s="104">
        <f>Q312*'Volumes de água'!$C$23</f>
        <v>434.11788405753344</v>
      </c>
      <c r="U312" s="191"/>
      <c r="V312" s="192"/>
      <c r="W312" s="193"/>
    </row>
    <row r="313" spans="1:23" x14ac:dyDescent="0.25">
      <c r="A313" s="42">
        <v>20</v>
      </c>
      <c r="B313" s="16" t="s">
        <v>120</v>
      </c>
      <c r="C313" s="16">
        <v>24</v>
      </c>
      <c r="D313" s="148">
        <v>24</v>
      </c>
      <c r="E313" s="148">
        <v>24</v>
      </c>
      <c r="F313" s="43">
        <f t="shared" si="94"/>
        <v>24</v>
      </c>
      <c r="G313" s="43">
        <f t="shared" si="95"/>
        <v>24</v>
      </c>
      <c r="H313" s="43">
        <f t="shared" si="96"/>
        <v>24</v>
      </c>
      <c r="I313" s="168">
        <v>17.760000000000002</v>
      </c>
      <c r="J313" s="168">
        <v>1479.58</v>
      </c>
      <c r="K313" s="168">
        <v>318.87</v>
      </c>
      <c r="L313" s="73">
        <f t="shared" si="97"/>
        <v>17.760000000000002</v>
      </c>
      <c r="M313" s="73">
        <f t="shared" si="98"/>
        <v>1479.58</v>
      </c>
      <c r="N313" s="73">
        <f t="shared" si="99"/>
        <v>318.87</v>
      </c>
      <c r="O313" s="72">
        <f t="shared" si="100"/>
        <v>0.24845068058139699</v>
      </c>
      <c r="P313" s="72">
        <f t="shared" si="101"/>
        <v>0.3594754250667283</v>
      </c>
      <c r="Q313" s="72">
        <f t="shared" si="102"/>
        <v>0.20379816714587812</v>
      </c>
      <c r="R313" s="75">
        <f>IFERROR(O313*'Fechamento fiscal'!AN25,"")</f>
        <v>15.484411969923666</v>
      </c>
      <c r="S313" s="75">
        <f>P313*'Gás fiscal'!H22</f>
        <v>1596.7898381464072</v>
      </c>
      <c r="T313" s="104">
        <f>Q313*'Volumes de água'!$C$24</f>
        <v>522.53850056203146</v>
      </c>
      <c r="U313" s="191"/>
      <c r="V313" s="192"/>
      <c r="W313" s="193"/>
    </row>
    <row r="314" spans="1:23" x14ac:dyDescent="0.25">
      <c r="A314" s="42">
        <v>21</v>
      </c>
      <c r="B314" s="16" t="s">
        <v>120</v>
      </c>
      <c r="C314" s="16">
        <v>24</v>
      </c>
      <c r="D314" s="148">
        <v>24</v>
      </c>
      <c r="E314" s="148">
        <v>24</v>
      </c>
      <c r="F314" s="43">
        <f t="shared" si="94"/>
        <v>24</v>
      </c>
      <c r="G314" s="43">
        <f t="shared" si="95"/>
        <v>24</v>
      </c>
      <c r="H314" s="43">
        <f t="shared" si="96"/>
        <v>24</v>
      </c>
      <c r="I314" s="168">
        <v>17.760000000000002</v>
      </c>
      <c r="J314" s="168">
        <v>1479.58</v>
      </c>
      <c r="K314" s="168">
        <v>318.87</v>
      </c>
      <c r="L314" s="73">
        <f t="shared" si="97"/>
        <v>17.760000000000002</v>
      </c>
      <c r="M314" s="73">
        <f t="shared" si="98"/>
        <v>1479.58</v>
      </c>
      <c r="N314" s="73">
        <f t="shared" si="99"/>
        <v>318.87</v>
      </c>
      <c r="O314" s="72">
        <f t="shared" si="100"/>
        <v>0.23269080957556751</v>
      </c>
      <c r="P314" s="72">
        <f t="shared" si="101"/>
        <v>0.32120145207986905</v>
      </c>
      <c r="Q314" s="72">
        <f t="shared" si="102"/>
        <v>0.17635836729642854</v>
      </c>
      <c r="R314" s="75">
        <f>IFERROR(O314*'Fechamento fiscal'!AN26,"")</f>
        <v>14.546992333024427</v>
      </c>
      <c r="S314" s="75">
        <f>P314*'Gás fiscal'!H23</f>
        <v>1342.6220696938526</v>
      </c>
      <c r="T314" s="104">
        <f>Q314*'Volumes de água'!$C$25</f>
        <v>484.98551006517846</v>
      </c>
      <c r="U314" s="191"/>
      <c r="V314" s="192"/>
      <c r="W314" s="193"/>
    </row>
    <row r="315" spans="1:23" x14ac:dyDescent="0.25">
      <c r="A315" s="42">
        <v>22</v>
      </c>
      <c r="B315" s="16" t="s">
        <v>120</v>
      </c>
      <c r="C315" s="16">
        <v>24</v>
      </c>
      <c r="D315" s="148">
        <v>24</v>
      </c>
      <c r="E315" s="148">
        <v>24</v>
      </c>
      <c r="F315" s="43">
        <f t="shared" si="94"/>
        <v>24</v>
      </c>
      <c r="G315" s="43">
        <f t="shared" si="95"/>
        <v>24</v>
      </c>
      <c r="H315" s="43">
        <f t="shared" si="96"/>
        <v>24</v>
      </c>
      <c r="I315" s="168">
        <v>17.760000000000002</v>
      </c>
      <c r="J315" s="168">
        <v>1479.58</v>
      </c>
      <c r="K315" s="168">
        <v>318.87</v>
      </c>
      <c r="L315" s="73">
        <f t="shared" si="97"/>
        <v>17.760000000000002</v>
      </c>
      <c r="M315" s="73">
        <f t="shared" si="98"/>
        <v>1479.58</v>
      </c>
      <c r="N315" s="73">
        <f t="shared" si="99"/>
        <v>318.87</v>
      </c>
      <c r="O315" s="72">
        <f t="shared" si="100"/>
        <v>0.29136248051841523</v>
      </c>
      <c r="P315" s="72">
        <f t="shared" si="101"/>
        <v>0.3264615729500116</v>
      </c>
      <c r="Q315" s="72">
        <f t="shared" si="102"/>
        <v>0.2092313567508805</v>
      </c>
      <c r="R315" s="75">
        <f>IFERROR(O315*'Fechamento fiscal'!AN27,"")</f>
        <v>5.3827136388945052</v>
      </c>
      <c r="S315" s="75">
        <f>P315*'Gás fiscal'!H24</f>
        <v>1536.6546238757046</v>
      </c>
      <c r="T315" s="104">
        <f>Q315*'Volumes de água'!$C$26</f>
        <v>588.14934382672504</v>
      </c>
      <c r="U315" s="191"/>
      <c r="V315" s="192"/>
      <c r="W315" s="193"/>
    </row>
    <row r="316" spans="1:23" x14ac:dyDescent="0.25">
      <c r="A316" s="42">
        <v>23</v>
      </c>
      <c r="B316" s="16" t="s">
        <v>120</v>
      </c>
      <c r="C316" s="16">
        <v>24</v>
      </c>
      <c r="D316" s="148">
        <v>5.5</v>
      </c>
      <c r="E316" s="148">
        <v>5.5</v>
      </c>
      <c r="F316" s="43">
        <f t="shared" si="94"/>
        <v>5.5</v>
      </c>
      <c r="G316" s="43">
        <f t="shared" si="95"/>
        <v>5.5</v>
      </c>
      <c r="H316" s="43">
        <f t="shared" si="96"/>
        <v>5.5</v>
      </c>
      <c r="I316" s="168">
        <v>17.760000000000002</v>
      </c>
      <c r="J316" s="168">
        <v>1479.58</v>
      </c>
      <c r="K316" s="168">
        <v>318.87</v>
      </c>
      <c r="L316" s="73">
        <f t="shared" si="97"/>
        <v>4.07</v>
      </c>
      <c r="M316" s="73">
        <f t="shared" si="98"/>
        <v>339.07041666666663</v>
      </c>
      <c r="N316" s="73">
        <f t="shared" si="99"/>
        <v>73.074375000000003</v>
      </c>
      <c r="O316" s="72">
        <f t="shared" si="100"/>
        <v>9.4365797692404593E-2</v>
      </c>
      <c r="P316" s="72">
        <f t="shared" si="101"/>
        <v>0.14041711677318297</v>
      </c>
      <c r="Q316" s="72">
        <f t="shared" si="102"/>
        <v>6.7522943039247912E-2</v>
      </c>
      <c r="R316" s="75">
        <f>IFERROR(O316*'Fechamento fiscal'!AN28,"")</f>
        <v>-3.1084526175980801E-2</v>
      </c>
      <c r="S316" s="75">
        <f>P316*'Gás fiscal'!H25</f>
        <v>296.56095062496246</v>
      </c>
      <c r="T316" s="104">
        <f>Q316*'Volumes de água'!$C$27</f>
        <v>101.68955221710736</v>
      </c>
      <c r="U316" s="191"/>
      <c r="V316" s="192"/>
      <c r="W316" s="193"/>
    </row>
    <row r="317" spans="1:23" x14ac:dyDescent="0.25">
      <c r="A317" s="42">
        <v>24</v>
      </c>
      <c r="B317" s="16" t="s">
        <v>120</v>
      </c>
      <c r="C317" s="16">
        <v>24</v>
      </c>
      <c r="D317" s="148">
        <v>9.1999999999999993</v>
      </c>
      <c r="E317" s="148">
        <v>9.1999999999999993</v>
      </c>
      <c r="F317" s="43">
        <f t="shared" si="94"/>
        <v>9.1999999999999993</v>
      </c>
      <c r="G317" s="43">
        <f t="shared" si="95"/>
        <v>9.1999999999999993</v>
      </c>
      <c r="H317" s="43">
        <f t="shared" si="96"/>
        <v>9.1999999999999993</v>
      </c>
      <c r="I317" s="168">
        <v>17.760000000000002</v>
      </c>
      <c r="J317" s="168">
        <v>1479.58</v>
      </c>
      <c r="K317" s="168">
        <v>318.87</v>
      </c>
      <c r="L317" s="73">
        <f t="shared" si="97"/>
        <v>6.8079999999999998</v>
      </c>
      <c r="M317" s="73">
        <f t="shared" si="98"/>
        <v>567.17233333333331</v>
      </c>
      <c r="N317" s="73">
        <f t="shared" si="99"/>
        <v>122.23349999999999</v>
      </c>
      <c r="O317" s="72">
        <f t="shared" si="100"/>
        <v>0.11015646489652604</v>
      </c>
      <c r="P317" s="72">
        <f t="shared" si="101"/>
        <v>0.20157456640105043</v>
      </c>
      <c r="Q317" s="72">
        <f t="shared" si="102"/>
        <v>8.2758060373299386E-2</v>
      </c>
      <c r="R317" s="75">
        <f>IFERROR(O317*'Fechamento fiscal'!AN29,"")</f>
        <v>-1.4590716176076213E-2</v>
      </c>
      <c r="S317" s="75">
        <f>P317*'Gás fiscal'!H26</f>
        <v>478.9411697688958</v>
      </c>
      <c r="T317" s="104">
        <f>Q317*'Volumes de água'!$C$28</f>
        <v>109.32339775312849</v>
      </c>
      <c r="U317" s="191"/>
      <c r="V317" s="192"/>
      <c r="W317" s="193"/>
    </row>
    <row r="318" spans="1:23" x14ac:dyDescent="0.25">
      <c r="A318" s="42">
        <v>25</v>
      </c>
      <c r="B318" s="16" t="s">
        <v>120</v>
      </c>
      <c r="C318" s="16">
        <v>24</v>
      </c>
      <c r="D318" s="148">
        <v>24</v>
      </c>
      <c r="E318" s="148">
        <v>24</v>
      </c>
      <c r="F318" s="43">
        <f t="shared" si="94"/>
        <v>24</v>
      </c>
      <c r="G318" s="43">
        <f t="shared" si="95"/>
        <v>24</v>
      </c>
      <c r="H318" s="43">
        <f t="shared" si="96"/>
        <v>24</v>
      </c>
      <c r="I318" s="168">
        <v>17.760000000000002</v>
      </c>
      <c r="J318" s="168">
        <v>1479.58</v>
      </c>
      <c r="K318" s="168">
        <v>318.87</v>
      </c>
      <c r="L318" s="73">
        <f t="shared" si="97"/>
        <v>17.760000000000002</v>
      </c>
      <c r="M318" s="73">
        <f t="shared" si="98"/>
        <v>1479.58</v>
      </c>
      <c r="N318" s="73">
        <f t="shared" si="99"/>
        <v>318.87</v>
      </c>
      <c r="O318" s="72">
        <f t="shared" si="100"/>
        <v>0.24520847092176387</v>
      </c>
      <c r="P318" s="72">
        <f t="shared" si="101"/>
        <v>0.35038966161281482</v>
      </c>
      <c r="Q318" s="72">
        <f t="shared" si="102"/>
        <v>0.19356263754057626</v>
      </c>
      <c r="R318" s="75">
        <f>IFERROR(O318*'Fechamento fiscal'!AN30,"")</f>
        <v>15.339635785438071</v>
      </c>
      <c r="S318" s="75">
        <f>P318*'Gás fiscal'!H27</f>
        <v>1666.8036202921601</v>
      </c>
      <c r="T318" s="104">
        <f>Q318*'Volumes de água'!$C$29</f>
        <v>529.78093894855726</v>
      </c>
      <c r="U318" s="191"/>
      <c r="V318" s="192"/>
      <c r="W318" s="193"/>
    </row>
    <row r="319" spans="1:23" x14ac:dyDescent="0.25">
      <c r="A319" s="42">
        <v>26</v>
      </c>
      <c r="B319" s="16" t="s">
        <v>120</v>
      </c>
      <c r="C319" s="16">
        <v>24</v>
      </c>
      <c r="D319" s="148">
        <v>24</v>
      </c>
      <c r="E319" s="148">
        <v>24</v>
      </c>
      <c r="F319" s="43">
        <f t="shared" si="94"/>
        <v>24</v>
      </c>
      <c r="G319" s="43">
        <f t="shared" si="95"/>
        <v>24</v>
      </c>
      <c r="H319" s="43">
        <f t="shared" si="96"/>
        <v>24</v>
      </c>
      <c r="I319" s="168">
        <v>17.760000000000002</v>
      </c>
      <c r="J319" s="168">
        <v>1479.58</v>
      </c>
      <c r="K319" s="168">
        <v>318.87</v>
      </c>
      <c r="L319" s="73">
        <f t="shared" si="97"/>
        <v>17.760000000000002</v>
      </c>
      <c r="M319" s="73">
        <f t="shared" si="98"/>
        <v>1479.58</v>
      </c>
      <c r="N319" s="73">
        <f t="shared" si="99"/>
        <v>318.87</v>
      </c>
      <c r="O319" s="72">
        <f t="shared" si="100"/>
        <v>0.23921984159767248</v>
      </c>
      <c r="P319" s="72">
        <f t="shared" si="101"/>
        <v>0.33588805577869318</v>
      </c>
      <c r="Q319" s="72">
        <f t="shared" si="102"/>
        <v>0.18387612038128046</v>
      </c>
      <c r="R319" s="75">
        <f>IFERROR(O319*'Fechamento fiscal'!AN31,"")</f>
        <v>14.655429333446637</v>
      </c>
      <c r="S319" s="75">
        <f>P319*'Gás fiscal'!H28</f>
        <v>1578.0020860483005</v>
      </c>
      <c r="T319" s="104">
        <f>Q319*'Volumes de água'!$C$30</f>
        <v>515.03701318796652</v>
      </c>
      <c r="U319" s="191"/>
      <c r="V319" s="192"/>
      <c r="W319" s="193"/>
    </row>
    <row r="320" spans="1:23" x14ac:dyDescent="0.25">
      <c r="A320" s="42">
        <v>27</v>
      </c>
      <c r="B320" s="16" t="s">
        <v>120</v>
      </c>
      <c r="C320" s="16">
        <v>24</v>
      </c>
      <c r="D320" s="148">
        <v>24</v>
      </c>
      <c r="E320" s="148">
        <v>24</v>
      </c>
      <c r="F320" s="43">
        <f t="shared" si="94"/>
        <v>24</v>
      </c>
      <c r="G320" s="43">
        <f t="shared" si="95"/>
        <v>24</v>
      </c>
      <c r="H320" s="43">
        <f t="shared" si="96"/>
        <v>24</v>
      </c>
      <c r="I320" s="168">
        <v>17.760000000000002</v>
      </c>
      <c r="J320" s="168">
        <v>1479.58</v>
      </c>
      <c r="K320" s="168">
        <v>318.87</v>
      </c>
      <c r="L320" s="73">
        <f t="shared" si="97"/>
        <v>17.760000000000002</v>
      </c>
      <c r="M320" s="73">
        <f t="shared" si="98"/>
        <v>1479.58</v>
      </c>
      <c r="N320" s="73">
        <f t="shared" si="99"/>
        <v>318.87</v>
      </c>
      <c r="O320" s="72">
        <f t="shared" si="100"/>
        <v>0.2335873946982501</v>
      </c>
      <c r="P320" s="72">
        <f t="shared" si="101"/>
        <v>0.29675729208519691</v>
      </c>
      <c r="Q320" s="72">
        <f t="shared" si="102"/>
        <v>0.1646640829083425</v>
      </c>
      <c r="R320" s="75">
        <f>IFERROR(O320*'Fechamento fiscal'!AN32,"")</f>
        <v>8.5442006630259387E-2</v>
      </c>
      <c r="S320" s="75">
        <f>P320*'Gás fiscal'!H29</f>
        <v>1417.3128269989004</v>
      </c>
      <c r="T320" s="104">
        <f>Q320*'Volumes de água'!$C$31</f>
        <v>488.39366990614388</v>
      </c>
      <c r="U320" s="191"/>
      <c r="V320" s="192"/>
      <c r="W320" s="193"/>
    </row>
    <row r="321" spans="1:23" x14ac:dyDescent="0.25">
      <c r="A321" s="42">
        <v>28</v>
      </c>
      <c r="B321" s="16" t="s">
        <v>120</v>
      </c>
      <c r="C321" s="16">
        <v>24</v>
      </c>
      <c r="D321" s="148">
        <v>24</v>
      </c>
      <c r="E321" s="148">
        <v>24</v>
      </c>
      <c r="F321" s="43">
        <f t="shared" si="94"/>
        <v>24</v>
      </c>
      <c r="G321" s="43">
        <f t="shared" si="95"/>
        <v>24</v>
      </c>
      <c r="H321" s="43">
        <f t="shared" si="96"/>
        <v>24</v>
      </c>
      <c r="I321" s="168">
        <v>17.760000000000002</v>
      </c>
      <c r="J321" s="168">
        <v>1479.58</v>
      </c>
      <c r="K321" s="168">
        <v>318.87</v>
      </c>
      <c r="L321" s="73">
        <f t="shared" si="97"/>
        <v>17.760000000000002</v>
      </c>
      <c r="M321" s="73">
        <f t="shared" si="98"/>
        <v>1479.58</v>
      </c>
      <c r="N321" s="73">
        <f t="shared" si="99"/>
        <v>318.87</v>
      </c>
      <c r="O321" s="72">
        <f t="shared" si="100"/>
        <v>0.24336657089741423</v>
      </c>
      <c r="P321" s="72">
        <f t="shared" si="101"/>
        <v>0.35969084061974821</v>
      </c>
      <c r="Q321" s="72">
        <f t="shared" si="102"/>
        <v>0.19052821183743229</v>
      </c>
      <c r="R321" s="75">
        <f>IFERROR(O321*'Fechamento fiscal'!AN33,"")</f>
        <v>3.9791314945473034E-2</v>
      </c>
      <c r="S321" s="75">
        <f>P321*'Gás fiscal'!H30</f>
        <v>1514.2984390091399</v>
      </c>
      <c r="T321" s="104">
        <f>Q321*'Volumes de água'!$C$32</f>
        <v>512.71141805453033</v>
      </c>
      <c r="U321" s="191"/>
      <c r="V321" s="192"/>
      <c r="W321" s="193"/>
    </row>
    <row r="322" spans="1:23" x14ac:dyDescent="0.25">
      <c r="A322" s="42">
        <v>29</v>
      </c>
      <c r="B322" s="16" t="s">
        <v>120</v>
      </c>
      <c r="C322" s="16">
        <v>24</v>
      </c>
      <c r="D322" s="148">
        <v>24</v>
      </c>
      <c r="E322" s="148">
        <v>24</v>
      </c>
      <c r="F322" s="43">
        <f t="shared" si="94"/>
        <v>24</v>
      </c>
      <c r="G322" s="43">
        <f t="shared" si="95"/>
        <v>24</v>
      </c>
      <c r="H322" s="43">
        <f t="shared" si="96"/>
        <v>24</v>
      </c>
      <c r="I322" s="168">
        <v>17.760000000000002</v>
      </c>
      <c r="J322" s="168">
        <v>1479.58</v>
      </c>
      <c r="K322" s="168">
        <v>318.87</v>
      </c>
      <c r="L322" s="73">
        <f t="shared" si="97"/>
        <v>17.760000000000002</v>
      </c>
      <c r="M322" s="73">
        <f t="shared" si="98"/>
        <v>1479.58</v>
      </c>
      <c r="N322" s="73">
        <f t="shared" si="99"/>
        <v>318.87</v>
      </c>
      <c r="O322" s="72">
        <f t="shared" si="100"/>
        <v>0.25060676186713332</v>
      </c>
      <c r="P322" s="72">
        <f t="shared" si="101"/>
        <v>0.36390874660690969</v>
      </c>
      <c r="Q322" s="72">
        <f t="shared" si="102"/>
        <v>0.20275322693457112</v>
      </c>
      <c r="R322" s="75">
        <f>IFERROR(O322*'Fechamento fiscal'!AN34,"")</f>
        <v>15.193834316494669</v>
      </c>
      <c r="S322" s="75">
        <f>P322*'Gás fiscal'!H31</f>
        <v>1687.4448580162402</v>
      </c>
      <c r="T322" s="104">
        <f>Q322*'Volumes de água'!$C$33</f>
        <v>546.82545304253836</v>
      </c>
      <c r="U322" s="191"/>
      <c r="V322" s="192"/>
      <c r="W322" s="193"/>
    </row>
    <row r="323" spans="1:23" x14ac:dyDescent="0.25">
      <c r="A323" s="42">
        <v>30</v>
      </c>
      <c r="B323" s="16" t="s">
        <v>120</v>
      </c>
      <c r="C323" s="16">
        <v>24</v>
      </c>
      <c r="D323" s="148">
        <v>24</v>
      </c>
      <c r="E323" s="148">
        <v>24</v>
      </c>
      <c r="F323" s="43">
        <f t="shared" si="94"/>
        <v>24</v>
      </c>
      <c r="G323" s="43">
        <f t="shared" si="95"/>
        <v>24</v>
      </c>
      <c r="H323" s="43">
        <f t="shared" si="96"/>
        <v>24</v>
      </c>
      <c r="I323" s="168">
        <v>17.760000000000002</v>
      </c>
      <c r="J323" s="168">
        <v>1479.58</v>
      </c>
      <c r="K323" s="168">
        <v>318.87</v>
      </c>
      <c r="L323" s="73">
        <f t="shared" si="97"/>
        <v>17.760000000000002</v>
      </c>
      <c r="M323" s="73">
        <f t="shared" si="98"/>
        <v>1479.58</v>
      </c>
      <c r="N323" s="73">
        <f t="shared" si="99"/>
        <v>318.87</v>
      </c>
      <c r="O323" s="72">
        <f t="shared" si="100"/>
        <v>0.34148592524227045</v>
      </c>
      <c r="P323" s="72">
        <f t="shared" si="101"/>
        <v>0.32343589926877275</v>
      </c>
      <c r="Q323" s="72">
        <f t="shared" si="102"/>
        <v>0.23276796566185248</v>
      </c>
      <c r="R323" s="75">
        <f>IFERROR(O323*'Fechamento fiscal'!AN35,"")</f>
        <v>4.9699711496340626</v>
      </c>
      <c r="S323" s="75">
        <f>P323*'Gás fiscal'!H32</f>
        <v>1473.8973929677975</v>
      </c>
      <c r="T323" s="104">
        <f>Q323*'Volumes de água'!$C$34</f>
        <v>637.08592201649026</v>
      </c>
      <c r="U323" s="191"/>
      <c r="V323" s="192"/>
      <c r="W323" s="193"/>
    </row>
    <row r="324" spans="1:23" x14ac:dyDescent="0.25">
      <c r="A324" s="42">
        <v>31</v>
      </c>
      <c r="B324" s="16" t="s">
        <v>120</v>
      </c>
      <c r="C324" s="16">
        <v>24</v>
      </c>
      <c r="D324" s="148"/>
      <c r="E324" s="148"/>
      <c r="F324" s="43">
        <f>IF(OR(C324="",E324=""),0,IF(E324&gt;C324,E324,E324/C324*24))</f>
        <v>0</v>
      </c>
      <c r="G324" s="43">
        <f>IF(OR(C324="",D324=""),0,IF(D324&gt;C324,D324,D324/C324*24))</f>
        <v>0</v>
      </c>
      <c r="H324" s="43">
        <f>IF(OR(C324="",D324=""),0,IF(D324&gt;C324,D324,D324/C324*24))</f>
        <v>0</v>
      </c>
      <c r="I324" s="168">
        <v>17.760000000000002</v>
      </c>
      <c r="J324" s="168">
        <v>1479.58</v>
      </c>
      <c r="K324" s="168">
        <v>318.87</v>
      </c>
      <c r="L324" s="73">
        <f>I324*(G324/C324)</f>
        <v>0</v>
      </c>
      <c r="M324" s="73">
        <f>J324*(F324/C324)</f>
        <v>0</v>
      </c>
      <c r="N324" s="73">
        <f>K324*(H324/C324)</f>
        <v>0</v>
      </c>
      <c r="O324" s="72">
        <f t="shared" si="100"/>
        <v>0</v>
      </c>
      <c r="P324" s="72">
        <f t="shared" si="101"/>
        <v>0</v>
      </c>
      <c r="Q324" s="72">
        <f t="shared" si="102"/>
        <v>0</v>
      </c>
      <c r="R324" s="75" t="str">
        <f>IFERROR(O324*'Fechamento fiscal'!AN36,"")</f>
        <v/>
      </c>
      <c r="S324" s="75">
        <f>P324*'Gás fiscal'!H33</f>
        <v>0</v>
      </c>
      <c r="T324" s="104">
        <f>Q324*'Volumes de água'!$C$35</f>
        <v>0</v>
      </c>
      <c r="U324" s="191"/>
      <c r="V324" s="192"/>
      <c r="W324" s="193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121</v>
      </c>
      <c r="C326" s="16">
        <v>24</v>
      </c>
      <c r="D326" s="148">
        <v>17</v>
      </c>
      <c r="E326" s="148">
        <v>17</v>
      </c>
      <c r="F326" s="43">
        <f>IF(OR(C326="",E326=""),0,IF(E326&gt;C326,E326,E326/C326*24))</f>
        <v>17</v>
      </c>
      <c r="G326" s="43">
        <f>IF(OR(C326="",D326=""),0,IF(D326&gt;C326,D326,D326/C326*24))</f>
        <v>17</v>
      </c>
      <c r="H326" s="43">
        <f>IF(OR(C326="",D326=""),0,IF(D326&gt;C326,D326,D326/C326*24))</f>
        <v>17</v>
      </c>
      <c r="I326" s="168">
        <v>8.9600000000000009</v>
      </c>
      <c r="J326" s="168">
        <v>166.16</v>
      </c>
      <c r="K326" s="168">
        <v>3.84</v>
      </c>
      <c r="L326" s="73">
        <f>I326*(G326/C326)</f>
        <v>6.3466666666666676</v>
      </c>
      <c r="M326" s="73">
        <f>J326*(F326/C326)</f>
        <v>117.69666666666667</v>
      </c>
      <c r="N326" s="73">
        <f>K326*(H326/C326)</f>
        <v>2.72</v>
      </c>
      <c r="O326" s="72">
        <f>IF(D326&lt;&gt;0,L326/(L6+L38+L70+L102+L134+L166+L198+L230+L262+L294+L326+L358),0)</f>
        <v>0.12526253982299432</v>
      </c>
      <c r="P326" s="72"/>
      <c r="Q326" s="72">
        <f t="shared" ref="Q326" si="103">IF(F326&lt;&gt;0,N326/(N6+N38+N70+N102+N134+N166+N198+N230+N262+N294+N326+N358),0)</f>
        <v>2.5011086984215777E-3</v>
      </c>
      <c r="R326" s="75">
        <f>IFERROR(O326*'Fechamento fiscal'!AN6,"")</f>
        <v>1.0618783334053491E-2</v>
      </c>
      <c r="S326" s="75">
        <f>M326</f>
        <v>117.69666666666667</v>
      </c>
      <c r="T326" s="104">
        <f>Q326*'Volumes de água'!$C$5</f>
        <v>3.5215610473775811</v>
      </c>
      <c r="U326" s="191"/>
      <c r="V326" s="192"/>
      <c r="W326" s="193"/>
    </row>
    <row r="327" spans="1:23" x14ac:dyDescent="0.25">
      <c r="A327" s="42">
        <v>2</v>
      </c>
      <c r="B327" s="16" t="s">
        <v>121</v>
      </c>
      <c r="C327" s="16">
        <v>24</v>
      </c>
      <c r="D327" s="148">
        <v>23</v>
      </c>
      <c r="E327" s="148">
        <v>23</v>
      </c>
      <c r="F327" s="43">
        <f t="shared" ref="F327:F355" si="104">IF(OR(C327="",E327=""),0,IF(E327&gt;C327,E327,E327/C327*24))</f>
        <v>23</v>
      </c>
      <c r="G327" s="43">
        <f t="shared" ref="G327:G355" si="105">IF(OR(C327="",D327=""),0,IF(D327&gt;C327,D327,D327/C327*24))</f>
        <v>23</v>
      </c>
      <c r="H327" s="43">
        <f t="shared" ref="H327:H355" si="106">IF(OR(C327="",D327=""),0,IF(D327&gt;C327,D327,D327/C327*24))</f>
        <v>23</v>
      </c>
      <c r="I327" s="168">
        <v>8.9600000000000009</v>
      </c>
      <c r="J327" s="168">
        <v>166.16</v>
      </c>
      <c r="K327" s="168">
        <v>3.84</v>
      </c>
      <c r="L327" s="73">
        <f t="shared" ref="L327:L355" si="107">I327*(G327/C327)</f>
        <v>8.5866666666666678</v>
      </c>
      <c r="M327" s="73">
        <f t="shared" ref="M327:M355" si="108">J327*(F327/C327)</f>
        <v>159.23666666666668</v>
      </c>
      <c r="N327" s="73">
        <f t="shared" ref="N327:N355" si="109">K327*(H327/C327)</f>
        <v>3.68</v>
      </c>
      <c r="O327" s="72">
        <f t="shared" ref="O327:O356" si="110">IF(D327&lt;&gt;0,L327/(L7+L39+L71+L103+L135+L167+L199+L231+L263+L295+L327+L359),0)</f>
        <v>0.12270946889807992</v>
      </c>
      <c r="P327" s="72"/>
      <c r="Q327" s="72">
        <f t="shared" ref="Q327:Q356" si="111">IF(F327&lt;&gt;0,N327/(N7+N39+N71+N103+N135+N167+N199+N231+N263+N295+N327+N359),0)</f>
        <v>2.3902150571099563E-3</v>
      </c>
      <c r="R327" s="75">
        <f>IFERROR(O327*'Fechamento fiscal'!AN7,"")</f>
        <v>6.4218908610275758</v>
      </c>
      <c r="S327" s="75">
        <f t="shared" ref="S327:S356" si="112">M327</f>
        <v>159.23666666666668</v>
      </c>
      <c r="T327" s="104">
        <f>Q327*'Volumes de água'!$C$6</f>
        <v>4.9334038778749498</v>
      </c>
      <c r="U327" s="191"/>
      <c r="V327" s="192"/>
      <c r="W327" s="193"/>
    </row>
    <row r="328" spans="1:23" x14ac:dyDescent="0.25">
      <c r="A328" s="42">
        <v>3</v>
      </c>
      <c r="B328" s="16" t="s">
        <v>121</v>
      </c>
      <c r="C328" s="16">
        <v>24</v>
      </c>
      <c r="D328" s="148">
        <v>24</v>
      </c>
      <c r="E328" s="148">
        <v>24</v>
      </c>
      <c r="F328" s="43">
        <f t="shared" si="104"/>
        <v>24</v>
      </c>
      <c r="G328" s="43">
        <f t="shared" si="105"/>
        <v>24</v>
      </c>
      <c r="H328" s="43">
        <f t="shared" si="106"/>
        <v>24</v>
      </c>
      <c r="I328" s="168">
        <v>8.9600000000000009</v>
      </c>
      <c r="J328" s="168">
        <v>166.16</v>
      </c>
      <c r="K328" s="168">
        <v>3.84</v>
      </c>
      <c r="L328" s="73">
        <f t="shared" si="107"/>
        <v>8.9600000000000009</v>
      </c>
      <c r="M328" s="73">
        <f t="shared" si="108"/>
        <v>166.16</v>
      </c>
      <c r="N328" s="73">
        <f t="shared" si="109"/>
        <v>3.84</v>
      </c>
      <c r="O328" s="72">
        <f t="shared" si="110"/>
        <v>0.12270946889807993</v>
      </c>
      <c r="P328" s="72"/>
      <c r="Q328" s="72">
        <f t="shared" si="111"/>
        <v>2.3902150571099563E-3</v>
      </c>
      <c r="R328" s="75">
        <f>IFERROR(O328*'Fechamento fiscal'!AN8,"")</f>
        <v>7.6601790186866427</v>
      </c>
      <c r="S328" s="75">
        <f t="shared" si="112"/>
        <v>166.16</v>
      </c>
      <c r="T328" s="104">
        <f>Q328*'Volumes de água'!$C$7</f>
        <v>5.0385733403877877</v>
      </c>
      <c r="U328" s="191"/>
      <c r="V328" s="192"/>
      <c r="W328" s="193"/>
    </row>
    <row r="329" spans="1:23" x14ac:dyDescent="0.25">
      <c r="A329" s="42">
        <v>4</v>
      </c>
      <c r="B329" s="16" t="s">
        <v>121</v>
      </c>
      <c r="C329" s="16">
        <v>24</v>
      </c>
      <c r="D329" s="148">
        <v>24</v>
      </c>
      <c r="E329" s="148">
        <v>24</v>
      </c>
      <c r="F329" s="43">
        <f t="shared" si="104"/>
        <v>24</v>
      </c>
      <c r="G329" s="43">
        <f t="shared" si="105"/>
        <v>24</v>
      </c>
      <c r="H329" s="43">
        <f t="shared" si="106"/>
        <v>24</v>
      </c>
      <c r="I329" s="168">
        <v>8.9600000000000009</v>
      </c>
      <c r="J329" s="168">
        <v>166.16</v>
      </c>
      <c r="K329" s="168">
        <v>3.84</v>
      </c>
      <c r="L329" s="73">
        <f t="shared" si="107"/>
        <v>8.9600000000000009</v>
      </c>
      <c r="M329" s="73">
        <f t="shared" si="108"/>
        <v>166.16</v>
      </c>
      <c r="N329" s="73">
        <f t="shared" si="109"/>
        <v>3.84</v>
      </c>
      <c r="O329" s="72">
        <f t="shared" si="110"/>
        <v>0.12270946889807993</v>
      </c>
      <c r="P329" s="72"/>
      <c r="Q329" s="72">
        <f t="shared" si="111"/>
        <v>2.3902150571099563E-3</v>
      </c>
      <c r="R329" s="75">
        <f>IFERROR(O329*'Fechamento fiscal'!AN9,"")</f>
        <v>7.6910296124070037</v>
      </c>
      <c r="S329" s="75">
        <f t="shared" si="112"/>
        <v>166.16</v>
      </c>
      <c r="T329" s="104">
        <f>Q329*'Volumes de água'!$C$8</f>
        <v>5.0385733403877877</v>
      </c>
      <c r="U329" s="191"/>
      <c r="V329" s="192"/>
      <c r="W329" s="193"/>
    </row>
    <row r="330" spans="1:23" x14ac:dyDescent="0.25">
      <c r="A330" s="42">
        <v>5</v>
      </c>
      <c r="B330" s="16" t="s">
        <v>121</v>
      </c>
      <c r="C330" s="16">
        <v>24</v>
      </c>
      <c r="D330" s="148">
        <v>23.5</v>
      </c>
      <c r="E330" s="148">
        <v>23.5</v>
      </c>
      <c r="F330" s="43">
        <f t="shared" si="104"/>
        <v>23.5</v>
      </c>
      <c r="G330" s="43">
        <f t="shared" si="105"/>
        <v>23.5</v>
      </c>
      <c r="H330" s="43">
        <f t="shared" si="106"/>
        <v>23.5</v>
      </c>
      <c r="I330" s="168">
        <v>8.9600000000000009</v>
      </c>
      <c r="J330" s="168">
        <v>166.16</v>
      </c>
      <c r="K330" s="168">
        <v>3.84</v>
      </c>
      <c r="L330" s="73">
        <f t="shared" si="107"/>
        <v>8.7733333333333334</v>
      </c>
      <c r="M330" s="73">
        <f t="shared" si="108"/>
        <v>162.69833333333332</v>
      </c>
      <c r="N330" s="73">
        <f t="shared" si="109"/>
        <v>3.76</v>
      </c>
      <c r="O330" s="72">
        <f t="shared" si="110"/>
        <v>0.12270946889807993</v>
      </c>
      <c r="P330" s="72"/>
      <c r="Q330" s="72">
        <f t="shared" si="111"/>
        <v>2.3902150571099559E-3</v>
      </c>
      <c r="R330" s="75">
        <f>IFERROR(O330*'Fechamento fiscal'!AN10,"")</f>
        <v>7.7151192396079891</v>
      </c>
      <c r="S330" s="75">
        <f t="shared" si="112"/>
        <v>162.69833333333332</v>
      </c>
      <c r="T330" s="104">
        <f>Q330*'Volumes de água'!$C$9</f>
        <v>4.945354953160499</v>
      </c>
      <c r="U330" s="191"/>
      <c r="V330" s="192"/>
      <c r="W330" s="193"/>
    </row>
    <row r="331" spans="1:23" x14ac:dyDescent="0.25">
      <c r="A331" s="42">
        <v>6</v>
      </c>
      <c r="B331" s="16" t="s">
        <v>121</v>
      </c>
      <c r="C331" s="16">
        <v>24</v>
      </c>
      <c r="D331" s="148">
        <v>23.5</v>
      </c>
      <c r="E331" s="148">
        <v>23.5</v>
      </c>
      <c r="F331" s="43">
        <f t="shared" si="104"/>
        <v>23.5</v>
      </c>
      <c r="G331" s="43">
        <f t="shared" si="105"/>
        <v>23.5</v>
      </c>
      <c r="H331" s="43">
        <f t="shared" si="106"/>
        <v>23.5</v>
      </c>
      <c r="I331" s="168">
        <v>8.9600000000000009</v>
      </c>
      <c r="J331" s="168">
        <v>166.16</v>
      </c>
      <c r="K331" s="168">
        <v>3.84</v>
      </c>
      <c r="L331" s="73">
        <f t="shared" si="107"/>
        <v>8.7733333333333334</v>
      </c>
      <c r="M331" s="73">
        <f t="shared" si="108"/>
        <v>162.69833333333332</v>
      </c>
      <c r="N331" s="73">
        <f t="shared" si="109"/>
        <v>3.76</v>
      </c>
      <c r="O331" s="72">
        <f t="shared" si="110"/>
        <v>0.12270946889807993</v>
      </c>
      <c r="P331" s="72"/>
      <c r="Q331" s="72">
        <f t="shared" si="111"/>
        <v>2.3902150571099559E-3</v>
      </c>
      <c r="R331" s="75">
        <f>IFERROR(O331*'Fechamento fiscal'!AN11,"")</f>
        <v>2.3879302813940941E-2</v>
      </c>
      <c r="S331" s="75">
        <f t="shared" si="112"/>
        <v>162.69833333333332</v>
      </c>
      <c r="T331" s="104">
        <f>Q331*'Volumes de água'!$C$10</f>
        <v>4.7636986088201416</v>
      </c>
      <c r="U331" s="191"/>
      <c r="V331" s="192"/>
      <c r="W331" s="193"/>
    </row>
    <row r="332" spans="1:23" x14ac:dyDescent="0.25">
      <c r="A332" s="42">
        <v>7</v>
      </c>
      <c r="B332" s="16" t="s">
        <v>121</v>
      </c>
      <c r="C332" s="16">
        <v>24</v>
      </c>
      <c r="D332" s="148">
        <v>23.5</v>
      </c>
      <c r="E332" s="148">
        <v>23.5</v>
      </c>
      <c r="F332" s="43">
        <f t="shared" si="104"/>
        <v>23.5</v>
      </c>
      <c r="G332" s="43">
        <f t="shared" si="105"/>
        <v>23.5</v>
      </c>
      <c r="H332" s="43">
        <f t="shared" si="106"/>
        <v>23.5</v>
      </c>
      <c r="I332" s="168">
        <v>8.9600000000000009</v>
      </c>
      <c r="J332" s="168">
        <v>166.16</v>
      </c>
      <c r="K332" s="168">
        <v>3.84</v>
      </c>
      <c r="L332" s="73">
        <f t="shared" si="107"/>
        <v>8.7733333333333334</v>
      </c>
      <c r="M332" s="73">
        <f t="shared" si="108"/>
        <v>162.69833333333332</v>
      </c>
      <c r="N332" s="73">
        <f t="shared" si="109"/>
        <v>3.76</v>
      </c>
      <c r="O332" s="72">
        <f t="shared" si="110"/>
        <v>0.12298900190009129</v>
      </c>
      <c r="P332" s="72"/>
      <c r="Q332" s="72">
        <f t="shared" si="111"/>
        <v>2.4165647156111176E-3</v>
      </c>
      <c r="R332" s="75">
        <f>IFERROR(O332*'Fechamento fiscal'!AN12,"")</f>
        <v>-2.1737517015199534</v>
      </c>
      <c r="S332" s="75">
        <f t="shared" si="112"/>
        <v>162.69833333333332</v>
      </c>
      <c r="T332" s="104">
        <f>Q332*'Volumes de água'!$C$11</f>
        <v>4.9273754551310684</v>
      </c>
      <c r="U332" s="191"/>
      <c r="V332" s="192"/>
      <c r="W332" s="193"/>
    </row>
    <row r="333" spans="1:23" x14ac:dyDescent="0.25">
      <c r="A333" s="42">
        <v>8</v>
      </c>
      <c r="B333" s="16" t="s">
        <v>121</v>
      </c>
      <c r="C333" s="16">
        <v>24</v>
      </c>
      <c r="D333" s="148">
        <v>24</v>
      </c>
      <c r="E333" s="148">
        <v>24</v>
      </c>
      <c r="F333" s="43">
        <f t="shared" si="104"/>
        <v>24</v>
      </c>
      <c r="G333" s="43">
        <f t="shared" si="105"/>
        <v>24</v>
      </c>
      <c r="H333" s="43">
        <f t="shared" si="106"/>
        <v>24</v>
      </c>
      <c r="I333" s="168">
        <v>8.9600000000000009</v>
      </c>
      <c r="J333" s="168">
        <v>166.16</v>
      </c>
      <c r="K333" s="168">
        <v>3.84</v>
      </c>
      <c r="L333" s="73">
        <f t="shared" si="107"/>
        <v>8.9600000000000009</v>
      </c>
      <c r="M333" s="73">
        <f t="shared" si="108"/>
        <v>166.16</v>
      </c>
      <c r="N333" s="73">
        <f t="shared" si="109"/>
        <v>3.84</v>
      </c>
      <c r="O333" s="72">
        <f t="shared" si="110"/>
        <v>0.12381162944948046</v>
      </c>
      <c r="P333" s="72"/>
      <c r="Q333" s="72">
        <f t="shared" si="111"/>
        <v>2.4968464309400888E-3</v>
      </c>
      <c r="R333" s="75">
        <f>IFERROR(O333*'Fechamento fiscal'!AN13,"")</f>
        <v>-6.1496717360464817E-2</v>
      </c>
      <c r="S333" s="75">
        <f t="shared" si="112"/>
        <v>166.16</v>
      </c>
      <c r="T333" s="104">
        <f>Q333*'Volumes de água'!$C$12</f>
        <v>5.155987879891283</v>
      </c>
      <c r="U333" s="191"/>
      <c r="V333" s="192"/>
      <c r="W333" s="193"/>
    </row>
    <row r="334" spans="1:23" x14ac:dyDescent="0.25">
      <c r="A334" s="42">
        <v>9</v>
      </c>
      <c r="B334" s="16" t="s">
        <v>121</v>
      </c>
      <c r="C334" s="16">
        <v>24</v>
      </c>
      <c r="D334" s="148">
        <v>23.5</v>
      </c>
      <c r="E334" s="148">
        <v>23.5</v>
      </c>
      <c r="F334" s="43">
        <f t="shared" si="104"/>
        <v>23.5</v>
      </c>
      <c r="G334" s="43">
        <f t="shared" si="105"/>
        <v>23.5</v>
      </c>
      <c r="H334" s="43">
        <f t="shared" si="106"/>
        <v>23.5</v>
      </c>
      <c r="I334" s="168">
        <v>8.9600000000000009</v>
      </c>
      <c r="J334" s="168">
        <v>166.16</v>
      </c>
      <c r="K334" s="168">
        <v>3.84</v>
      </c>
      <c r="L334" s="73">
        <f t="shared" si="107"/>
        <v>8.7733333333333334</v>
      </c>
      <c r="M334" s="73">
        <f t="shared" si="108"/>
        <v>162.69833333333332</v>
      </c>
      <c r="N334" s="73">
        <f t="shared" si="109"/>
        <v>3.76</v>
      </c>
      <c r="O334" s="72">
        <f t="shared" si="110"/>
        <v>0.12381162944948045</v>
      </c>
      <c r="P334" s="72"/>
      <c r="Q334" s="72">
        <f t="shared" si="111"/>
        <v>2.4968464309400883E-3</v>
      </c>
      <c r="R334" s="75">
        <f>IFERROR(O334*'Fechamento fiscal'!AN14,"")</f>
        <v>3.3251279478031988</v>
      </c>
      <c r="S334" s="75">
        <f t="shared" si="112"/>
        <v>162.69833333333332</v>
      </c>
      <c r="T334" s="104">
        <f>Q334*'Volumes de água'!$C$13</f>
        <v>4.933768547537615</v>
      </c>
      <c r="U334" s="191"/>
      <c r="V334" s="192"/>
      <c r="W334" s="193"/>
    </row>
    <row r="335" spans="1:23" x14ac:dyDescent="0.25">
      <c r="A335" s="42">
        <v>10</v>
      </c>
      <c r="B335" s="16" t="s">
        <v>121</v>
      </c>
      <c r="C335" s="16">
        <v>24</v>
      </c>
      <c r="D335" s="148">
        <v>24</v>
      </c>
      <c r="E335" s="148">
        <v>24</v>
      </c>
      <c r="F335" s="43">
        <f t="shared" si="104"/>
        <v>24</v>
      </c>
      <c r="G335" s="43">
        <f t="shared" si="105"/>
        <v>24</v>
      </c>
      <c r="H335" s="43">
        <f t="shared" si="106"/>
        <v>24</v>
      </c>
      <c r="I335" s="168">
        <v>8.9600000000000009</v>
      </c>
      <c r="J335" s="168">
        <v>166.16</v>
      </c>
      <c r="K335" s="168">
        <v>3.84</v>
      </c>
      <c r="L335" s="73">
        <f t="shared" si="107"/>
        <v>8.9600000000000009</v>
      </c>
      <c r="M335" s="73">
        <f t="shared" si="108"/>
        <v>166.16</v>
      </c>
      <c r="N335" s="73">
        <f t="shared" si="109"/>
        <v>3.84</v>
      </c>
      <c r="O335" s="72">
        <f t="shared" si="110"/>
        <v>0.12400440104905508</v>
      </c>
      <c r="P335" s="72"/>
      <c r="Q335" s="72">
        <f t="shared" si="111"/>
        <v>2.5111579773407231E-3</v>
      </c>
      <c r="R335" s="75">
        <f>IFERROR(O335*'Fechamento fiscal'!AN15,"")</f>
        <v>7.7699755971386448</v>
      </c>
      <c r="S335" s="75">
        <f t="shared" si="112"/>
        <v>166.16</v>
      </c>
      <c r="T335" s="104">
        <f>Q335*'Volumes de água'!$C$14</f>
        <v>5.1855412232085936</v>
      </c>
      <c r="U335" s="191"/>
      <c r="V335" s="192"/>
      <c r="W335" s="193"/>
    </row>
    <row r="336" spans="1:23" x14ac:dyDescent="0.25">
      <c r="A336" s="42">
        <v>11</v>
      </c>
      <c r="B336" s="16" t="s">
        <v>121</v>
      </c>
      <c r="C336" s="16">
        <v>24</v>
      </c>
      <c r="D336" s="148">
        <v>24</v>
      </c>
      <c r="E336" s="148">
        <v>24</v>
      </c>
      <c r="F336" s="43">
        <f t="shared" si="104"/>
        <v>24</v>
      </c>
      <c r="G336" s="43">
        <f t="shared" si="105"/>
        <v>24</v>
      </c>
      <c r="H336" s="43">
        <f t="shared" si="106"/>
        <v>24</v>
      </c>
      <c r="I336" s="168">
        <v>8.9600000000000009</v>
      </c>
      <c r="J336" s="168">
        <v>166.16</v>
      </c>
      <c r="K336" s="168">
        <v>3.84</v>
      </c>
      <c r="L336" s="73">
        <f t="shared" si="107"/>
        <v>8.9600000000000009</v>
      </c>
      <c r="M336" s="73">
        <f t="shared" si="108"/>
        <v>166.16</v>
      </c>
      <c r="N336" s="73">
        <f t="shared" si="109"/>
        <v>3.84</v>
      </c>
      <c r="O336" s="72">
        <f t="shared" si="110"/>
        <v>0.12381162944948046</v>
      </c>
      <c r="P336" s="72"/>
      <c r="Q336" s="72">
        <f t="shared" si="111"/>
        <v>2.4968464309400888E-3</v>
      </c>
      <c r="R336" s="75">
        <f>IFERROR(O336*'Fechamento fiscal'!AN16,"")</f>
        <v>-5.8815865581596984E-3</v>
      </c>
      <c r="S336" s="75">
        <f t="shared" si="112"/>
        <v>166.16</v>
      </c>
      <c r="T336" s="104">
        <f>Q336*'Volumes de água'!$C$15</f>
        <v>5.5080432266538359</v>
      </c>
      <c r="U336" s="191"/>
      <c r="V336" s="192"/>
      <c r="W336" s="193"/>
    </row>
    <row r="337" spans="1:23" x14ac:dyDescent="0.25">
      <c r="A337" s="42">
        <v>12</v>
      </c>
      <c r="B337" s="16" t="s">
        <v>121</v>
      </c>
      <c r="C337" s="16">
        <v>24</v>
      </c>
      <c r="D337" s="148">
        <v>24</v>
      </c>
      <c r="E337" s="148">
        <v>24</v>
      </c>
      <c r="F337" s="43">
        <f t="shared" si="104"/>
        <v>24</v>
      </c>
      <c r="G337" s="43">
        <f t="shared" si="105"/>
        <v>24</v>
      </c>
      <c r="H337" s="43">
        <f t="shared" si="106"/>
        <v>24</v>
      </c>
      <c r="I337" s="168">
        <v>8.9600000000000009</v>
      </c>
      <c r="J337" s="168">
        <v>166.16</v>
      </c>
      <c r="K337" s="168">
        <v>3.84</v>
      </c>
      <c r="L337" s="73">
        <f t="shared" si="107"/>
        <v>8.9600000000000009</v>
      </c>
      <c r="M337" s="73">
        <f t="shared" si="108"/>
        <v>166.16</v>
      </c>
      <c r="N337" s="73">
        <f t="shared" si="109"/>
        <v>3.84</v>
      </c>
      <c r="O337" s="72">
        <f t="shared" si="110"/>
        <v>0.14192429384347935</v>
      </c>
      <c r="P337" s="72"/>
      <c r="Q337" s="72">
        <f t="shared" si="111"/>
        <v>2.8036003996955825E-3</v>
      </c>
      <c r="R337" s="75">
        <f>IFERROR(O337*'Fechamento fiscal'!AN17,"")</f>
        <v>-0.1071933707813009</v>
      </c>
      <c r="S337" s="75">
        <f t="shared" si="112"/>
        <v>166.16</v>
      </c>
      <c r="T337" s="104">
        <f>Q337*'Volumes de água'!$C$16</f>
        <v>8.0743691511232782</v>
      </c>
      <c r="U337" s="191"/>
      <c r="V337" s="192"/>
      <c r="W337" s="193"/>
    </row>
    <row r="338" spans="1:23" x14ac:dyDescent="0.25">
      <c r="A338" s="42">
        <v>13</v>
      </c>
      <c r="B338" s="16" t="s">
        <v>121</v>
      </c>
      <c r="C338" s="16">
        <v>24</v>
      </c>
      <c r="D338" s="148">
        <v>24</v>
      </c>
      <c r="E338" s="148">
        <v>24</v>
      </c>
      <c r="F338" s="43">
        <f t="shared" si="104"/>
        <v>24</v>
      </c>
      <c r="G338" s="43">
        <f t="shared" si="105"/>
        <v>24</v>
      </c>
      <c r="H338" s="43">
        <f t="shared" si="106"/>
        <v>24</v>
      </c>
      <c r="I338" s="168">
        <v>8.9600000000000009</v>
      </c>
      <c r="J338" s="168">
        <v>166.16</v>
      </c>
      <c r="K338" s="168">
        <v>3.84</v>
      </c>
      <c r="L338" s="73">
        <f t="shared" si="107"/>
        <v>8.9600000000000009</v>
      </c>
      <c r="M338" s="73">
        <f t="shared" si="108"/>
        <v>166.16</v>
      </c>
      <c r="N338" s="73">
        <f t="shared" si="109"/>
        <v>3.84</v>
      </c>
      <c r="O338" s="72">
        <f t="shared" si="110"/>
        <v>0.12760260901763079</v>
      </c>
      <c r="P338" s="72"/>
      <c r="Q338" s="72">
        <f t="shared" si="111"/>
        <v>2.5530387144386307E-3</v>
      </c>
      <c r="R338" s="75">
        <f>IFERROR(O338*'Fechamento fiscal'!AN18,"")</f>
        <v>-1.0288767446652194E-3</v>
      </c>
      <c r="S338" s="75">
        <f t="shared" si="112"/>
        <v>166.16</v>
      </c>
      <c r="T338" s="104">
        <f>Q338*'Volumes de água'!$C$17</f>
        <v>7.0131973485629189</v>
      </c>
      <c r="U338" s="191"/>
      <c r="V338" s="192"/>
      <c r="W338" s="193"/>
    </row>
    <row r="339" spans="1:23" x14ac:dyDescent="0.25">
      <c r="A339" s="42">
        <v>14</v>
      </c>
      <c r="B339" s="16" t="s">
        <v>121</v>
      </c>
      <c r="C339" s="16">
        <v>24</v>
      </c>
      <c r="D339" s="148">
        <v>22</v>
      </c>
      <c r="E339" s="148">
        <v>22</v>
      </c>
      <c r="F339" s="43">
        <f t="shared" si="104"/>
        <v>22</v>
      </c>
      <c r="G339" s="43">
        <f t="shared" si="105"/>
        <v>22</v>
      </c>
      <c r="H339" s="43">
        <f t="shared" si="106"/>
        <v>22</v>
      </c>
      <c r="I339" s="168">
        <v>8.9600000000000009</v>
      </c>
      <c r="J339" s="168">
        <v>166.16</v>
      </c>
      <c r="K339" s="168">
        <v>3.84</v>
      </c>
      <c r="L339" s="73">
        <f t="shared" si="107"/>
        <v>8.2133333333333329</v>
      </c>
      <c r="M339" s="73">
        <f t="shared" si="108"/>
        <v>152.31333333333333</v>
      </c>
      <c r="N339" s="73">
        <f t="shared" si="109"/>
        <v>3.5199999999999996</v>
      </c>
      <c r="O339" s="72">
        <f t="shared" si="110"/>
        <v>0.11980972183685951</v>
      </c>
      <c r="P339" s="72"/>
      <c r="Q339" s="72">
        <f t="shared" si="111"/>
        <v>2.4661335754628112E-3</v>
      </c>
      <c r="R339" s="75">
        <f>IFERROR(O339*'Fechamento fiscal'!AN19,"")</f>
        <v>4.7446212906159362</v>
      </c>
      <c r="S339" s="75">
        <f t="shared" si="112"/>
        <v>152.31333333333333</v>
      </c>
      <c r="T339" s="104">
        <f>Q339*'Volumes de água'!$C$18</f>
        <v>6.700484924532458</v>
      </c>
      <c r="U339" s="191"/>
      <c r="V339" s="192"/>
      <c r="W339" s="193"/>
    </row>
    <row r="340" spans="1:23" x14ac:dyDescent="0.25">
      <c r="A340" s="42">
        <v>15</v>
      </c>
      <c r="B340" s="16" t="s">
        <v>121</v>
      </c>
      <c r="C340" s="16">
        <v>24</v>
      </c>
      <c r="D340" s="148">
        <v>24</v>
      </c>
      <c r="E340" s="148">
        <v>24</v>
      </c>
      <c r="F340" s="43">
        <f t="shared" si="104"/>
        <v>24</v>
      </c>
      <c r="G340" s="43">
        <f t="shared" si="105"/>
        <v>24</v>
      </c>
      <c r="H340" s="43">
        <f t="shared" si="106"/>
        <v>24</v>
      </c>
      <c r="I340" s="168">
        <v>8.9600000000000009</v>
      </c>
      <c r="J340" s="168">
        <v>166.16</v>
      </c>
      <c r="K340" s="168">
        <v>3.84</v>
      </c>
      <c r="L340" s="73">
        <f t="shared" si="107"/>
        <v>8.9600000000000009</v>
      </c>
      <c r="M340" s="73">
        <f t="shared" si="108"/>
        <v>166.16</v>
      </c>
      <c r="N340" s="73">
        <f t="shared" si="109"/>
        <v>3.84</v>
      </c>
      <c r="O340" s="72">
        <f t="shared" si="110"/>
        <v>0.1291967619100261</v>
      </c>
      <c r="P340" s="72"/>
      <c r="Q340" s="72">
        <f t="shared" si="111"/>
        <v>2.5981689787532587E-3</v>
      </c>
      <c r="R340" s="75">
        <f>IFERROR(O340*'Fechamento fiscal'!AN20,"")</f>
        <v>8.2817393971753006</v>
      </c>
      <c r="S340" s="75">
        <f t="shared" si="112"/>
        <v>166.16</v>
      </c>
      <c r="T340" s="104">
        <f>Q340*'Volumes de água'!$C$19</f>
        <v>7.1735445503377475</v>
      </c>
      <c r="U340" s="191"/>
      <c r="V340" s="192"/>
      <c r="W340" s="193"/>
    </row>
    <row r="341" spans="1:23" x14ac:dyDescent="0.25">
      <c r="A341" s="42">
        <v>16</v>
      </c>
      <c r="B341" s="16" t="s">
        <v>121</v>
      </c>
      <c r="C341" s="16">
        <v>24</v>
      </c>
      <c r="D341" s="148">
        <v>23.3</v>
      </c>
      <c r="E341" s="148">
        <v>23.3</v>
      </c>
      <c r="F341" s="43">
        <f t="shared" si="104"/>
        <v>23.3</v>
      </c>
      <c r="G341" s="43">
        <f t="shared" si="105"/>
        <v>23.3</v>
      </c>
      <c r="H341" s="43">
        <f t="shared" si="106"/>
        <v>23.3</v>
      </c>
      <c r="I341" s="168">
        <v>8.9600000000000009</v>
      </c>
      <c r="J341" s="168">
        <v>166.16</v>
      </c>
      <c r="K341" s="168">
        <v>3.84</v>
      </c>
      <c r="L341" s="73">
        <f t="shared" si="107"/>
        <v>8.6986666666666679</v>
      </c>
      <c r="M341" s="73">
        <f t="shared" si="108"/>
        <v>161.31366666666665</v>
      </c>
      <c r="N341" s="73">
        <f t="shared" si="109"/>
        <v>3.7279999999999998</v>
      </c>
      <c r="O341" s="72">
        <f t="shared" si="110"/>
        <v>0.12630992518619957</v>
      </c>
      <c r="P341" s="72"/>
      <c r="Q341" s="72">
        <f t="shared" si="111"/>
        <v>2.5305469674659028E-3</v>
      </c>
      <c r="R341" s="75">
        <f>IFERROR(O341*'Fechamento fiscal'!AN21,"")</f>
        <v>3.5421353332651297</v>
      </c>
      <c r="S341" s="75">
        <f t="shared" si="112"/>
        <v>161.31366666666665</v>
      </c>
      <c r="T341" s="104">
        <f>Q341*'Volumes de água'!$C$20</f>
        <v>6.3288979656322226</v>
      </c>
      <c r="U341" s="191"/>
      <c r="V341" s="192"/>
      <c r="W341" s="193"/>
    </row>
    <row r="342" spans="1:23" x14ac:dyDescent="0.25">
      <c r="A342" s="42">
        <v>17</v>
      </c>
      <c r="B342" s="16" t="s">
        <v>121</v>
      </c>
      <c r="C342" s="16">
        <v>24</v>
      </c>
      <c r="D342" s="148">
        <v>24</v>
      </c>
      <c r="E342" s="148">
        <v>24</v>
      </c>
      <c r="F342" s="43">
        <f t="shared" si="104"/>
        <v>24</v>
      </c>
      <c r="G342" s="43">
        <f t="shared" si="105"/>
        <v>24</v>
      </c>
      <c r="H342" s="43">
        <f t="shared" si="106"/>
        <v>24</v>
      </c>
      <c r="I342" s="168">
        <v>8.9600000000000009</v>
      </c>
      <c r="J342" s="168">
        <v>166.16</v>
      </c>
      <c r="K342" s="168">
        <v>3.84</v>
      </c>
      <c r="L342" s="73">
        <f t="shared" si="107"/>
        <v>8.9600000000000009</v>
      </c>
      <c r="M342" s="73">
        <f t="shared" si="108"/>
        <v>166.16</v>
      </c>
      <c r="N342" s="73">
        <f t="shared" si="109"/>
        <v>3.84</v>
      </c>
      <c r="O342" s="72">
        <f t="shared" si="110"/>
        <v>0.12189315303304447</v>
      </c>
      <c r="P342" s="72"/>
      <c r="Q342" s="72">
        <f t="shared" si="111"/>
        <v>2.311150352518138E-3</v>
      </c>
      <c r="R342" s="75">
        <f>IFERROR(O342*'Fechamento fiscal'!AN22,"")</f>
        <v>-4.7771387930878997E-2</v>
      </c>
      <c r="S342" s="75">
        <f t="shared" si="112"/>
        <v>166.16</v>
      </c>
      <c r="T342" s="104">
        <f>Q342*'Volumes de água'!$C$21</f>
        <v>6.2609063049716358</v>
      </c>
      <c r="U342" s="191"/>
      <c r="V342" s="192"/>
      <c r="W342" s="193"/>
    </row>
    <row r="343" spans="1:23" x14ac:dyDescent="0.25">
      <c r="A343" s="42">
        <v>18</v>
      </c>
      <c r="B343" s="16" t="s">
        <v>121</v>
      </c>
      <c r="C343" s="16">
        <v>24</v>
      </c>
      <c r="D343" s="148">
        <v>24</v>
      </c>
      <c r="E343" s="148">
        <v>24</v>
      </c>
      <c r="F343" s="43">
        <f t="shared" si="104"/>
        <v>24</v>
      </c>
      <c r="G343" s="43">
        <f t="shared" si="105"/>
        <v>24</v>
      </c>
      <c r="H343" s="43">
        <f t="shared" si="106"/>
        <v>24</v>
      </c>
      <c r="I343" s="168">
        <v>8.9600000000000009</v>
      </c>
      <c r="J343" s="168">
        <v>166.16</v>
      </c>
      <c r="K343" s="168">
        <v>3.84</v>
      </c>
      <c r="L343" s="73">
        <f t="shared" si="107"/>
        <v>8.9600000000000009</v>
      </c>
      <c r="M343" s="73">
        <f t="shared" si="108"/>
        <v>166.16</v>
      </c>
      <c r="N343" s="73">
        <f t="shared" si="109"/>
        <v>3.84</v>
      </c>
      <c r="O343" s="72">
        <f t="shared" si="110"/>
        <v>0.11222491743870008</v>
      </c>
      <c r="P343" s="72"/>
      <c r="Q343" s="72">
        <f t="shared" si="111"/>
        <v>1.9401880609803462E-3</v>
      </c>
      <c r="R343" s="75">
        <f>IFERROR(O343*'Fechamento fiscal'!AN23,"")</f>
        <v>-9.3204925326319365E-3</v>
      </c>
      <c r="S343" s="75">
        <f t="shared" si="112"/>
        <v>166.16</v>
      </c>
      <c r="T343" s="104">
        <f>Q343*'Volumes de água'!$C$22</f>
        <v>3.7212807009603042</v>
      </c>
      <c r="U343" s="191"/>
      <c r="V343" s="192"/>
      <c r="W343" s="193"/>
    </row>
    <row r="344" spans="1:23" x14ac:dyDescent="0.25">
      <c r="A344" s="42">
        <v>19</v>
      </c>
      <c r="B344" s="16" t="s">
        <v>121</v>
      </c>
      <c r="C344" s="16">
        <v>24</v>
      </c>
      <c r="D344" s="148">
        <v>23.5</v>
      </c>
      <c r="E344" s="148">
        <v>23.5</v>
      </c>
      <c r="F344" s="43">
        <f t="shared" si="104"/>
        <v>23.5</v>
      </c>
      <c r="G344" s="43">
        <f t="shared" si="105"/>
        <v>23.5</v>
      </c>
      <c r="H344" s="43">
        <f t="shared" si="106"/>
        <v>23.5</v>
      </c>
      <c r="I344" s="168">
        <v>8.9600000000000009</v>
      </c>
      <c r="J344" s="168">
        <v>166.16</v>
      </c>
      <c r="K344" s="168">
        <v>3.84</v>
      </c>
      <c r="L344" s="73">
        <f t="shared" si="107"/>
        <v>8.7733333333333334</v>
      </c>
      <c r="M344" s="73">
        <f t="shared" si="108"/>
        <v>162.69833333333332</v>
      </c>
      <c r="N344" s="73">
        <f t="shared" si="109"/>
        <v>3.76</v>
      </c>
      <c r="O344" s="72">
        <f t="shared" si="110"/>
        <v>0.11112266293302399</v>
      </c>
      <c r="P344" s="72"/>
      <c r="Q344" s="72">
        <f t="shared" si="111"/>
        <v>1.9319569638602656E-3</v>
      </c>
      <c r="R344" s="75">
        <f>IFERROR(O344*'Fechamento fiscal'!AN24,"")</f>
        <v>6.9229265669202569</v>
      </c>
      <c r="S344" s="75">
        <f t="shared" si="112"/>
        <v>162.69833333333332</v>
      </c>
      <c r="T344" s="104">
        <f>Q344*'Volumes de água'!$C$23</f>
        <v>5.2278755442058786</v>
      </c>
      <c r="U344" s="191"/>
      <c r="V344" s="192"/>
      <c r="W344" s="193"/>
    </row>
    <row r="345" spans="1:23" x14ac:dyDescent="0.25">
      <c r="A345" s="42">
        <v>20</v>
      </c>
      <c r="B345" s="16" t="s">
        <v>121</v>
      </c>
      <c r="C345" s="16">
        <v>24</v>
      </c>
      <c r="D345" s="148">
        <v>24</v>
      </c>
      <c r="E345" s="148">
        <v>24</v>
      </c>
      <c r="F345" s="43">
        <f t="shared" si="104"/>
        <v>24</v>
      </c>
      <c r="G345" s="43">
        <f t="shared" si="105"/>
        <v>24</v>
      </c>
      <c r="H345" s="43">
        <f t="shared" si="106"/>
        <v>24</v>
      </c>
      <c r="I345" s="168">
        <v>8.9600000000000009</v>
      </c>
      <c r="J345" s="168">
        <v>166.16</v>
      </c>
      <c r="K345" s="168">
        <v>3.84</v>
      </c>
      <c r="L345" s="73">
        <f t="shared" si="107"/>
        <v>8.9600000000000009</v>
      </c>
      <c r="M345" s="73">
        <f t="shared" si="108"/>
        <v>166.16</v>
      </c>
      <c r="N345" s="73">
        <f t="shared" si="109"/>
        <v>3.84</v>
      </c>
      <c r="O345" s="72">
        <f t="shared" si="110"/>
        <v>0.1253444875005246</v>
      </c>
      <c r="P345" s="72"/>
      <c r="Q345" s="72">
        <f t="shared" si="111"/>
        <v>2.4542445568418855E-3</v>
      </c>
      <c r="R345" s="75">
        <f>IFERROR(O345*'Fechamento fiscal'!AN25,"")</f>
        <v>7.8119555884299574</v>
      </c>
      <c r="S345" s="75">
        <f t="shared" si="112"/>
        <v>166.16</v>
      </c>
      <c r="T345" s="104">
        <f>Q345*'Volumes de água'!$C$24</f>
        <v>6.2926830437425947</v>
      </c>
      <c r="U345" s="191"/>
      <c r="V345" s="192"/>
      <c r="W345" s="193"/>
    </row>
    <row r="346" spans="1:23" x14ac:dyDescent="0.25">
      <c r="A346" s="42">
        <v>21</v>
      </c>
      <c r="B346" s="16" t="s">
        <v>121</v>
      </c>
      <c r="C346" s="16">
        <v>24</v>
      </c>
      <c r="D346" s="148">
        <v>24</v>
      </c>
      <c r="E346" s="148">
        <v>24</v>
      </c>
      <c r="F346" s="43">
        <f t="shared" si="104"/>
        <v>24</v>
      </c>
      <c r="G346" s="43">
        <f t="shared" si="105"/>
        <v>24</v>
      </c>
      <c r="H346" s="43">
        <f t="shared" si="106"/>
        <v>24</v>
      </c>
      <c r="I346" s="168">
        <v>8.9600000000000009</v>
      </c>
      <c r="J346" s="168">
        <v>166.16</v>
      </c>
      <c r="K346" s="168">
        <v>3.84</v>
      </c>
      <c r="L346" s="73">
        <f t="shared" si="107"/>
        <v>8.9600000000000009</v>
      </c>
      <c r="M346" s="73">
        <f t="shared" si="108"/>
        <v>166.16</v>
      </c>
      <c r="N346" s="73">
        <f t="shared" si="109"/>
        <v>3.84</v>
      </c>
      <c r="O346" s="72">
        <f t="shared" si="110"/>
        <v>0.11739356158767369</v>
      </c>
      <c r="P346" s="72"/>
      <c r="Q346" s="72">
        <f t="shared" si="111"/>
        <v>2.1238000765775567E-3</v>
      </c>
      <c r="R346" s="75">
        <f>IFERROR(O346*'Fechamento fiscal'!AN26,"")</f>
        <v>7.3390231590033137</v>
      </c>
      <c r="S346" s="75">
        <f t="shared" si="112"/>
        <v>166.16</v>
      </c>
      <c r="T346" s="104">
        <f>Q346*'Volumes de água'!$C$25</f>
        <v>5.8404502105882807</v>
      </c>
      <c r="U346" s="191"/>
      <c r="V346" s="192"/>
      <c r="W346" s="193"/>
    </row>
    <row r="347" spans="1:23" x14ac:dyDescent="0.25">
      <c r="A347" s="42">
        <v>22</v>
      </c>
      <c r="B347" s="16" t="s">
        <v>121</v>
      </c>
      <c r="C347" s="16">
        <v>24</v>
      </c>
      <c r="D347" s="148">
        <v>24</v>
      </c>
      <c r="E347" s="148">
        <v>24</v>
      </c>
      <c r="F347" s="43">
        <f t="shared" si="104"/>
        <v>24</v>
      </c>
      <c r="G347" s="43">
        <f t="shared" si="105"/>
        <v>24</v>
      </c>
      <c r="H347" s="43">
        <f t="shared" si="106"/>
        <v>24</v>
      </c>
      <c r="I347" s="168">
        <v>8.9600000000000009</v>
      </c>
      <c r="J347" s="168">
        <v>166.16</v>
      </c>
      <c r="K347" s="168">
        <v>3.84</v>
      </c>
      <c r="L347" s="73">
        <f t="shared" si="107"/>
        <v>8.9600000000000009</v>
      </c>
      <c r="M347" s="73">
        <f t="shared" si="108"/>
        <v>166.16</v>
      </c>
      <c r="N347" s="73">
        <f t="shared" si="109"/>
        <v>3.84</v>
      </c>
      <c r="O347" s="72">
        <f t="shared" si="110"/>
        <v>0.14699368386514641</v>
      </c>
      <c r="P347" s="72"/>
      <c r="Q347" s="72">
        <f t="shared" si="111"/>
        <v>2.5196738793971871E-3</v>
      </c>
      <c r="R347" s="75">
        <f>IFERROR(O347*'Fechamento fiscal'!AN27,"")</f>
        <v>2.7156032772801106</v>
      </c>
      <c r="S347" s="75">
        <f t="shared" si="112"/>
        <v>166.16</v>
      </c>
      <c r="T347" s="104">
        <f>Q347*'Volumes de água'!$C$26</f>
        <v>7.0828032749854932</v>
      </c>
      <c r="U347" s="191"/>
      <c r="V347" s="192"/>
      <c r="W347" s="193"/>
    </row>
    <row r="348" spans="1:23" x14ac:dyDescent="0.25">
      <c r="A348" s="42">
        <v>23</v>
      </c>
      <c r="B348" s="16" t="s">
        <v>121</v>
      </c>
      <c r="C348" s="16">
        <v>24</v>
      </c>
      <c r="D348" s="148">
        <v>24</v>
      </c>
      <c r="E348" s="148">
        <v>24</v>
      </c>
      <c r="F348" s="43">
        <f t="shared" si="104"/>
        <v>24</v>
      </c>
      <c r="G348" s="43">
        <f t="shared" si="105"/>
        <v>24</v>
      </c>
      <c r="H348" s="43">
        <f t="shared" si="106"/>
        <v>24</v>
      </c>
      <c r="I348" s="168">
        <v>8.9600000000000009</v>
      </c>
      <c r="J348" s="168">
        <v>166.16</v>
      </c>
      <c r="K348" s="168">
        <v>3.84</v>
      </c>
      <c r="L348" s="73">
        <f t="shared" si="107"/>
        <v>8.9600000000000009</v>
      </c>
      <c r="M348" s="73">
        <f t="shared" si="108"/>
        <v>166.16</v>
      </c>
      <c r="N348" s="73">
        <f t="shared" si="109"/>
        <v>3.84</v>
      </c>
      <c r="O348" s="72">
        <f t="shared" si="110"/>
        <v>0.20774386912136245</v>
      </c>
      <c r="P348" s="72"/>
      <c r="Q348" s="72">
        <f t="shared" si="111"/>
        <v>3.5482766875626643E-3</v>
      </c>
      <c r="R348" s="75">
        <f>IFERROR(O348*'Fechamento fiscal'!AN28,"")</f>
        <v>-6.8431782441471245E-2</v>
      </c>
      <c r="S348" s="75">
        <f t="shared" si="112"/>
        <v>166.16</v>
      </c>
      <c r="T348" s="104">
        <f>Q348*'Volumes de água'!$C$27</f>
        <v>5.3437046914693722</v>
      </c>
      <c r="U348" s="191"/>
      <c r="V348" s="192"/>
      <c r="W348" s="193"/>
    </row>
    <row r="349" spans="1:23" x14ac:dyDescent="0.25">
      <c r="A349" s="42">
        <v>24</v>
      </c>
      <c r="B349" s="16" t="s">
        <v>121</v>
      </c>
      <c r="C349" s="16">
        <v>24</v>
      </c>
      <c r="D349" s="148">
        <v>23.5</v>
      </c>
      <c r="E349" s="148">
        <v>23.5</v>
      </c>
      <c r="F349" s="43">
        <f t="shared" si="104"/>
        <v>23.5</v>
      </c>
      <c r="G349" s="43">
        <f t="shared" si="105"/>
        <v>23.5</v>
      </c>
      <c r="H349" s="43">
        <f t="shared" si="106"/>
        <v>23.5</v>
      </c>
      <c r="I349" s="168">
        <v>8.9600000000000009</v>
      </c>
      <c r="J349" s="168">
        <v>166.16</v>
      </c>
      <c r="K349" s="168">
        <v>3.84</v>
      </c>
      <c r="L349" s="73">
        <f t="shared" si="107"/>
        <v>8.7733333333333334</v>
      </c>
      <c r="M349" s="73">
        <f t="shared" si="108"/>
        <v>162.69833333333332</v>
      </c>
      <c r="N349" s="73">
        <f t="shared" si="109"/>
        <v>3.76</v>
      </c>
      <c r="O349" s="72">
        <f t="shared" si="110"/>
        <v>0.14195643145694115</v>
      </c>
      <c r="P349" s="72"/>
      <c r="Q349" s="72">
        <f t="shared" si="111"/>
        <v>2.5457039764353118E-3</v>
      </c>
      <c r="R349" s="75">
        <f>IFERROR(O349*'Fechamento fiscal'!AN29,"")</f>
        <v>-1.8802763893180866E-2</v>
      </c>
      <c r="S349" s="75">
        <f t="shared" si="112"/>
        <v>162.69833333333332</v>
      </c>
      <c r="T349" s="104">
        <f>Q349*'Volumes de água'!$C$28</f>
        <v>3.3628749528710471</v>
      </c>
      <c r="U349" s="191"/>
      <c r="V349" s="192"/>
      <c r="W349" s="193"/>
    </row>
    <row r="350" spans="1:23" x14ac:dyDescent="0.25">
      <c r="A350" s="42">
        <v>25</v>
      </c>
      <c r="B350" s="16" t="s">
        <v>121</v>
      </c>
      <c r="C350" s="16">
        <v>24</v>
      </c>
      <c r="D350" s="148">
        <v>24</v>
      </c>
      <c r="E350" s="148">
        <v>24</v>
      </c>
      <c r="F350" s="43">
        <f t="shared" si="104"/>
        <v>24</v>
      </c>
      <c r="G350" s="43">
        <f t="shared" si="105"/>
        <v>24</v>
      </c>
      <c r="H350" s="43">
        <f t="shared" si="106"/>
        <v>24</v>
      </c>
      <c r="I350" s="168">
        <v>8.9600000000000009</v>
      </c>
      <c r="J350" s="168">
        <v>166.16</v>
      </c>
      <c r="K350" s="168">
        <v>3.84</v>
      </c>
      <c r="L350" s="73">
        <f t="shared" si="107"/>
        <v>8.9600000000000009</v>
      </c>
      <c r="M350" s="73">
        <f t="shared" si="108"/>
        <v>166.16</v>
      </c>
      <c r="N350" s="73">
        <f t="shared" si="109"/>
        <v>3.84</v>
      </c>
      <c r="O350" s="72">
        <f t="shared" si="110"/>
        <v>0.12370877812269168</v>
      </c>
      <c r="P350" s="72"/>
      <c r="Q350" s="72">
        <f t="shared" si="111"/>
        <v>2.3309829339725053E-3</v>
      </c>
      <c r="R350" s="75">
        <f>IFERROR(O350*'Fechamento fiscal'!AN30,"")</f>
        <v>7.7389153512119995</v>
      </c>
      <c r="S350" s="75">
        <f t="shared" si="112"/>
        <v>166.16</v>
      </c>
      <c r="T350" s="104">
        <f>Q350*'Volumes de água'!$C$29</f>
        <v>6.3799002902827473</v>
      </c>
      <c r="U350" s="191"/>
      <c r="V350" s="192"/>
      <c r="W350" s="193"/>
    </row>
    <row r="351" spans="1:23" x14ac:dyDescent="0.25">
      <c r="A351" s="42">
        <v>26</v>
      </c>
      <c r="B351" s="16" t="s">
        <v>121</v>
      </c>
      <c r="C351" s="16">
        <v>24</v>
      </c>
      <c r="D351" s="148">
        <v>24</v>
      </c>
      <c r="E351" s="148">
        <v>24</v>
      </c>
      <c r="F351" s="43">
        <f t="shared" si="104"/>
        <v>24</v>
      </c>
      <c r="G351" s="43">
        <f t="shared" si="105"/>
        <v>24</v>
      </c>
      <c r="H351" s="43">
        <f t="shared" si="106"/>
        <v>24</v>
      </c>
      <c r="I351" s="168">
        <v>8.9600000000000009</v>
      </c>
      <c r="J351" s="168">
        <v>166.16</v>
      </c>
      <c r="K351" s="168">
        <v>3.84</v>
      </c>
      <c r="L351" s="73">
        <f t="shared" si="107"/>
        <v>8.9600000000000009</v>
      </c>
      <c r="M351" s="73">
        <f t="shared" si="108"/>
        <v>166.16</v>
      </c>
      <c r="N351" s="73">
        <f t="shared" si="109"/>
        <v>3.84</v>
      </c>
      <c r="O351" s="72">
        <f t="shared" si="110"/>
        <v>0.12068748765287982</v>
      </c>
      <c r="P351" s="72"/>
      <c r="Q351" s="72">
        <f t="shared" si="111"/>
        <v>2.2143328073011477E-3</v>
      </c>
      <c r="R351" s="75">
        <f>IFERROR(O351*'Fechamento fiscal'!AN31,"")</f>
        <v>7.3937301141712766</v>
      </c>
      <c r="S351" s="75">
        <f t="shared" si="112"/>
        <v>166.16</v>
      </c>
      <c r="T351" s="104">
        <f>Q351*'Volumes de água'!$C$30</f>
        <v>6.2023461932505146</v>
      </c>
      <c r="U351" s="191"/>
      <c r="V351" s="192"/>
      <c r="W351" s="193"/>
    </row>
    <row r="352" spans="1:23" x14ac:dyDescent="0.25">
      <c r="A352" s="42">
        <v>27</v>
      </c>
      <c r="B352" s="16" t="s">
        <v>121</v>
      </c>
      <c r="C352" s="16">
        <v>24</v>
      </c>
      <c r="D352" s="148">
        <v>24</v>
      </c>
      <c r="E352" s="148">
        <v>24</v>
      </c>
      <c r="F352" s="43">
        <f t="shared" si="104"/>
        <v>24</v>
      </c>
      <c r="G352" s="43">
        <f t="shared" si="105"/>
        <v>24</v>
      </c>
      <c r="H352" s="43">
        <f t="shared" si="106"/>
        <v>24</v>
      </c>
      <c r="I352" s="168">
        <v>8.9600000000000009</v>
      </c>
      <c r="J352" s="168">
        <v>166.16</v>
      </c>
      <c r="K352" s="168">
        <v>3.84</v>
      </c>
      <c r="L352" s="73">
        <f t="shared" si="107"/>
        <v>8.9600000000000009</v>
      </c>
      <c r="M352" s="73">
        <f t="shared" si="108"/>
        <v>166.16</v>
      </c>
      <c r="N352" s="73">
        <f t="shared" si="109"/>
        <v>3.84</v>
      </c>
      <c r="O352" s="72">
        <f t="shared" si="110"/>
        <v>0.11784589282073879</v>
      </c>
      <c r="P352" s="72"/>
      <c r="Q352" s="72">
        <f t="shared" si="111"/>
        <v>1.982971362524023E-3</v>
      </c>
      <c r="R352" s="75">
        <f>IFERROR(O352*'Fechamento fiscal'!AN32,"")</f>
        <v>4.3105877218869604E-2</v>
      </c>
      <c r="S352" s="75">
        <f t="shared" si="112"/>
        <v>166.16</v>
      </c>
      <c r="T352" s="104">
        <f>Q352*'Volumes de água'!$C$31</f>
        <v>5.8814930612462524</v>
      </c>
      <c r="U352" s="191"/>
      <c r="V352" s="192"/>
      <c r="W352" s="193"/>
    </row>
    <row r="353" spans="1:23" x14ac:dyDescent="0.25">
      <c r="A353" s="42">
        <v>28</v>
      </c>
      <c r="B353" s="16" t="s">
        <v>121</v>
      </c>
      <c r="C353" s="16">
        <v>24</v>
      </c>
      <c r="D353" s="148">
        <v>24</v>
      </c>
      <c r="E353" s="148">
        <v>24</v>
      </c>
      <c r="F353" s="43">
        <f t="shared" si="104"/>
        <v>24</v>
      </c>
      <c r="G353" s="43">
        <f t="shared" si="105"/>
        <v>24</v>
      </c>
      <c r="H353" s="43">
        <f t="shared" si="106"/>
        <v>24</v>
      </c>
      <c r="I353" s="168">
        <v>8.9600000000000009</v>
      </c>
      <c r="J353" s="168">
        <v>166.16</v>
      </c>
      <c r="K353" s="168">
        <v>3.84</v>
      </c>
      <c r="L353" s="73">
        <f t="shared" si="107"/>
        <v>8.9600000000000009</v>
      </c>
      <c r="M353" s="73">
        <f t="shared" si="108"/>
        <v>166.16</v>
      </c>
      <c r="N353" s="73">
        <f t="shared" si="109"/>
        <v>3.84</v>
      </c>
      <c r="O353" s="72">
        <f t="shared" si="110"/>
        <v>0.12277953126356032</v>
      </c>
      <c r="P353" s="72"/>
      <c r="Q353" s="72">
        <f t="shared" si="111"/>
        <v>2.294440786075015E-3</v>
      </c>
      <c r="R353" s="75">
        <f>IFERROR(O353*'Fechamento fiscal'!AN33,"")</f>
        <v>2.0074897630148556E-2</v>
      </c>
      <c r="S353" s="75">
        <f t="shared" si="112"/>
        <v>166.16</v>
      </c>
      <c r="T353" s="104">
        <f>Q353*'Volumes de água'!$C$32</f>
        <v>6.1743401553278652</v>
      </c>
      <c r="U353" s="191"/>
      <c r="V353" s="192"/>
      <c r="W353" s="193"/>
    </row>
    <row r="354" spans="1:23" x14ac:dyDescent="0.25">
      <c r="A354" s="42">
        <v>29</v>
      </c>
      <c r="B354" s="16" t="s">
        <v>121</v>
      </c>
      <c r="C354" s="16">
        <v>24</v>
      </c>
      <c r="D354" s="148">
        <v>24</v>
      </c>
      <c r="E354" s="148">
        <v>24</v>
      </c>
      <c r="F354" s="43">
        <f t="shared" si="104"/>
        <v>24</v>
      </c>
      <c r="G354" s="43">
        <f t="shared" si="105"/>
        <v>24</v>
      </c>
      <c r="H354" s="43">
        <f t="shared" si="106"/>
        <v>24</v>
      </c>
      <c r="I354" s="168">
        <v>8.9600000000000009</v>
      </c>
      <c r="J354" s="168">
        <v>166.16</v>
      </c>
      <c r="K354" s="168">
        <v>3.84</v>
      </c>
      <c r="L354" s="73">
        <f t="shared" si="107"/>
        <v>8.9600000000000009</v>
      </c>
      <c r="M354" s="73">
        <f t="shared" si="108"/>
        <v>166.16</v>
      </c>
      <c r="N354" s="73">
        <f t="shared" si="109"/>
        <v>3.84</v>
      </c>
      <c r="O354" s="72">
        <f t="shared" si="110"/>
        <v>0.12643224022125643</v>
      </c>
      <c r="P354" s="72"/>
      <c r="Q354" s="72">
        <f t="shared" si="111"/>
        <v>2.4416608380492147E-3</v>
      </c>
      <c r="R354" s="75">
        <f>IFERROR(O354*'Fechamento fiscal'!AN34,"")</f>
        <v>7.6653578533666789</v>
      </c>
      <c r="S354" s="75">
        <f t="shared" si="112"/>
        <v>166.16</v>
      </c>
      <c r="T354" s="104">
        <f>Q354*'Volumes de água'!$C$33</f>
        <v>6.5851592802187318</v>
      </c>
      <c r="U354" s="191"/>
      <c r="V354" s="192"/>
      <c r="W354" s="193"/>
    </row>
    <row r="355" spans="1:23" x14ac:dyDescent="0.25">
      <c r="A355" s="42">
        <v>30</v>
      </c>
      <c r="B355" s="16" t="s">
        <v>121</v>
      </c>
      <c r="C355" s="16">
        <v>24</v>
      </c>
      <c r="D355" s="148">
        <v>24</v>
      </c>
      <c r="E355" s="148">
        <v>24</v>
      </c>
      <c r="F355" s="43">
        <f t="shared" si="104"/>
        <v>24</v>
      </c>
      <c r="G355" s="43">
        <f t="shared" si="105"/>
        <v>24</v>
      </c>
      <c r="H355" s="43">
        <f t="shared" si="106"/>
        <v>24</v>
      </c>
      <c r="I355" s="168">
        <v>8.9600000000000009</v>
      </c>
      <c r="J355" s="168">
        <v>166.16</v>
      </c>
      <c r="K355" s="168">
        <v>3.84</v>
      </c>
      <c r="L355" s="73">
        <f t="shared" si="107"/>
        <v>8.9600000000000009</v>
      </c>
      <c r="M355" s="73">
        <f t="shared" si="108"/>
        <v>166.16</v>
      </c>
      <c r="N355" s="73">
        <f t="shared" si="109"/>
        <v>3.84</v>
      </c>
      <c r="O355" s="72">
        <f t="shared" si="110"/>
        <v>0.17228118750961391</v>
      </c>
      <c r="P355" s="72"/>
      <c r="Q355" s="72">
        <f t="shared" si="111"/>
        <v>2.8031140845533086E-3</v>
      </c>
      <c r="R355" s="75">
        <f>IFERROR(O355*'Fechamento fiscal'!AN35,"")</f>
        <v>2.5073728322478153</v>
      </c>
      <c r="S355" s="75">
        <f t="shared" si="112"/>
        <v>166.16</v>
      </c>
      <c r="T355" s="104">
        <f>Q355*'Volumes de água'!$C$34</f>
        <v>7.6721232494224054</v>
      </c>
      <c r="U355" s="191"/>
      <c r="V355" s="192"/>
      <c r="W355" s="193"/>
    </row>
    <row r="356" spans="1:23" x14ac:dyDescent="0.25">
      <c r="A356" s="42">
        <v>31</v>
      </c>
      <c r="B356" s="16" t="s">
        <v>121</v>
      </c>
      <c r="C356" s="16">
        <v>24</v>
      </c>
      <c r="D356" s="148"/>
      <c r="E356" s="148"/>
      <c r="F356" s="43">
        <f>IF(OR(C356="",E356=""),0,IF(E356&gt;C356,E356,E356/C356*24))</f>
        <v>0</v>
      </c>
      <c r="G356" s="43">
        <f>IF(OR(C356="",D356=""),0,IF(D356&gt;C356,D356,D356/C356*24))</f>
        <v>0</v>
      </c>
      <c r="H356" s="43">
        <f>IF(OR(C356="",D356=""),0,IF(D356&gt;C356,D356,D356/C356*24))</f>
        <v>0</v>
      </c>
      <c r="I356" s="168">
        <v>8.9600000000000009</v>
      </c>
      <c r="J356" s="168">
        <v>166.16</v>
      </c>
      <c r="K356" s="168">
        <v>3.84</v>
      </c>
      <c r="L356" s="73">
        <f>I356*(G356/C356)</f>
        <v>0</v>
      </c>
      <c r="M356" s="73">
        <f>J356*(F356/C356)</f>
        <v>0</v>
      </c>
      <c r="N356" s="73">
        <f>K356*(H356/C356)</f>
        <v>0</v>
      </c>
      <c r="O356" s="72">
        <f t="shared" si="110"/>
        <v>0</v>
      </c>
      <c r="P356" s="72"/>
      <c r="Q356" s="72">
        <f t="shared" si="111"/>
        <v>0</v>
      </c>
      <c r="R356" s="75" t="str">
        <f>IFERROR(O356*'Fechamento fiscal'!AN36,"")</f>
        <v/>
      </c>
      <c r="S356" s="75">
        <f t="shared" si="112"/>
        <v>0</v>
      </c>
      <c r="T356" s="104">
        <f>Q356*'Volumes de água'!$C$35</f>
        <v>0</v>
      </c>
      <c r="U356" s="191"/>
      <c r="V356" s="192"/>
      <c r="W356" s="193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122</v>
      </c>
      <c r="C358" s="16">
        <v>24</v>
      </c>
      <c r="D358" s="148">
        <v>0</v>
      </c>
      <c r="E358" s="148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68">
        <v>0.67</v>
      </c>
      <c r="J358" s="168">
        <v>161.09</v>
      </c>
      <c r="K358" s="168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IF(D358&lt;&gt;0,L358/(L6+L38+L70+L102+L134+L166+L198+L230+L262+L294+L326+L358),0)</f>
        <v>0</v>
      </c>
      <c r="P358" s="72"/>
      <c r="Q358" s="72">
        <f t="shared" ref="Q358" si="113">IF(F358&lt;&gt;0,N358/(N6+N38+N70+N102+N134+N166+N198+N230+N262+N294+N326+N358),0)</f>
        <v>0</v>
      </c>
      <c r="R358" s="75">
        <f>IFERROR(O358*'Fechamento fiscal'!AN6,"")</f>
        <v>0</v>
      </c>
      <c r="S358" s="75">
        <f>M358</f>
        <v>0</v>
      </c>
      <c r="T358" s="104">
        <f>Q358*'Volumes de água'!$C$5</f>
        <v>0</v>
      </c>
      <c r="U358" s="191"/>
      <c r="V358" s="192"/>
      <c r="W358" s="193"/>
    </row>
    <row r="359" spans="1:23" x14ac:dyDescent="0.25">
      <c r="A359" s="42">
        <v>2</v>
      </c>
      <c r="B359" s="16" t="s">
        <v>122</v>
      </c>
      <c r="C359" s="16">
        <v>24</v>
      </c>
      <c r="D359" s="148">
        <v>0</v>
      </c>
      <c r="E359" s="148">
        <v>0</v>
      </c>
      <c r="F359" s="43">
        <f t="shared" ref="F359:F387" si="114">IF(OR(C359="",E359=""),0,IF(E359&gt;C359,E359,E359/C359*24))</f>
        <v>0</v>
      </c>
      <c r="G359" s="43">
        <f t="shared" ref="G359:G387" si="115">IF(OR(C359="",D359=""),0,IF(D359&gt;C359,D359,D359/C359*24))</f>
        <v>0</v>
      </c>
      <c r="H359" s="43">
        <f t="shared" ref="H359:H387" si="116">IF(OR(C359="",D359=""),0,IF(D359&gt;C359,D359,D359/C359*24))</f>
        <v>0</v>
      </c>
      <c r="I359" s="168">
        <v>0.67</v>
      </c>
      <c r="J359" s="168">
        <v>161.09</v>
      </c>
      <c r="K359" s="168">
        <v>4.97</v>
      </c>
      <c r="L359" s="73">
        <f t="shared" ref="L359:L387" si="117">I359*(G359/C359)</f>
        <v>0</v>
      </c>
      <c r="M359" s="73">
        <f t="shared" ref="M359:M387" si="118">J359*(F359/C359)</f>
        <v>0</v>
      </c>
      <c r="N359" s="73">
        <f t="shared" ref="N359:N387" si="119">K359*(H359/C359)</f>
        <v>0</v>
      </c>
      <c r="O359" s="72">
        <f t="shared" ref="O359:O388" si="120">IF(D359&lt;&gt;0,L359/(L7+L39+L71+L103+L135+L167+L199+L231+L263+L295+L327+L359),0)</f>
        <v>0</v>
      </c>
      <c r="P359" s="72"/>
      <c r="Q359" s="72">
        <f t="shared" ref="Q359:Q388" si="121">IF(F359&lt;&gt;0,N359/(N7+N39+N71+N103+N135+N167+N199+N231+N263+N295+N327+N359),0)</f>
        <v>0</v>
      </c>
      <c r="R359" s="75">
        <f>IFERROR(O359*'Fechamento fiscal'!AN7,"")</f>
        <v>0</v>
      </c>
      <c r="S359" s="75">
        <f t="shared" ref="S359:S388" si="122">M359</f>
        <v>0</v>
      </c>
      <c r="T359" s="104">
        <f>Q359*'Volumes de água'!$C$6</f>
        <v>0</v>
      </c>
      <c r="U359" s="191"/>
      <c r="V359" s="192"/>
      <c r="W359" s="193"/>
    </row>
    <row r="360" spans="1:23" x14ac:dyDescent="0.25">
      <c r="A360" s="42">
        <v>3</v>
      </c>
      <c r="B360" s="16" t="s">
        <v>122</v>
      </c>
      <c r="C360" s="16">
        <v>24</v>
      </c>
      <c r="D360" s="148">
        <v>0</v>
      </c>
      <c r="E360" s="148">
        <v>0</v>
      </c>
      <c r="F360" s="43">
        <f t="shared" si="114"/>
        <v>0</v>
      </c>
      <c r="G360" s="43">
        <f t="shared" si="115"/>
        <v>0</v>
      </c>
      <c r="H360" s="43">
        <f t="shared" si="116"/>
        <v>0</v>
      </c>
      <c r="I360" s="168">
        <v>0.67</v>
      </c>
      <c r="J360" s="168">
        <v>161.09</v>
      </c>
      <c r="K360" s="168">
        <v>4.97</v>
      </c>
      <c r="L360" s="73">
        <f t="shared" si="117"/>
        <v>0</v>
      </c>
      <c r="M360" s="73">
        <f t="shared" si="118"/>
        <v>0</v>
      </c>
      <c r="N360" s="73">
        <f t="shared" si="119"/>
        <v>0</v>
      </c>
      <c r="O360" s="72">
        <f t="shared" si="120"/>
        <v>0</v>
      </c>
      <c r="P360" s="72"/>
      <c r="Q360" s="72">
        <f t="shared" si="121"/>
        <v>0</v>
      </c>
      <c r="R360" s="75">
        <f>IFERROR(O360*'Fechamento fiscal'!AN8,"")</f>
        <v>0</v>
      </c>
      <c r="S360" s="75">
        <f t="shared" si="122"/>
        <v>0</v>
      </c>
      <c r="T360" s="104">
        <f>Q360*'Volumes de água'!$C$7</f>
        <v>0</v>
      </c>
      <c r="U360" s="191"/>
      <c r="V360" s="192"/>
      <c r="W360" s="193"/>
    </row>
    <row r="361" spans="1:23" x14ac:dyDescent="0.25">
      <c r="A361" s="42">
        <v>4</v>
      </c>
      <c r="B361" s="16" t="s">
        <v>122</v>
      </c>
      <c r="C361" s="16">
        <v>24</v>
      </c>
      <c r="D361" s="148">
        <v>0</v>
      </c>
      <c r="E361" s="148">
        <v>0</v>
      </c>
      <c r="F361" s="43">
        <f t="shared" si="114"/>
        <v>0</v>
      </c>
      <c r="G361" s="43">
        <f t="shared" si="115"/>
        <v>0</v>
      </c>
      <c r="H361" s="43">
        <f t="shared" si="116"/>
        <v>0</v>
      </c>
      <c r="I361" s="168">
        <v>0.67</v>
      </c>
      <c r="J361" s="168">
        <v>161.09</v>
      </c>
      <c r="K361" s="168">
        <v>4.97</v>
      </c>
      <c r="L361" s="73">
        <f t="shared" si="117"/>
        <v>0</v>
      </c>
      <c r="M361" s="73">
        <f t="shared" si="118"/>
        <v>0</v>
      </c>
      <c r="N361" s="73">
        <f t="shared" si="119"/>
        <v>0</v>
      </c>
      <c r="O361" s="72">
        <f t="shared" si="120"/>
        <v>0</v>
      </c>
      <c r="P361" s="72"/>
      <c r="Q361" s="72">
        <f t="shared" si="121"/>
        <v>0</v>
      </c>
      <c r="R361" s="75">
        <f>IFERROR(O361*'Fechamento fiscal'!AN9,"")</f>
        <v>0</v>
      </c>
      <c r="S361" s="75">
        <f t="shared" si="122"/>
        <v>0</v>
      </c>
      <c r="T361" s="104">
        <f>Q361*'Volumes de água'!$C$8</f>
        <v>0</v>
      </c>
      <c r="U361" s="191"/>
      <c r="V361" s="192"/>
      <c r="W361" s="193"/>
    </row>
    <row r="362" spans="1:23" x14ac:dyDescent="0.25">
      <c r="A362" s="42">
        <v>5</v>
      </c>
      <c r="B362" s="16" t="s">
        <v>122</v>
      </c>
      <c r="C362" s="16">
        <v>24</v>
      </c>
      <c r="D362" s="148">
        <v>0</v>
      </c>
      <c r="E362" s="148">
        <v>0</v>
      </c>
      <c r="F362" s="43">
        <f t="shared" si="114"/>
        <v>0</v>
      </c>
      <c r="G362" s="43">
        <f t="shared" si="115"/>
        <v>0</v>
      </c>
      <c r="H362" s="43">
        <f t="shared" si="116"/>
        <v>0</v>
      </c>
      <c r="I362" s="168">
        <v>0.67</v>
      </c>
      <c r="J362" s="168">
        <v>161.09</v>
      </c>
      <c r="K362" s="168">
        <v>4.97</v>
      </c>
      <c r="L362" s="73">
        <f t="shared" si="117"/>
        <v>0</v>
      </c>
      <c r="M362" s="73">
        <f t="shared" si="118"/>
        <v>0</v>
      </c>
      <c r="N362" s="73">
        <f t="shared" si="119"/>
        <v>0</v>
      </c>
      <c r="O362" s="72">
        <f t="shared" si="120"/>
        <v>0</v>
      </c>
      <c r="P362" s="72"/>
      <c r="Q362" s="72">
        <f t="shared" si="121"/>
        <v>0</v>
      </c>
      <c r="R362" s="75">
        <f>IFERROR(O362*'Fechamento fiscal'!AN10,"")</f>
        <v>0</v>
      </c>
      <c r="S362" s="75">
        <f t="shared" si="122"/>
        <v>0</v>
      </c>
      <c r="T362" s="104">
        <f>Q362*'Volumes de água'!$C$9</f>
        <v>0</v>
      </c>
      <c r="U362" s="191"/>
      <c r="V362" s="192"/>
      <c r="W362" s="193"/>
    </row>
    <row r="363" spans="1:23" x14ac:dyDescent="0.25">
      <c r="A363" s="42">
        <v>6</v>
      </c>
      <c r="B363" s="16" t="s">
        <v>122</v>
      </c>
      <c r="C363" s="16">
        <v>24</v>
      </c>
      <c r="D363" s="148">
        <v>0</v>
      </c>
      <c r="E363" s="148">
        <v>0</v>
      </c>
      <c r="F363" s="43">
        <f t="shared" si="114"/>
        <v>0</v>
      </c>
      <c r="G363" s="43">
        <f t="shared" si="115"/>
        <v>0</v>
      </c>
      <c r="H363" s="43">
        <f t="shared" si="116"/>
        <v>0</v>
      </c>
      <c r="I363" s="168">
        <v>0.67</v>
      </c>
      <c r="J363" s="168">
        <v>161.09</v>
      </c>
      <c r="K363" s="168">
        <v>4.97</v>
      </c>
      <c r="L363" s="73">
        <f t="shared" si="117"/>
        <v>0</v>
      </c>
      <c r="M363" s="73">
        <f t="shared" si="118"/>
        <v>0</v>
      </c>
      <c r="N363" s="73">
        <f t="shared" si="119"/>
        <v>0</v>
      </c>
      <c r="O363" s="72">
        <f t="shared" si="120"/>
        <v>0</v>
      </c>
      <c r="P363" s="72"/>
      <c r="Q363" s="72">
        <f t="shared" si="121"/>
        <v>0</v>
      </c>
      <c r="R363" s="75">
        <f>IFERROR(O363*'Fechamento fiscal'!AN11,"")</f>
        <v>0</v>
      </c>
      <c r="S363" s="75">
        <f t="shared" si="122"/>
        <v>0</v>
      </c>
      <c r="T363" s="104">
        <f>Q363*'Volumes de água'!$C$10</f>
        <v>0</v>
      </c>
      <c r="U363" s="191"/>
      <c r="V363" s="192"/>
      <c r="W363" s="193"/>
    </row>
    <row r="364" spans="1:23" x14ac:dyDescent="0.25">
      <c r="A364" s="42">
        <v>7</v>
      </c>
      <c r="B364" s="16" t="s">
        <v>122</v>
      </c>
      <c r="C364" s="16">
        <v>24</v>
      </c>
      <c r="D364" s="148">
        <v>0</v>
      </c>
      <c r="E364" s="148">
        <v>0</v>
      </c>
      <c r="F364" s="43">
        <f t="shared" si="114"/>
        <v>0</v>
      </c>
      <c r="G364" s="43">
        <f t="shared" si="115"/>
        <v>0</v>
      </c>
      <c r="H364" s="43">
        <f t="shared" si="116"/>
        <v>0</v>
      </c>
      <c r="I364" s="168">
        <v>0.67</v>
      </c>
      <c r="J364" s="168">
        <v>161.09</v>
      </c>
      <c r="K364" s="168">
        <v>4.97</v>
      </c>
      <c r="L364" s="73">
        <f t="shared" si="117"/>
        <v>0</v>
      </c>
      <c r="M364" s="73">
        <f t="shared" si="118"/>
        <v>0</v>
      </c>
      <c r="N364" s="73">
        <f t="shared" si="119"/>
        <v>0</v>
      </c>
      <c r="O364" s="72">
        <f t="shared" si="120"/>
        <v>0</v>
      </c>
      <c r="P364" s="72"/>
      <c r="Q364" s="72">
        <f t="shared" si="121"/>
        <v>0</v>
      </c>
      <c r="R364" s="75">
        <f>IFERROR(O364*'Fechamento fiscal'!AN12,"")</f>
        <v>0</v>
      </c>
      <c r="S364" s="75">
        <f t="shared" si="122"/>
        <v>0</v>
      </c>
      <c r="T364" s="104">
        <f>Q364*'Volumes de água'!$C$11</f>
        <v>0</v>
      </c>
      <c r="U364" s="191"/>
      <c r="V364" s="192"/>
      <c r="W364" s="193"/>
    </row>
    <row r="365" spans="1:23" x14ac:dyDescent="0.25">
      <c r="A365" s="42">
        <v>8</v>
      </c>
      <c r="B365" s="16" t="s">
        <v>122</v>
      </c>
      <c r="C365" s="16">
        <v>24</v>
      </c>
      <c r="D365" s="148">
        <v>0</v>
      </c>
      <c r="E365" s="148">
        <v>0</v>
      </c>
      <c r="F365" s="43">
        <f t="shared" si="114"/>
        <v>0</v>
      </c>
      <c r="G365" s="43">
        <f t="shared" si="115"/>
        <v>0</v>
      </c>
      <c r="H365" s="43">
        <f t="shared" si="116"/>
        <v>0</v>
      </c>
      <c r="I365" s="168">
        <v>0.67</v>
      </c>
      <c r="J365" s="168">
        <v>161.09</v>
      </c>
      <c r="K365" s="168">
        <v>4.97</v>
      </c>
      <c r="L365" s="73">
        <f t="shared" si="117"/>
        <v>0</v>
      </c>
      <c r="M365" s="73">
        <f t="shared" si="118"/>
        <v>0</v>
      </c>
      <c r="N365" s="73">
        <f t="shared" si="119"/>
        <v>0</v>
      </c>
      <c r="O365" s="72">
        <f t="shared" si="120"/>
        <v>0</v>
      </c>
      <c r="P365" s="72"/>
      <c r="Q365" s="72">
        <f t="shared" si="121"/>
        <v>0</v>
      </c>
      <c r="R365" s="75">
        <f>IFERROR(O365*'Fechamento fiscal'!AN13,"")</f>
        <v>0</v>
      </c>
      <c r="S365" s="75">
        <f t="shared" si="122"/>
        <v>0</v>
      </c>
      <c r="T365" s="104">
        <f>Q365*'Volumes de água'!$C$12</f>
        <v>0</v>
      </c>
      <c r="U365" s="191"/>
      <c r="V365" s="192"/>
      <c r="W365" s="193"/>
    </row>
    <row r="366" spans="1:23" x14ac:dyDescent="0.25">
      <c r="A366" s="42">
        <v>9</v>
      </c>
      <c r="B366" s="16" t="s">
        <v>122</v>
      </c>
      <c r="C366" s="16">
        <v>24</v>
      </c>
      <c r="D366" s="148">
        <v>0</v>
      </c>
      <c r="E366" s="148">
        <v>0</v>
      </c>
      <c r="F366" s="43">
        <f t="shared" si="114"/>
        <v>0</v>
      </c>
      <c r="G366" s="43">
        <f t="shared" si="115"/>
        <v>0</v>
      </c>
      <c r="H366" s="43">
        <f t="shared" si="116"/>
        <v>0</v>
      </c>
      <c r="I366" s="168">
        <v>0.67</v>
      </c>
      <c r="J366" s="168">
        <v>161.09</v>
      </c>
      <c r="K366" s="168">
        <v>4.97</v>
      </c>
      <c r="L366" s="73">
        <f t="shared" si="117"/>
        <v>0</v>
      </c>
      <c r="M366" s="73">
        <f t="shared" si="118"/>
        <v>0</v>
      </c>
      <c r="N366" s="73">
        <f t="shared" si="119"/>
        <v>0</v>
      </c>
      <c r="O366" s="72">
        <f t="shared" si="120"/>
        <v>0</v>
      </c>
      <c r="P366" s="72"/>
      <c r="Q366" s="72">
        <f t="shared" si="121"/>
        <v>0</v>
      </c>
      <c r="R366" s="75">
        <f>IFERROR(O366*'Fechamento fiscal'!AN14,"")</f>
        <v>0</v>
      </c>
      <c r="S366" s="75">
        <f t="shared" si="122"/>
        <v>0</v>
      </c>
      <c r="T366" s="104">
        <f>Q366*'Volumes de água'!$C$13</f>
        <v>0</v>
      </c>
      <c r="U366" s="191"/>
      <c r="V366" s="192"/>
      <c r="W366" s="193"/>
    </row>
    <row r="367" spans="1:23" x14ac:dyDescent="0.25">
      <c r="A367" s="42">
        <v>10</v>
      </c>
      <c r="B367" s="16" t="s">
        <v>122</v>
      </c>
      <c r="C367" s="16">
        <v>24</v>
      </c>
      <c r="D367" s="148">
        <v>0</v>
      </c>
      <c r="E367" s="148">
        <v>0</v>
      </c>
      <c r="F367" s="43">
        <f t="shared" si="114"/>
        <v>0</v>
      </c>
      <c r="G367" s="43">
        <f t="shared" si="115"/>
        <v>0</v>
      </c>
      <c r="H367" s="43">
        <f t="shared" si="116"/>
        <v>0</v>
      </c>
      <c r="I367" s="168">
        <v>0.67</v>
      </c>
      <c r="J367" s="168">
        <v>161.09</v>
      </c>
      <c r="K367" s="168">
        <v>4.97</v>
      </c>
      <c r="L367" s="73">
        <f t="shared" si="117"/>
        <v>0</v>
      </c>
      <c r="M367" s="73">
        <f t="shared" si="118"/>
        <v>0</v>
      </c>
      <c r="N367" s="73">
        <f t="shared" si="119"/>
        <v>0</v>
      </c>
      <c r="O367" s="72">
        <f t="shared" si="120"/>
        <v>0</v>
      </c>
      <c r="P367" s="72"/>
      <c r="Q367" s="72">
        <f t="shared" si="121"/>
        <v>0</v>
      </c>
      <c r="R367" s="75">
        <f>IFERROR(O367*'Fechamento fiscal'!AN15,"")</f>
        <v>0</v>
      </c>
      <c r="S367" s="75">
        <f t="shared" si="122"/>
        <v>0</v>
      </c>
      <c r="T367" s="104">
        <f>Q367*'Volumes de água'!$C$14</f>
        <v>0</v>
      </c>
      <c r="U367" s="191"/>
      <c r="V367" s="192"/>
      <c r="W367" s="193"/>
    </row>
    <row r="368" spans="1:23" x14ac:dyDescent="0.25">
      <c r="A368" s="42">
        <v>11</v>
      </c>
      <c r="B368" s="16" t="s">
        <v>122</v>
      </c>
      <c r="C368" s="16">
        <v>24</v>
      </c>
      <c r="D368" s="148">
        <v>0</v>
      </c>
      <c r="E368" s="148">
        <v>0</v>
      </c>
      <c r="F368" s="43">
        <f t="shared" si="114"/>
        <v>0</v>
      </c>
      <c r="G368" s="43">
        <f t="shared" si="115"/>
        <v>0</v>
      </c>
      <c r="H368" s="43">
        <f t="shared" si="116"/>
        <v>0</v>
      </c>
      <c r="I368" s="168">
        <v>0.67</v>
      </c>
      <c r="J368" s="168">
        <v>161.09</v>
      </c>
      <c r="K368" s="168">
        <v>4.97</v>
      </c>
      <c r="L368" s="73">
        <f t="shared" si="117"/>
        <v>0</v>
      </c>
      <c r="M368" s="73">
        <f t="shared" si="118"/>
        <v>0</v>
      </c>
      <c r="N368" s="73">
        <f t="shared" si="119"/>
        <v>0</v>
      </c>
      <c r="O368" s="72">
        <f t="shared" si="120"/>
        <v>0</v>
      </c>
      <c r="P368" s="72"/>
      <c r="Q368" s="72">
        <f t="shared" si="121"/>
        <v>0</v>
      </c>
      <c r="R368" s="75">
        <f>IFERROR(O368*'Fechamento fiscal'!AN16,"")</f>
        <v>0</v>
      </c>
      <c r="S368" s="75">
        <f t="shared" si="122"/>
        <v>0</v>
      </c>
      <c r="T368" s="104">
        <f>Q368*'Volumes de água'!$C$15</f>
        <v>0</v>
      </c>
      <c r="U368" s="191"/>
      <c r="V368" s="192"/>
      <c r="W368" s="193"/>
    </row>
    <row r="369" spans="1:23" x14ac:dyDescent="0.25">
      <c r="A369" s="42">
        <v>12</v>
      </c>
      <c r="B369" s="16" t="s">
        <v>122</v>
      </c>
      <c r="C369" s="16">
        <v>24</v>
      </c>
      <c r="D369" s="148">
        <v>0</v>
      </c>
      <c r="E369" s="148">
        <v>0</v>
      </c>
      <c r="F369" s="43">
        <f t="shared" si="114"/>
        <v>0</v>
      </c>
      <c r="G369" s="43">
        <f t="shared" si="115"/>
        <v>0</v>
      </c>
      <c r="H369" s="43">
        <f t="shared" si="116"/>
        <v>0</v>
      </c>
      <c r="I369" s="168">
        <v>0.67</v>
      </c>
      <c r="J369" s="168">
        <v>161.09</v>
      </c>
      <c r="K369" s="168">
        <v>4.97</v>
      </c>
      <c r="L369" s="73">
        <f t="shared" si="117"/>
        <v>0</v>
      </c>
      <c r="M369" s="73">
        <f t="shared" si="118"/>
        <v>0</v>
      </c>
      <c r="N369" s="73">
        <f t="shared" si="119"/>
        <v>0</v>
      </c>
      <c r="O369" s="72">
        <f t="shared" si="120"/>
        <v>0</v>
      </c>
      <c r="P369" s="72"/>
      <c r="Q369" s="72">
        <f t="shared" si="121"/>
        <v>0</v>
      </c>
      <c r="R369" s="75">
        <f>IFERROR(O369*'Fechamento fiscal'!AN17,"")</f>
        <v>0</v>
      </c>
      <c r="S369" s="75">
        <f t="shared" si="122"/>
        <v>0</v>
      </c>
      <c r="T369" s="104">
        <f>Q369*'Volumes de água'!$C$16</f>
        <v>0</v>
      </c>
      <c r="U369" s="191"/>
      <c r="V369" s="192"/>
      <c r="W369" s="193"/>
    </row>
    <row r="370" spans="1:23" x14ac:dyDescent="0.25">
      <c r="A370" s="42">
        <v>13</v>
      </c>
      <c r="B370" s="16" t="s">
        <v>122</v>
      </c>
      <c r="C370" s="16">
        <v>24</v>
      </c>
      <c r="D370" s="148">
        <v>0</v>
      </c>
      <c r="E370" s="148">
        <v>0</v>
      </c>
      <c r="F370" s="43">
        <f t="shared" si="114"/>
        <v>0</v>
      </c>
      <c r="G370" s="43">
        <f t="shared" si="115"/>
        <v>0</v>
      </c>
      <c r="H370" s="43">
        <f t="shared" si="116"/>
        <v>0</v>
      </c>
      <c r="I370" s="168">
        <v>0.67</v>
      </c>
      <c r="J370" s="168">
        <v>161.09</v>
      </c>
      <c r="K370" s="168">
        <v>4.97</v>
      </c>
      <c r="L370" s="73">
        <f t="shared" si="117"/>
        <v>0</v>
      </c>
      <c r="M370" s="73">
        <f t="shared" si="118"/>
        <v>0</v>
      </c>
      <c r="N370" s="73">
        <f t="shared" si="119"/>
        <v>0</v>
      </c>
      <c r="O370" s="72">
        <f t="shared" si="120"/>
        <v>0</v>
      </c>
      <c r="P370" s="72"/>
      <c r="Q370" s="72">
        <f t="shared" si="121"/>
        <v>0</v>
      </c>
      <c r="R370" s="75">
        <f>IFERROR(O370*'Fechamento fiscal'!AN18,"")</f>
        <v>0</v>
      </c>
      <c r="S370" s="75">
        <f t="shared" si="122"/>
        <v>0</v>
      </c>
      <c r="T370" s="104">
        <f>Q370*'Volumes de água'!$C$17</f>
        <v>0</v>
      </c>
      <c r="U370" s="191"/>
      <c r="V370" s="192"/>
      <c r="W370" s="193"/>
    </row>
    <row r="371" spans="1:23" x14ac:dyDescent="0.25">
      <c r="A371" s="42">
        <v>14</v>
      </c>
      <c r="B371" s="16" t="s">
        <v>122</v>
      </c>
      <c r="C371" s="16">
        <v>24</v>
      </c>
      <c r="D371" s="148">
        <v>0</v>
      </c>
      <c r="E371" s="148">
        <v>0</v>
      </c>
      <c r="F371" s="43">
        <f t="shared" si="114"/>
        <v>0</v>
      </c>
      <c r="G371" s="43">
        <f t="shared" si="115"/>
        <v>0</v>
      </c>
      <c r="H371" s="43">
        <f t="shared" si="116"/>
        <v>0</v>
      </c>
      <c r="I371" s="168">
        <v>0.67</v>
      </c>
      <c r="J371" s="168">
        <v>161.09</v>
      </c>
      <c r="K371" s="168">
        <v>4.97</v>
      </c>
      <c r="L371" s="73">
        <f t="shared" si="117"/>
        <v>0</v>
      </c>
      <c r="M371" s="73">
        <f t="shared" si="118"/>
        <v>0</v>
      </c>
      <c r="N371" s="73">
        <f t="shared" si="119"/>
        <v>0</v>
      </c>
      <c r="O371" s="72">
        <f t="shared" si="120"/>
        <v>0</v>
      </c>
      <c r="P371" s="72"/>
      <c r="Q371" s="72">
        <f t="shared" si="121"/>
        <v>0</v>
      </c>
      <c r="R371" s="75">
        <f>IFERROR(O371*'Fechamento fiscal'!AN19,"")</f>
        <v>0</v>
      </c>
      <c r="S371" s="75">
        <f t="shared" si="122"/>
        <v>0</v>
      </c>
      <c r="T371" s="104">
        <f>Q371*'Volumes de água'!$C$18</f>
        <v>0</v>
      </c>
      <c r="U371" s="191"/>
      <c r="V371" s="192"/>
      <c r="W371" s="193"/>
    </row>
    <row r="372" spans="1:23" x14ac:dyDescent="0.25">
      <c r="A372" s="42">
        <v>15</v>
      </c>
      <c r="B372" s="16" t="s">
        <v>122</v>
      </c>
      <c r="C372" s="16">
        <v>24</v>
      </c>
      <c r="D372" s="148">
        <v>0</v>
      </c>
      <c r="E372" s="148">
        <v>0</v>
      </c>
      <c r="F372" s="43">
        <f t="shared" si="114"/>
        <v>0</v>
      </c>
      <c r="G372" s="43">
        <f t="shared" si="115"/>
        <v>0</v>
      </c>
      <c r="H372" s="43">
        <f t="shared" si="116"/>
        <v>0</v>
      </c>
      <c r="I372" s="168">
        <v>0.67</v>
      </c>
      <c r="J372" s="168">
        <v>161.09</v>
      </c>
      <c r="K372" s="168">
        <v>4.97</v>
      </c>
      <c r="L372" s="73">
        <f t="shared" si="117"/>
        <v>0</v>
      </c>
      <c r="M372" s="73">
        <f t="shared" si="118"/>
        <v>0</v>
      </c>
      <c r="N372" s="73">
        <f t="shared" si="119"/>
        <v>0</v>
      </c>
      <c r="O372" s="72">
        <f t="shared" si="120"/>
        <v>0</v>
      </c>
      <c r="P372" s="72"/>
      <c r="Q372" s="72">
        <f t="shared" si="121"/>
        <v>0</v>
      </c>
      <c r="R372" s="75">
        <f>IFERROR(O372*'Fechamento fiscal'!AN20,"")</f>
        <v>0</v>
      </c>
      <c r="S372" s="75">
        <f t="shared" si="122"/>
        <v>0</v>
      </c>
      <c r="T372" s="104">
        <f>Q372*'Volumes de água'!$C$19</f>
        <v>0</v>
      </c>
      <c r="U372" s="191"/>
      <c r="V372" s="192"/>
      <c r="W372" s="193"/>
    </row>
    <row r="373" spans="1:23" x14ac:dyDescent="0.25">
      <c r="A373" s="42">
        <v>16</v>
      </c>
      <c r="B373" s="16" t="s">
        <v>122</v>
      </c>
      <c r="C373" s="16">
        <v>24</v>
      </c>
      <c r="D373" s="148">
        <v>0</v>
      </c>
      <c r="E373" s="148">
        <v>0</v>
      </c>
      <c r="F373" s="43">
        <f t="shared" si="114"/>
        <v>0</v>
      </c>
      <c r="G373" s="43">
        <f t="shared" si="115"/>
        <v>0</v>
      </c>
      <c r="H373" s="43">
        <f t="shared" si="116"/>
        <v>0</v>
      </c>
      <c r="I373" s="168">
        <v>0.67</v>
      </c>
      <c r="J373" s="168">
        <v>161.09</v>
      </c>
      <c r="K373" s="168">
        <v>4.97</v>
      </c>
      <c r="L373" s="73">
        <f t="shared" si="117"/>
        <v>0</v>
      </c>
      <c r="M373" s="73">
        <f t="shared" si="118"/>
        <v>0</v>
      </c>
      <c r="N373" s="73">
        <f t="shared" si="119"/>
        <v>0</v>
      </c>
      <c r="O373" s="72">
        <f t="shared" si="120"/>
        <v>0</v>
      </c>
      <c r="P373" s="72"/>
      <c r="Q373" s="72">
        <f t="shared" si="121"/>
        <v>0</v>
      </c>
      <c r="R373" s="75">
        <f>IFERROR(O373*'Fechamento fiscal'!AN21,"")</f>
        <v>0</v>
      </c>
      <c r="S373" s="75">
        <f t="shared" si="122"/>
        <v>0</v>
      </c>
      <c r="T373" s="104">
        <f>Q373*'Volumes de água'!$C$20</f>
        <v>0</v>
      </c>
      <c r="U373" s="191"/>
      <c r="V373" s="192"/>
      <c r="W373" s="193"/>
    </row>
    <row r="374" spans="1:23" x14ac:dyDescent="0.25">
      <c r="A374" s="42">
        <v>17</v>
      </c>
      <c r="B374" s="16" t="s">
        <v>122</v>
      </c>
      <c r="C374" s="16">
        <v>24</v>
      </c>
      <c r="D374" s="148">
        <v>0</v>
      </c>
      <c r="E374" s="148">
        <v>0</v>
      </c>
      <c r="F374" s="43">
        <f t="shared" si="114"/>
        <v>0</v>
      </c>
      <c r="G374" s="43">
        <f t="shared" si="115"/>
        <v>0</v>
      </c>
      <c r="H374" s="43">
        <f t="shared" si="116"/>
        <v>0</v>
      </c>
      <c r="I374" s="168">
        <v>0.67</v>
      </c>
      <c r="J374" s="168">
        <v>161.09</v>
      </c>
      <c r="K374" s="168">
        <v>4.97</v>
      </c>
      <c r="L374" s="73">
        <f t="shared" si="117"/>
        <v>0</v>
      </c>
      <c r="M374" s="73">
        <f t="shared" si="118"/>
        <v>0</v>
      </c>
      <c r="N374" s="73">
        <f t="shared" si="119"/>
        <v>0</v>
      </c>
      <c r="O374" s="72">
        <f t="shared" si="120"/>
        <v>0</v>
      </c>
      <c r="P374" s="72"/>
      <c r="Q374" s="72">
        <f t="shared" si="121"/>
        <v>0</v>
      </c>
      <c r="R374" s="75">
        <f>IFERROR(O374*'Fechamento fiscal'!AN22,"")</f>
        <v>0</v>
      </c>
      <c r="S374" s="75">
        <f t="shared" si="122"/>
        <v>0</v>
      </c>
      <c r="T374" s="104">
        <f>Q374*'Volumes de água'!$C$21</f>
        <v>0</v>
      </c>
      <c r="U374" s="191"/>
      <c r="V374" s="192"/>
      <c r="W374" s="193"/>
    </row>
    <row r="375" spans="1:23" x14ac:dyDescent="0.25">
      <c r="A375" s="42">
        <v>18</v>
      </c>
      <c r="B375" s="16" t="s">
        <v>122</v>
      </c>
      <c r="C375" s="16">
        <v>24</v>
      </c>
      <c r="D375" s="148">
        <v>0</v>
      </c>
      <c r="E375" s="148">
        <v>0</v>
      </c>
      <c r="F375" s="43">
        <f t="shared" si="114"/>
        <v>0</v>
      </c>
      <c r="G375" s="43">
        <f t="shared" si="115"/>
        <v>0</v>
      </c>
      <c r="H375" s="43">
        <f t="shared" si="116"/>
        <v>0</v>
      </c>
      <c r="I375" s="168">
        <v>0.67</v>
      </c>
      <c r="J375" s="168">
        <v>161.09</v>
      </c>
      <c r="K375" s="168">
        <v>4.97</v>
      </c>
      <c r="L375" s="73">
        <f t="shared" si="117"/>
        <v>0</v>
      </c>
      <c r="M375" s="73">
        <f t="shared" si="118"/>
        <v>0</v>
      </c>
      <c r="N375" s="73">
        <f t="shared" si="119"/>
        <v>0</v>
      </c>
      <c r="O375" s="72">
        <f t="shared" si="120"/>
        <v>0</v>
      </c>
      <c r="P375" s="72"/>
      <c r="Q375" s="72">
        <f t="shared" si="121"/>
        <v>0</v>
      </c>
      <c r="R375" s="75">
        <f>IFERROR(O375*'Fechamento fiscal'!AN23,"")</f>
        <v>0</v>
      </c>
      <c r="S375" s="75">
        <f t="shared" si="122"/>
        <v>0</v>
      </c>
      <c r="T375" s="104">
        <f>Q375*'Volumes de água'!$C$22</f>
        <v>0</v>
      </c>
      <c r="U375" s="191"/>
      <c r="V375" s="192"/>
      <c r="W375" s="193"/>
    </row>
    <row r="376" spans="1:23" x14ac:dyDescent="0.25">
      <c r="A376" s="42">
        <v>19</v>
      </c>
      <c r="B376" s="16" t="s">
        <v>122</v>
      </c>
      <c r="C376" s="16">
        <v>24</v>
      </c>
      <c r="D376" s="148">
        <v>0</v>
      </c>
      <c r="E376" s="148">
        <v>0</v>
      </c>
      <c r="F376" s="43">
        <f t="shared" si="114"/>
        <v>0</v>
      </c>
      <c r="G376" s="43">
        <f t="shared" si="115"/>
        <v>0</v>
      </c>
      <c r="H376" s="43">
        <f t="shared" si="116"/>
        <v>0</v>
      </c>
      <c r="I376" s="168">
        <v>0.67</v>
      </c>
      <c r="J376" s="168">
        <v>161.09</v>
      </c>
      <c r="K376" s="168">
        <v>4.97</v>
      </c>
      <c r="L376" s="73">
        <f t="shared" si="117"/>
        <v>0</v>
      </c>
      <c r="M376" s="73">
        <f t="shared" si="118"/>
        <v>0</v>
      </c>
      <c r="N376" s="73">
        <f t="shared" si="119"/>
        <v>0</v>
      </c>
      <c r="O376" s="72">
        <f t="shared" si="120"/>
        <v>0</v>
      </c>
      <c r="P376" s="72"/>
      <c r="Q376" s="72">
        <f t="shared" si="121"/>
        <v>0</v>
      </c>
      <c r="R376" s="75">
        <f>IFERROR(O376*'Fechamento fiscal'!AN24,"")</f>
        <v>0</v>
      </c>
      <c r="S376" s="75">
        <f t="shared" si="122"/>
        <v>0</v>
      </c>
      <c r="T376" s="104">
        <f>Q376*'Volumes de água'!$C$23</f>
        <v>0</v>
      </c>
      <c r="U376" s="191"/>
      <c r="V376" s="192"/>
      <c r="W376" s="193"/>
    </row>
    <row r="377" spans="1:23" x14ac:dyDescent="0.25">
      <c r="A377" s="42">
        <v>20</v>
      </c>
      <c r="B377" s="16" t="s">
        <v>122</v>
      </c>
      <c r="C377" s="16">
        <v>24</v>
      </c>
      <c r="D377" s="148">
        <v>0</v>
      </c>
      <c r="E377" s="148">
        <v>0</v>
      </c>
      <c r="F377" s="43">
        <f t="shared" si="114"/>
        <v>0</v>
      </c>
      <c r="G377" s="43">
        <f t="shared" si="115"/>
        <v>0</v>
      </c>
      <c r="H377" s="43">
        <f t="shared" si="116"/>
        <v>0</v>
      </c>
      <c r="I377" s="168">
        <v>0.67</v>
      </c>
      <c r="J377" s="168">
        <v>161.09</v>
      </c>
      <c r="K377" s="168">
        <v>4.97</v>
      </c>
      <c r="L377" s="73">
        <f t="shared" si="117"/>
        <v>0</v>
      </c>
      <c r="M377" s="73">
        <f t="shared" si="118"/>
        <v>0</v>
      </c>
      <c r="N377" s="73">
        <f t="shared" si="119"/>
        <v>0</v>
      </c>
      <c r="O377" s="72">
        <f t="shared" si="120"/>
        <v>0</v>
      </c>
      <c r="P377" s="72"/>
      <c r="Q377" s="72">
        <f t="shared" si="121"/>
        <v>0</v>
      </c>
      <c r="R377" s="75">
        <f>IFERROR(O377*'Fechamento fiscal'!AN25,"")</f>
        <v>0</v>
      </c>
      <c r="S377" s="75">
        <f t="shared" si="122"/>
        <v>0</v>
      </c>
      <c r="T377" s="104">
        <f>Q377*'Volumes de água'!$C$24</f>
        <v>0</v>
      </c>
      <c r="U377" s="191"/>
      <c r="V377" s="192"/>
      <c r="W377" s="193"/>
    </row>
    <row r="378" spans="1:23" x14ac:dyDescent="0.25">
      <c r="A378" s="42">
        <v>21</v>
      </c>
      <c r="B378" s="16" t="s">
        <v>122</v>
      </c>
      <c r="C378" s="16">
        <v>24</v>
      </c>
      <c r="D378" s="148">
        <v>0</v>
      </c>
      <c r="E378" s="148">
        <v>0</v>
      </c>
      <c r="F378" s="43">
        <f t="shared" si="114"/>
        <v>0</v>
      </c>
      <c r="G378" s="43">
        <f t="shared" si="115"/>
        <v>0</v>
      </c>
      <c r="H378" s="43">
        <f t="shared" si="116"/>
        <v>0</v>
      </c>
      <c r="I378" s="168">
        <v>0.67</v>
      </c>
      <c r="J378" s="168">
        <v>161.09</v>
      </c>
      <c r="K378" s="168">
        <v>4.97</v>
      </c>
      <c r="L378" s="73">
        <f t="shared" si="117"/>
        <v>0</v>
      </c>
      <c r="M378" s="73">
        <f t="shared" si="118"/>
        <v>0</v>
      </c>
      <c r="N378" s="73">
        <f t="shared" si="119"/>
        <v>0</v>
      </c>
      <c r="O378" s="72">
        <f t="shared" si="120"/>
        <v>0</v>
      </c>
      <c r="P378" s="72"/>
      <c r="Q378" s="72">
        <f t="shared" si="121"/>
        <v>0</v>
      </c>
      <c r="R378" s="75">
        <f>IFERROR(O378*'Fechamento fiscal'!AN26,"")</f>
        <v>0</v>
      </c>
      <c r="S378" s="75">
        <f t="shared" si="122"/>
        <v>0</v>
      </c>
      <c r="T378" s="104">
        <f>Q378*'Volumes de água'!$C$25</f>
        <v>0</v>
      </c>
      <c r="U378" s="191"/>
      <c r="V378" s="192"/>
      <c r="W378" s="193"/>
    </row>
    <row r="379" spans="1:23" x14ac:dyDescent="0.25">
      <c r="A379" s="42">
        <v>22</v>
      </c>
      <c r="B379" s="16" t="s">
        <v>122</v>
      </c>
      <c r="C379" s="16">
        <v>24</v>
      </c>
      <c r="D379" s="148">
        <v>0</v>
      </c>
      <c r="E379" s="148">
        <v>0</v>
      </c>
      <c r="F379" s="43">
        <f t="shared" si="114"/>
        <v>0</v>
      </c>
      <c r="G379" s="43">
        <f t="shared" si="115"/>
        <v>0</v>
      </c>
      <c r="H379" s="43">
        <f t="shared" si="116"/>
        <v>0</v>
      </c>
      <c r="I379" s="168">
        <v>0.67</v>
      </c>
      <c r="J379" s="168">
        <v>161.09</v>
      </c>
      <c r="K379" s="168">
        <v>4.97</v>
      </c>
      <c r="L379" s="73">
        <f t="shared" si="117"/>
        <v>0</v>
      </c>
      <c r="M379" s="73">
        <f t="shared" si="118"/>
        <v>0</v>
      </c>
      <c r="N379" s="73">
        <f t="shared" si="119"/>
        <v>0</v>
      </c>
      <c r="O379" s="72">
        <f t="shared" si="120"/>
        <v>0</v>
      </c>
      <c r="P379" s="72"/>
      <c r="Q379" s="72">
        <f t="shared" si="121"/>
        <v>0</v>
      </c>
      <c r="R379" s="75">
        <f>IFERROR(O379*'Fechamento fiscal'!AN27,"")</f>
        <v>0</v>
      </c>
      <c r="S379" s="75">
        <f t="shared" si="122"/>
        <v>0</v>
      </c>
      <c r="T379" s="104">
        <f>Q379*'Volumes de água'!$C$26</f>
        <v>0</v>
      </c>
      <c r="U379" s="191"/>
      <c r="V379" s="192"/>
      <c r="W379" s="193"/>
    </row>
    <row r="380" spans="1:23" x14ac:dyDescent="0.25">
      <c r="A380" s="42">
        <v>23</v>
      </c>
      <c r="B380" s="16" t="s">
        <v>122</v>
      </c>
      <c r="C380" s="16">
        <v>24</v>
      </c>
      <c r="D380" s="148">
        <v>0</v>
      </c>
      <c r="E380" s="148">
        <v>0</v>
      </c>
      <c r="F380" s="43">
        <f t="shared" si="114"/>
        <v>0</v>
      </c>
      <c r="G380" s="43">
        <f t="shared" si="115"/>
        <v>0</v>
      </c>
      <c r="H380" s="43">
        <f t="shared" si="116"/>
        <v>0</v>
      </c>
      <c r="I380" s="168">
        <v>0.67</v>
      </c>
      <c r="J380" s="168">
        <v>161.09</v>
      </c>
      <c r="K380" s="168">
        <v>4.97</v>
      </c>
      <c r="L380" s="73">
        <f t="shared" si="117"/>
        <v>0</v>
      </c>
      <c r="M380" s="73">
        <f t="shared" si="118"/>
        <v>0</v>
      </c>
      <c r="N380" s="73">
        <f t="shared" si="119"/>
        <v>0</v>
      </c>
      <c r="O380" s="72">
        <f t="shared" si="120"/>
        <v>0</v>
      </c>
      <c r="P380" s="72"/>
      <c r="Q380" s="72">
        <f t="shared" si="121"/>
        <v>0</v>
      </c>
      <c r="R380" s="75">
        <f>IFERROR(O380*'Fechamento fiscal'!AN28,"")</f>
        <v>0</v>
      </c>
      <c r="S380" s="75">
        <f t="shared" si="122"/>
        <v>0</v>
      </c>
      <c r="T380" s="104">
        <f>Q380*'Volumes de água'!$C$27</f>
        <v>0</v>
      </c>
      <c r="U380" s="191"/>
      <c r="V380" s="192"/>
      <c r="W380" s="193"/>
    </row>
    <row r="381" spans="1:23" x14ac:dyDescent="0.25">
      <c r="A381" s="42">
        <v>24</v>
      </c>
      <c r="B381" s="16" t="s">
        <v>122</v>
      </c>
      <c r="C381" s="16">
        <v>24</v>
      </c>
      <c r="D381" s="148">
        <v>0</v>
      </c>
      <c r="E381" s="148">
        <v>0</v>
      </c>
      <c r="F381" s="43">
        <f t="shared" si="114"/>
        <v>0</v>
      </c>
      <c r="G381" s="43">
        <f t="shared" si="115"/>
        <v>0</v>
      </c>
      <c r="H381" s="43">
        <f t="shared" si="116"/>
        <v>0</v>
      </c>
      <c r="I381" s="168">
        <v>0.67</v>
      </c>
      <c r="J381" s="168">
        <v>161.09</v>
      </c>
      <c r="K381" s="168">
        <v>4.97</v>
      </c>
      <c r="L381" s="73">
        <f t="shared" si="117"/>
        <v>0</v>
      </c>
      <c r="M381" s="73">
        <f t="shared" si="118"/>
        <v>0</v>
      </c>
      <c r="N381" s="73">
        <f t="shared" si="119"/>
        <v>0</v>
      </c>
      <c r="O381" s="72">
        <f t="shared" si="120"/>
        <v>0</v>
      </c>
      <c r="P381" s="72"/>
      <c r="Q381" s="72">
        <f t="shared" si="121"/>
        <v>0</v>
      </c>
      <c r="R381" s="75">
        <f>IFERROR(O381*'Fechamento fiscal'!AN29,"")</f>
        <v>0</v>
      </c>
      <c r="S381" s="75">
        <f t="shared" si="122"/>
        <v>0</v>
      </c>
      <c r="T381" s="104">
        <f>Q381*'Volumes de água'!$C$28</f>
        <v>0</v>
      </c>
      <c r="U381" s="191"/>
      <c r="V381" s="192"/>
      <c r="W381" s="193"/>
    </row>
    <row r="382" spans="1:23" x14ac:dyDescent="0.25">
      <c r="A382" s="42">
        <v>25</v>
      </c>
      <c r="B382" s="16" t="s">
        <v>122</v>
      </c>
      <c r="C382" s="16">
        <v>24</v>
      </c>
      <c r="D382" s="148">
        <v>0</v>
      </c>
      <c r="E382" s="148">
        <v>0</v>
      </c>
      <c r="F382" s="43">
        <f t="shared" si="114"/>
        <v>0</v>
      </c>
      <c r="G382" s="43">
        <f t="shared" si="115"/>
        <v>0</v>
      </c>
      <c r="H382" s="43">
        <f t="shared" si="116"/>
        <v>0</v>
      </c>
      <c r="I382" s="168">
        <v>0.67</v>
      </c>
      <c r="J382" s="168">
        <v>161.09</v>
      </c>
      <c r="K382" s="168">
        <v>4.97</v>
      </c>
      <c r="L382" s="73">
        <f t="shared" si="117"/>
        <v>0</v>
      </c>
      <c r="M382" s="73">
        <f t="shared" si="118"/>
        <v>0</v>
      </c>
      <c r="N382" s="73">
        <f t="shared" si="119"/>
        <v>0</v>
      </c>
      <c r="O382" s="72">
        <f t="shared" si="120"/>
        <v>0</v>
      </c>
      <c r="P382" s="72"/>
      <c r="Q382" s="72">
        <f t="shared" si="121"/>
        <v>0</v>
      </c>
      <c r="R382" s="75">
        <f>IFERROR(O382*'Fechamento fiscal'!AN30,"")</f>
        <v>0</v>
      </c>
      <c r="S382" s="75">
        <f t="shared" si="122"/>
        <v>0</v>
      </c>
      <c r="T382" s="104">
        <f>Q382*'Volumes de água'!$C$29</f>
        <v>0</v>
      </c>
      <c r="U382" s="191"/>
      <c r="V382" s="192"/>
      <c r="W382" s="193"/>
    </row>
    <row r="383" spans="1:23" x14ac:dyDescent="0.25">
      <c r="A383" s="42">
        <v>26</v>
      </c>
      <c r="B383" s="16" t="s">
        <v>122</v>
      </c>
      <c r="C383" s="16">
        <v>24</v>
      </c>
      <c r="D383" s="148">
        <v>0</v>
      </c>
      <c r="E383" s="148">
        <v>0</v>
      </c>
      <c r="F383" s="43">
        <f t="shared" si="114"/>
        <v>0</v>
      </c>
      <c r="G383" s="43">
        <f t="shared" si="115"/>
        <v>0</v>
      </c>
      <c r="H383" s="43">
        <f t="shared" si="116"/>
        <v>0</v>
      </c>
      <c r="I383" s="168">
        <v>0.67</v>
      </c>
      <c r="J383" s="168">
        <v>161.09</v>
      </c>
      <c r="K383" s="168">
        <v>4.97</v>
      </c>
      <c r="L383" s="73">
        <f t="shared" si="117"/>
        <v>0</v>
      </c>
      <c r="M383" s="73">
        <f t="shared" si="118"/>
        <v>0</v>
      </c>
      <c r="N383" s="73">
        <f t="shared" si="119"/>
        <v>0</v>
      </c>
      <c r="O383" s="72">
        <f t="shared" si="120"/>
        <v>0</v>
      </c>
      <c r="P383" s="72"/>
      <c r="Q383" s="72">
        <f t="shared" si="121"/>
        <v>0</v>
      </c>
      <c r="R383" s="75">
        <f>IFERROR(O383*'Fechamento fiscal'!AN31,"")</f>
        <v>0</v>
      </c>
      <c r="S383" s="75">
        <f t="shared" si="122"/>
        <v>0</v>
      </c>
      <c r="T383" s="104">
        <f>Q383*'Volumes de água'!$C$30</f>
        <v>0</v>
      </c>
      <c r="U383" s="191"/>
      <c r="V383" s="192"/>
      <c r="W383" s="193"/>
    </row>
    <row r="384" spans="1:23" x14ac:dyDescent="0.25">
      <c r="A384" s="42">
        <v>27</v>
      </c>
      <c r="B384" s="16" t="s">
        <v>122</v>
      </c>
      <c r="C384" s="16">
        <v>24</v>
      </c>
      <c r="D384" s="148">
        <v>0</v>
      </c>
      <c r="E384" s="148">
        <v>0</v>
      </c>
      <c r="F384" s="43">
        <f t="shared" si="114"/>
        <v>0</v>
      </c>
      <c r="G384" s="43">
        <f t="shared" si="115"/>
        <v>0</v>
      </c>
      <c r="H384" s="43">
        <f t="shared" si="116"/>
        <v>0</v>
      </c>
      <c r="I384" s="168">
        <v>0.67</v>
      </c>
      <c r="J384" s="168">
        <v>161.09</v>
      </c>
      <c r="K384" s="168">
        <v>4.97</v>
      </c>
      <c r="L384" s="73">
        <f t="shared" si="117"/>
        <v>0</v>
      </c>
      <c r="M384" s="73">
        <f t="shared" si="118"/>
        <v>0</v>
      </c>
      <c r="N384" s="73">
        <f t="shared" si="119"/>
        <v>0</v>
      </c>
      <c r="O384" s="72">
        <f t="shared" si="120"/>
        <v>0</v>
      </c>
      <c r="P384" s="72"/>
      <c r="Q384" s="72">
        <f t="shared" si="121"/>
        <v>0</v>
      </c>
      <c r="R384" s="75">
        <f>IFERROR(O384*'Fechamento fiscal'!AN32,"")</f>
        <v>0</v>
      </c>
      <c r="S384" s="75">
        <f t="shared" si="122"/>
        <v>0</v>
      </c>
      <c r="T384" s="104">
        <f>Q384*'Volumes de água'!$C$31</f>
        <v>0</v>
      </c>
      <c r="U384" s="191"/>
      <c r="V384" s="192"/>
      <c r="W384" s="193"/>
    </row>
    <row r="385" spans="1:23" x14ac:dyDescent="0.25">
      <c r="A385" s="42">
        <v>28</v>
      </c>
      <c r="B385" s="16" t="s">
        <v>122</v>
      </c>
      <c r="C385" s="16">
        <v>24</v>
      </c>
      <c r="D385" s="148">
        <v>0</v>
      </c>
      <c r="E385" s="148">
        <v>0</v>
      </c>
      <c r="F385" s="43">
        <f t="shared" si="114"/>
        <v>0</v>
      </c>
      <c r="G385" s="43">
        <f t="shared" si="115"/>
        <v>0</v>
      </c>
      <c r="H385" s="43">
        <f t="shared" si="116"/>
        <v>0</v>
      </c>
      <c r="I385" s="168">
        <v>0.67</v>
      </c>
      <c r="J385" s="168">
        <v>161.09</v>
      </c>
      <c r="K385" s="168">
        <v>4.97</v>
      </c>
      <c r="L385" s="73">
        <f t="shared" si="117"/>
        <v>0</v>
      </c>
      <c r="M385" s="73">
        <f t="shared" si="118"/>
        <v>0</v>
      </c>
      <c r="N385" s="73">
        <f t="shared" si="119"/>
        <v>0</v>
      </c>
      <c r="O385" s="72">
        <f t="shared" si="120"/>
        <v>0</v>
      </c>
      <c r="P385" s="72"/>
      <c r="Q385" s="72">
        <f t="shared" si="121"/>
        <v>0</v>
      </c>
      <c r="R385" s="75">
        <f>IFERROR(O385*'Fechamento fiscal'!AN33,"")</f>
        <v>0</v>
      </c>
      <c r="S385" s="75">
        <f t="shared" si="122"/>
        <v>0</v>
      </c>
      <c r="T385" s="104">
        <f>Q385*'Volumes de água'!$C$32</f>
        <v>0</v>
      </c>
      <c r="U385" s="191"/>
      <c r="V385" s="192"/>
      <c r="W385" s="193"/>
    </row>
    <row r="386" spans="1:23" x14ac:dyDescent="0.25">
      <c r="A386" s="42">
        <v>29</v>
      </c>
      <c r="B386" s="16" t="s">
        <v>122</v>
      </c>
      <c r="C386" s="16">
        <v>24</v>
      </c>
      <c r="D386" s="148">
        <v>0</v>
      </c>
      <c r="E386" s="148">
        <v>0</v>
      </c>
      <c r="F386" s="43">
        <f t="shared" si="114"/>
        <v>0</v>
      </c>
      <c r="G386" s="43">
        <f t="shared" si="115"/>
        <v>0</v>
      </c>
      <c r="H386" s="43">
        <f t="shared" si="116"/>
        <v>0</v>
      </c>
      <c r="I386" s="168">
        <v>0.67</v>
      </c>
      <c r="J386" s="168">
        <v>161.09</v>
      </c>
      <c r="K386" s="168">
        <v>4.97</v>
      </c>
      <c r="L386" s="73">
        <f t="shared" si="117"/>
        <v>0</v>
      </c>
      <c r="M386" s="73">
        <f t="shared" si="118"/>
        <v>0</v>
      </c>
      <c r="N386" s="73">
        <f t="shared" si="119"/>
        <v>0</v>
      </c>
      <c r="O386" s="72">
        <f t="shared" si="120"/>
        <v>0</v>
      </c>
      <c r="P386" s="72"/>
      <c r="Q386" s="72">
        <f t="shared" si="121"/>
        <v>0</v>
      </c>
      <c r="R386" s="75">
        <f>IFERROR(O386*'Fechamento fiscal'!AN34,"")</f>
        <v>0</v>
      </c>
      <c r="S386" s="75">
        <f t="shared" si="122"/>
        <v>0</v>
      </c>
      <c r="T386" s="104">
        <f>Q386*'Volumes de água'!$C$33</f>
        <v>0</v>
      </c>
      <c r="U386" s="191"/>
      <c r="V386" s="192"/>
      <c r="W386" s="193"/>
    </row>
    <row r="387" spans="1:23" x14ac:dyDescent="0.25">
      <c r="A387" s="42">
        <v>30</v>
      </c>
      <c r="B387" s="16" t="s">
        <v>122</v>
      </c>
      <c r="C387" s="16">
        <v>24</v>
      </c>
      <c r="D387" s="148">
        <v>0</v>
      </c>
      <c r="E387" s="148">
        <v>0</v>
      </c>
      <c r="F387" s="43">
        <f t="shared" si="114"/>
        <v>0</v>
      </c>
      <c r="G387" s="43">
        <f t="shared" si="115"/>
        <v>0</v>
      </c>
      <c r="H387" s="43">
        <f t="shared" si="116"/>
        <v>0</v>
      </c>
      <c r="I387" s="168">
        <v>0.67</v>
      </c>
      <c r="J387" s="168">
        <v>161.09</v>
      </c>
      <c r="K387" s="168">
        <v>4.97</v>
      </c>
      <c r="L387" s="73">
        <f t="shared" si="117"/>
        <v>0</v>
      </c>
      <c r="M387" s="73">
        <f t="shared" si="118"/>
        <v>0</v>
      </c>
      <c r="N387" s="73">
        <f t="shared" si="119"/>
        <v>0</v>
      </c>
      <c r="O387" s="72">
        <f t="shared" si="120"/>
        <v>0</v>
      </c>
      <c r="P387" s="72"/>
      <c r="Q387" s="72">
        <f t="shared" si="121"/>
        <v>0</v>
      </c>
      <c r="R387" s="75">
        <f>IFERROR(O387*'Fechamento fiscal'!AN35,"")</f>
        <v>0</v>
      </c>
      <c r="S387" s="75">
        <f t="shared" si="122"/>
        <v>0</v>
      </c>
      <c r="T387" s="104">
        <f>Q387*'Volumes de água'!$C$34</f>
        <v>0</v>
      </c>
      <c r="U387" s="191"/>
      <c r="V387" s="192"/>
      <c r="W387" s="193"/>
    </row>
    <row r="388" spans="1:23" x14ac:dyDescent="0.25">
      <c r="A388" s="42">
        <v>31</v>
      </c>
      <c r="B388" s="16" t="s">
        <v>122</v>
      </c>
      <c r="C388" s="16">
        <v>24</v>
      </c>
      <c r="D388" s="148"/>
      <c r="E388" s="148"/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68">
        <v>0.67</v>
      </c>
      <c r="J388" s="168">
        <v>161.09</v>
      </c>
      <c r="K388" s="168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20"/>
        <v>0</v>
      </c>
      <c r="P388" s="72"/>
      <c r="Q388" s="72">
        <f t="shared" si="121"/>
        <v>0</v>
      </c>
      <c r="R388" s="75" t="str">
        <f>IFERROR(O388*'Fechamento fiscal'!AN36,"")</f>
        <v/>
      </c>
      <c r="S388" s="75">
        <f t="shared" si="122"/>
        <v>0</v>
      </c>
      <c r="T388" s="104">
        <f>Q388*'Volumes de água'!$C$35</f>
        <v>0</v>
      </c>
      <c r="U388" s="191"/>
      <c r="V388" s="192"/>
      <c r="W388" s="193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sheetProtection algorithmName="SHA-512" hashValue="khXNs5lFw4PIYeF7DPE/RYGcS2FG5volgS4J+EW40Yb3FkSQ7iUVWN+Wsa0S2i1MZK5HWPlYVQwzrK5d8zpNng==" saltValue="1NjcyQscHnY70d9orPVtow==" spinCount="100000" sheet="1" objects="1" scenarios="1"/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198" t="s">
        <v>76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2:16" x14ac:dyDescent="0.25"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2:16" x14ac:dyDescent="0.25">
      <c r="B3" s="105"/>
      <c r="C3" s="106" t="s">
        <v>64</v>
      </c>
      <c r="D3" s="200">
        <f>YEAR('Fechamento fiscal'!B6)</f>
        <v>2021</v>
      </c>
      <c r="E3" s="200"/>
      <c r="F3" s="107" t="s">
        <v>65</v>
      </c>
      <c r="G3" s="108" t="str">
        <f>UPPER(TEXT('Fechamento fiscal'!B6,"MMMM"))</f>
        <v>JUNHO</v>
      </c>
      <c r="H3" s="201"/>
      <c r="I3" s="20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96" t="s">
        <v>83</v>
      </c>
      <c r="C6" s="196"/>
      <c r="D6" s="202" t="s">
        <v>84</v>
      </c>
      <c r="E6" s="203"/>
      <c r="F6" s="203"/>
      <c r="G6" s="203"/>
      <c r="H6" s="204"/>
      <c r="J6">
        <f t="shared" ref="J6:J33" si="0">VALUE(K6:K36)</f>
        <v>44348</v>
      </c>
      <c r="K6" s="116">
        <f>'Fechamento fiscal'!B6</f>
        <v>44348</v>
      </c>
      <c r="L6" s="117"/>
      <c r="M6" s="117">
        <f>IF($D$12&gt;=K6,'Fechamento fiscal'!AL6,"")</f>
        <v>97.861288892581882</v>
      </c>
      <c r="N6" s="118">
        <f>IF($D$12&gt;=K6,'Fechamento fiscal'!AM6,"")</f>
        <v>65.314821334786302</v>
      </c>
      <c r="O6" s="118">
        <f>IF($D$12&gt;=K6,'Fechamento fiscal'!AN6,"")</f>
        <v>8.4772218007543643E-2</v>
      </c>
      <c r="P6" s="118">
        <f>IF($D$12&gt;=K6,'Gás fiscal'!H3,"")</f>
        <v>3104</v>
      </c>
    </row>
    <row r="7" spans="2:16" x14ac:dyDescent="0.25">
      <c r="B7" s="119"/>
      <c r="C7" s="119"/>
      <c r="J7">
        <f t="shared" si="0"/>
        <v>44349</v>
      </c>
      <c r="K7" s="116">
        <f>'Fechamento fiscal'!B7</f>
        <v>44349</v>
      </c>
      <c r="L7" s="117"/>
      <c r="M7" s="117">
        <f>IF($D$12&gt;=K7,'Fechamento fiscal'!AL7,"")</f>
        <v>97.424971642528789</v>
      </c>
      <c r="N7" s="118">
        <f>IF($D$12&gt;=K7,'Fechamento fiscal'!AM7,"")</f>
        <v>52.770427394083399</v>
      </c>
      <c r="O7" s="118">
        <f>IF($D$12&gt;=K7,'Fechamento fiscal'!AN7,"")</f>
        <v>52.334110144030305</v>
      </c>
      <c r="P7" s="118">
        <f>IF($D$12&gt;=K7,'Gás fiscal'!H4,"")</f>
        <v>4462</v>
      </c>
    </row>
    <row r="8" spans="2:16" x14ac:dyDescent="0.25">
      <c r="B8" s="196" t="s">
        <v>85</v>
      </c>
      <c r="C8" s="196"/>
      <c r="D8" s="197" t="s">
        <v>127</v>
      </c>
      <c r="E8" s="197"/>
      <c r="J8">
        <f t="shared" si="0"/>
        <v>44350</v>
      </c>
      <c r="K8" s="116">
        <f>'Fechamento fiscal'!B8</f>
        <v>44350</v>
      </c>
      <c r="L8" s="117"/>
      <c r="M8" s="117">
        <f>IF($D$12&gt;=K8,'Fechamento fiscal'!AL8,"")</f>
        <v>159.85030106066063</v>
      </c>
      <c r="N8" s="118">
        <f>IF($D$12&gt;=K8,'Fechamento fiscal'!AM8,"")</f>
        <v>0</v>
      </c>
      <c r="O8" s="118">
        <f>IF($D$12&gt;=K8,'Fechamento fiscal'!AN8,"")</f>
        <v>62.425329418131838</v>
      </c>
      <c r="P8" s="118">
        <f>IF($D$12&gt;=K8,'Gás fiscal'!H5,"")</f>
        <v>4773</v>
      </c>
    </row>
    <row r="9" spans="2:16" x14ac:dyDescent="0.25">
      <c r="B9" s="119"/>
      <c r="C9" s="119"/>
      <c r="J9">
        <f t="shared" si="0"/>
        <v>44351</v>
      </c>
      <c r="K9" s="116">
        <f>'Fechamento fiscal'!B9</f>
        <v>44351</v>
      </c>
      <c r="L9" s="117"/>
      <c r="M9" s="117">
        <f>IF($D$12&gt;=K9,'Fechamento fiscal'!AL9,"")</f>
        <v>222.52704215873368</v>
      </c>
      <c r="N9" s="118">
        <f>IF($D$12&gt;=K9,'Fechamento fiscal'!AM9,"")</f>
        <v>0</v>
      </c>
      <c r="O9" s="118">
        <f>IF($D$12&gt;=K9,'Fechamento fiscal'!AN9,"")</f>
        <v>62.676741098073052</v>
      </c>
      <c r="P9" s="118">
        <f>IF($D$12&gt;=K9,'Gás fiscal'!H6,"")</f>
        <v>4629</v>
      </c>
    </row>
    <row r="10" spans="2:16" x14ac:dyDescent="0.25">
      <c r="B10" s="196" t="s">
        <v>86</v>
      </c>
      <c r="C10" s="196"/>
      <c r="D10" s="206">
        <v>10201</v>
      </c>
      <c r="E10" s="207"/>
      <c r="F10" s="207"/>
      <c r="G10" s="207"/>
      <c r="H10" s="208"/>
      <c r="J10">
        <f t="shared" si="0"/>
        <v>44352</v>
      </c>
      <c r="K10" s="116">
        <f>'Fechamento fiscal'!B10</f>
        <v>44352</v>
      </c>
      <c r="L10" s="117"/>
      <c r="M10" s="117">
        <f>IF($D$12&gt;=K10,'Fechamento fiscal'!AL10,"")</f>
        <v>285.40009758704798</v>
      </c>
      <c r="N10" s="118">
        <f>IF($D$12&gt;=K10,'Fechamento fiscal'!AM10,"")</f>
        <v>0</v>
      </c>
      <c r="O10" s="118">
        <f>IF($D$12&gt;=K10,'Fechamento fiscal'!AN10,"")</f>
        <v>62.873055428314302</v>
      </c>
      <c r="P10" s="118">
        <f>IF($D$12&gt;=K10,'Gás fiscal'!H7,"")</f>
        <v>4538</v>
      </c>
    </row>
    <row r="11" spans="2:16" x14ac:dyDescent="0.25">
      <c r="B11" s="119"/>
      <c r="C11" s="119"/>
      <c r="J11">
        <f t="shared" si="0"/>
        <v>44353</v>
      </c>
      <c r="K11" s="116">
        <f>'Fechamento fiscal'!B11</f>
        <v>44353</v>
      </c>
      <c r="L11" s="117"/>
      <c r="M11" s="117">
        <f>IF($D$12&gt;=K11,'Fechamento fiscal'!AL11,"")</f>
        <v>285.59469791437704</v>
      </c>
      <c r="N11" s="118">
        <f>IF($D$12&gt;=K11,'Fechamento fiscal'!AM11,"")</f>
        <v>0</v>
      </c>
      <c r="O11" s="118">
        <f>IF($D$12&gt;=K11,'Fechamento fiscal'!AN11,"")</f>
        <v>0.19460032732905574</v>
      </c>
      <c r="P11" s="118">
        <f>IF($D$12&gt;=K11,'Gás fiscal'!H8,"")</f>
        <v>4634</v>
      </c>
    </row>
    <row r="12" spans="2:16" x14ac:dyDescent="0.25">
      <c r="B12" s="196" t="s">
        <v>87</v>
      </c>
      <c r="C12" s="196"/>
      <c r="D12" s="209">
        <v>44377</v>
      </c>
      <c r="E12" s="210"/>
      <c r="J12">
        <f t="shared" si="0"/>
        <v>44354</v>
      </c>
      <c r="K12" s="116">
        <f>'Fechamento fiscal'!B12</f>
        <v>44354</v>
      </c>
      <c r="L12" s="117"/>
      <c r="M12" s="117">
        <f>IF($D$12&gt;=K12,'Fechamento fiscal'!AL12,"")</f>
        <v>267.92033949259087</v>
      </c>
      <c r="N12" s="118">
        <f>IF($D$12&gt;=K12,'Fechamento fiscal'!AM12,"")</f>
        <v>0</v>
      </c>
      <c r="O12" s="118">
        <f>IF($D$12&gt;=K12,'Fechamento fiscal'!AN12,"")</f>
        <v>-17.674358421786167</v>
      </c>
      <c r="P12" s="118">
        <f>IF($D$12&gt;=K12,'Gás fiscal'!H9,"")</f>
        <v>4682</v>
      </c>
    </row>
    <row r="13" spans="2:16" x14ac:dyDescent="0.25">
      <c r="B13" s="119"/>
      <c r="C13" s="119"/>
      <c r="J13">
        <f t="shared" si="0"/>
        <v>44355</v>
      </c>
      <c r="K13" s="116">
        <f>'Fechamento fiscal'!B13</f>
        <v>44355</v>
      </c>
      <c r="L13" s="117"/>
      <c r="M13" s="117">
        <f>IF($D$12&gt;=K13,'Fechamento fiscal'!AL13,"")</f>
        <v>267.4236436843384</v>
      </c>
      <c r="N13" s="118">
        <f>IF($D$12&gt;=K13,'Fechamento fiscal'!AM13,"")</f>
        <v>0</v>
      </c>
      <c r="O13" s="118">
        <f>IF($D$12&gt;=K13,'Fechamento fiscal'!AN13,"")</f>
        <v>-0.4966958082524684</v>
      </c>
      <c r="P13" s="118">
        <f>IF($D$12&gt;=K13,'Gás fiscal'!H10,"")</f>
        <v>4650</v>
      </c>
    </row>
    <row r="14" spans="2:16" x14ac:dyDescent="0.25">
      <c r="B14" s="196" t="s">
        <v>88</v>
      </c>
      <c r="C14" s="196"/>
      <c r="D14" s="211">
        <v>0</v>
      </c>
      <c r="E14" s="210"/>
      <c r="J14">
        <f t="shared" si="0"/>
        <v>44356</v>
      </c>
      <c r="K14" s="116">
        <f>'Fechamento fiscal'!B14</f>
        <v>44356</v>
      </c>
      <c r="L14" s="117"/>
      <c r="M14" s="117">
        <f>IF($D$12&gt;=K14,'Fechamento fiscal'!AL14,"")</f>
        <v>202.88842696440378</v>
      </c>
      <c r="N14" s="118">
        <f>IF($D$12&gt;=K14,'Fechamento fiscal'!AM14,"")</f>
        <v>91.391562626923672</v>
      </c>
      <c r="O14" s="118">
        <f>IF($D$12&gt;=K14,'Fechamento fiscal'!AN14,"")</f>
        <v>26.856345906989048</v>
      </c>
      <c r="P14" s="118">
        <f>IF($D$12&gt;=K14,'Gás fiscal'!H11,"")</f>
        <v>4214</v>
      </c>
    </row>
    <row r="15" spans="2:16" x14ac:dyDescent="0.25">
      <c r="B15" s="119"/>
      <c r="C15" s="119"/>
      <c r="J15">
        <f t="shared" si="0"/>
        <v>44357</v>
      </c>
      <c r="K15" s="116">
        <f>'Fechamento fiscal'!B15</f>
        <v>44357</v>
      </c>
      <c r="L15" s="117"/>
      <c r="M15" s="117">
        <f>IF($D$12&gt;=K15,'Fechamento fiscal'!AL15,"")</f>
        <v>265.54729658036933</v>
      </c>
      <c r="N15" s="118">
        <f>IF($D$12&gt;=K15,'Fechamento fiscal'!AM15,"")</f>
        <v>0</v>
      </c>
      <c r="O15" s="118">
        <f>IF($D$12&gt;=K15,'Fechamento fiscal'!AN15,"")</f>
        <v>62.658869615965557</v>
      </c>
      <c r="P15" s="118">
        <f>IF($D$12&gt;=K15,'Gás fiscal'!H12,"")</f>
        <v>3928</v>
      </c>
    </row>
    <row r="16" spans="2:16" x14ac:dyDescent="0.25">
      <c r="B16" s="196" t="s">
        <v>89</v>
      </c>
      <c r="C16" s="196"/>
      <c r="D16" s="120" t="s">
        <v>90</v>
      </c>
      <c r="E16" s="121">
        <f>K6</f>
        <v>44348</v>
      </c>
      <c r="F16" s="120" t="s">
        <v>91</v>
      </c>
      <c r="G16" s="121">
        <f>D12</f>
        <v>44377</v>
      </c>
      <c r="H16" s="122"/>
      <c r="J16">
        <f t="shared" si="0"/>
        <v>44358</v>
      </c>
      <c r="K16" s="116">
        <f>'Fechamento fiscal'!B16</f>
        <v>44358</v>
      </c>
      <c r="L16" s="117"/>
      <c r="M16" s="117">
        <f>IF($D$12&gt;=K16,'Fechamento fiscal'!AL16,"")</f>
        <v>265.49979226607906</v>
      </c>
      <c r="N16" s="118">
        <f>IF($D$12&gt;=K16,'Fechamento fiscal'!AM16,"")</f>
        <v>0</v>
      </c>
      <c r="O16" s="118">
        <f>IF($D$12&gt;=K16,'Fechamento fiscal'!AN16,"")</f>
        <v>-4.7504314290279126E-2</v>
      </c>
      <c r="P16" s="118">
        <f>IF($D$12&gt;=K16,'Gás fiscal'!H13,"")</f>
        <v>4034</v>
      </c>
    </row>
    <row r="17" spans="2:16" x14ac:dyDescent="0.25">
      <c r="B17" s="119"/>
      <c r="C17" s="119"/>
      <c r="J17">
        <f t="shared" si="0"/>
        <v>44359</v>
      </c>
      <c r="K17" s="116">
        <f>'Fechamento fiscal'!B17</f>
        <v>44359</v>
      </c>
      <c r="L17" s="117"/>
      <c r="M17" s="117">
        <f>IF($D$12&gt;=K17,'Fechamento fiscal'!AL17,"")</f>
        <v>239.62755683641842</v>
      </c>
      <c r="N17" s="118">
        <f>IF($D$12&gt;=K17,'Fechamento fiscal'!AM17,"")</f>
        <v>25.116949862416462</v>
      </c>
      <c r="O17" s="118">
        <f>IF($D$12&gt;=K17,'Fechamento fiscal'!AN17,"")</f>
        <v>-0.75528556724417228</v>
      </c>
      <c r="P17" s="118">
        <f>IF($D$12&gt;=K17,'Gás fiscal'!H14,"")</f>
        <v>4765</v>
      </c>
    </row>
    <row r="18" spans="2:16" x14ac:dyDescent="0.25">
      <c r="B18" s="196" t="s">
        <v>92</v>
      </c>
      <c r="C18" s="196"/>
      <c r="D18" s="202" t="s">
        <v>147</v>
      </c>
      <c r="E18" s="203"/>
      <c r="F18" s="203"/>
      <c r="G18" s="203"/>
      <c r="H18" s="204"/>
      <c r="J18">
        <f t="shared" si="0"/>
        <v>44360</v>
      </c>
      <c r="K18" s="116">
        <f>'Fechamento fiscal'!B18</f>
        <v>44360</v>
      </c>
      <c r="L18" s="117"/>
      <c r="M18" s="117">
        <f>IF($D$12&gt;=K18,'Fechamento fiscal'!AL18,"")</f>
        <v>194.98394423872006</v>
      </c>
      <c r="N18" s="118">
        <f>IF($D$12&gt;=K18,'Fechamento fiscal'!AM18,"")</f>
        <v>44.635549465192014</v>
      </c>
      <c r="O18" s="118">
        <f>IF($D$12&gt;=K18,'Fechamento fiscal'!AN18,"")</f>
        <v>-8.063132506350712E-3</v>
      </c>
      <c r="P18" s="118">
        <f>IF($D$12&gt;=K18,'Gás fiscal'!H15,"")</f>
        <v>4263</v>
      </c>
    </row>
    <row r="19" spans="2:16" x14ac:dyDescent="0.25">
      <c r="B19" s="119"/>
      <c r="C19" s="119"/>
      <c r="J19">
        <f t="shared" si="0"/>
        <v>44361</v>
      </c>
      <c r="K19" s="116">
        <f>'Fechamento fiscal'!B19</f>
        <v>44361</v>
      </c>
      <c r="L19" s="117"/>
      <c r="M19" s="117">
        <f>IF($D$12&gt;=K19,'Fechamento fiscal'!AL19,"")</f>
        <v>189.36935261966369</v>
      </c>
      <c r="N19" s="118">
        <f>IF($D$12&gt;=K19,'Fechamento fiscal'!AM19,"")</f>
        <v>45.215896236694263</v>
      </c>
      <c r="O19" s="118">
        <f>IF($D$12&gt;=K19,'Fechamento fiscal'!AN19,"")</f>
        <v>39.601304617637894</v>
      </c>
      <c r="P19" s="118">
        <f>IF($D$12&gt;=K19,'Gás fiscal'!H16,"")</f>
        <v>4662</v>
      </c>
    </row>
    <row r="20" spans="2:16" x14ac:dyDescent="0.25">
      <c r="B20" s="196" t="s">
        <v>93</v>
      </c>
      <c r="C20" s="196"/>
      <c r="D20" s="212" t="s">
        <v>148</v>
      </c>
      <c r="E20" s="213"/>
      <c r="F20" s="213"/>
      <c r="G20" s="213"/>
      <c r="H20" s="214"/>
      <c r="J20">
        <f t="shared" si="0"/>
        <v>44362</v>
      </c>
      <c r="K20" s="116">
        <f>'Fechamento fiscal'!B20</f>
        <v>44362</v>
      </c>
      <c r="L20" s="117"/>
      <c r="M20" s="117">
        <f>IF($D$12&gt;=K20,'Fechamento fiscal'!AL20,"")</f>
        <v>253.47110931030571</v>
      </c>
      <c r="N20" s="118">
        <f>IF($D$12&gt;=K20,'Fechamento fiscal'!AM20,"")</f>
        <v>0</v>
      </c>
      <c r="O20" s="118">
        <f>IF($D$12&gt;=K20,'Fechamento fiscal'!AN20,"")</f>
        <v>64.10175669064202</v>
      </c>
      <c r="P20" s="118">
        <f>IF($D$12&gt;=K20,'Gás fiscal'!H17,"")</f>
        <v>4756</v>
      </c>
    </row>
    <row r="21" spans="2:16" x14ac:dyDescent="0.25">
      <c r="B21" s="119"/>
      <c r="C21" s="119"/>
      <c r="J21">
        <f t="shared" si="0"/>
        <v>44363</v>
      </c>
      <c r="K21" s="116">
        <f>'Fechamento fiscal'!B21</f>
        <v>44363</v>
      </c>
      <c r="L21" s="117"/>
      <c r="M21" s="117">
        <f>IF($D$12&gt;=K21,'Fechamento fiscal'!AL21,"")</f>
        <v>281.51431595494188</v>
      </c>
      <c r="N21" s="118">
        <f>IF($D$12&gt;=K21,'Fechamento fiscal'!AM21,"")</f>
        <v>0</v>
      </c>
      <c r="O21" s="118">
        <f>IF($D$12&gt;=K21,'Fechamento fiscal'!AN21,"")</f>
        <v>28.043206644636172</v>
      </c>
      <c r="P21" s="118">
        <f>IF($D$12&gt;=K21,'Gás fiscal'!H18,"")</f>
        <v>4598</v>
      </c>
    </row>
    <row r="22" spans="2:16" x14ac:dyDescent="0.25">
      <c r="B22" s="119"/>
      <c r="C22" s="119"/>
      <c r="D22" s="205" t="s">
        <v>94</v>
      </c>
      <c r="E22" s="205"/>
      <c r="F22" s="205" t="s">
        <v>49</v>
      </c>
      <c r="G22" s="205"/>
      <c r="J22">
        <f t="shared" si="0"/>
        <v>44364</v>
      </c>
      <c r="K22" s="116">
        <f>'Fechamento fiscal'!B22</f>
        <v>44364</v>
      </c>
      <c r="L22" s="117"/>
      <c r="M22" s="117">
        <f>IF($D$12&gt;=K22,'Fechamento fiscal'!AL22,"")</f>
        <v>140.89461138449718</v>
      </c>
      <c r="N22" s="118">
        <f>IF($D$12&gt;=K22,'Fechamento fiscal'!AM22,"")</f>
        <v>140.22779258242738</v>
      </c>
      <c r="O22" s="118">
        <f>IF($D$12&gt;=K22,'Fechamento fiscal'!AN22,"")</f>
        <v>-0.39191198801731275</v>
      </c>
      <c r="P22" s="118">
        <f>IF($D$12&gt;=K22,'Gás fiscal'!H19,"")</f>
        <v>4736</v>
      </c>
    </row>
    <row r="23" spans="2:16" x14ac:dyDescent="0.25">
      <c r="B23" s="196" t="s">
        <v>95</v>
      </c>
      <c r="C23" s="196"/>
      <c r="D23" s="217">
        <f>VLOOKUP(D12,J6:O36,6,0)</f>
        <v>0</v>
      </c>
      <c r="E23" s="217"/>
      <c r="F23" s="217">
        <f>VLOOKUP(D12,J6:P36,7,0)</f>
        <v>0</v>
      </c>
      <c r="G23" s="217"/>
      <c r="J23">
        <f t="shared" si="0"/>
        <v>44365</v>
      </c>
      <c r="K23" s="116">
        <f>'Fechamento fiscal'!B23</f>
        <v>44365</v>
      </c>
      <c r="L23" s="117"/>
      <c r="M23" s="117">
        <f>IF($D$12&gt;=K23,'Fechamento fiscal'!AL23,"")</f>
        <v>66.620222747698023</v>
      </c>
      <c r="N23" s="118">
        <f>IF($D$12&gt;=K23,'Fechamento fiscal'!AM23,"")</f>
        <v>74.191336737583256</v>
      </c>
      <c r="O23" s="118">
        <f>IF($D$12&gt;=K23,'Fechamento fiscal'!AN23,"")</f>
        <v>-8.3051899215902836E-2</v>
      </c>
      <c r="P23" s="118">
        <f>IF($D$12&gt;=K23,'Gás fiscal'!H20,"")</f>
        <v>4750</v>
      </c>
    </row>
    <row r="24" spans="2:16" x14ac:dyDescent="0.25">
      <c r="J24">
        <f t="shared" si="0"/>
        <v>44366</v>
      </c>
      <c r="K24" s="116">
        <f>'Fechamento fiscal'!B24</f>
        <v>44366</v>
      </c>
      <c r="L24" s="117"/>
      <c r="M24" s="117">
        <f>IF($D$12&gt;=K24,'Fechamento fiscal'!AL24,"")</f>
        <v>128.9200847577801</v>
      </c>
      <c r="N24" s="118">
        <f>IF($D$12&gt;=K24,'Fechamento fiscal'!AM24,"")</f>
        <v>0</v>
      </c>
      <c r="O24" s="118">
        <f>IF($D$12&gt;=K24,'Fechamento fiscal'!AN24,"")</f>
        <v>62.29986201008208</v>
      </c>
      <c r="P24" s="118">
        <f>IF($D$12&gt;=K24,'Gás fiscal'!H21,"")</f>
        <v>4513</v>
      </c>
    </row>
    <row r="25" spans="2:16" x14ac:dyDescent="0.25">
      <c r="B25" s="119"/>
      <c r="C25" s="119"/>
      <c r="J25">
        <f t="shared" si="0"/>
        <v>44367</v>
      </c>
      <c r="K25" s="116">
        <f>'Fechamento fiscal'!B25</f>
        <v>44367</v>
      </c>
      <c r="L25" s="117"/>
      <c r="M25" s="117">
        <f>IF($D$12&gt;=K25,'Fechamento fiscal'!AL25,"")</f>
        <v>191.24397106667951</v>
      </c>
      <c r="N25" s="118">
        <f>IF($D$12&gt;=K25,'Fechamento fiscal'!AM25,"")</f>
        <v>0</v>
      </c>
      <c r="O25" s="118">
        <f>IF($D$12&gt;=K25,'Fechamento fiscal'!AN25,"")</f>
        <v>62.323886308899404</v>
      </c>
      <c r="P25" s="118">
        <f>IF($D$12&gt;=K25,'Gás fiscal'!H22,"")</f>
        <v>4442</v>
      </c>
    </row>
    <row r="26" spans="2:16" x14ac:dyDescent="0.25">
      <c r="B26" s="196" t="s">
        <v>96</v>
      </c>
      <c r="C26" s="196"/>
      <c r="D26" s="218"/>
      <c r="E26" s="219"/>
      <c r="J26">
        <f t="shared" si="0"/>
        <v>44368</v>
      </c>
      <c r="K26" s="116">
        <f>'Fechamento fiscal'!B26</f>
        <v>44368</v>
      </c>
      <c r="L26" s="117"/>
      <c r="M26" s="117">
        <f>IF($D$12&gt;=K26,'Fechamento fiscal'!AL26,"")</f>
        <v>253.76037366787557</v>
      </c>
      <c r="N26" s="118">
        <f>IF($D$12&gt;=K26,'Fechamento fiscal'!AM26,"")</f>
        <v>0</v>
      </c>
      <c r="O26" s="118">
        <f>IF($D$12&gt;=K26,'Fechamento fiscal'!AN26,"")</f>
        <v>62.516402601196063</v>
      </c>
      <c r="P26" s="118">
        <f>IF($D$12&gt;=K26,'Gás fiscal'!H23,"")</f>
        <v>4180</v>
      </c>
    </row>
    <row r="27" spans="2:16" x14ac:dyDescent="0.25">
      <c r="B27" s="119"/>
      <c r="C27" s="119"/>
      <c r="J27">
        <f t="shared" si="0"/>
        <v>44369</v>
      </c>
      <c r="K27" s="116">
        <f>'Fechamento fiscal'!B27</f>
        <v>44369</v>
      </c>
      <c r="L27" s="117"/>
      <c r="M27" s="117">
        <f>IF($D$12&gt;=K27,'Fechamento fiscal'!AL27,"")</f>
        <v>272.23465913289891</v>
      </c>
      <c r="N27" s="118">
        <f>IF($D$12&gt;=K27,'Fechamento fiscal'!AM27,"")</f>
        <v>0</v>
      </c>
      <c r="O27" s="118">
        <f>IF($D$12&gt;=K27,'Fechamento fiscal'!AN27,"")</f>
        <v>18.474285465023343</v>
      </c>
      <c r="P27" s="118">
        <f>IF($D$12&gt;=K27,'Gás fiscal'!H24,"")</f>
        <v>4707</v>
      </c>
    </row>
    <row r="28" spans="2:16" x14ac:dyDescent="0.25">
      <c r="B28" s="196" t="s">
        <v>97</v>
      </c>
      <c r="C28" s="196"/>
      <c r="D28" s="220" t="s">
        <v>152</v>
      </c>
      <c r="E28" s="221"/>
      <c r="F28" s="221"/>
      <c r="G28" s="221"/>
      <c r="H28" s="222"/>
      <c r="J28">
        <f t="shared" si="0"/>
        <v>44370</v>
      </c>
      <c r="K28" s="116">
        <f>'Fechamento fiscal'!B28</f>
        <v>44370</v>
      </c>
      <c r="L28" s="117"/>
      <c r="M28" s="117">
        <f>IF($D$12&gt;=K28,'Fechamento fiscal'!AL28,"")</f>
        <v>127.36175196711181</v>
      </c>
      <c r="N28" s="118">
        <f>IF($D$12&gt;=K28,'Fechamento fiscal'!AM28,"")</f>
        <v>144.5435025834478</v>
      </c>
      <c r="O28" s="118">
        <f>IF($D$12&gt;=K28,'Fechamento fiscal'!AN28,"")</f>
        <v>-0.32940458233929348</v>
      </c>
      <c r="P28" s="118">
        <f>IF($D$12&gt;=K28,'Gás fiscal'!H25,"")</f>
        <v>2112</v>
      </c>
    </row>
    <row r="29" spans="2:16" x14ac:dyDescent="0.25">
      <c r="B29" s="103"/>
      <c r="D29" s="223"/>
      <c r="E29" s="224"/>
      <c r="F29" s="224"/>
      <c r="G29" s="224"/>
      <c r="H29" s="225"/>
      <c r="J29">
        <f t="shared" si="0"/>
        <v>44371</v>
      </c>
      <c r="K29" s="116">
        <f>'Fechamento fiscal'!B29</f>
        <v>44371</v>
      </c>
      <c r="L29" s="117"/>
      <c r="M29" s="117">
        <f>IF($D$12&gt;=K29,'Fechamento fiscal'!AL29,"")</f>
        <v>17.691877267398638</v>
      </c>
      <c r="N29" s="118">
        <f>IF($D$12&gt;=K29,'Fechamento fiscal'!AM29,"")</f>
        <v>109.53742022970289</v>
      </c>
      <c r="O29" s="118">
        <f>IF($D$12&gt;=K29,'Fechamento fiscal'!AN29,"")</f>
        <v>-0.13245447001028765</v>
      </c>
      <c r="P29" s="118">
        <f>IF($D$12&gt;=K29,'Gás fiscal'!H26,"")</f>
        <v>2376</v>
      </c>
    </row>
    <row r="30" spans="2:16" x14ac:dyDescent="0.25">
      <c r="B30" s="103"/>
      <c r="D30" s="223"/>
      <c r="E30" s="224"/>
      <c r="F30" s="224"/>
      <c r="G30" s="224"/>
      <c r="H30" s="225"/>
      <c r="J30">
        <f t="shared" si="0"/>
        <v>44372</v>
      </c>
      <c r="K30" s="116">
        <f>'Fechamento fiscal'!B30</f>
        <v>44372</v>
      </c>
      <c r="L30" s="117"/>
      <c r="M30" s="117">
        <f>IF($D$12&gt;=K30,'Fechamento fiscal'!AL30,"")</f>
        <v>80.249405267042377</v>
      </c>
      <c r="N30" s="118">
        <f>IF($D$12&gt;=K30,'Fechamento fiscal'!AM30,"")</f>
        <v>0</v>
      </c>
      <c r="O30" s="118">
        <f>IF($D$12&gt;=K30,'Fechamento fiscal'!AN30,"")</f>
        <v>62.557527999643739</v>
      </c>
      <c r="P30" s="118">
        <f>IF($D$12&gt;=K30,'Gás fiscal'!H27,"")</f>
        <v>4757</v>
      </c>
    </row>
    <row r="31" spans="2:16" x14ac:dyDescent="0.25">
      <c r="B31" s="103"/>
      <c r="D31" s="223"/>
      <c r="E31" s="224"/>
      <c r="F31" s="224"/>
      <c r="G31" s="224"/>
      <c r="H31" s="225"/>
      <c r="J31">
        <f t="shared" si="0"/>
        <v>44373</v>
      </c>
      <c r="K31" s="116">
        <f>'Fechamento fiscal'!B31</f>
        <v>44373</v>
      </c>
      <c r="L31" s="117"/>
      <c r="M31" s="117">
        <f>IF($D$12&gt;=K31,'Fechamento fiscal'!AL31,"")</f>
        <v>141.5128407562047</v>
      </c>
      <c r="N31" s="118">
        <f>IF($D$12&gt;=K31,'Fechamento fiscal'!AM31,"")</f>
        <v>0</v>
      </c>
      <c r="O31" s="118">
        <f>IF($D$12&gt;=K31,'Fechamento fiscal'!AN31,"")</f>
        <v>61.263435489162319</v>
      </c>
      <c r="P31" s="118">
        <f>IF($D$12&gt;=K31,'Gás fiscal'!H28,"")</f>
        <v>4698</v>
      </c>
    </row>
    <row r="32" spans="2:16" x14ac:dyDescent="0.25">
      <c r="B32" s="103"/>
      <c r="D32" s="226"/>
      <c r="E32" s="227"/>
      <c r="F32" s="227"/>
      <c r="G32" s="227"/>
      <c r="H32" s="228"/>
      <c r="J32">
        <f t="shared" si="0"/>
        <v>44374</v>
      </c>
      <c r="K32" s="116">
        <f>'Fechamento fiscal'!B32</f>
        <v>44374</v>
      </c>
      <c r="L32" s="117"/>
      <c r="M32" s="117">
        <f>IF($D$12&gt;=K32,'Fechamento fiscal'!AL32,"")</f>
        <v>97.085193703995316</v>
      </c>
      <c r="N32" s="118">
        <f>IF($D$12&gt;=K32,'Fechamento fiscal'!AM32,"")</f>
        <v>44.79342880486189</v>
      </c>
      <c r="O32" s="118">
        <f>IF($D$12&gt;=K32,'Fechamento fiscal'!AN32,"")</f>
        <v>0.36578175265250934</v>
      </c>
      <c r="P32" s="118">
        <f>IF($D$12&gt;=K32,'Gás fiscal'!H29,"")</f>
        <v>4776</v>
      </c>
    </row>
    <row r="33" spans="2:16" x14ac:dyDescent="0.25">
      <c r="B33" s="103"/>
      <c r="J33">
        <f t="shared" si="0"/>
        <v>44375</v>
      </c>
      <c r="K33" s="116">
        <f>'Fechamento fiscal'!B33</f>
        <v>44375</v>
      </c>
      <c r="L33" s="117"/>
      <c r="M33" s="117">
        <f>IF($D$12&gt;=K33,'Fechamento fiscal'!AL33,"")</f>
        <v>22.407520540229434</v>
      </c>
      <c r="N33" s="118">
        <f>IF($D$12&gt;=K33,'Fechamento fiscal'!AM33,"")</f>
        <v>74.841176782191141</v>
      </c>
      <c r="O33" s="118">
        <f>IF($D$12&gt;=K33,'Fechamento fiscal'!AN33,"")</f>
        <v>0.16350361842525274</v>
      </c>
      <c r="P33" s="118">
        <f>IF($D$12&gt;=K33,'Gás fiscal'!H30,"")</f>
        <v>4210</v>
      </c>
    </row>
    <row r="34" spans="2:16" x14ac:dyDescent="0.25">
      <c r="B34" s="103"/>
      <c r="J34">
        <f>VALUE(K34:K64)</f>
        <v>44376</v>
      </c>
      <c r="K34" s="116">
        <f>'Fechamento fiscal'!B34</f>
        <v>44376</v>
      </c>
      <c r="L34" s="117"/>
      <c r="M34" s="117"/>
      <c r="N34" s="118"/>
      <c r="O34" s="118"/>
      <c r="P34" s="118"/>
    </row>
    <row r="35" spans="2:16" x14ac:dyDescent="0.25">
      <c r="B35" s="103"/>
      <c r="J35">
        <f>VALUE(K35:K65)</f>
        <v>44377</v>
      </c>
      <c r="K35" s="116">
        <f>'Fechamento fiscal'!B35</f>
        <v>44377</v>
      </c>
      <c r="L35" s="117"/>
      <c r="M35" s="117"/>
      <c r="N35" s="118"/>
      <c r="O35" s="118"/>
      <c r="P35" s="118"/>
    </row>
    <row r="36" spans="2:16" x14ac:dyDescent="0.25">
      <c r="B36" s="103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215" t="s">
        <v>98</v>
      </c>
      <c r="C37" s="215"/>
      <c r="E37" s="215" t="s">
        <v>99</v>
      </c>
      <c r="F37" s="215"/>
      <c r="G37" s="215"/>
      <c r="H37" s="215"/>
      <c r="I37" s="215"/>
      <c r="K37" s="123" t="s">
        <v>100</v>
      </c>
      <c r="L37" s="124"/>
      <c r="M37" s="125"/>
      <c r="N37" s="125">
        <f>SUM(N6:N36)</f>
        <v>912.57986464031035</v>
      </c>
      <c r="O37" s="125">
        <f>SUM(O6:O36)</f>
        <v>771.89604717117925</v>
      </c>
      <c r="P37" s="125">
        <f>SUM(P6:P36)</f>
        <v>120949</v>
      </c>
    </row>
    <row r="38" spans="2:16" x14ac:dyDescent="0.25">
      <c r="B38" s="216"/>
      <c r="C38" s="216"/>
      <c r="E38" s="216"/>
      <c r="F38" s="216"/>
      <c r="G38" s="216"/>
      <c r="H38" s="216"/>
      <c r="I38" s="216"/>
      <c r="J38" s="124"/>
      <c r="K38" s="123"/>
      <c r="L38" s="125"/>
      <c r="M38" s="125"/>
      <c r="N38" s="126"/>
      <c r="O38" s="126"/>
    </row>
  </sheetData>
  <sheetProtection algorithmName="SHA-512" hashValue="J2zQ+V7h97g30JHCyMZT1I04i2NVAduYe8w08AfzPLXBgZ0keAi8MD2MCx7ZgZck4D/JpZoBwrYlzPUgeInVRg==" saltValue="uRvBQuG0g5WFaT3cwi7+MA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98" t="s">
        <v>76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2:16" x14ac:dyDescent="0.25"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2:16" x14ac:dyDescent="0.25">
      <c r="B3" s="105"/>
      <c r="C3" s="106" t="s">
        <v>64</v>
      </c>
      <c r="D3" s="200">
        <f>YEAR('Fechamento fiscal'!B6)</f>
        <v>2021</v>
      </c>
      <c r="E3" s="200"/>
      <c r="F3" s="107" t="s">
        <v>65</v>
      </c>
      <c r="G3" s="108" t="str">
        <f>UPPER(TEXT('Fechamento fiscal'!B6,"MMMM"))</f>
        <v>JUNHO</v>
      </c>
      <c r="H3" s="201"/>
      <c r="I3" s="20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196" t="s">
        <v>83</v>
      </c>
      <c r="C6" s="196"/>
      <c r="D6" s="202" t="s">
        <v>84</v>
      </c>
      <c r="E6" s="203"/>
      <c r="F6" s="203"/>
      <c r="G6" s="203"/>
      <c r="H6" s="204"/>
      <c r="J6">
        <f t="shared" ref="J6:J35" si="0">VALUE(K6:K36)</f>
        <v>44348</v>
      </c>
      <c r="K6" s="116">
        <f>'Fechamento fiscal'!B6</f>
        <v>44348</v>
      </c>
      <c r="L6" s="117"/>
      <c r="M6" s="117">
        <f>IF($D$12&gt;=K6,'Fechamento fiscal'!AL6,"")</f>
        <v>97.861288892581882</v>
      </c>
      <c r="N6" s="118">
        <f>IF($D$12&gt;=K6,'Fechamento fiscal'!AM6,"")</f>
        <v>65.314821334786302</v>
      </c>
      <c r="O6" s="118">
        <f>IF($D$12&gt;=K6,'Fechamento fiscal'!AN6-('Apropriação diária'!R326+'Apropriação diária'!R358),"")</f>
        <v>7.4153434673490157E-2</v>
      </c>
      <c r="P6" s="118">
        <f>IF($D$12&gt;=K6,'Gás fiscal'!H3,"")</f>
        <v>3104</v>
      </c>
    </row>
    <row r="7" spans="2:16" x14ac:dyDescent="0.25">
      <c r="B7" s="141"/>
      <c r="C7" s="141"/>
      <c r="J7">
        <f t="shared" si="0"/>
        <v>44349</v>
      </c>
      <c r="K7" s="116">
        <f>'Fechamento fiscal'!B7</f>
        <v>44349</v>
      </c>
      <c r="L7" s="117"/>
      <c r="M7" s="117">
        <f>IF($D$12&gt;=K7,'Fechamento fiscal'!AL7,"")</f>
        <v>97.424971642528789</v>
      </c>
      <c r="N7" s="118">
        <f>IF($D$12&gt;=K7,'Fechamento fiscal'!AM7,"")</f>
        <v>52.770427394083399</v>
      </c>
      <c r="O7" s="118">
        <f>IF($D$12&gt;=K7,'Fechamento fiscal'!AN7-('Apropriação diária'!R327+'Apropriação diária'!R359),"")</f>
        <v>45.912219283002727</v>
      </c>
      <c r="P7" s="118">
        <f>IF($D$12&gt;=K7,'Gás fiscal'!H4,"")</f>
        <v>4462</v>
      </c>
    </row>
    <row r="8" spans="2:16" x14ac:dyDescent="0.25">
      <c r="B8" s="196" t="s">
        <v>85</v>
      </c>
      <c r="C8" s="196"/>
      <c r="D8" s="197" t="s">
        <v>110</v>
      </c>
      <c r="E8" s="197"/>
      <c r="J8">
        <f t="shared" si="0"/>
        <v>44350</v>
      </c>
      <c r="K8" s="116">
        <f>'Fechamento fiscal'!B8</f>
        <v>44350</v>
      </c>
      <c r="L8" s="117"/>
      <c r="M8" s="117">
        <f>IF($D$12&gt;=K8,'Fechamento fiscal'!AL8,"")</f>
        <v>159.85030106066063</v>
      </c>
      <c r="N8" s="118">
        <f>IF($D$12&gt;=K8,'Fechamento fiscal'!AM8,"")</f>
        <v>0</v>
      </c>
      <c r="O8" s="118">
        <f>IF($D$12&gt;=K8,'Fechamento fiscal'!AN8-('Apropriação diária'!R328+'Apropriação diária'!R360),"")</f>
        <v>54.765150399445197</v>
      </c>
      <c r="P8" s="118">
        <f>IF($D$12&gt;=K8,'Gás fiscal'!H5,"")</f>
        <v>4773</v>
      </c>
    </row>
    <row r="9" spans="2:16" x14ac:dyDescent="0.25">
      <c r="B9" s="141"/>
      <c r="C9" s="141"/>
      <c r="J9">
        <f t="shared" si="0"/>
        <v>44351</v>
      </c>
      <c r="K9" s="116">
        <f>'Fechamento fiscal'!B9</f>
        <v>44351</v>
      </c>
      <c r="L9" s="117"/>
      <c r="M9" s="117">
        <f>IF($D$12&gt;=K9,'Fechamento fiscal'!AL9,"")</f>
        <v>222.52704215873368</v>
      </c>
      <c r="N9" s="118">
        <f>IF($D$12&gt;=K9,'Fechamento fiscal'!AM9,"")</f>
        <v>0</v>
      </c>
      <c r="O9" s="118">
        <f>IF($D$12&gt;=K9,'Fechamento fiscal'!AN9-('Apropriação diária'!R329+'Apropriação diária'!R361),"")</f>
        <v>54.985711485666044</v>
      </c>
      <c r="P9" s="118">
        <f>IF($D$12&gt;=K9,'Gás fiscal'!H6,"")</f>
        <v>4629</v>
      </c>
    </row>
    <row r="10" spans="2:16" x14ac:dyDescent="0.25">
      <c r="B10" s="196" t="s">
        <v>86</v>
      </c>
      <c r="C10" s="196"/>
      <c r="D10" s="206">
        <v>10201</v>
      </c>
      <c r="E10" s="207"/>
      <c r="F10" s="207"/>
      <c r="G10" s="207"/>
      <c r="H10" s="208"/>
      <c r="J10">
        <f t="shared" si="0"/>
        <v>44352</v>
      </c>
      <c r="K10" s="116">
        <f>'Fechamento fiscal'!B10</f>
        <v>44352</v>
      </c>
      <c r="L10" s="117"/>
      <c r="M10" s="117">
        <f>IF($D$12&gt;=K10,'Fechamento fiscal'!AL10,"")</f>
        <v>285.40009758704798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55.157936188706316</v>
      </c>
      <c r="P10" s="118">
        <f>IF($D$12&gt;=K10,'Gás fiscal'!H7,"")</f>
        <v>4538</v>
      </c>
    </row>
    <row r="11" spans="2:16" x14ac:dyDescent="0.25">
      <c r="B11" s="141"/>
      <c r="C11" s="141"/>
      <c r="J11">
        <f t="shared" si="0"/>
        <v>44353</v>
      </c>
      <c r="K11" s="116">
        <f>'Fechamento fiscal'!B11</f>
        <v>44353</v>
      </c>
      <c r="L11" s="117"/>
      <c r="M11" s="117">
        <f>IF($D$12&gt;=K11,'Fechamento fiscal'!AL11,"")</f>
        <v>285.59469791437704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0.17072102451511481</v>
      </c>
      <c r="P11" s="118">
        <f>IF($D$12&gt;=K11,'Gás fiscal'!H8,"")</f>
        <v>4634</v>
      </c>
    </row>
    <row r="12" spans="2:16" x14ac:dyDescent="0.25">
      <c r="B12" s="196" t="s">
        <v>87</v>
      </c>
      <c r="C12" s="196"/>
      <c r="D12" s="209">
        <v>44377</v>
      </c>
      <c r="E12" s="210"/>
      <c r="J12">
        <f t="shared" si="0"/>
        <v>44354</v>
      </c>
      <c r="K12" s="116">
        <f>'Fechamento fiscal'!B12</f>
        <v>44354</v>
      </c>
      <c r="L12" s="117"/>
      <c r="M12" s="117">
        <f>IF($D$12&gt;=K12,'Fechamento fiscal'!AL12,"")</f>
        <v>267.92033949259087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-15.500606720266212</v>
      </c>
      <c r="P12" s="118">
        <f>IF($D$12&gt;=K12,'Gás fiscal'!H9,"")</f>
        <v>4682</v>
      </c>
    </row>
    <row r="13" spans="2:16" x14ac:dyDescent="0.25">
      <c r="B13" s="141"/>
      <c r="C13" s="141"/>
      <c r="J13">
        <f t="shared" si="0"/>
        <v>44355</v>
      </c>
      <c r="K13" s="116">
        <f>'Fechamento fiscal'!B13</f>
        <v>44355</v>
      </c>
      <c r="L13" s="117"/>
      <c r="M13" s="117">
        <f>IF($D$12&gt;=K13,'Fechamento fiscal'!AL13,"")</f>
        <v>267.4236436843384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-0.43519909089200359</v>
      </c>
      <c r="P13" s="118">
        <f>IF($D$12&gt;=K13,'Gás fiscal'!H10,"")</f>
        <v>4650</v>
      </c>
    </row>
    <row r="14" spans="2:16" x14ac:dyDescent="0.25">
      <c r="B14" s="196" t="s">
        <v>88</v>
      </c>
      <c r="C14" s="196"/>
      <c r="D14" s="211">
        <v>0</v>
      </c>
      <c r="E14" s="210"/>
      <c r="J14">
        <f t="shared" si="0"/>
        <v>44356</v>
      </c>
      <c r="K14" s="116">
        <f>'Fechamento fiscal'!B14</f>
        <v>44356</v>
      </c>
      <c r="L14" s="117"/>
      <c r="M14" s="117">
        <f>IF($D$12&gt;=K14,'Fechamento fiscal'!AL14,"")</f>
        <v>202.88842696440378</v>
      </c>
      <c r="N14" s="118">
        <f>IF($D$12&gt;=K14,'Fechamento fiscal'!AM14,"")</f>
        <v>91.391562626923672</v>
      </c>
      <c r="O14" s="118">
        <f>IF($D$12&gt;=K14,'Fechamento fiscal'!AN14-('Apropriação diária'!R334+'Apropriação diária'!R366),"")</f>
        <v>23.531217959185849</v>
      </c>
      <c r="P14" s="118">
        <f>IF($D$12&gt;=K14,'Gás fiscal'!H11,"")</f>
        <v>4214</v>
      </c>
    </row>
    <row r="15" spans="2:16" x14ac:dyDescent="0.25">
      <c r="B15" s="141"/>
      <c r="C15" s="141"/>
      <c r="J15">
        <f t="shared" si="0"/>
        <v>44357</v>
      </c>
      <c r="K15" s="116">
        <f>'Fechamento fiscal'!B15</f>
        <v>44357</v>
      </c>
      <c r="L15" s="117"/>
      <c r="M15" s="117">
        <f>IF($D$12&gt;=K15,'Fechamento fiscal'!AL15,"")</f>
        <v>265.54729658036933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54.88889401882691</v>
      </c>
      <c r="P15" s="118">
        <f>IF($D$12&gt;=K15,'Gás fiscal'!H12,"")</f>
        <v>3928</v>
      </c>
    </row>
    <row r="16" spans="2:16" x14ac:dyDescent="0.25">
      <c r="B16" s="196" t="s">
        <v>89</v>
      </c>
      <c r="C16" s="196"/>
      <c r="D16" s="120" t="s">
        <v>90</v>
      </c>
      <c r="E16" s="121">
        <f>K6</f>
        <v>44348</v>
      </c>
      <c r="F16" s="120" t="s">
        <v>91</v>
      </c>
      <c r="G16" s="121">
        <f>D12</f>
        <v>44377</v>
      </c>
      <c r="H16" s="122"/>
      <c r="J16">
        <f t="shared" si="0"/>
        <v>44358</v>
      </c>
      <c r="K16" s="116">
        <f>'Fechamento fiscal'!B16</f>
        <v>44358</v>
      </c>
      <c r="L16" s="117"/>
      <c r="M16" s="117">
        <f>IF($D$12&gt;=K16,'Fechamento fiscal'!AL16,"")</f>
        <v>265.49979226607906</v>
      </c>
      <c r="N16" s="118">
        <f>IF($D$12&gt;=K16,'Fechamento fiscal'!AM16,"")</f>
        <v>0</v>
      </c>
      <c r="O16" s="118">
        <f>IF($D$12&gt;=K16,'Fechamento fiscal'!AN16-('Apropriação diária'!R336+'Apropriação diária'!R368),"")</f>
        <v>-4.1622727732119426E-2</v>
      </c>
      <c r="P16" s="118">
        <f>IF($D$12&gt;=K16,'Gás fiscal'!H13,"")</f>
        <v>4034</v>
      </c>
    </row>
    <row r="17" spans="2:16" x14ac:dyDescent="0.25">
      <c r="B17" s="141"/>
      <c r="C17" s="141"/>
      <c r="J17">
        <f t="shared" si="0"/>
        <v>44359</v>
      </c>
      <c r="K17" s="116">
        <f>'Fechamento fiscal'!B17</f>
        <v>44359</v>
      </c>
      <c r="L17" s="117"/>
      <c r="M17" s="117">
        <f>IF($D$12&gt;=K17,'Fechamento fiscal'!AL17,"")</f>
        <v>239.62755683641842</v>
      </c>
      <c r="N17" s="118">
        <f>IF($D$12&gt;=K17,'Fechamento fiscal'!AM17,"")</f>
        <v>25.116949862416462</v>
      </c>
      <c r="O17" s="118">
        <f>IF($D$12&gt;=K17,'Fechamento fiscal'!AN17-('Apropriação diária'!R337+'Apropriação diária'!R369),"")</f>
        <v>-0.64809219646287142</v>
      </c>
      <c r="P17" s="118">
        <f>IF($D$12&gt;=K17,'Gás fiscal'!H14,"")</f>
        <v>4765</v>
      </c>
    </row>
    <row r="18" spans="2:16" x14ac:dyDescent="0.25">
      <c r="B18" s="196" t="s">
        <v>92</v>
      </c>
      <c r="C18" s="196"/>
      <c r="D18" s="202" t="s">
        <v>147</v>
      </c>
      <c r="E18" s="203"/>
      <c r="F18" s="203"/>
      <c r="G18" s="203"/>
      <c r="H18" s="204"/>
      <c r="J18">
        <f t="shared" si="0"/>
        <v>44360</v>
      </c>
      <c r="K18" s="116">
        <f>'Fechamento fiscal'!B18</f>
        <v>44360</v>
      </c>
      <c r="L18" s="117"/>
      <c r="M18" s="117">
        <f>IF($D$12&gt;=K18,'Fechamento fiscal'!AL18,"")</f>
        <v>194.98394423872006</v>
      </c>
      <c r="N18" s="118">
        <f>IF($D$12&gt;=K18,'Fechamento fiscal'!AM18,"")</f>
        <v>44.635549465192014</v>
      </c>
      <c r="O18" s="118">
        <f>IF($D$12&gt;=K18,'Fechamento fiscal'!AN18-('Apropriação diária'!R338+'Apropriação diária'!R370),"")</f>
        <v>-7.0342557616854921E-3</v>
      </c>
      <c r="P18" s="118">
        <f>IF($D$12&gt;=K18,'Gás fiscal'!H15,"")</f>
        <v>4263</v>
      </c>
    </row>
    <row r="19" spans="2:16" x14ac:dyDescent="0.25">
      <c r="B19" s="141"/>
      <c r="C19" s="141"/>
      <c r="J19">
        <f t="shared" si="0"/>
        <v>44361</v>
      </c>
      <c r="K19" s="116">
        <f>'Fechamento fiscal'!B19</f>
        <v>44361</v>
      </c>
      <c r="L19" s="117"/>
      <c r="M19" s="117">
        <f>IF($D$12&gt;=K19,'Fechamento fiscal'!AL19,"")</f>
        <v>189.36935261966369</v>
      </c>
      <c r="N19" s="118">
        <f>IF($D$12&gt;=K19,'Fechamento fiscal'!AM19,"")</f>
        <v>45.215896236694263</v>
      </c>
      <c r="O19" s="118">
        <f>IF($D$12&gt;=K19,'Fechamento fiscal'!AN19-('Apropriação diária'!R339+'Apropriação diária'!R371),"")</f>
        <v>34.856683327021955</v>
      </c>
      <c r="P19" s="118">
        <f>IF($D$12&gt;=K19,'Gás fiscal'!H16,"")</f>
        <v>4662</v>
      </c>
    </row>
    <row r="20" spans="2:16" x14ac:dyDescent="0.25">
      <c r="B20" s="196" t="s">
        <v>93</v>
      </c>
      <c r="C20" s="196"/>
      <c r="D20" s="212" t="s">
        <v>149</v>
      </c>
      <c r="E20" s="213"/>
      <c r="F20" s="213"/>
      <c r="G20" s="213"/>
      <c r="H20" s="214"/>
      <c r="J20">
        <f t="shared" si="0"/>
        <v>44362</v>
      </c>
      <c r="K20" s="116">
        <f>'Fechamento fiscal'!B20</f>
        <v>44362</v>
      </c>
      <c r="L20" s="117"/>
      <c r="M20" s="117">
        <f>IF($D$12&gt;=K20,'Fechamento fiscal'!AL20,"")</f>
        <v>253.47110931030571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55.820017293466719</v>
      </c>
      <c r="P20" s="118">
        <f>IF($D$12&gt;=K20,'Gás fiscal'!H17,"")</f>
        <v>4756</v>
      </c>
    </row>
    <row r="21" spans="2:16" x14ac:dyDescent="0.25">
      <c r="B21" s="141"/>
      <c r="C21" s="141"/>
      <c r="J21">
        <f t="shared" si="0"/>
        <v>44363</v>
      </c>
      <c r="K21" s="116">
        <f>'Fechamento fiscal'!B21</f>
        <v>44363</v>
      </c>
      <c r="L21" s="117"/>
      <c r="M21" s="117">
        <f>IF($D$12&gt;=K21,'Fechamento fiscal'!AL21,"")</f>
        <v>281.51431595494188</v>
      </c>
      <c r="N21" s="118">
        <f>IF($D$12&gt;=K21,'Fechamento fiscal'!AM21,"")</f>
        <v>0</v>
      </c>
      <c r="O21" s="118">
        <f>IF($D$12&gt;=K21,'Fechamento fiscal'!AN21-('Apropriação diária'!R341+'Apropriação diária'!R373),"")</f>
        <v>24.501071311371042</v>
      </c>
      <c r="P21" s="118">
        <f>IF($D$12&gt;=K21,'Gás fiscal'!H18,"")</f>
        <v>4598</v>
      </c>
    </row>
    <row r="22" spans="2:16" x14ac:dyDescent="0.25">
      <c r="B22" s="141"/>
      <c r="C22" s="141"/>
      <c r="D22" s="205" t="s">
        <v>94</v>
      </c>
      <c r="E22" s="205"/>
      <c r="F22" s="205" t="s">
        <v>49</v>
      </c>
      <c r="G22" s="205"/>
      <c r="J22">
        <f t="shared" si="0"/>
        <v>44364</v>
      </c>
      <c r="K22" s="116">
        <f>'Fechamento fiscal'!B22</f>
        <v>44364</v>
      </c>
      <c r="L22" s="117"/>
      <c r="M22" s="117">
        <f>IF($D$12&gt;=K22,'Fechamento fiscal'!AL22,"")</f>
        <v>140.89461138449718</v>
      </c>
      <c r="N22" s="118">
        <f>IF($D$12&gt;=K22,'Fechamento fiscal'!AM22,"")</f>
        <v>140.22779258242738</v>
      </c>
      <c r="O22" s="118">
        <f>IF($D$12&gt;=K22,'Fechamento fiscal'!AN22-('Apropriação diária'!R342+'Apropriação diária'!R374),"")</f>
        <v>-0.34414060008643377</v>
      </c>
      <c r="P22" s="118">
        <f>IF($D$12&gt;=K22,'Gás fiscal'!H19,"")</f>
        <v>4736</v>
      </c>
    </row>
    <row r="23" spans="2:16" x14ac:dyDescent="0.25">
      <c r="B23" s="196" t="s">
        <v>95</v>
      </c>
      <c r="C23" s="196"/>
      <c r="D23" s="217">
        <f>VLOOKUP(D12,J6:O36,6,0)</f>
        <v>0</v>
      </c>
      <c r="E23" s="217"/>
      <c r="F23" s="217">
        <f>VLOOKUP(D12,J6:P36,7,0)</f>
        <v>0</v>
      </c>
      <c r="G23" s="217"/>
      <c r="J23">
        <f t="shared" si="0"/>
        <v>44365</v>
      </c>
      <c r="K23" s="116">
        <f>'Fechamento fiscal'!B23</f>
        <v>44365</v>
      </c>
      <c r="L23" s="117"/>
      <c r="M23" s="117">
        <f>IF($D$12&gt;=K23,'Fechamento fiscal'!AL23,"")</f>
        <v>66.620222747698023</v>
      </c>
      <c r="N23" s="118">
        <f>IF($D$12&gt;=K23,'Fechamento fiscal'!AM23,"")</f>
        <v>74.191336737583256</v>
      </c>
      <c r="O23" s="118">
        <f>IF($D$12&gt;=K23,'Fechamento fiscal'!AN23-('Apropriação diária'!R343+'Apropriação diária'!R375),"")</f>
        <v>-7.3731406683270898E-2</v>
      </c>
      <c r="P23" s="118">
        <f>IF($D$12&gt;=K23,'Gás fiscal'!H20,"")</f>
        <v>4750</v>
      </c>
    </row>
    <row r="24" spans="2:16" x14ac:dyDescent="0.25">
      <c r="J24">
        <f t="shared" si="0"/>
        <v>44366</v>
      </c>
      <c r="K24" s="116">
        <f>'Fechamento fiscal'!B24</f>
        <v>44366</v>
      </c>
      <c r="L24" s="117"/>
      <c r="M24" s="117">
        <f>IF($D$12&gt;=K24,'Fechamento fiscal'!AL24,"")</f>
        <v>128.9200847577801</v>
      </c>
      <c r="N24" s="118">
        <f>IF($D$12&gt;=K24,'Fechamento fiscal'!AM24,"")</f>
        <v>0</v>
      </c>
      <c r="O24" s="118">
        <f>IF($D$12&gt;=K24,'Fechamento fiscal'!AN24-('Apropriação diária'!R344+'Apropriação diária'!R376),"")</f>
        <v>55.376935443161827</v>
      </c>
      <c r="P24" s="118">
        <f>IF($D$12&gt;=K24,'Gás fiscal'!H21,"")</f>
        <v>4513</v>
      </c>
    </row>
    <row r="25" spans="2:16" x14ac:dyDescent="0.25">
      <c r="B25" s="141"/>
      <c r="C25" s="141"/>
      <c r="J25">
        <f t="shared" si="0"/>
        <v>44367</v>
      </c>
      <c r="K25" s="116">
        <f>'Fechamento fiscal'!B25</f>
        <v>44367</v>
      </c>
      <c r="L25" s="117"/>
      <c r="M25" s="117">
        <f>IF($D$12&gt;=K25,'Fechamento fiscal'!AL25,"")</f>
        <v>191.24397106667951</v>
      </c>
      <c r="N25" s="118">
        <f>IF($D$12&gt;=K25,'Fechamento fiscal'!AM25,"")</f>
        <v>0</v>
      </c>
      <c r="O25" s="118">
        <f>IF($D$12&gt;=K25,'Fechamento fiscal'!AN25-('Apropriação diária'!R345+'Apropriação diária'!R377),"")</f>
        <v>54.511930720469444</v>
      </c>
      <c r="P25" s="118">
        <f>IF($D$12&gt;=K25,'Gás fiscal'!H22,"")</f>
        <v>4442</v>
      </c>
    </row>
    <row r="26" spans="2:16" x14ac:dyDescent="0.25">
      <c r="B26" s="196" t="s">
        <v>96</v>
      </c>
      <c r="C26" s="196"/>
      <c r="D26" s="218"/>
      <c r="E26" s="219"/>
      <c r="J26">
        <f t="shared" si="0"/>
        <v>44368</v>
      </c>
      <c r="K26" s="116">
        <f>'Fechamento fiscal'!B26</f>
        <v>44368</v>
      </c>
      <c r="L26" s="117"/>
      <c r="M26" s="117">
        <f>IF($D$12&gt;=K26,'Fechamento fiscal'!AL26,"")</f>
        <v>253.76037366787557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55.177379442192752</v>
      </c>
      <c r="P26" s="118">
        <f>IF($D$12&gt;=K26,'Gás fiscal'!H23,"")</f>
        <v>4180</v>
      </c>
    </row>
    <row r="27" spans="2:16" x14ac:dyDescent="0.25">
      <c r="B27" s="141"/>
      <c r="C27" s="141"/>
      <c r="J27">
        <f t="shared" si="0"/>
        <v>44369</v>
      </c>
      <c r="K27" s="116">
        <f>'Fechamento fiscal'!B27</f>
        <v>44369</v>
      </c>
      <c r="L27" s="117"/>
      <c r="M27" s="117">
        <f>IF($D$12&gt;=K27,'Fechamento fiscal'!AL27,"")</f>
        <v>272.23465913289891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15.758682187743233</v>
      </c>
      <c r="P27" s="118">
        <f>IF($D$12&gt;=K27,'Gás fiscal'!H24,"")</f>
        <v>4707</v>
      </c>
    </row>
    <row r="28" spans="2:16" x14ac:dyDescent="0.25">
      <c r="B28" s="196" t="s">
        <v>97</v>
      </c>
      <c r="C28" s="196"/>
      <c r="D28" s="220" t="s">
        <v>152</v>
      </c>
      <c r="E28" s="221"/>
      <c r="F28" s="221"/>
      <c r="G28" s="221"/>
      <c r="H28" s="222"/>
      <c r="J28">
        <f t="shared" si="0"/>
        <v>44370</v>
      </c>
      <c r="K28" s="116">
        <f>'Fechamento fiscal'!B28</f>
        <v>44370</v>
      </c>
      <c r="L28" s="117"/>
      <c r="M28" s="117">
        <f>IF($D$12&gt;=K28,'Fechamento fiscal'!AL28,"")</f>
        <v>127.36175196711181</v>
      </c>
      <c r="N28" s="118">
        <f>IF($D$12&gt;=K28,'Fechamento fiscal'!AM28,"")</f>
        <v>144.5435025834478</v>
      </c>
      <c r="O28" s="118">
        <f>IF($D$12&gt;=K28,'Fechamento fiscal'!AN28-('Apropriação diária'!R348+'Apropriação diária'!R380),"")</f>
        <v>-0.26097279989782224</v>
      </c>
      <c r="P28" s="118">
        <f>IF($D$12&gt;=K28,'Gás fiscal'!H25,"")</f>
        <v>2112</v>
      </c>
    </row>
    <row r="29" spans="2:16" x14ac:dyDescent="0.25">
      <c r="B29" s="138"/>
      <c r="D29" s="223"/>
      <c r="E29" s="224"/>
      <c r="F29" s="224"/>
      <c r="G29" s="224"/>
      <c r="H29" s="225"/>
      <c r="J29">
        <f t="shared" si="0"/>
        <v>44371</v>
      </c>
      <c r="K29" s="116">
        <f>'Fechamento fiscal'!B29</f>
        <v>44371</v>
      </c>
      <c r="L29" s="117"/>
      <c r="M29" s="117">
        <f>IF($D$12&gt;=K29,'Fechamento fiscal'!AL29,"")</f>
        <v>17.691877267398638</v>
      </c>
      <c r="N29" s="118">
        <f>IF($D$12&gt;=K29,'Fechamento fiscal'!AM29,"")</f>
        <v>109.53742022970289</v>
      </c>
      <c r="O29" s="118">
        <f>IF($D$12&gt;=K29,'Fechamento fiscal'!AN29-('Apropriação diária'!R349+'Apropriação diária'!R381),"")</f>
        <v>-0.11365170611710679</v>
      </c>
      <c r="P29" s="118">
        <f>IF($D$12&gt;=K29,'Gás fiscal'!H26,"")</f>
        <v>2376</v>
      </c>
    </row>
    <row r="30" spans="2:16" x14ac:dyDescent="0.25">
      <c r="B30" s="138"/>
      <c r="D30" s="223"/>
      <c r="E30" s="224"/>
      <c r="F30" s="224"/>
      <c r="G30" s="224"/>
      <c r="H30" s="225"/>
      <c r="J30">
        <f t="shared" si="0"/>
        <v>44372</v>
      </c>
      <c r="K30" s="116">
        <f>'Fechamento fiscal'!B30</f>
        <v>44372</v>
      </c>
      <c r="L30" s="117"/>
      <c r="M30" s="117">
        <f>IF($D$12&gt;=K30,'Fechamento fiscal'!AL30,"")</f>
        <v>80.249405267042377</v>
      </c>
      <c r="N30" s="118">
        <f>IF($D$12&gt;=K30,'Fechamento fiscal'!AM30,"")</f>
        <v>0</v>
      </c>
      <c r="O30" s="118">
        <f>IF($D$12&gt;=K30,'Fechamento fiscal'!AN30-('Apropriação diária'!R350+'Apropriação diária'!R382),"")</f>
        <v>54.818612648431738</v>
      </c>
      <c r="P30" s="118">
        <f>IF($D$12&gt;=K30,'Gás fiscal'!H27,"")</f>
        <v>4757</v>
      </c>
    </row>
    <row r="31" spans="2:16" x14ac:dyDescent="0.25">
      <c r="B31" s="138"/>
      <c r="D31" s="223"/>
      <c r="E31" s="224"/>
      <c r="F31" s="224"/>
      <c r="G31" s="224"/>
      <c r="H31" s="225"/>
      <c r="J31">
        <f t="shared" si="0"/>
        <v>44373</v>
      </c>
      <c r="K31" s="116">
        <f>'Fechamento fiscal'!B31</f>
        <v>44373</v>
      </c>
      <c r="L31" s="117"/>
      <c r="M31" s="117">
        <f>IF($D$12&gt;=K31,'Fechamento fiscal'!AL31,"")</f>
        <v>141.5128407562047</v>
      </c>
      <c r="N31" s="118">
        <f>IF($D$12&gt;=K31,'Fechamento fiscal'!AM31,"")</f>
        <v>0</v>
      </c>
      <c r="O31" s="118">
        <f>IF($D$12&gt;=K31,'Fechamento fiscal'!AN31-('Apropriação diária'!R351+'Apropriação diária'!R383),"")</f>
        <v>53.869705374991042</v>
      </c>
      <c r="P31" s="118">
        <f>IF($D$12&gt;=K31,'Gás fiscal'!H28,"")</f>
        <v>4698</v>
      </c>
    </row>
    <row r="32" spans="2:16" x14ac:dyDescent="0.25">
      <c r="B32" s="138"/>
      <c r="D32" s="226"/>
      <c r="E32" s="227"/>
      <c r="F32" s="227"/>
      <c r="G32" s="227"/>
      <c r="H32" s="228"/>
      <c r="J32">
        <f t="shared" si="0"/>
        <v>44374</v>
      </c>
      <c r="K32" s="116">
        <f>'Fechamento fiscal'!B32</f>
        <v>44374</v>
      </c>
      <c r="L32" s="117"/>
      <c r="M32" s="117">
        <f>IF($D$12&gt;=K32,'Fechamento fiscal'!AL32,"")</f>
        <v>97.085193703995316</v>
      </c>
      <c r="N32" s="118">
        <f>IF($D$12&gt;=K32,'Fechamento fiscal'!AM32,"")</f>
        <v>44.79342880486189</v>
      </c>
      <c r="O32" s="118">
        <f>IF($D$12&gt;=K32,'Fechamento fiscal'!AN32-('Apropriação diária'!R352+'Apropriação diária'!R384),"")</f>
        <v>0.32267587543363974</v>
      </c>
      <c r="P32" s="118">
        <f>IF($D$12&gt;=K32,'Gás fiscal'!H29,"")</f>
        <v>4776</v>
      </c>
    </row>
    <row r="33" spans="2:16" x14ac:dyDescent="0.25">
      <c r="B33" s="138"/>
      <c r="J33">
        <f t="shared" si="0"/>
        <v>44375</v>
      </c>
      <c r="K33" s="116">
        <f>'Fechamento fiscal'!B33</f>
        <v>44375</v>
      </c>
      <c r="L33" s="117"/>
      <c r="M33" s="117">
        <f>IF($D$12&gt;=K33,'Fechamento fiscal'!AL33,"")</f>
        <v>22.407520540229434</v>
      </c>
      <c r="N33" s="118">
        <f>IF($D$12&gt;=K33,'Fechamento fiscal'!AM33,"")</f>
        <v>74.841176782191141</v>
      </c>
      <c r="O33" s="118">
        <f>IF($D$12&gt;=K33,'Fechamento fiscal'!AN33-('Apropriação diária'!R353+'Apropriação diária'!R385),"")</f>
        <v>0.14342872079510419</v>
      </c>
      <c r="P33" s="118">
        <f>IF($D$12&gt;=K33,'Gás fiscal'!H30,"")</f>
        <v>4210</v>
      </c>
    </row>
    <row r="34" spans="2:16" x14ac:dyDescent="0.25">
      <c r="B34" s="138"/>
      <c r="J34">
        <f t="shared" si="0"/>
        <v>44376</v>
      </c>
      <c r="K34" s="116">
        <f>'Fechamento fiscal'!B34</f>
        <v>44376</v>
      </c>
      <c r="L34" s="117"/>
      <c r="M34" s="117"/>
      <c r="N34" s="118"/>
      <c r="O34" s="118"/>
      <c r="P34" s="118"/>
    </row>
    <row r="35" spans="2:16" x14ac:dyDescent="0.25">
      <c r="B35" s="138"/>
      <c r="J35">
        <f t="shared" si="0"/>
        <v>44377</v>
      </c>
      <c r="K35" s="116">
        <f>'Fechamento fiscal'!B35</f>
        <v>44377</v>
      </c>
      <c r="L35" s="117"/>
      <c r="M35" s="117"/>
      <c r="N35" s="118"/>
      <c r="O35" s="118"/>
      <c r="P35" s="118"/>
    </row>
    <row r="36" spans="2:16" x14ac:dyDescent="0.25">
      <c r="B36" s="138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215" t="s">
        <v>98</v>
      </c>
      <c r="C37" s="215"/>
      <c r="E37" s="215" t="s">
        <v>99</v>
      </c>
      <c r="F37" s="215"/>
      <c r="G37" s="215"/>
      <c r="H37" s="215"/>
      <c r="I37" s="215"/>
      <c r="K37" s="123" t="s">
        <v>100</v>
      </c>
      <c r="L37" s="124"/>
      <c r="M37" s="125"/>
      <c r="N37" s="125">
        <f>SUM(N6:N36)</f>
        <v>912.57986464031035</v>
      </c>
      <c r="O37" s="125">
        <f>SUM(O6:O36)</f>
        <v>677.21807463520065</v>
      </c>
      <c r="P37" s="125">
        <f>SUM(P6:P36)</f>
        <v>120949</v>
      </c>
    </row>
    <row r="38" spans="2:16" x14ac:dyDescent="0.25">
      <c r="B38" s="216"/>
      <c r="C38" s="216"/>
      <c r="E38" s="216"/>
      <c r="F38" s="216"/>
      <c r="G38" s="216"/>
      <c r="H38" s="216"/>
      <c r="I38" s="216"/>
      <c r="J38" s="124"/>
      <c r="K38" s="123"/>
      <c r="L38" s="125"/>
      <c r="M38" s="125"/>
      <c r="N38" s="126"/>
      <c r="O38" s="126"/>
    </row>
  </sheetData>
  <sheetProtection algorithmName="SHA-512" hashValue="hugUpRpYhxkh8Db/Qj5uL8/AeO+F8sj+LdZbHzLM1+UWgRiTiNVTtv7Ue6Z7EYitfjW7hZgXSDkvpNSIAAt5Sw==" saltValue="hkschhD+QZSkR9YlwSoY4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98" t="s">
        <v>76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2:16" x14ac:dyDescent="0.25"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2:16" x14ac:dyDescent="0.25">
      <c r="B3" s="105"/>
      <c r="C3" s="106" t="s">
        <v>64</v>
      </c>
      <c r="D3" s="200">
        <f>YEAR('Fechamento fiscal'!B6)</f>
        <v>2021</v>
      </c>
      <c r="E3" s="200"/>
      <c r="F3" s="107" t="s">
        <v>65</v>
      </c>
      <c r="G3" s="108" t="str">
        <f>UPPER(TEXT('Fechamento fiscal'!B6,"MMMM"))</f>
        <v>JUNHO</v>
      </c>
      <c r="H3" s="201"/>
      <c r="I3" s="20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196" t="s">
        <v>83</v>
      </c>
      <c r="C6" s="196"/>
      <c r="D6" s="202" t="s">
        <v>84</v>
      </c>
      <c r="E6" s="203"/>
      <c r="F6" s="203"/>
      <c r="G6" s="203"/>
      <c r="H6" s="204"/>
      <c r="J6">
        <f t="shared" ref="J6:J35" si="0">VALUE(K6:K36)</f>
        <v>44348</v>
      </c>
      <c r="K6" s="116">
        <f>'Fechamento fiscal'!B6</f>
        <v>44348</v>
      </c>
      <c r="L6" s="117"/>
      <c r="M6" s="117">
        <f>IF($D$12&gt;=K6,'Fechamento fiscal'!AL6,"")</f>
        <v>97.861288892581882</v>
      </c>
      <c r="N6" s="118">
        <f>IF($D$12&gt;=K6,'Fechamento fiscal'!AM6,"")</f>
        <v>65.314821334786302</v>
      </c>
      <c r="O6" s="118">
        <f>IF($D$12&gt;=K6,'Fechamento fiscal'!AN6-'Relatório fiscal LP'!O6,"")</f>
        <v>1.0618783334053486E-2</v>
      </c>
      <c r="P6" s="118">
        <f>IF($D$12&gt;=K6,'Apropriação diária'!S326+'Apropriação diária'!S358,"")</f>
        <v>117.69666666666667</v>
      </c>
    </row>
    <row r="7" spans="2:16" x14ac:dyDescent="0.25">
      <c r="B7" s="141"/>
      <c r="C7" s="141"/>
      <c r="J7">
        <f t="shared" si="0"/>
        <v>44349</v>
      </c>
      <c r="K7" s="116">
        <f>'Fechamento fiscal'!B7</f>
        <v>44349</v>
      </c>
      <c r="L7" s="117"/>
      <c r="M7" s="117">
        <f>IF($D$12&gt;=K7,'Fechamento fiscal'!AL7,"")</f>
        <v>97.424971642528789</v>
      </c>
      <c r="N7" s="118">
        <f>IF($D$12&gt;=K7,'Fechamento fiscal'!AM7,"")</f>
        <v>52.770427394083399</v>
      </c>
      <c r="O7" s="118">
        <f>IFERROR(IF($D$12&gt;=K7,'Fechamento fiscal'!AN7-'Relatório fiscal LP'!O7,""),"")</f>
        <v>6.4218908610275776</v>
      </c>
      <c r="P7" s="118">
        <f>IF($D$12&gt;=K7,'Apropriação diária'!S327+'Apropriação diária'!S359,"")</f>
        <v>159.23666666666668</v>
      </c>
    </row>
    <row r="8" spans="2:16" x14ac:dyDescent="0.25">
      <c r="B8" s="196" t="s">
        <v>85</v>
      </c>
      <c r="C8" s="196"/>
      <c r="D8" s="197" t="s">
        <v>126</v>
      </c>
      <c r="E8" s="197"/>
      <c r="J8">
        <f t="shared" si="0"/>
        <v>44350</v>
      </c>
      <c r="K8" s="116">
        <f>'Fechamento fiscal'!B8</f>
        <v>44350</v>
      </c>
      <c r="L8" s="117"/>
      <c r="M8" s="117">
        <f>IF($D$12&gt;=K8,'Fechamento fiscal'!AL8,"")</f>
        <v>159.85030106066063</v>
      </c>
      <c r="N8" s="118">
        <f>IF($D$12&gt;=K8,'Fechamento fiscal'!AM8,"")</f>
        <v>0</v>
      </c>
      <c r="O8" s="118">
        <f>IFERROR(IF($D$12&gt;=K8,'Fechamento fiscal'!AN8-'Relatório fiscal LP'!O8,""),"")</f>
        <v>7.660179018686641</v>
      </c>
      <c r="P8" s="118">
        <f>IF($D$12&gt;=K8,'Apropriação diária'!S328+'Apropriação diária'!S360,"")</f>
        <v>166.16</v>
      </c>
    </row>
    <row r="9" spans="2:16" x14ac:dyDescent="0.25">
      <c r="B9" s="141"/>
      <c r="C9" s="141"/>
      <c r="J9">
        <f t="shared" si="0"/>
        <v>44351</v>
      </c>
      <c r="K9" s="116">
        <f>'Fechamento fiscal'!B9</f>
        <v>44351</v>
      </c>
      <c r="L9" s="117"/>
      <c r="M9" s="117">
        <f>IF($D$12&gt;=K9,'Fechamento fiscal'!AL9,"")</f>
        <v>222.52704215873368</v>
      </c>
      <c r="N9" s="118">
        <f>IF($D$12&gt;=K9,'Fechamento fiscal'!AM9,"")</f>
        <v>0</v>
      </c>
      <c r="O9" s="118">
        <f>IFERROR(IF($D$12&gt;=K9,'Fechamento fiscal'!AN9-'Relatório fiscal LP'!O9,""),"")</f>
        <v>7.6910296124070072</v>
      </c>
      <c r="P9" s="118">
        <f>IF($D$12&gt;=K9,'Apropriação diária'!S329+'Apropriação diária'!S361,"")</f>
        <v>166.16</v>
      </c>
    </row>
    <row r="10" spans="2:16" x14ac:dyDescent="0.25">
      <c r="B10" s="196" t="s">
        <v>86</v>
      </c>
      <c r="C10" s="196"/>
      <c r="D10" s="206">
        <v>10201</v>
      </c>
      <c r="E10" s="207"/>
      <c r="F10" s="207"/>
      <c r="G10" s="207"/>
      <c r="H10" s="208"/>
      <c r="J10">
        <f t="shared" si="0"/>
        <v>44352</v>
      </c>
      <c r="K10" s="116">
        <f>'Fechamento fiscal'!B10</f>
        <v>44352</v>
      </c>
      <c r="L10" s="117"/>
      <c r="M10" s="117">
        <f>IF($D$12&gt;=K10,'Fechamento fiscal'!AL10,"")</f>
        <v>285.40009758704798</v>
      </c>
      <c r="N10" s="118">
        <f>IF($D$12&gt;=K10,'Fechamento fiscal'!AM10,"")</f>
        <v>0</v>
      </c>
      <c r="O10" s="118">
        <f>IFERROR(IF($D$12&gt;=K10,'Fechamento fiscal'!AN10-'Relatório fiscal LP'!O10,""),"")</f>
        <v>7.7151192396079864</v>
      </c>
      <c r="P10" s="118">
        <f>IF($D$12&gt;=K10,'Apropriação diária'!S330+'Apropriação diária'!S362,"")</f>
        <v>162.69833333333332</v>
      </c>
    </row>
    <row r="11" spans="2:16" x14ac:dyDescent="0.25">
      <c r="B11" s="141"/>
      <c r="C11" s="141"/>
      <c r="J11">
        <f t="shared" si="0"/>
        <v>44353</v>
      </c>
      <c r="K11" s="116">
        <f>'Fechamento fiscal'!B11</f>
        <v>44353</v>
      </c>
      <c r="L11" s="117"/>
      <c r="M11" s="117">
        <f>IF($D$12&gt;=K11,'Fechamento fiscal'!AL11,"")</f>
        <v>285.59469791437704</v>
      </c>
      <c r="N11" s="118">
        <f>IF($D$12&gt;=K11,'Fechamento fiscal'!AM11,"")</f>
        <v>0</v>
      </c>
      <c r="O11" s="118">
        <f>IFERROR(IF($D$12&gt;=K11,'Fechamento fiscal'!AN11-'Relatório fiscal LP'!O11,""),"")</f>
        <v>2.3879302813940934E-2</v>
      </c>
      <c r="P11" s="118">
        <f>IF($D$12&gt;=K11,'Apropriação diária'!S331+'Apropriação diária'!S363,"")</f>
        <v>162.69833333333332</v>
      </c>
    </row>
    <row r="12" spans="2:16" x14ac:dyDescent="0.25">
      <c r="B12" s="196" t="s">
        <v>87</v>
      </c>
      <c r="C12" s="196"/>
      <c r="D12" s="209">
        <v>44377</v>
      </c>
      <c r="E12" s="210"/>
      <c r="J12">
        <f t="shared" si="0"/>
        <v>44354</v>
      </c>
      <c r="K12" s="116">
        <f>'Fechamento fiscal'!B12</f>
        <v>44354</v>
      </c>
      <c r="L12" s="117"/>
      <c r="M12" s="117">
        <f>IF($D$12&gt;=K12,'Fechamento fiscal'!AL12,"")</f>
        <v>267.92033949259087</v>
      </c>
      <c r="N12" s="118">
        <f>IF($D$12&gt;=K12,'Fechamento fiscal'!AM12,"")</f>
        <v>0</v>
      </c>
      <c r="O12" s="118">
        <f>IFERROR(IF($D$12&gt;=K12,'Fechamento fiscal'!AN12-'Relatório fiscal LP'!O12,""),"")</f>
        <v>-2.1737517015199543</v>
      </c>
      <c r="P12" s="118">
        <f>IF($D$12&gt;=K12,'Apropriação diária'!S332+'Apropriação diária'!S364,"")</f>
        <v>162.69833333333332</v>
      </c>
    </row>
    <row r="13" spans="2:16" x14ac:dyDescent="0.25">
      <c r="B13" s="141"/>
      <c r="C13" s="141"/>
      <c r="J13">
        <f t="shared" si="0"/>
        <v>44355</v>
      </c>
      <c r="K13" s="116">
        <f>'Fechamento fiscal'!B13</f>
        <v>44355</v>
      </c>
      <c r="L13" s="117"/>
      <c r="M13" s="117">
        <f>IF($D$12&gt;=K13,'Fechamento fiscal'!AL13,"")</f>
        <v>267.4236436843384</v>
      </c>
      <c r="N13" s="118">
        <f>IF($D$12&gt;=K13,'Fechamento fiscal'!AM13,"")</f>
        <v>0</v>
      </c>
      <c r="O13" s="118">
        <f>IFERROR(IF($D$12&gt;=K13,'Fechamento fiscal'!AN13-'Relatório fiscal LP'!O13,""),"")</f>
        <v>-6.1496717360464803E-2</v>
      </c>
      <c r="P13" s="118">
        <f>IF($D$12&gt;=K13,'Apropriação diária'!S333+'Apropriação diária'!S365,"")</f>
        <v>166.16</v>
      </c>
    </row>
    <row r="14" spans="2:16" x14ac:dyDescent="0.25">
      <c r="B14" s="196" t="s">
        <v>88</v>
      </c>
      <c r="C14" s="196"/>
      <c r="D14" s="211">
        <v>0</v>
      </c>
      <c r="E14" s="210"/>
      <c r="J14">
        <f t="shared" si="0"/>
        <v>44356</v>
      </c>
      <c r="K14" s="116">
        <f>'Fechamento fiscal'!B14</f>
        <v>44356</v>
      </c>
      <c r="L14" s="117"/>
      <c r="M14" s="117">
        <f>IF($D$12&gt;=K14,'Fechamento fiscal'!AL14,"")</f>
        <v>202.88842696440378</v>
      </c>
      <c r="N14" s="118">
        <f>IF($D$12&gt;=K14,'Fechamento fiscal'!AM14,"")</f>
        <v>91.391562626923672</v>
      </c>
      <c r="O14" s="118">
        <f>IFERROR(IF($D$12&gt;=K14,'Fechamento fiscal'!AN14-'Relatório fiscal LP'!O14,""),"")</f>
        <v>3.3251279478031996</v>
      </c>
      <c r="P14" s="118">
        <f>IF($D$12&gt;=K14,'Apropriação diária'!S334+'Apropriação diária'!S366,"")</f>
        <v>162.69833333333332</v>
      </c>
    </row>
    <row r="15" spans="2:16" x14ac:dyDescent="0.25">
      <c r="B15" s="141"/>
      <c r="C15" s="141"/>
      <c r="J15">
        <f t="shared" si="0"/>
        <v>44357</v>
      </c>
      <c r="K15" s="116">
        <f>'Fechamento fiscal'!B15</f>
        <v>44357</v>
      </c>
      <c r="L15" s="117"/>
      <c r="M15" s="117">
        <f>IF($D$12&gt;=K15,'Fechamento fiscal'!AL15,"")</f>
        <v>265.54729658036933</v>
      </c>
      <c r="N15" s="118">
        <f>IF($D$12&gt;=K15,'Fechamento fiscal'!AM15,"")</f>
        <v>0</v>
      </c>
      <c r="O15" s="118">
        <f>IFERROR(IF($D$12&gt;=K15,'Fechamento fiscal'!AN15-'Relatório fiscal LP'!O15,""),"")</f>
        <v>7.7699755971386466</v>
      </c>
      <c r="P15" s="118">
        <f>IF($D$12&gt;=K15,'Apropriação diária'!S335+'Apropriação diária'!S367,"")</f>
        <v>166.16</v>
      </c>
    </row>
    <row r="16" spans="2:16" x14ac:dyDescent="0.25">
      <c r="B16" s="196" t="s">
        <v>89</v>
      </c>
      <c r="C16" s="196"/>
      <c r="D16" s="120" t="s">
        <v>90</v>
      </c>
      <c r="E16" s="121">
        <f>K6</f>
        <v>44348</v>
      </c>
      <c r="F16" s="120" t="s">
        <v>91</v>
      </c>
      <c r="G16" s="121">
        <f>D12</f>
        <v>44377</v>
      </c>
      <c r="H16" s="122"/>
      <c r="J16">
        <f t="shared" si="0"/>
        <v>44358</v>
      </c>
      <c r="K16" s="116">
        <f>'Fechamento fiscal'!B16</f>
        <v>44358</v>
      </c>
      <c r="L16" s="117"/>
      <c r="M16" s="117">
        <f>IF($D$12&gt;=K16,'Fechamento fiscal'!AL16,"")</f>
        <v>265.49979226607906</v>
      </c>
      <c r="N16" s="118">
        <f>IF($D$12&gt;=K16,'Fechamento fiscal'!AM16,"")</f>
        <v>0</v>
      </c>
      <c r="O16" s="118">
        <f>IFERROR(IF($D$12&gt;=K16,'Fechamento fiscal'!AN16-'Relatório fiscal LP'!O16,""),"")</f>
        <v>-5.8815865581597002E-3</v>
      </c>
      <c r="P16" s="118">
        <f>IF($D$12&gt;=K16,'Apropriação diária'!S336+'Apropriação diária'!S368,"")</f>
        <v>166.16</v>
      </c>
    </row>
    <row r="17" spans="2:16" x14ac:dyDescent="0.25">
      <c r="B17" s="141"/>
      <c r="C17" s="141"/>
      <c r="J17">
        <f t="shared" si="0"/>
        <v>44359</v>
      </c>
      <c r="K17" s="116">
        <f>'Fechamento fiscal'!B17</f>
        <v>44359</v>
      </c>
      <c r="L17" s="117"/>
      <c r="M17" s="117">
        <f>IF($D$12&gt;=K17,'Fechamento fiscal'!AL17,"")</f>
        <v>239.62755683641842</v>
      </c>
      <c r="N17" s="118">
        <f>IF($D$12&gt;=K17,'Fechamento fiscal'!AM17,"")</f>
        <v>25.116949862416462</v>
      </c>
      <c r="O17" s="118">
        <f>IFERROR(IF($D$12&gt;=K17,'Fechamento fiscal'!AN17-'Relatório fiscal LP'!O17,""),"")</f>
        <v>-0.10719337078130087</v>
      </c>
      <c r="P17" s="118">
        <f>IF($D$12&gt;=K17,'Apropriação diária'!S337+'Apropriação diária'!S369,"")</f>
        <v>166.16</v>
      </c>
    </row>
    <row r="18" spans="2:16" x14ac:dyDescent="0.25">
      <c r="B18" s="196" t="s">
        <v>92</v>
      </c>
      <c r="C18" s="196"/>
      <c r="D18" s="202" t="s">
        <v>147</v>
      </c>
      <c r="E18" s="203"/>
      <c r="F18" s="203"/>
      <c r="G18" s="203"/>
      <c r="H18" s="204"/>
      <c r="J18">
        <f t="shared" si="0"/>
        <v>44360</v>
      </c>
      <c r="K18" s="116">
        <f>'Fechamento fiscal'!B18</f>
        <v>44360</v>
      </c>
      <c r="L18" s="117"/>
      <c r="M18" s="117">
        <f>IF($D$12&gt;=K18,'Fechamento fiscal'!AL18,"")</f>
        <v>194.98394423872006</v>
      </c>
      <c r="N18" s="118">
        <f>IF($D$12&gt;=K18,'Fechamento fiscal'!AM18,"")</f>
        <v>44.635549465192014</v>
      </c>
      <c r="O18" s="118">
        <f>IFERROR(IF($D$12&gt;=K18,'Fechamento fiscal'!AN18-'Relatório fiscal LP'!O18,""),"")</f>
        <v>-1.0288767446652199E-3</v>
      </c>
      <c r="P18" s="118">
        <f>IF($D$12&gt;=K18,'Apropriação diária'!S338+'Apropriação diária'!S370,"")</f>
        <v>166.16</v>
      </c>
    </row>
    <row r="19" spans="2:16" x14ac:dyDescent="0.25">
      <c r="B19" s="141"/>
      <c r="C19" s="141"/>
      <c r="J19">
        <f t="shared" si="0"/>
        <v>44361</v>
      </c>
      <c r="K19" s="116">
        <f>'Fechamento fiscal'!B19</f>
        <v>44361</v>
      </c>
      <c r="L19" s="117"/>
      <c r="M19" s="117">
        <f>IF($D$12&gt;=K19,'Fechamento fiscal'!AL19,"")</f>
        <v>189.36935261966369</v>
      </c>
      <c r="N19" s="118">
        <f>IF($D$12&gt;=K19,'Fechamento fiscal'!AM19,"")</f>
        <v>45.215896236694263</v>
      </c>
      <c r="O19" s="118">
        <f>IFERROR(IF($D$12&gt;=K19,'Fechamento fiscal'!AN19-'Relatório fiscal LP'!O19,""),"")</f>
        <v>4.7446212906159388</v>
      </c>
      <c r="P19" s="118">
        <f>IF($D$12&gt;=K19,'Apropriação diária'!S339+'Apropriação diária'!S371,"")</f>
        <v>152.31333333333333</v>
      </c>
    </row>
    <row r="20" spans="2:16" x14ac:dyDescent="0.25">
      <c r="B20" s="196" t="s">
        <v>93</v>
      </c>
      <c r="C20" s="196"/>
      <c r="D20" s="212" t="s">
        <v>148</v>
      </c>
      <c r="E20" s="213"/>
      <c r="F20" s="213"/>
      <c r="G20" s="213"/>
      <c r="H20" s="214"/>
      <c r="J20">
        <f t="shared" si="0"/>
        <v>44362</v>
      </c>
      <c r="K20" s="116">
        <f>'Fechamento fiscal'!B20</f>
        <v>44362</v>
      </c>
      <c r="L20" s="117"/>
      <c r="M20" s="117">
        <f>IF($D$12&gt;=K20,'Fechamento fiscal'!AL20,"")</f>
        <v>253.47110931030571</v>
      </c>
      <c r="N20" s="118">
        <f>IF($D$12&gt;=K20,'Fechamento fiscal'!AM20,"")</f>
        <v>0</v>
      </c>
      <c r="O20" s="118">
        <f>IFERROR(IF($D$12&gt;=K20,'Fechamento fiscal'!AN20-'Relatório fiscal LP'!O20,""),"")</f>
        <v>8.2817393971753006</v>
      </c>
      <c r="P20" s="118">
        <f>IF($D$12&gt;=K20,'Apropriação diária'!S340+'Apropriação diária'!S372,"")</f>
        <v>166.16</v>
      </c>
    </row>
    <row r="21" spans="2:16" x14ac:dyDescent="0.25">
      <c r="B21" s="141"/>
      <c r="C21" s="141"/>
      <c r="J21">
        <f t="shared" si="0"/>
        <v>44363</v>
      </c>
      <c r="K21" s="116">
        <f>'Fechamento fiscal'!B21</f>
        <v>44363</v>
      </c>
      <c r="L21" s="117"/>
      <c r="M21" s="117">
        <f>IF($D$12&gt;=K21,'Fechamento fiscal'!AL21,"")</f>
        <v>281.51431595494188</v>
      </c>
      <c r="N21" s="118">
        <f>IF($D$12&gt;=K21,'Fechamento fiscal'!AM21,"")</f>
        <v>0</v>
      </c>
      <c r="O21" s="118">
        <f>IFERROR(IF($D$12&gt;=K21,'Fechamento fiscal'!AN21-'Relatório fiscal LP'!O21,""),"")</f>
        <v>3.5421353332651293</v>
      </c>
      <c r="P21" s="118">
        <f>IF($D$12&gt;=K21,'Apropriação diária'!S341+'Apropriação diária'!S373,"")</f>
        <v>161.31366666666665</v>
      </c>
    </row>
    <row r="22" spans="2:16" x14ac:dyDescent="0.25">
      <c r="B22" s="141"/>
      <c r="C22" s="141"/>
      <c r="D22" s="205" t="s">
        <v>94</v>
      </c>
      <c r="E22" s="205"/>
      <c r="F22" s="205" t="s">
        <v>49</v>
      </c>
      <c r="G22" s="205"/>
      <c r="J22">
        <f t="shared" si="0"/>
        <v>44364</v>
      </c>
      <c r="K22" s="116">
        <f>'Fechamento fiscal'!B22</f>
        <v>44364</v>
      </c>
      <c r="L22" s="117"/>
      <c r="M22" s="117">
        <f>IF($D$12&gt;=K22,'Fechamento fiscal'!AL22,"")</f>
        <v>140.89461138449718</v>
      </c>
      <c r="N22" s="118">
        <f>IF($D$12&gt;=K22,'Fechamento fiscal'!AM22,"")</f>
        <v>140.22779258242738</v>
      </c>
      <c r="O22" s="118">
        <f>IFERROR(IF($D$12&gt;=K22,'Fechamento fiscal'!AN22-'Relatório fiscal LP'!O22,""),"")</f>
        <v>-4.7771387930878983E-2</v>
      </c>
      <c r="P22" s="118">
        <f>IF($D$12&gt;=K22,'Apropriação diária'!S342+'Apropriação diária'!S374,"")</f>
        <v>166.16</v>
      </c>
    </row>
    <row r="23" spans="2:16" x14ac:dyDescent="0.25">
      <c r="B23" s="196" t="s">
        <v>95</v>
      </c>
      <c r="C23" s="196"/>
      <c r="D23" s="217">
        <f>VLOOKUP(D12,J6:O36,6,0)</f>
        <v>0</v>
      </c>
      <c r="E23" s="217"/>
      <c r="F23" s="217">
        <f>VLOOKUP(D12,J6:P36,7,0)</f>
        <v>0</v>
      </c>
      <c r="G23" s="217"/>
      <c r="J23">
        <f t="shared" si="0"/>
        <v>44365</v>
      </c>
      <c r="K23" s="116">
        <f>'Fechamento fiscal'!B23</f>
        <v>44365</v>
      </c>
      <c r="L23" s="117"/>
      <c r="M23" s="117">
        <f>IF($D$12&gt;=K23,'Fechamento fiscal'!AL23,"")</f>
        <v>66.620222747698023</v>
      </c>
      <c r="N23" s="118">
        <f>IF($D$12&gt;=K23,'Fechamento fiscal'!AM23,"")</f>
        <v>74.191336737583256</v>
      </c>
      <c r="O23" s="118">
        <f>IFERROR(IF($D$12&gt;=K23,'Fechamento fiscal'!AN23-'Relatório fiscal LP'!O23,""),"")</f>
        <v>-9.3204925326319382E-3</v>
      </c>
      <c r="P23" s="118">
        <f>IF($D$12&gt;=K23,'Apropriação diária'!S343+'Apropriação diária'!S375,"")</f>
        <v>166.16</v>
      </c>
    </row>
    <row r="24" spans="2:16" x14ac:dyDescent="0.25">
      <c r="J24">
        <f t="shared" si="0"/>
        <v>44366</v>
      </c>
      <c r="K24" s="116">
        <f>'Fechamento fiscal'!B24</f>
        <v>44366</v>
      </c>
      <c r="L24" s="117"/>
      <c r="M24" s="117">
        <f>IF($D$12&gt;=K24,'Fechamento fiscal'!AL24,"")</f>
        <v>128.9200847577801</v>
      </c>
      <c r="N24" s="118">
        <f>IF($D$12&gt;=K24,'Fechamento fiscal'!AM24,"")</f>
        <v>0</v>
      </c>
      <c r="O24" s="118">
        <f>IFERROR(IF($D$12&gt;=K24,'Fechamento fiscal'!AN24-'Relatório fiscal LP'!O24,""),"")</f>
        <v>6.9229265669202533</v>
      </c>
      <c r="P24" s="118">
        <f>IF($D$12&gt;=K24,'Apropriação diária'!S344+'Apropriação diária'!S376,"")</f>
        <v>162.69833333333332</v>
      </c>
    </row>
    <row r="25" spans="2:16" x14ac:dyDescent="0.25">
      <c r="B25" s="141"/>
      <c r="C25" s="141"/>
      <c r="J25">
        <f t="shared" si="0"/>
        <v>44367</v>
      </c>
      <c r="K25" s="116">
        <f>'Fechamento fiscal'!B25</f>
        <v>44367</v>
      </c>
      <c r="L25" s="117"/>
      <c r="M25" s="117">
        <f>IF($D$12&gt;=K25,'Fechamento fiscal'!AL25,"")</f>
        <v>191.24397106667951</v>
      </c>
      <c r="N25" s="118">
        <f>IF($D$12&gt;=K25,'Fechamento fiscal'!AM25,"")</f>
        <v>0</v>
      </c>
      <c r="O25" s="118">
        <f>IFERROR(IF($D$12&gt;=K25,'Fechamento fiscal'!AN25-'Relatório fiscal LP'!O25,""),"")</f>
        <v>7.8119555884299601</v>
      </c>
      <c r="P25" s="118">
        <f>IF($D$12&gt;=K25,'Apropriação diária'!S345+'Apropriação diária'!S377,"")</f>
        <v>166.16</v>
      </c>
    </row>
    <row r="26" spans="2:16" x14ac:dyDescent="0.25">
      <c r="B26" s="196" t="s">
        <v>96</v>
      </c>
      <c r="C26" s="196"/>
      <c r="D26" s="218"/>
      <c r="E26" s="219"/>
      <c r="J26">
        <f t="shared" si="0"/>
        <v>44368</v>
      </c>
      <c r="K26" s="116">
        <f>'Fechamento fiscal'!B26</f>
        <v>44368</v>
      </c>
      <c r="L26" s="117"/>
      <c r="M26" s="117">
        <f>IF($D$12&gt;=K26,'Fechamento fiscal'!AL26,"")</f>
        <v>253.76037366787557</v>
      </c>
      <c r="N26" s="118">
        <f>IF($D$12&gt;=K26,'Fechamento fiscal'!AM26,"")</f>
        <v>0</v>
      </c>
      <c r="O26" s="118">
        <f>IFERROR(IF($D$12&gt;=K26,'Fechamento fiscal'!AN26-'Relatório fiscal LP'!O26,""),"")</f>
        <v>7.339023159003311</v>
      </c>
      <c r="P26" s="118">
        <f>IF($D$12&gt;=K26,'Apropriação diária'!S346+'Apropriação diária'!S378,"")</f>
        <v>166.16</v>
      </c>
    </row>
    <row r="27" spans="2:16" x14ac:dyDescent="0.25">
      <c r="B27" s="141"/>
      <c r="C27" s="141"/>
      <c r="J27">
        <f t="shared" si="0"/>
        <v>44369</v>
      </c>
      <c r="K27" s="116">
        <f>'Fechamento fiscal'!B27</f>
        <v>44369</v>
      </c>
      <c r="L27" s="117"/>
      <c r="M27" s="117">
        <f>IF($D$12&gt;=K27,'Fechamento fiscal'!AL27,"")</f>
        <v>272.23465913289891</v>
      </c>
      <c r="N27" s="118">
        <f>IF($D$12&gt;=K27,'Fechamento fiscal'!AM27,"")</f>
        <v>0</v>
      </c>
      <c r="O27" s="118">
        <f>IFERROR(IF($D$12&gt;=K27,'Fechamento fiscal'!AN27-'Relatório fiscal LP'!O27,""),"")</f>
        <v>2.7156032772801098</v>
      </c>
      <c r="P27" s="118">
        <f>IF($D$12&gt;=K27,'Apropriação diária'!S347+'Apropriação diária'!S379,"")</f>
        <v>166.16</v>
      </c>
    </row>
    <row r="28" spans="2:16" x14ac:dyDescent="0.25">
      <c r="B28" s="196" t="s">
        <v>97</v>
      </c>
      <c r="C28" s="196"/>
      <c r="D28" s="220" t="s">
        <v>152</v>
      </c>
      <c r="E28" s="221"/>
      <c r="F28" s="221"/>
      <c r="G28" s="221"/>
      <c r="H28" s="222"/>
      <c r="J28">
        <f t="shared" si="0"/>
        <v>44370</v>
      </c>
      <c r="K28" s="116">
        <f>'Fechamento fiscal'!B28</f>
        <v>44370</v>
      </c>
      <c r="L28" s="117"/>
      <c r="M28" s="117">
        <f>IF($D$12&gt;=K28,'Fechamento fiscal'!AL28,"")</f>
        <v>127.36175196711181</v>
      </c>
      <c r="N28" s="118">
        <f>IF($D$12&gt;=K28,'Fechamento fiscal'!AM28,"")</f>
        <v>144.5435025834478</v>
      </c>
      <c r="O28" s="118">
        <f>IFERROR(IF($D$12&gt;=K28,'Fechamento fiscal'!AN28-'Relatório fiscal LP'!O28,""),"")</f>
        <v>-6.8431782441471245E-2</v>
      </c>
      <c r="P28" s="118">
        <f>IF($D$12&gt;=K28,'Apropriação diária'!S348+'Apropriação diária'!S380,"")</f>
        <v>166.16</v>
      </c>
    </row>
    <row r="29" spans="2:16" x14ac:dyDescent="0.25">
      <c r="B29" s="138"/>
      <c r="D29" s="223"/>
      <c r="E29" s="224"/>
      <c r="F29" s="224"/>
      <c r="G29" s="224"/>
      <c r="H29" s="225"/>
      <c r="J29">
        <f t="shared" si="0"/>
        <v>44371</v>
      </c>
      <c r="K29" s="116">
        <f>'Fechamento fiscal'!B29</f>
        <v>44371</v>
      </c>
      <c r="L29" s="117"/>
      <c r="M29" s="117">
        <f>IF($D$12&gt;=K29,'Fechamento fiscal'!AL29,"")</f>
        <v>17.691877267398638</v>
      </c>
      <c r="N29" s="118">
        <f>IF($D$12&gt;=K29,'Fechamento fiscal'!AM29,"")</f>
        <v>109.53742022970289</v>
      </c>
      <c r="O29" s="118">
        <f>IFERROR(IF($D$12&gt;=K29,'Fechamento fiscal'!AN29-'Relatório fiscal LP'!O29,""),"")</f>
        <v>-1.8802763893180863E-2</v>
      </c>
      <c r="P29" s="118">
        <f>IF($D$12&gt;=K29,'Apropriação diária'!S349+'Apropriação diária'!S381,"")</f>
        <v>162.69833333333332</v>
      </c>
    </row>
    <row r="30" spans="2:16" x14ac:dyDescent="0.25">
      <c r="B30" s="138"/>
      <c r="D30" s="223"/>
      <c r="E30" s="224"/>
      <c r="F30" s="224"/>
      <c r="G30" s="224"/>
      <c r="H30" s="225"/>
      <c r="J30">
        <f t="shared" si="0"/>
        <v>44372</v>
      </c>
      <c r="K30" s="116">
        <f>'Fechamento fiscal'!B30</f>
        <v>44372</v>
      </c>
      <c r="L30" s="117"/>
      <c r="M30" s="117">
        <f>IF($D$12&gt;=K30,'Fechamento fiscal'!AL30,"")</f>
        <v>80.249405267042377</v>
      </c>
      <c r="N30" s="118">
        <f>IF($D$12&gt;=K30,'Fechamento fiscal'!AM30,"")</f>
        <v>0</v>
      </c>
      <c r="O30" s="118">
        <f>IFERROR(IF($D$12&gt;=K30,'Fechamento fiscal'!AN30-'Relatório fiscal LP'!O30,""),"")</f>
        <v>7.7389153512120004</v>
      </c>
      <c r="P30" s="118">
        <f>IF($D$12&gt;=K30,'Apropriação diária'!S350+'Apropriação diária'!S382,"")</f>
        <v>166.16</v>
      </c>
    </row>
    <row r="31" spans="2:16" x14ac:dyDescent="0.25">
      <c r="B31" s="138"/>
      <c r="D31" s="223"/>
      <c r="E31" s="224"/>
      <c r="F31" s="224"/>
      <c r="G31" s="224"/>
      <c r="H31" s="225"/>
      <c r="J31">
        <f t="shared" si="0"/>
        <v>44373</v>
      </c>
      <c r="K31" s="116">
        <f>'Fechamento fiscal'!B31</f>
        <v>44373</v>
      </c>
      <c r="L31" s="117"/>
      <c r="M31" s="117">
        <f>IF($D$12&gt;=K31,'Fechamento fiscal'!AL31,"")</f>
        <v>141.5128407562047</v>
      </c>
      <c r="N31" s="118">
        <f>IF($D$12&gt;=K31,'Fechamento fiscal'!AM31,"")</f>
        <v>0</v>
      </c>
      <c r="O31" s="118">
        <f>IFERROR(IF($D$12&gt;=K31,'Fechamento fiscal'!AN31-'Relatório fiscal LP'!O31,""),"")</f>
        <v>7.3937301141712766</v>
      </c>
      <c r="P31" s="118">
        <f>IF($D$12&gt;=K31,'Apropriação diária'!S351+'Apropriação diária'!S383,"")</f>
        <v>166.16</v>
      </c>
    </row>
    <row r="32" spans="2:16" x14ac:dyDescent="0.25">
      <c r="B32" s="138"/>
      <c r="D32" s="226"/>
      <c r="E32" s="227"/>
      <c r="F32" s="227"/>
      <c r="G32" s="227"/>
      <c r="H32" s="228"/>
      <c r="J32">
        <f t="shared" si="0"/>
        <v>44374</v>
      </c>
      <c r="K32" s="116">
        <f>'Fechamento fiscal'!B32</f>
        <v>44374</v>
      </c>
      <c r="L32" s="117"/>
      <c r="M32" s="117">
        <f>IF($D$12&gt;=K32,'Fechamento fiscal'!AL32,"")</f>
        <v>97.085193703995316</v>
      </c>
      <c r="N32" s="118">
        <f>IF($D$12&gt;=K32,'Fechamento fiscal'!AM32,"")</f>
        <v>44.79342880486189</v>
      </c>
      <c r="O32" s="118">
        <f>IFERROR(IF($D$12&gt;=K32,'Fechamento fiscal'!AN32-'Relatório fiscal LP'!O32,""),"")</f>
        <v>4.3105877218869604E-2</v>
      </c>
      <c r="P32" s="118">
        <f>IF($D$12&gt;=K32,'Apropriação diária'!S352+'Apropriação diária'!S384,"")</f>
        <v>166.16</v>
      </c>
    </row>
    <row r="33" spans="2:16" x14ac:dyDescent="0.25">
      <c r="B33" s="138"/>
      <c r="J33">
        <f t="shared" si="0"/>
        <v>44375</v>
      </c>
      <c r="K33" s="116">
        <f>'Fechamento fiscal'!B33</f>
        <v>44375</v>
      </c>
      <c r="L33" s="117"/>
      <c r="M33" s="117">
        <f>IF($D$12&gt;=K33,'Fechamento fiscal'!AL33,"")</f>
        <v>22.407520540229434</v>
      </c>
      <c r="N33" s="118">
        <f>IF($D$12&gt;=K33,'Fechamento fiscal'!AM33,"")</f>
        <v>74.841176782191141</v>
      </c>
      <c r="O33" s="118">
        <f>IFERROR(IF($D$12&gt;=K33,'Fechamento fiscal'!AN33-'Relatório fiscal LP'!O33,""),"")</f>
        <v>2.0074897630148553E-2</v>
      </c>
      <c r="P33" s="118">
        <f>IF($D$12&gt;=K33,'Apropriação diária'!S353+'Apropriação diária'!S385,"")</f>
        <v>166.16</v>
      </c>
    </row>
    <row r="34" spans="2:16" x14ac:dyDescent="0.25">
      <c r="B34" s="138"/>
      <c r="J34">
        <f t="shared" si="0"/>
        <v>44376</v>
      </c>
      <c r="K34" s="116">
        <f>'Fechamento fiscal'!B34</f>
        <v>44376</v>
      </c>
      <c r="L34" s="117"/>
      <c r="M34" s="117"/>
      <c r="N34" s="118"/>
      <c r="O34" s="118"/>
      <c r="P34" s="118"/>
    </row>
    <row r="35" spans="2:16" x14ac:dyDescent="0.25">
      <c r="B35" s="138"/>
      <c r="J35">
        <f t="shared" si="0"/>
        <v>44377</v>
      </c>
      <c r="K35" s="116">
        <f>'Fechamento fiscal'!B35</f>
        <v>44377</v>
      </c>
      <c r="L35" s="117"/>
      <c r="M35" s="117"/>
      <c r="N35" s="118"/>
      <c r="O35" s="118"/>
      <c r="P35" s="118"/>
    </row>
    <row r="36" spans="2:16" x14ac:dyDescent="0.25">
      <c r="B36" s="138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215" t="s">
        <v>98</v>
      </c>
      <c r="C37" s="215"/>
      <c r="E37" s="215" t="s">
        <v>99</v>
      </c>
      <c r="F37" s="215"/>
      <c r="G37" s="215"/>
      <c r="H37" s="215"/>
      <c r="I37" s="215"/>
      <c r="K37" s="123" t="s">
        <v>100</v>
      </c>
      <c r="L37" s="124"/>
      <c r="M37" s="125"/>
      <c r="N37" s="125">
        <f>SUM(N6:N36)</f>
        <v>912.57986464031035</v>
      </c>
      <c r="O37" s="118" t="str">
        <f>IFERROR(IF($D$12&gt;=K37,'Fechamento fiscal'!AN37-'Relatório fiscal LP'!O37,""),"")</f>
        <v/>
      </c>
      <c r="P37" s="125">
        <f>SUM(P6:P36)</f>
        <v>4557.6303333333317</v>
      </c>
    </row>
    <row r="38" spans="2:16" x14ac:dyDescent="0.25">
      <c r="B38" s="216"/>
      <c r="C38" s="216"/>
      <c r="E38" s="216"/>
      <c r="F38" s="216"/>
      <c r="G38" s="216"/>
      <c r="H38" s="216"/>
      <c r="I38" s="216"/>
      <c r="J38" s="124"/>
      <c r="K38" s="123"/>
      <c r="L38" s="125"/>
      <c r="M38" s="125"/>
      <c r="N38" s="126"/>
      <c r="O38" s="126"/>
    </row>
  </sheetData>
  <sheetProtection algorithmName="SHA-512" hashValue="VxpG2Prl+70k3RmsrFGgLlk+24/T88j3M06Zrt+g5jzih+gphHV4NpLt5OJc2r5kkhLuNAuLyW8pSJTv6/u1+w==" saltValue="PQFBrKNDfFEADTcwVL79sA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3"/>
  <sheetViews>
    <sheetView workbookViewId="0">
      <selection activeCell="T32" sqref="T32"/>
    </sheetView>
  </sheetViews>
  <sheetFormatPr defaultRowHeight="15" x14ac:dyDescent="0.25"/>
  <cols>
    <col min="3" max="3" width="10.7109375" bestFit="1" customWidth="1"/>
    <col min="9" max="9" width="9.7109375" customWidth="1"/>
  </cols>
  <sheetData>
    <row r="2" spans="3:12" ht="60" x14ac:dyDescent="0.25">
      <c r="C2" s="169" t="s">
        <v>63</v>
      </c>
      <c r="D2" s="170" t="s">
        <v>157</v>
      </c>
      <c r="E2" s="170" t="s">
        <v>158</v>
      </c>
      <c r="F2" s="170" t="s">
        <v>159</v>
      </c>
      <c r="G2" s="170" t="s">
        <v>160</v>
      </c>
      <c r="H2" s="170" t="s">
        <v>161</v>
      </c>
      <c r="I2" s="170" t="s">
        <v>162</v>
      </c>
      <c r="J2" s="170" t="s">
        <v>163</v>
      </c>
      <c r="K2" s="170" t="s">
        <v>164</v>
      </c>
      <c r="L2" s="170" t="s">
        <v>165</v>
      </c>
    </row>
    <row r="3" spans="3:12" x14ac:dyDescent="0.25">
      <c r="C3" s="47">
        <v>44256</v>
      </c>
      <c r="D3" s="172">
        <f>IF(F3="","",SUM('Apropriação diária'!I6,'Apropriação diária'!I38,'Apropriação diária'!I70,'Apropriação diária'!I102,'Apropriação diária'!I134,'Apropriação diária'!I166,'Apropriação diária'!I198,'Apropriação diária'!I230,'Apropriação diária'!I262,'Apropriação diária'!I294,'Apropriação diária'!I326,'Apropriação diária'!I358))</f>
        <v>82.976000000000013</v>
      </c>
      <c r="E3" s="172">
        <f>IF(F3="","",SUM('Apropriação diária'!L6,'Apropriação diária'!L38,'Apropriação diária'!L70,'Apropriação diária'!L102,'Apropriação diária'!L134,'Apropriação diária'!L166,'Apropriação diária'!L198,'Apropriação diária'!L230,'Apropriação diária'!L262,'Apropriação diária'!L294,'Apropriação diária'!L326,'Apropriação diária'!L358))</f>
        <v>50.666916666666665</v>
      </c>
      <c r="F3" s="178">
        <v>70.77</v>
      </c>
      <c r="G3" s="178">
        <f>D3-E3</f>
        <v>32.309083333333348</v>
      </c>
      <c r="H3" s="176">
        <f>G3*J3</f>
        <v>45.128339712139592</v>
      </c>
      <c r="I3" s="177">
        <f>E3-F3</f>
        <v>-20.103083333333331</v>
      </c>
      <c r="J3" s="179">
        <f>F3/E3</f>
        <v>1.3967694238350796</v>
      </c>
      <c r="K3" s="179">
        <f>F3/(F3+H3)</f>
        <v>0.61062134432446324</v>
      </c>
      <c r="L3" s="179">
        <f t="shared" ref="L3:L11" si="0">I3/D3</f>
        <v>-0.24227587896901909</v>
      </c>
    </row>
    <row r="4" spans="3:12" x14ac:dyDescent="0.25">
      <c r="C4" s="47">
        <v>44257</v>
      </c>
      <c r="D4" s="172">
        <f>IF(F4="","",SUM('Apropriação diária'!I7,'Apropriação diária'!I39,'Apropriação diária'!I71,'Apropriação diária'!I103,'Apropriação diária'!I135,'Apropriação diária'!I167,'Apropriação diária'!I199,'Apropriação diária'!I231,'Apropriação diária'!I263,'Apropriação diária'!I295,'Apropriação diária'!I327,'Apropriação diária'!I359))</f>
        <v>82.976000000000013</v>
      </c>
      <c r="E4" s="172">
        <f>IF(F4="","",SUM('Apropriação diária'!L7,'Apropriação diária'!L39,'Apropriação diária'!L71,'Apropriação diária'!L103,'Apropriação diária'!L135,'Apropriação diária'!L167,'Apropriação diária'!L199,'Apropriação diária'!L231,'Apropriação diária'!L263,'Apropriação diária'!L295,'Apropriação diária'!L327,'Apropriação diária'!L359))</f>
        <v>69.975583333333347</v>
      </c>
      <c r="F4" s="178">
        <v>62.87</v>
      </c>
      <c r="G4" s="178">
        <f t="shared" ref="G4:G11" si="1">D4-E4</f>
        <v>13.000416666666666</v>
      </c>
      <c r="H4" s="176">
        <f t="shared" ref="H4:H11" si="2">G4*J4</f>
        <v>11.680305570871742</v>
      </c>
      <c r="I4" s="177">
        <f t="shared" ref="I4:I11" si="3">E4-F4</f>
        <v>7.1055833333333496</v>
      </c>
      <c r="J4" s="179">
        <f t="shared" ref="J4:J11" si="4">F4/E4</f>
        <v>0.89845624723861994</v>
      </c>
      <c r="K4" s="179">
        <f t="shared" ref="K4:K11" si="5">F4/(F4+H4)</f>
        <v>0.84332316975189614</v>
      </c>
      <c r="L4" s="179">
        <f t="shared" si="0"/>
        <v>8.56341994472299E-2</v>
      </c>
    </row>
    <row r="5" spans="3:12" x14ac:dyDescent="0.25">
      <c r="C5" s="47">
        <v>44258</v>
      </c>
      <c r="D5" s="172">
        <f>IF(F5="","",SUM('Apropriação diária'!I8,'Apropriação diária'!I40,'Apropriação diária'!I72,'Apropriação diária'!I104,'Apropriação diária'!I136,'Apropriação diária'!I168,'Apropriação diária'!I200,'Apropriação diária'!I232,'Apropriação diária'!I264,'Apropriação diária'!I296,'Apropriação diária'!I328,'Apropriação diária'!I360))</f>
        <v>82.976000000000013</v>
      </c>
      <c r="E5" s="172">
        <f>IF(F5="","",SUM('Apropriação diária'!L8,'Apropriação diária'!L40,'Apropriação diária'!L72,'Apropriação diária'!L104,'Apropriação diária'!L136,'Apropriação diária'!L168,'Apropriação diária'!L200,'Apropriação diária'!L232,'Apropriação diária'!L264,'Apropriação diária'!L296,'Apropriação diária'!L328,'Apropriação diária'!L360))</f>
        <v>73.018000000000001</v>
      </c>
      <c r="F5" s="178">
        <v>48.27</v>
      </c>
      <c r="G5" s="178">
        <f t="shared" si="1"/>
        <v>9.9580000000000126</v>
      </c>
      <c r="H5" s="176">
        <f t="shared" si="2"/>
        <v>6.5829337971459179</v>
      </c>
      <c r="I5" s="177">
        <f t="shared" si="3"/>
        <v>24.747999999999998</v>
      </c>
      <c r="J5" s="179">
        <f t="shared" si="4"/>
        <v>0.6610698731819552</v>
      </c>
      <c r="K5" s="179">
        <f t="shared" si="5"/>
        <v>0.87998939452371749</v>
      </c>
      <c r="L5" s="179">
        <f t="shared" si="0"/>
        <v>0.29825491708445806</v>
      </c>
    </row>
    <row r="6" spans="3:12" x14ac:dyDescent="0.25">
      <c r="C6" s="47">
        <v>44259</v>
      </c>
      <c r="D6" s="172">
        <f>IF(F6="","",SUM('Apropriação diária'!I9,'Apropriação diária'!I41,'Apropriação diária'!I73,'Apropriação diária'!I105,'Apropriação diária'!I137,'Apropriação diária'!I169,'Apropriação diária'!I201,'Apropriação diária'!I233,'Apropriação diária'!I265,'Apropriação diária'!I297,'Apropriação diária'!I329,'Apropriação diária'!I361))</f>
        <v>82.976000000000013</v>
      </c>
      <c r="E6" s="172">
        <f>IF(F6="","",SUM('Apropriação diária'!L9,'Apropriação diária'!L41,'Apropriação diária'!L73,'Apropriação diária'!L105,'Apropriação diária'!L137,'Apropriação diária'!L169,'Apropriação diária'!L201,'Apropriação diária'!L233,'Apropriação diária'!L265,'Apropriação diária'!L297,'Apropriação diária'!L329,'Apropriação diária'!L361))</f>
        <v>73.018000000000001</v>
      </c>
      <c r="F6" s="178">
        <v>57.46</v>
      </c>
      <c r="G6" s="178">
        <f t="shared" si="1"/>
        <v>9.9580000000000126</v>
      </c>
      <c r="H6" s="176">
        <f t="shared" si="2"/>
        <v>7.8362414747048774</v>
      </c>
      <c r="I6" s="177">
        <f t="shared" si="3"/>
        <v>15.558</v>
      </c>
      <c r="J6" s="179">
        <f t="shared" si="4"/>
        <v>0.78692925032183847</v>
      </c>
      <c r="K6" s="179">
        <f t="shared" si="5"/>
        <v>0.87998939452371749</v>
      </c>
      <c r="L6" s="179">
        <f t="shared" si="0"/>
        <v>0.18749999999999997</v>
      </c>
    </row>
    <row r="7" spans="3:12" x14ac:dyDescent="0.25">
      <c r="C7" s="47">
        <v>44260</v>
      </c>
      <c r="D7" s="172">
        <f>IF(F7="","",SUM('Apropriação diária'!I10,'Apropriação diária'!I42,'Apropriação diária'!I74,'Apropriação diária'!I106,'Apropriação diária'!I138,'Apropriação diária'!I170,'Apropriação diária'!I202,'Apropriação diária'!I234,'Apropriação diária'!I266,'Apropriação diária'!I298,'Apropriação diária'!I330,'Apropriação diária'!I362))</f>
        <v>82.976000000000013</v>
      </c>
      <c r="E7" s="172">
        <f>IF(F7="","",SUM('Apropriação diária'!L10,'Apropriação diária'!L42,'Apropriação diária'!L74,'Apropriação diária'!L106,'Apropriação diária'!L138,'Apropriação diária'!L170,'Apropriação diária'!L202,'Apropriação diária'!L234,'Apropriação diária'!L266,'Apropriação diária'!L298,'Apropriação diária'!L330,'Apropriação diária'!L362))</f>
        <v>71.496791666666667</v>
      </c>
      <c r="F7" s="178">
        <v>69.08</v>
      </c>
      <c r="G7" s="178">
        <f t="shared" si="1"/>
        <v>11.479208333333347</v>
      </c>
      <c r="H7" s="176">
        <f t="shared" si="2"/>
        <v>11.091178963158615</v>
      </c>
      <c r="I7" s="177">
        <f t="shared" si="3"/>
        <v>2.4167916666666684</v>
      </c>
      <c r="J7" s="179">
        <f t="shared" si="4"/>
        <v>0.96619720115646213</v>
      </c>
      <c r="K7" s="179">
        <f t="shared" si="5"/>
        <v>0.86165628213780687</v>
      </c>
      <c r="L7" s="179">
        <f t="shared" si="0"/>
        <v>2.9126393977375001E-2</v>
      </c>
    </row>
    <row r="8" spans="3:12" x14ac:dyDescent="0.25">
      <c r="C8" s="47">
        <v>44261</v>
      </c>
      <c r="D8" s="172">
        <f>IF(F8="","",SUM('Apropriação diária'!I11,'Apropriação diária'!I43,'Apropriação diária'!I75,'Apropriação diária'!I107,'Apropriação diária'!I139,'Apropriação diária'!I171,'Apropriação diária'!I203,'Apropriação diária'!I235,'Apropriação diária'!I267,'Apropriação diária'!I299,'Apropriação diária'!I331,'Apropriação diária'!I363))</f>
        <v>82.976000000000013</v>
      </c>
      <c r="E8" s="172">
        <f>IF(F8="","",SUM('Apropriação diária'!L11,'Apropriação diária'!L43,'Apropriação diária'!L75,'Apropriação diária'!L107,'Apropriação diária'!L139,'Apropriação diária'!L171,'Apropriação diária'!L203,'Apropriação diária'!L235,'Apropriação diária'!L267,'Apropriação diária'!L299,'Apropriação diária'!L331,'Apropriação diária'!L363))</f>
        <v>71.496791666666667</v>
      </c>
      <c r="F8" s="178">
        <v>52.2</v>
      </c>
      <c r="G8" s="178">
        <f t="shared" si="1"/>
        <v>11.479208333333347</v>
      </c>
      <c r="H8" s="176">
        <f t="shared" si="2"/>
        <v>8.3810008957278495</v>
      </c>
      <c r="I8" s="177">
        <f t="shared" si="3"/>
        <v>19.296791666666664</v>
      </c>
      <c r="J8" s="179">
        <f t="shared" si="4"/>
        <v>0.73010269108811998</v>
      </c>
      <c r="K8" s="179">
        <f t="shared" si="5"/>
        <v>0.86165628213780676</v>
      </c>
      <c r="L8" s="179">
        <f t="shared" si="0"/>
        <v>0.2325587117560097</v>
      </c>
    </row>
    <row r="9" spans="3:12" x14ac:dyDescent="0.25">
      <c r="C9" s="47">
        <v>44262</v>
      </c>
      <c r="D9" s="172">
        <f>IF(F9="","",SUM('Apropriação diária'!I12,'Apropriação diária'!I44,'Apropriação diária'!I76,'Apropriação diária'!I108,'Apropriação diária'!I140,'Apropriação diária'!I172,'Apropriação diária'!I204,'Apropriação diária'!I236,'Apropriação diária'!I268,'Apropriação diária'!I300,'Apropriação diária'!I332,'Apropriação diária'!I364))</f>
        <v>82.976000000000013</v>
      </c>
      <c r="E9" s="172">
        <f>IF(F9="","",SUM('Apropriação diária'!L12,'Apropriação diária'!L44,'Apropriação diária'!L76,'Apropriação diária'!L108,'Apropriação diária'!L140,'Apropriação diária'!L172,'Apropriação diária'!L204,'Apropriação diária'!L236,'Apropriação diária'!L268,'Apropriação diária'!L300,'Apropriação diária'!L332,'Apropriação diária'!L364))</f>
        <v>71.334291666666672</v>
      </c>
      <c r="F9" s="178">
        <v>64.45</v>
      </c>
      <c r="G9" s="178">
        <f t="shared" si="1"/>
        <v>11.641708333333341</v>
      </c>
      <c r="H9" s="176">
        <f t="shared" si="2"/>
        <v>10.518196572125497</v>
      </c>
      <c r="I9" s="177">
        <f t="shared" si="3"/>
        <v>6.8842916666666696</v>
      </c>
      <c r="J9" s="179">
        <f t="shared" si="4"/>
        <v>0.90349253485496395</v>
      </c>
      <c r="K9" s="179">
        <f t="shared" si="5"/>
        <v>0.85969788452885976</v>
      </c>
      <c r="L9" s="179">
        <f t="shared" si="0"/>
        <v>8.2967263626430157E-2</v>
      </c>
    </row>
    <row r="10" spans="3:12" x14ac:dyDescent="0.25">
      <c r="C10" s="47">
        <v>44263</v>
      </c>
      <c r="D10" s="172">
        <f>IF(F10="","",SUM('Apropriação diária'!I13,'Apropriação diária'!I45,'Apropriação diária'!I77,'Apropriação diária'!I109,'Apropriação diária'!I141,'Apropriação diária'!I173,'Apropriação diária'!I205,'Apropriação diária'!I237,'Apropriação diária'!I269,'Apropriação diária'!I301,'Apropriação diária'!I333,'Apropriação diária'!I365))</f>
        <v>82.976000000000013</v>
      </c>
      <c r="E10" s="172">
        <f>IF(F10="","",SUM('Apropriação diária'!L13,'Apropriação diária'!L45,'Apropriação diária'!L77,'Apropriação diária'!L109,'Apropriação diária'!L141,'Apropriação diária'!L173,'Apropriação diária'!L205,'Apropriação diária'!L237,'Apropriação diária'!L269,'Apropriação diária'!L301,'Apropriação diária'!L333,'Apropriação diária'!L365))</f>
        <v>72.367999999999995</v>
      </c>
      <c r="F10" s="178">
        <v>55.23</v>
      </c>
      <c r="G10" s="178">
        <f t="shared" si="1"/>
        <v>10.608000000000018</v>
      </c>
      <c r="H10" s="176">
        <f t="shared" si="2"/>
        <v>8.0958412558036841</v>
      </c>
      <c r="I10" s="177">
        <f t="shared" si="3"/>
        <v>17.137999999999998</v>
      </c>
      <c r="J10" s="179">
        <f t="shared" si="4"/>
        <v>0.76318262215343802</v>
      </c>
      <c r="K10" s="179">
        <f t="shared" si="5"/>
        <v>0.87215580408792881</v>
      </c>
      <c r="L10" s="179">
        <f t="shared" si="0"/>
        <v>0.20654165059776317</v>
      </c>
    </row>
    <row r="11" spans="3:12" x14ac:dyDescent="0.25">
      <c r="C11" s="47">
        <v>44264</v>
      </c>
      <c r="D11" s="172">
        <f>IF(F11="","",SUM('Apropriação diária'!I14,'Apropriação diária'!I46,'Apropriação diária'!I78,'Apropriação diária'!I110,'Apropriação diária'!I142,'Apropriação diária'!I174,'Apropriação diária'!I206,'Apropriação diária'!I238,'Apropriação diária'!I270,'Apropriação diária'!I302,'Apropriação diária'!I334,'Apropriação diária'!I366))</f>
        <v>82.976000000000013</v>
      </c>
      <c r="E11" s="172">
        <f>IF(F11="","",SUM('Apropriação diária'!L14,'Apropriação diária'!L46,'Apropriação diária'!L78,'Apropriação diária'!L110,'Apropriação diária'!L142,'Apropriação diária'!L174,'Apropriação diária'!L206,'Apropriação diária'!L238,'Apropriação diária'!L270,'Apropriação diária'!L302,'Apropriação diária'!L334,'Apropriação diária'!L366))</f>
        <v>70.86033333333333</v>
      </c>
      <c r="F11" s="178">
        <v>60.98</v>
      </c>
      <c r="G11" s="178">
        <f t="shared" si="1"/>
        <v>12.115666666666684</v>
      </c>
      <c r="H11" s="176">
        <f t="shared" si="2"/>
        <v>10.426331892314003</v>
      </c>
      <c r="I11" s="177">
        <f t="shared" si="3"/>
        <v>9.8803333333333327</v>
      </c>
      <c r="J11" s="179">
        <f t="shared" si="4"/>
        <v>0.86056609010212581</v>
      </c>
      <c r="K11" s="179">
        <f t="shared" si="5"/>
        <v>0.85398589150276372</v>
      </c>
      <c r="L11" s="179">
        <f t="shared" si="0"/>
        <v>0.11907459184985214</v>
      </c>
    </row>
    <row r="12" spans="3:12" x14ac:dyDescent="0.25">
      <c r="C12" s="47">
        <v>44265</v>
      </c>
      <c r="D12" s="172">
        <f>IF(F12="","",SUM('Apropriação diária'!I15,'Apropriação diária'!I47,'Apropriação diária'!I79,'Apropriação diária'!I111,'Apropriação diária'!I143,'Apropriação diária'!I175,'Apropriação diária'!I207,'Apropriação diária'!I239,'Apropriação diária'!I271,'Apropriação diária'!I303,'Apropriação diária'!I335,'Apropriação diária'!I367))</f>
        <v>82.976000000000013</v>
      </c>
      <c r="E12" s="172">
        <f>IF(F12="","",SUM('Apropriação diária'!L15,'Apropriação diária'!L47,'Apropriação diária'!L79,'Apropriação diária'!L111,'Apropriação diária'!L143,'Apropriação diária'!L175,'Apropriação diária'!L207,'Apropriação diária'!L239,'Apropriação diária'!L271,'Apropriação diária'!L303,'Apropriação diária'!L335,'Apropriação diária'!L367))</f>
        <v>72.255500000000012</v>
      </c>
      <c r="F12" s="173">
        <f>'Fechamento fiscal'!AN15</f>
        <v>62.658869615965557</v>
      </c>
      <c r="G12" s="173">
        <f>IFERROR(D12-E12,"")</f>
        <v>10.720500000000001</v>
      </c>
      <c r="H12" s="174">
        <f>IFERROR(G12*J12,"")</f>
        <v>9.2966543961076837</v>
      </c>
      <c r="I12" s="175">
        <f>IFERROR(E12-F12,"")</f>
        <v>9.5966303840344551</v>
      </c>
      <c r="J12" s="171">
        <f>IFERROR(F12/E12,"")</f>
        <v>0.86718477646636649</v>
      </c>
      <c r="K12" s="171">
        <f>IFERROR(F12/(F12+H12),"")</f>
        <v>0.87079999035865796</v>
      </c>
      <c r="L12" s="171">
        <f>IFERROR(I12/D12,"")</f>
        <v>0.11565549537257103</v>
      </c>
    </row>
    <row r="13" spans="3:12" x14ac:dyDescent="0.25">
      <c r="C13" s="47">
        <v>44266</v>
      </c>
      <c r="D13" s="172">
        <f>IF(F13="","",SUM('Apropriação diária'!I16,'Apropriação diária'!I48,'Apropriação diária'!I80,'Apropriação diária'!I112,'Apropriação diária'!I144,'Apropriação diária'!I176,'Apropriação diária'!I208,'Apropriação diária'!I240,'Apropriação diária'!I272,'Apropriação diária'!I304,'Apropriação diária'!I336,'Apropriação diária'!I368))</f>
        <v>82.976000000000013</v>
      </c>
      <c r="E13" s="172">
        <f>IF(F13="","",SUM('Apropriação diária'!L16,'Apropriação diária'!L48,'Apropriação diária'!L80,'Apropriação diária'!L112,'Apropriação diária'!L144,'Apropriação diária'!L176,'Apropriação diária'!L208,'Apropriação diária'!L240,'Apropriação diária'!L272,'Apropriação diária'!L304,'Apropriação diária'!L336,'Apropriação diária'!L368))</f>
        <v>72.367999999999995</v>
      </c>
      <c r="F13" s="173">
        <f>'Fechamento fiscal'!AN16</f>
        <v>-4.7504314290279126E-2</v>
      </c>
      <c r="G13" s="173">
        <f t="shared" ref="G13:G33" si="6">IFERROR(D13-E13,"")</f>
        <v>10.608000000000018</v>
      </c>
      <c r="H13" s="174">
        <f t="shared" ref="H13:H33" si="7">IFERROR(G13*J13,"")</f>
        <v>-6.9633783715355117E-3</v>
      </c>
      <c r="I13" s="175">
        <f t="shared" ref="I13:I33" si="8">IFERROR(E13-F13,"")</f>
        <v>72.415504314290274</v>
      </c>
      <c r="J13" s="171">
        <f t="shared" ref="J13:J33" si="9">IFERROR(F13/E13,"")</f>
        <v>-6.5642707122318057E-4</v>
      </c>
      <c r="K13" s="171">
        <f t="shared" ref="K13:K33" si="10">IFERROR(F13/(F13+H13),"")</f>
        <v>0.87215580408792881</v>
      </c>
      <c r="L13" s="171">
        <f t="shared" ref="L13:L33" si="11">IFERROR(I13/D13,"")</f>
        <v>0.87272831076805657</v>
      </c>
    </row>
    <row r="14" spans="3:12" x14ac:dyDescent="0.25">
      <c r="C14" s="47">
        <v>44267</v>
      </c>
      <c r="D14" s="172">
        <f>IF(F14="","",SUM('Apropriação diária'!I17,'Apropriação diária'!I49,'Apropriação diária'!I81,'Apropriação diária'!I113,'Apropriação diária'!I145,'Apropriação diária'!I177,'Apropriação diária'!I209,'Apropriação diária'!I241,'Apropriação diária'!I273,'Apropriação diária'!I305,'Apropriação diária'!I337,'Apropriação diária'!I369))</f>
        <v>82.976000000000013</v>
      </c>
      <c r="E14" s="172">
        <f>IF(F14="","",SUM('Apropriação diária'!L17,'Apropriação diária'!L49,'Apropriação diária'!L81,'Apropriação diária'!L113,'Apropriação diária'!L145,'Apropriação diária'!L177,'Apropriação diária'!L209,'Apropriação diária'!L241,'Apropriação diária'!L273,'Apropriação diária'!L305,'Apropriação diária'!L337,'Apropriação diária'!L369))</f>
        <v>63.132250000000006</v>
      </c>
      <c r="F14" s="173">
        <f>'Fechamento fiscal'!AN17</f>
        <v>-0.75528556724417228</v>
      </c>
      <c r="G14" s="173">
        <f t="shared" si="6"/>
        <v>19.843750000000007</v>
      </c>
      <c r="H14" s="174">
        <f t="shared" si="7"/>
        <v>-0.23740161288408929</v>
      </c>
      <c r="I14" s="175">
        <f t="shared" si="8"/>
        <v>63.887535567244178</v>
      </c>
      <c r="J14" s="171">
        <f t="shared" si="9"/>
        <v>-1.196354584612733E-2</v>
      </c>
      <c r="K14" s="171">
        <f t="shared" si="10"/>
        <v>0.76084952275356732</v>
      </c>
      <c r="L14" s="171">
        <f t="shared" si="11"/>
        <v>0.76995198090103367</v>
      </c>
    </row>
    <row r="15" spans="3:12" x14ac:dyDescent="0.25">
      <c r="C15" s="47">
        <v>44268</v>
      </c>
      <c r="D15" s="172">
        <f>IF(F15="","",SUM('Apropriação diária'!I18,'Apropriação diária'!I50,'Apropriação diária'!I82,'Apropriação diária'!I114,'Apropriação diária'!I146,'Apropriação diária'!I178,'Apropriação diária'!I210,'Apropriação diária'!I242,'Apropriação diária'!I274,'Apropriação diária'!I306,'Apropriação diária'!I338,'Apropriação diária'!I370))</f>
        <v>82.976000000000013</v>
      </c>
      <c r="E15" s="172">
        <f>IF(F15="","",SUM('Apropriação diária'!L18,'Apropriação diária'!L50,'Apropriação diária'!L82,'Apropriação diária'!L114,'Apropriação diária'!L146,'Apropriação diária'!L178,'Apropriação diária'!L210,'Apropriação diária'!L242,'Apropriação diária'!L274,'Apropriação diária'!L306,'Apropriação diária'!L338,'Apropriação diária'!L370))</f>
        <v>70.218000000000018</v>
      </c>
      <c r="F15" s="173">
        <f>'Fechamento fiscal'!AN18</f>
        <v>-8.063132506350712E-3</v>
      </c>
      <c r="G15" s="173">
        <f t="shared" si="6"/>
        <v>12.757999999999996</v>
      </c>
      <c r="H15" s="174">
        <f t="shared" si="7"/>
        <v>-1.4650010612096945E-3</v>
      </c>
      <c r="I15" s="175">
        <f t="shared" si="8"/>
        <v>70.226063132506368</v>
      </c>
      <c r="J15" s="171">
        <f t="shared" si="9"/>
        <v>-1.1482999382424322E-4</v>
      </c>
      <c r="K15" s="171">
        <f t="shared" si="10"/>
        <v>0.84624469726185891</v>
      </c>
      <c r="L15" s="171">
        <f t="shared" si="11"/>
        <v>0.84634187153521934</v>
      </c>
    </row>
    <row r="16" spans="3:12" x14ac:dyDescent="0.25">
      <c r="C16" s="47">
        <v>44269</v>
      </c>
      <c r="D16" s="172">
        <f>IF(F16="","",SUM('Apropriação diária'!I19,'Apropriação diária'!I51,'Apropriação diária'!I83,'Apropriação diária'!I115,'Apropriação diária'!I147,'Apropriação diária'!I179,'Apropriação diária'!I211,'Apropriação diária'!I243,'Apropriação diária'!I275,'Apropriação diária'!I307,'Apropriação diária'!I339,'Apropriação diária'!I371))</f>
        <v>82.976000000000013</v>
      </c>
      <c r="E16" s="172">
        <f>IF(F16="","",SUM('Apropriação diária'!L19,'Apropriação diária'!L51,'Apropriação diária'!L83,'Apropriação diária'!L115,'Apropriação diária'!L147,'Apropriação diária'!L179,'Apropriação diária'!L211,'Apropriação diária'!L243,'Apropriação diária'!L275,'Apropriação diária'!L307,'Apropriação diária'!L339,'Apropriação diária'!L371))</f>
        <v>68.553145833333346</v>
      </c>
      <c r="F16" s="173">
        <f>'Fechamento fiscal'!AN19</f>
        <v>39.601304617637894</v>
      </c>
      <c r="G16" s="173">
        <f t="shared" si="6"/>
        <v>14.422854166666667</v>
      </c>
      <c r="H16" s="174">
        <f t="shared" si="7"/>
        <v>8.3316941092470103</v>
      </c>
      <c r="I16" s="175">
        <f t="shared" si="8"/>
        <v>28.951841215695453</v>
      </c>
      <c r="J16" s="171">
        <f t="shared" si="9"/>
        <v>0.57767304674707021</v>
      </c>
      <c r="K16" s="171">
        <f t="shared" si="10"/>
        <v>0.82618041160496214</v>
      </c>
      <c r="L16" s="171">
        <f t="shared" si="11"/>
        <v>0.34891825607037513</v>
      </c>
    </row>
    <row r="17" spans="3:12" x14ac:dyDescent="0.25">
      <c r="C17" s="47">
        <v>44270</v>
      </c>
      <c r="D17" s="172">
        <f>IF(F17="","",SUM('Apropriação diária'!I20,'Apropriação diária'!I52,'Apropriação diária'!I84,'Apropriação diária'!I116,'Apropriação diária'!I148,'Apropriação diária'!I180,'Apropriação diária'!I212,'Apropriação diária'!I244,'Apropriação diária'!I276,'Apropriação diária'!I308,'Apropriação diária'!I340,'Apropriação diária'!I372))</f>
        <v>82.976000000000013</v>
      </c>
      <c r="E17" s="172">
        <f>IF(F17="","",SUM('Apropriação diária'!L20,'Apropriação diária'!L52,'Apropriação diária'!L84,'Apropriação diária'!L116,'Apropriação diária'!L148,'Apropriação diária'!L180,'Apropriação diária'!L212,'Apropriação diária'!L244,'Apropriação diária'!L276,'Apropriação diária'!L308,'Apropriação diária'!L340,'Apropriação diária'!L372))</f>
        <v>69.351583333333338</v>
      </c>
      <c r="F17" s="173">
        <f>'Fechamento fiscal'!AN20</f>
        <v>64.10175669064202</v>
      </c>
      <c r="G17" s="173">
        <f t="shared" si="6"/>
        <v>13.624416666666676</v>
      </c>
      <c r="H17" s="174">
        <f t="shared" si="7"/>
        <v>12.593065655342095</v>
      </c>
      <c r="I17" s="175">
        <f t="shared" si="8"/>
        <v>5.2498266426913176</v>
      </c>
      <c r="J17" s="171">
        <f t="shared" si="9"/>
        <v>0.92430127200617174</v>
      </c>
      <c r="K17" s="171">
        <f t="shared" si="10"/>
        <v>0.83580292293353897</v>
      </c>
      <c r="L17" s="171">
        <f t="shared" si="11"/>
        <v>6.3269218119592616E-2</v>
      </c>
    </row>
    <row r="18" spans="3:12" x14ac:dyDescent="0.25">
      <c r="C18" s="47">
        <v>44271</v>
      </c>
      <c r="D18" s="172">
        <f>IF(F18="","",SUM('Apropriação diária'!I21,'Apropriação diária'!I53,'Apropriação diária'!I85,'Apropriação diária'!I117,'Apropriação diária'!I149,'Apropriação diária'!I181,'Apropriação diária'!I213,'Apropriação diária'!I245,'Apropriação diária'!I277,'Apropriação diária'!I309,'Apropriação diária'!I341,'Apropriação diária'!I373))</f>
        <v>82.976000000000013</v>
      </c>
      <c r="E18" s="172">
        <f>IF(F18="","",SUM('Apropriação diária'!L21,'Apropriação diária'!L53,'Apropriação diária'!L85,'Apropriação diária'!L117,'Apropriação diária'!L149,'Apropriação diária'!L181,'Apropriação diária'!L213,'Apropriação diária'!L245,'Apropriação diária'!L277,'Apropriação diária'!L309,'Apropriação diária'!L341,'Apropriação diária'!L373))</f>
        <v>68.867641666666671</v>
      </c>
      <c r="F18" s="173">
        <f>'Fechamento fiscal'!AN21</f>
        <v>28.043206644636172</v>
      </c>
      <c r="G18" s="173">
        <f t="shared" si="6"/>
        <v>14.108358333333342</v>
      </c>
      <c r="H18" s="174">
        <f t="shared" si="7"/>
        <v>5.7449855778892047</v>
      </c>
      <c r="I18" s="175">
        <f t="shared" si="8"/>
        <v>40.824435022030499</v>
      </c>
      <c r="J18" s="171">
        <f t="shared" si="9"/>
        <v>0.40720439913379014</v>
      </c>
      <c r="K18" s="171">
        <f t="shared" si="10"/>
        <v>0.82997061399280114</v>
      </c>
      <c r="L18" s="171">
        <f t="shared" si="11"/>
        <v>0.4920029288231596</v>
      </c>
    </row>
    <row r="19" spans="3:12" x14ac:dyDescent="0.25">
      <c r="C19" s="47">
        <v>44272</v>
      </c>
      <c r="D19" s="172">
        <f>IF(F19="","",SUM('Apropriação diária'!I22,'Apropriação diária'!I54,'Apropriação diária'!I86,'Apropriação diária'!I118,'Apropriação diária'!I150,'Apropriação diária'!I182,'Apropriação diária'!I214,'Apropriação diária'!I246,'Apropriação diária'!I278,'Apropriação diária'!I310,'Apropriação diária'!I342,'Apropriação diária'!I374))</f>
        <v>82.976000000000013</v>
      </c>
      <c r="E19" s="172">
        <f>IF(F19="","",SUM('Apropriação diária'!L22,'Apropriação diária'!L54,'Apropriação diária'!L86,'Apropriação diária'!L118,'Apropriação diária'!L150,'Apropriação diária'!L182,'Apropriação diária'!L214,'Apropriação diária'!L246,'Apropriação diária'!L278,'Apropriação diária'!L310,'Apropriação diária'!L342,'Apropriação diária'!L374))</f>
        <v>73.507000000000005</v>
      </c>
      <c r="F19" s="173">
        <f>'Fechamento fiscal'!AN22</f>
        <v>-0.39191198801731275</v>
      </c>
      <c r="G19" s="173">
        <f t="shared" si="6"/>
        <v>9.4690000000000083</v>
      </c>
      <c r="H19" s="174">
        <f t="shared" si="7"/>
        <v>-5.0485186642577409E-2</v>
      </c>
      <c r="I19" s="175">
        <f t="shared" si="8"/>
        <v>73.898911988017318</v>
      </c>
      <c r="J19" s="171">
        <f t="shared" si="9"/>
        <v>-5.331628117285602E-3</v>
      </c>
      <c r="K19" s="171">
        <f t="shared" si="10"/>
        <v>0.88588266486694944</v>
      </c>
      <c r="L19" s="171">
        <f t="shared" si="11"/>
        <v>0.89060586179156997</v>
      </c>
    </row>
    <row r="20" spans="3:12" x14ac:dyDescent="0.25">
      <c r="C20" s="47">
        <v>44273</v>
      </c>
      <c r="D20" s="172">
        <f>IF(F20="","",SUM('Apropriação diária'!I23,'Apropriação diária'!I55,'Apropriação diária'!I87,'Apropriação diária'!I119,'Apropriação diária'!I151,'Apropriação diária'!I183,'Apropriação diária'!I215,'Apropriação diária'!I247,'Apropriação diária'!I279,'Apropriação diária'!I311,'Apropriação diária'!I343,'Apropriação diária'!I375))</f>
        <v>82.976000000000013</v>
      </c>
      <c r="E20" s="172">
        <f>IF(F20="","",SUM('Apropriação diária'!L23,'Apropriação diária'!L55,'Apropriação diária'!L87,'Apropriação diária'!L119,'Apropriação diária'!L151,'Apropriação diária'!L183,'Apropriação diária'!L215,'Apropriação diária'!L247,'Apropriação diária'!L279,'Apropriação diária'!L311,'Apropriação diária'!L343,'Apropriação diária'!L375))</f>
        <v>79.839666666666659</v>
      </c>
      <c r="F20" s="173">
        <f>'Fechamento fiscal'!AN23</f>
        <v>-8.3051899215902836E-2</v>
      </c>
      <c r="G20" s="173">
        <f t="shared" si="6"/>
        <v>3.1363333333333543</v>
      </c>
      <c r="H20" s="174">
        <f t="shared" si="7"/>
        <v>-3.262519130935062E-3</v>
      </c>
      <c r="I20" s="175">
        <f t="shared" si="8"/>
        <v>79.922718565882562</v>
      </c>
      <c r="J20" s="171">
        <f t="shared" si="9"/>
        <v>-1.0402335415883857E-3</v>
      </c>
      <c r="K20" s="171">
        <f t="shared" si="10"/>
        <v>0.9622019218408534</v>
      </c>
      <c r="L20" s="171">
        <f t="shared" si="11"/>
        <v>0.96320283655373296</v>
      </c>
    </row>
    <row r="21" spans="3:12" x14ac:dyDescent="0.25">
      <c r="C21" s="47">
        <v>44274</v>
      </c>
      <c r="D21" s="172">
        <f>IF(F21="","",SUM('Apropriação diária'!I24,'Apropriação diária'!I56,'Apropriação diária'!I88,'Apropriação diária'!I120,'Apropriação diária'!I152,'Apropriação diária'!I184,'Apropriação diária'!I216,'Apropriação diária'!I248,'Apropriação diária'!I280,'Apropriação diária'!I312,'Apropriação diária'!I344,'Apropriação diária'!I376))</f>
        <v>82.976000000000013</v>
      </c>
      <c r="E21" s="172">
        <f>IF(F21="","",SUM('Apropriação diária'!L24,'Apropriação diária'!L56,'Apropriação diária'!L88,'Apropriação diária'!L120,'Apropriação diária'!L152,'Apropriação diária'!L184,'Apropriação diária'!L216,'Apropriação diária'!L248,'Apropriação diária'!L280,'Apropriação diária'!L312,'Apropriação diária'!L344,'Apropriação diária'!L376))</f>
        <v>78.951791666666679</v>
      </c>
      <c r="F21" s="173">
        <f>'Fechamento fiscal'!AN24</f>
        <v>62.29986201008208</v>
      </c>
      <c r="G21" s="173">
        <f t="shared" si="6"/>
        <v>4.0242083333333341</v>
      </c>
      <c r="H21" s="174">
        <f t="shared" si="7"/>
        <v>3.1754519887904897</v>
      </c>
      <c r="I21" s="175">
        <f t="shared" si="8"/>
        <v>16.651929656584599</v>
      </c>
      <c r="J21" s="171">
        <f t="shared" si="9"/>
        <v>0.7890873746489655</v>
      </c>
      <c r="K21" s="171">
        <f t="shared" si="10"/>
        <v>0.95150153859750619</v>
      </c>
      <c r="L21" s="171">
        <f t="shared" si="11"/>
        <v>0.20068368753114874</v>
      </c>
    </row>
    <row r="22" spans="3:12" x14ac:dyDescent="0.25">
      <c r="C22" s="47">
        <v>44275</v>
      </c>
      <c r="D22" s="172">
        <f>IF(F22="","",SUM('Apropriação diária'!I25,'Apropriação diária'!I57,'Apropriação diária'!I89,'Apropriação diária'!I121,'Apropriação diária'!I153,'Apropriação diária'!I185,'Apropriação diária'!I217,'Apropriação diária'!I249,'Apropriação diária'!I281,'Apropriação diária'!I313,'Apropriação diária'!I345,'Apropriação diária'!I377))</f>
        <v>82.976000000000013</v>
      </c>
      <c r="E22" s="172">
        <f>IF(F22="","",SUM('Apropriação diária'!L25,'Apropriação diária'!L57,'Apropriação diária'!L89,'Apropriação diária'!L121,'Apropriação diária'!L153,'Apropriação diária'!L185,'Apropriação diária'!L217,'Apropriação diária'!L249,'Apropriação diária'!L281,'Apropriação diária'!L313,'Apropriação diária'!L345,'Apropriação diária'!L377))</f>
        <v>71.483000000000004</v>
      </c>
      <c r="F22" s="173">
        <f>'Fechamento fiscal'!AN25</f>
        <v>62.323886308899404</v>
      </c>
      <c r="G22" s="173">
        <f t="shared" si="6"/>
        <v>11.493000000000009</v>
      </c>
      <c r="H22" s="174">
        <f t="shared" si="7"/>
        <v>10.020402408239461</v>
      </c>
      <c r="I22" s="175">
        <f t="shared" si="8"/>
        <v>9.1591136911006004</v>
      </c>
      <c r="J22" s="171">
        <f t="shared" si="9"/>
        <v>0.87187004335155771</v>
      </c>
      <c r="K22" s="171">
        <f t="shared" si="10"/>
        <v>0.86149006941766282</v>
      </c>
      <c r="L22" s="171">
        <f t="shared" si="11"/>
        <v>0.11038268524754867</v>
      </c>
    </row>
    <row r="23" spans="3:12" x14ac:dyDescent="0.25">
      <c r="C23" s="47">
        <v>44276</v>
      </c>
      <c r="D23" s="172">
        <f>IF(F23="","",SUM('Apropriação diária'!I26,'Apropriação diária'!I58,'Apropriação diária'!I90,'Apropriação diária'!I122,'Apropriação diária'!I154,'Apropriação diária'!I186,'Apropriação diária'!I218,'Apropriação diária'!I250,'Apropriação diária'!I282,'Apropriação diária'!I314,'Apropriação diária'!I346,'Apropriação diária'!I378))</f>
        <v>82.976000000000013</v>
      </c>
      <c r="E23" s="172">
        <f>IF(F23="","",SUM('Apropriação diária'!L26,'Apropriação diária'!L58,'Apropriação diária'!L90,'Apropriação diária'!L122,'Apropriação diária'!L154,'Apropriação diária'!L186,'Apropriação diária'!L218,'Apropriação diária'!L250,'Apropriação diária'!L282,'Apropriação diária'!L314,'Apropriação diária'!L346,'Apropriação diária'!L378))</f>
        <v>76.324458333333325</v>
      </c>
      <c r="F23" s="173">
        <f>'Fechamento fiscal'!AN26</f>
        <v>62.516402601196063</v>
      </c>
      <c r="G23" s="173">
        <f t="shared" si="6"/>
        <v>6.651541666666688</v>
      </c>
      <c r="H23" s="174">
        <f t="shared" si="7"/>
        <v>5.4481940105739195</v>
      </c>
      <c r="I23" s="175">
        <f t="shared" si="8"/>
        <v>13.808055732137262</v>
      </c>
      <c r="J23" s="171">
        <f t="shared" si="9"/>
        <v>0.81908740613876263</v>
      </c>
      <c r="K23" s="171">
        <f t="shared" si="10"/>
        <v>0.91983776433346176</v>
      </c>
      <c r="L23" s="171">
        <f t="shared" si="11"/>
        <v>0.16641023587708809</v>
      </c>
    </row>
    <row r="24" spans="3:12" x14ac:dyDescent="0.25">
      <c r="C24" s="47">
        <v>44277</v>
      </c>
      <c r="D24" s="172">
        <f>IF(F24="","",SUM('Apropriação diária'!I27,'Apropriação diária'!I59,'Apropriação diária'!I91,'Apropriação diária'!I123,'Apropriação diária'!I155,'Apropriação diária'!I187,'Apropriação diária'!I219,'Apropriação diária'!I251,'Apropriação diária'!I283,'Apropriação diária'!I315,'Apropriação diária'!I347,'Apropriação diária'!I379))</f>
        <v>82.976000000000013</v>
      </c>
      <c r="E24" s="172">
        <f>IF(F24="","",SUM('Apropriação diária'!L27,'Apropriação diária'!L59,'Apropriação diária'!L91,'Apropriação diária'!L123,'Apropriação diária'!L155,'Apropriação diária'!L187,'Apropriação diária'!L219,'Apropriação diária'!L251,'Apropriação diária'!L283,'Apropriação diária'!L315,'Apropriação diária'!L347,'Apropriação diária'!L379))</f>
        <v>60.955000000000005</v>
      </c>
      <c r="F24" s="173">
        <f>'Fechamento fiscal'!AN27</f>
        <v>18.474285465023343</v>
      </c>
      <c r="G24" s="173">
        <f t="shared" si="6"/>
        <v>22.021000000000008</v>
      </c>
      <c r="H24" s="174">
        <f t="shared" si="7"/>
        <v>6.6741405992171137</v>
      </c>
      <c r="I24" s="175">
        <f t="shared" si="8"/>
        <v>42.480714534976663</v>
      </c>
      <c r="J24" s="171">
        <f t="shared" si="9"/>
        <v>0.30308072291072663</v>
      </c>
      <c r="K24" s="171">
        <f t="shared" si="10"/>
        <v>0.73461000771307361</v>
      </c>
      <c r="L24" s="171">
        <f t="shared" si="11"/>
        <v>0.51196387551794076</v>
      </c>
    </row>
    <row r="25" spans="3:12" x14ac:dyDescent="0.25">
      <c r="C25" s="47">
        <v>44278</v>
      </c>
      <c r="D25" s="172">
        <f>IF(F25="","",SUM('Apropriação diária'!I28,'Apropriação diária'!I60,'Apropriação diária'!I92,'Apropriação diária'!I124,'Apropriação diária'!I156,'Apropriação diária'!I188,'Apropriação diária'!I220,'Apropriação diária'!I252,'Apropriação diária'!I284,'Apropriação diária'!I316,'Apropriação diária'!I348,'Apropriação diária'!I380))</f>
        <v>82.976000000000013</v>
      </c>
      <c r="E25" s="172">
        <f>IF(F25="","",SUM('Apropriação diária'!L28,'Apropriação diária'!L60,'Apropriação diária'!L92,'Apropriação diária'!L124,'Apropriação diária'!L156,'Apropriação diária'!L188,'Apropriação diária'!L220,'Apropriação diária'!L252,'Apropriação diária'!L284,'Apropriação diária'!L316,'Apropriação diária'!L348,'Apropriação diária'!L380))</f>
        <v>43.130033333333337</v>
      </c>
      <c r="F25" s="173">
        <f>'Fechamento fiscal'!AN28</f>
        <v>-0.32940458233929348</v>
      </c>
      <c r="G25" s="173">
        <f t="shared" si="6"/>
        <v>39.845966666666676</v>
      </c>
      <c r="H25" s="174">
        <f t="shared" si="7"/>
        <v>-0.30432260291333135</v>
      </c>
      <c r="I25" s="175">
        <f t="shared" si="8"/>
        <v>43.45943791567263</v>
      </c>
      <c r="J25" s="171">
        <f t="shared" si="9"/>
        <v>-7.6374757189142011E-3</v>
      </c>
      <c r="K25" s="171">
        <f t="shared" si="10"/>
        <v>0.51978925633114792</v>
      </c>
      <c r="L25" s="171">
        <f t="shared" si="11"/>
        <v>0.52375913415532949</v>
      </c>
    </row>
    <row r="26" spans="3:12" x14ac:dyDescent="0.25">
      <c r="C26" s="47">
        <v>44279</v>
      </c>
      <c r="D26" s="172">
        <f>IF(F26="","",SUM('Apropriação diária'!I29,'Apropriação diária'!I61,'Apropriação diária'!I93,'Apropriação diária'!I125,'Apropriação diária'!I157,'Apropriação diária'!I189,'Apropriação diária'!I221,'Apropriação diária'!I253,'Apropriação diária'!I285,'Apropriação diária'!I317,'Apropriação diária'!I349,'Apropriação diária'!I381))</f>
        <v>82.976000000000013</v>
      </c>
      <c r="E26" s="172">
        <f>IF(F26="","",SUM('Apropriação diária'!L29,'Apropriação diária'!L61,'Apropriação diária'!L93,'Apropriação diária'!L125,'Apropriação diária'!L157,'Apropriação diária'!L189,'Apropriação diária'!L221,'Apropriação diária'!L253,'Apropriação diária'!L285,'Apropriação diária'!L317,'Apropriação diária'!L349,'Apropriação diária'!L381))</f>
        <v>61.803000000000004</v>
      </c>
      <c r="F26" s="173">
        <f>'Fechamento fiscal'!AN29</f>
        <v>-0.13245447001028765</v>
      </c>
      <c r="G26" s="173">
        <f t="shared" si="6"/>
        <v>21.173000000000009</v>
      </c>
      <c r="H26" s="174">
        <f t="shared" si="7"/>
        <v>-4.5377384488258198E-2</v>
      </c>
      <c r="I26" s="175">
        <f t="shared" si="8"/>
        <v>61.935454470010292</v>
      </c>
      <c r="J26" s="171">
        <f t="shared" si="9"/>
        <v>-2.1431721762744144E-3</v>
      </c>
      <c r="K26" s="171">
        <f t="shared" si="10"/>
        <v>0.74482983031237937</v>
      </c>
      <c r="L26" s="171">
        <f t="shared" si="11"/>
        <v>0.74642612888076409</v>
      </c>
    </row>
    <row r="27" spans="3:12" x14ac:dyDescent="0.25">
      <c r="C27" s="47">
        <v>44280</v>
      </c>
      <c r="D27" s="172">
        <f>IF(F27="","",SUM('Apropriação diária'!I30,'Apropriação diária'!I62,'Apropriação diária'!I94,'Apropriação diária'!I126,'Apropriação diária'!I158,'Apropriação diária'!I190,'Apropriação diária'!I222,'Apropriação diária'!I254,'Apropriação diária'!I286,'Apropriação diária'!I318,'Apropriação diária'!I350,'Apropriação diária'!I382))</f>
        <v>82.976000000000013</v>
      </c>
      <c r="E27" s="172">
        <f>IF(F27="","",SUM('Apropriação diária'!L30,'Apropriação diária'!L62,'Apropriação diária'!L94,'Apropriação diária'!L126,'Apropriação diária'!L158,'Apropriação diária'!L190,'Apropriação diária'!L222,'Apropriação diária'!L254,'Apropriação diária'!L286,'Apropriação diária'!L318,'Apropriação diária'!L350,'Apropriação diária'!L382))</f>
        <v>72.428166666666669</v>
      </c>
      <c r="F27" s="173">
        <f>'Fechamento fiscal'!AN30</f>
        <v>62.557527999643739</v>
      </c>
      <c r="G27" s="173">
        <f t="shared" si="6"/>
        <v>10.547833333333344</v>
      </c>
      <c r="H27" s="174">
        <f t="shared" si="7"/>
        <v>9.1103559492588229</v>
      </c>
      <c r="I27" s="175">
        <f t="shared" si="8"/>
        <v>9.8706386670229307</v>
      </c>
      <c r="J27" s="171">
        <f t="shared" si="9"/>
        <v>0.86371823116205348</v>
      </c>
      <c r="K27" s="171">
        <f t="shared" si="10"/>
        <v>0.87288091335647255</v>
      </c>
      <c r="L27" s="171">
        <f t="shared" si="11"/>
        <v>0.1189577548571024</v>
      </c>
    </row>
    <row r="28" spans="3:12" x14ac:dyDescent="0.25">
      <c r="C28" s="47">
        <v>44281</v>
      </c>
      <c r="D28" s="172">
        <f>IF(F28="","",SUM('Apropriação diária'!I31,'Apropriação diária'!I63,'Apropriação diária'!I95,'Apropriação diária'!I127,'Apropriação diária'!I159,'Apropriação diária'!I191,'Apropriação diária'!I223,'Apropriação diária'!I255,'Apropriação diária'!I287,'Apropriação diária'!I319,'Apropriação diária'!I351,'Apropriação diária'!I383))</f>
        <v>82.976000000000013</v>
      </c>
      <c r="E28" s="172">
        <f>IF(F28="","",SUM('Apropriação diária'!L31,'Apropriação diária'!L63,'Apropriação diária'!L95,'Apropriação diária'!L127,'Apropriação diária'!L159,'Apropriação diária'!L191,'Apropriação diária'!L223,'Apropriação diária'!L255,'Apropriação diária'!L287,'Apropriação diária'!L319,'Apropriação diária'!L351,'Apropriação diária'!L383))</f>
        <v>74.24133333333333</v>
      </c>
      <c r="F28" s="173">
        <f>'Fechamento fiscal'!AN31</f>
        <v>61.263435489162319</v>
      </c>
      <c r="G28" s="173">
        <f t="shared" si="6"/>
        <v>8.7346666666666835</v>
      </c>
      <c r="H28" s="174">
        <f t="shared" si="7"/>
        <v>7.2077866038595415</v>
      </c>
      <c r="I28" s="175">
        <f t="shared" si="8"/>
        <v>12.977897844171011</v>
      </c>
      <c r="J28" s="171">
        <f t="shared" si="9"/>
        <v>0.82519309309947275</v>
      </c>
      <c r="K28" s="171">
        <f t="shared" si="10"/>
        <v>0.89473261344645816</v>
      </c>
      <c r="L28" s="171">
        <f t="shared" si="11"/>
        <v>0.15640544065960046</v>
      </c>
    </row>
    <row r="29" spans="3:12" x14ac:dyDescent="0.25">
      <c r="C29" s="47">
        <v>44282</v>
      </c>
      <c r="D29" s="172">
        <f>IF(F29="","",SUM('Apropriação diária'!I32,'Apropriação diária'!I64,'Apropriação diária'!I96,'Apropriação diária'!I128,'Apropriação diária'!I160,'Apropriação diária'!I192,'Apropriação diária'!I224,'Apropriação diária'!I256,'Apropriação diária'!I288,'Apropriação diária'!I320,'Apropriação diária'!I352,'Apropriação diária'!I384))</f>
        <v>82.976000000000013</v>
      </c>
      <c r="E29" s="172">
        <f>IF(F29="","",SUM('Apropriação diária'!L32,'Apropriação diária'!L64,'Apropriação diária'!L96,'Apropriação diária'!L128,'Apropriação diária'!L160,'Apropriação diária'!L192,'Apropriação diária'!L224,'Apropriação diária'!L256,'Apropriação diária'!L288,'Apropriação diária'!L320,'Apropriação diária'!L352,'Apropriação diária'!L384))</f>
        <v>76.031499999999994</v>
      </c>
      <c r="F29" s="173">
        <f>'Fechamento fiscal'!AN32</f>
        <v>0.36578175265250934</v>
      </c>
      <c r="G29" s="173">
        <f t="shared" si="6"/>
        <v>6.9445000000000192</v>
      </c>
      <c r="H29" s="174">
        <f t="shared" si="7"/>
        <v>3.3409460306522407E-2</v>
      </c>
      <c r="I29" s="175">
        <f t="shared" si="8"/>
        <v>75.665718247347485</v>
      </c>
      <c r="J29" s="171">
        <f t="shared" si="9"/>
        <v>4.8109237967488396E-3</v>
      </c>
      <c r="K29" s="171">
        <f t="shared" si="10"/>
        <v>0.91630712495179301</v>
      </c>
      <c r="L29" s="171">
        <f t="shared" si="11"/>
        <v>0.91189884119923192</v>
      </c>
    </row>
    <row r="30" spans="3:12" x14ac:dyDescent="0.25">
      <c r="C30" s="47">
        <v>44283</v>
      </c>
      <c r="D30" s="172">
        <f>IF(F30="","",SUM('Apropriação diária'!I33,'Apropriação diária'!I65,'Apropriação diária'!I97,'Apropriação diária'!I129,'Apropriação diária'!I161,'Apropriação diária'!I193,'Apropriação diária'!I225,'Apropriação diária'!I257,'Apropriação diária'!I289,'Apropriação diária'!I321,'Apropriação diária'!I353,'Apropriação diária'!I385))</f>
        <v>82.976000000000013</v>
      </c>
      <c r="E30" s="172">
        <f>IF(F30="","",SUM('Apropriação diária'!L33,'Apropriação diária'!L65,'Apropriação diária'!L97,'Apropriação diária'!L129,'Apropriação diária'!L161,'Apropriação diária'!L193,'Apropriação diária'!L225,'Apropriação diária'!L257,'Apropriação diária'!L289,'Apropriação diária'!L321,'Apropriação diária'!L353,'Apropriação diária'!L385))</f>
        <v>72.976333333333343</v>
      </c>
      <c r="F30" s="173">
        <f>'Fechamento fiscal'!AN33</f>
        <v>0.16350361842525274</v>
      </c>
      <c r="G30" s="173">
        <f t="shared" si="6"/>
        <v>9.9996666666666698</v>
      </c>
      <c r="H30" s="174">
        <f t="shared" si="7"/>
        <v>2.2404272842515876E-2</v>
      </c>
      <c r="I30" s="175">
        <f t="shared" si="8"/>
        <v>72.812829714908091</v>
      </c>
      <c r="J30" s="171">
        <f t="shared" si="9"/>
        <v>2.2405019676505085E-3</v>
      </c>
      <c r="K30" s="171">
        <f t="shared" si="10"/>
        <v>0.87948724129065436</v>
      </c>
      <c r="L30" s="171">
        <f t="shared" si="11"/>
        <v>0.87751674839601912</v>
      </c>
    </row>
    <row r="31" spans="3:12" x14ac:dyDescent="0.25">
      <c r="C31" s="47">
        <v>44284</v>
      </c>
      <c r="D31" s="172">
        <f>IF(F31="","",SUM('Apropriação diária'!I34,'Apropriação diária'!I66,'Apropriação diária'!I98,'Apropriação diária'!I130,'Apropriação diária'!I162,'Apropriação diária'!I194,'Apropriação diária'!I226,'Apropriação diária'!I258,'Apropriação diária'!I290,'Apropriação diária'!I322,'Apropriação diária'!I354,'Apropriação diária'!I386))</f>
        <v>82.976000000000013</v>
      </c>
      <c r="E31" s="172">
        <f>IF(F31="","",SUM('Apropriação diária'!L34,'Apropriação diária'!L66,'Apropriação diária'!L98,'Apropriação diária'!L130,'Apropriação diária'!L162,'Apropriação diária'!L194,'Apropriação diária'!L226,'Apropriação diária'!L258,'Apropriação diária'!L290,'Apropriação diária'!L322,'Apropriação diária'!L354,'Apropriação diária'!L386))</f>
        <v>70.867999999999995</v>
      </c>
      <c r="F31" s="173">
        <f>'Fechamento fiscal'!AN34</f>
        <v>60.628189771472073</v>
      </c>
      <c r="G31" s="173">
        <f t="shared" si="6"/>
        <v>12.108000000000018</v>
      </c>
      <c r="H31" s="174">
        <f t="shared" si="7"/>
        <v>10.358499206312935</v>
      </c>
      <c r="I31" s="175">
        <f t="shared" si="8"/>
        <v>10.239810228527922</v>
      </c>
      <c r="J31" s="171">
        <f t="shared" si="9"/>
        <v>0.85550868899181687</v>
      </c>
      <c r="K31" s="171">
        <f t="shared" si="10"/>
        <v>0.85407828769764726</v>
      </c>
      <c r="L31" s="171">
        <f t="shared" si="11"/>
        <v>0.12340689149305728</v>
      </c>
    </row>
    <row r="32" spans="3:12" x14ac:dyDescent="0.25">
      <c r="C32" s="47">
        <v>44285</v>
      </c>
      <c r="D32" s="172">
        <f>IF(F32="","",SUM('Apropriação diária'!I35,'Apropriação diária'!I67,'Apropriação diária'!I99,'Apropriação diária'!I131,'Apropriação diária'!I163,'Apropriação diária'!I195,'Apropriação diária'!I227,'Apropriação diária'!I259,'Apropriação diária'!I291,'Apropriação diária'!I323,'Apropriação diária'!I355,'Apropriação diária'!I387))</f>
        <v>82.976000000000013</v>
      </c>
      <c r="E32" s="172">
        <f>IF(F32="","",SUM('Apropriação diária'!L35,'Apropriação diária'!L67,'Apropriação diária'!L99,'Apropriação diária'!L131,'Apropriação diária'!L163,'Apropriação diária'!L195,'Apropriação diária'!L227,'Apropriação diária'!L259,'Apropriação diária'!L291,'Apropriação diária'!L323,'Apropriação diária'!L355,'Apropriação diária'!L387))</f>
        <v>52.008000000000003</v>
      </c>
      <c r="F32" s="173">
        <f>'Fechamento fiscal'!AN35</f>
        <v>14.553956055752721</v>
      </c>
      <c r="G32" s="173">
        <f t="shared" si="6"/>
        <v>30.968000000000011</v>
      </c>
      <c r="H32" s="174">
        <f t="shared" si="7"/>
        <v>8.6661073514565139</v>
      </c>
      <c r="I32" s="175">
        <f t="shared" si="8"/>
        <v>37.454043944247282</v>
      </c>
      <c r="J32" s="171">
        <f t="shared" si="9"/>
        <v>0.2798407178848008</v>
      </c>
      <c r="K32" s="171">
        <f t="shared" si="10"/>
        <v>0.62678364828384103</v>
      </c>
      <c r="L32" s="171">
        <f t="shared" si="11"/>
        <v>0.45138406218963645</v>
      </c>
    </row>
    <row r="33" spans="3:12" x14ac:dyDescent="0.25">
      <c r="C33" s="47">
        <v>44286</v>
      </c>
      <c r="D33" s="172" t="str">
        <f>IF(F33="","",SUM('Apropriação diária'!I36,'Apropriação diária'!I68,'Apropriação diária'!I100,'Apropriação diária'!I132,'Apropriação diária'!I164,'Apropriação diária'!I196,'Apropriação diária'!I228,'Apropriação diária'!I260,'Apropriação diária'!I292,'Apropriação diária'!I324,'Apropriação diária'!I356,'Apropriação diária'!I388))</f>
        <v/>
      </c>
      <c r="E33" s="172" t="str">
        <f>IF(F33="","",SUM('Apropriação diária'!L36,'Apropriação diária'!L68,'Apropriação diária'!L100,'Apropriação diária'!L132,'Apropriação diária'!L164,'Apropriação diária'!L196,'Apropriação diária'!L228,'Apropriação diária'!L260,'Apropriação diária'!L292,'Apropriação diária'!L324,'Apropriação diária'!L356,'Apropriação diária'!L388))</f>
        <v/>
      </c>
      <c r="F33" s="173" t="str">
        <f>'Fechamento fiscal'!AN36</f>
        <v/>
      </c>
      <c r="G33" s="173" t="str">
        <f t="shared" si="6"/>
        <v/>
      </c>
      <c r="H33" s="174" t="str">
        <f t="shared" si="7"/>
        <v/>
      </c>
      <c r="I33" s="175" t="str">
        <f t="shared" si="8"/>
        <v/>
      </c>
      <c r="J33" s="171" t="str">
        <f t="shared" si="9"/>
        <v/>
      </c>
      <c r="K33" s="171" t="str">
        <f t="shared" si="10"/>
        <v/>
      </c>
      <c r="L33" s="171" t="str">
        <f t="shared" si="11"/>
        <v/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M22"/>
  <sheetViews>
    <sheetView view="pageBreakPreview" zoomScaleNormal="100" zoomScaleSheetLayoutView="100" workbookViewId="0">
      <selection activeCell="P15" sqref="P15"/>
    </sheetView>
  </sheetViews>
  <sheetFormatPr defaultRowHeight="15" x14ac:dyDescent="0.25"/>
  <cols>
    <col min="1" max="1" width="29" customWidth="1"/>
    <col min="4" max="4" width="12.7109375" bestFit="1" customWidth="1"/>
    <col min="5" max="5" width="11.5703125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9" t="s">
        <v>67</v>
      </c>
      <c r="B1" s="230"/>
      <c r="C1" s="230"/>
      <c r="D1" s="230"/>
      <c r="E1" s="230"/>
      <c r="F1" s="230"/>
      <c r="G1" s="230"/>
      <c r="H1" s="230"/>
      <c r="I1" s="230"/>
      <c r="J1" s="231"/>
      <c r="K1" s="74"/>
      <c r="L1" s="74"/>
      <c r="M1" s="74"/>
    </row>
    <row r="2" spans="1:13" x14ac:dyDescent="0.25">
      <c r="A2" s="232"/>
      <c r="B2" s="233"/>
      <c r="C2" s="233"/>
      <c r="D2" s="233"/>
      <c r="E2" s="233"/>
      <c r="F2" s="233"/>
      <c r="G2" s="233"/>
      <c r="H2" s="233"/>
      <c r="I2" s="233"/>
      <c r="J2" s="234"/>
      <c r="K2" s="74"/>
      <c r="L2" s="74"/>
      <c r="M2" s="74"/>
    </row>
    <row r="3" spans="1:13" ht="15.75" customHeight="1" thickBot="1" x14ac:dyDescent="0.3">
      <c r="A3" s="235"/>
      <c r="B3" s="236"/>
      <c r="C3" s="236"/>
      <c r="D3" s="236"/>
      <c r="E3" s="236"/>
      <c r="F3" s="236"/>
      <c r="G3" s="236"/>
      <c r="H3" s="236"/>
      <c r="I3" s="236"/>
      <c r="J3" s="23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JUNHO</v>
      </c>
      <c r="E5" s="78" t="s">
        <v>66</v>
      </c>
      <c r="F5" s="238" t="s">
        <v>127</v>
      </c>
      <c r="G5" s="238"/>
      <c r="H5" s="79"/>
      <c r="I5" s="79"/>
      <c r="J5" s="80"/>
      <c r="K5" s="239"/>
      <c r="L5" s="239"/>
      <c r="M5" s="23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9"/>
      <c r="L6" s="239"/>
      <c r="M6" s="23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9"/>
      <c r="L7" s="239"/>
      <c r="M7" s="239"/>
    </row>
    <row r="8" spans="1:13" ht="46.9" customHeight="1" x14ac:dyDescent="0.25">
      <c r="A8" s="81" t="s">
        <v>41</v>
      </c>
      <c r="B8" s="82" t="s">
        <v>68</v>
      </c>
      <c r="C8" s="240" t="s">
        <v>69</v>
      </c>
      <c r="D8" s="241"/>
      <c r="E8" s="241"/>
      <c r="F8" s="240" t="s">
        <v>70</v>
      </c>
      <c r="G8" s="241"/>
      <c r="H8" s="241"/>
      <c r="I8" s="242" t="s">
        <v>71</v>
      </c>
      <c r="J8" s="243"/>
      <c r="K8" s="239"/>
      <c r="L8" s="239"/>
      <c r="M8" s="23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686.55000000000007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38.618437500000013</v>
      </c>
      <c r="G10" s="91">
        <f>SUM('Apropriação diária'!M6:M36)</f>
        <v>3847.8266875000018</v>
      </c>
      <c r="H10" s="91">
        <f>SUM('Apropriação diária'!T6:T36)</f>
        <v>4560.1569427171462</v>
      </c>
      <c r="I10" s="99">
        <f>SUM('Apropriação diária'!R6:R36)</f>
        <v>15.32357877074813</v>
      </c>
      <c r="J10" s="100">
        <f>SUM('Apropriação diária'!S6:S36)/1000</f>
        <v>4.1233571870542329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439.3</v>
      </c>
      <c r="C12" s="91">
        <f>SUM('Apropriação diária'!I70:I100)</f>
        <v>247.07</v>
      </c>
      <c r="D12" s="91">
        <f>SUM('Apropriação diária'!J70:J100)</f>
        <v>30234.904500000015</v>
      </c>
      <c r="E12" s="91">
        <f>SUM('Apropriação diária'!K70:K100)</f>
        <v>13966.120000000008</v>
      </c>
      <c r="F12" s="91">
        <f>SUM('Apropriação diária'!L70:L100)</f>
        <v>145.88420833333333</v>
      </c>
      <c r="G12" s="91">
        <f>SUM('Apropriação diária'!M70:M100)</f>
        <v>17852.410681249999</v>
      </c>
      <c r="H12" s="91">
        <f>SUM('Apropriação diária'!T70:T100)</f>
        <v>13243.538617631672</v>
      </c>
      <c r="I12" s="99">
        <f>SUM('Apropriação diária'!R70:R100)</f>
        <v>59.572492555316352</v>
      </c>
      <c r="J12" s="100">
        <f>SUM('Apropriação diária'!S70:S100)/1000</f>
        <v>18.682921681793221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367.6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9.9558333333333344</v>
      </c>
      <c r="G13" s="91">
        <f>SUM('Apropriação diária'!M102:M132)</f>
        <v>1180.1491666666666</v>
      </c>
      <c r="H13" s="91">
        <f>SUM('Apropriação diária'!T102:T132)</f>
        <v>1555.3603781128465</v>
      </c>
      <c r="I13" s="99">
        <f>SUM('Apropriação diária'!R102:R132)</f>
        <v>4.2225922791315549</v>
      </c>
      <c r="J13" s="100">
        <f>SUM('Apropriação diária'!S102:S132)/1000</f>
        <v>1.2557234957531607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412.44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173.91219999999998</v>
      </c>
      <c r="G14" s="91">
        <f>SUM('Apropriação diária'!M134:M164)</f>
        <v>17486.424900000002</v>
      </c>
      <c r="H14" s="91">
        <f>SUM('Apropriação diária'!T134:T164)</f>
        <v>11655.19823672593</v>
      </c>
      <c r="I14" s="99">
        <f>SUM('Apropriação diária'!R134:R164)</f>
        <v>63.81252580991427</v>
      </c>
      <c r="J14" s="100">
        <f>SUM('Apropriação diária'!S134:S164)/1000</f>
        <v>18.551358401650468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691.55000000000007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32.848625000000013</v>
      </c>
      <c r="G15" s="91">
        <f>SUM('Apropriação diária'!M166:M196)</f>
        <v>4556.450062500001</v>
      </c>
      <c r="H15" s="91">
        <f>SUM('Apropriação diária'!T166:T196)</f>
        <v>4461.9526833100799</v>
      </c>
      <c r="I15" s="99">
        <f>SUM('Apropriação diária'!R166:R196)</f>
        <v>13.154006446990271</v>
      </c>
      <c r="J15" s="100">
        <f>SUM('Apropriação diária'!S166:S196)/1000</f>
        <v>4.8839648776846962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700.4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106.22733333333333</v>
      </c>
      <c r="G16" s="91">
        <f>SUM('Apropriação diária'!M198:M228)</f>
        <v>2441.4776666666667</v>
      </c>
      <c r="H16" s="91">
        <f>SUM('Apropriação diária'!T198:T228)</f>
        <v>2514.5827859728502</v>
      </c>
      <c r="I16" s="99">
        <f>SUM('Apropriação diária'!R198:R228)</f>
        <v>42.775893460193274</v>
      </c>
      <c r="J16" s="100">
        <f>SUM('Apropriação diária'!S198:S228)/1000</f>
        <v>2.6209617426363043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667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640.8566666666668</v>
      </c>
      <c r="G17" s="91">
        <f>SUM('Apropriação diária'!M230:M260)</f>
        <v>27398.692500000008</v>
      </c>
      <c r="H17" s="91">
        <f>SUM('Apropriação diária'!T230:T260)</f>
        <v>17714.821578837666</v>
      </c>
      <c r="I17" s="99">
        <f>SUM('Apropriação diária'!R230:R260)</f>
        <v>270.18739320274921</v>
      </c>
      <c r="J17" s="100">
        <f>SUM('Apropriação diária'!S230:S260)/1000</f>
        <v>29.569261474510014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708.3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161.66947500000001</v>
      </c>
      <c r="G18" s="91">
        <f>SUM('Apropriação diária'!M262:M292)</f>
        <v>5067.001124999998</v>
      </c>
      <c r="H18" s="91">
        <f>SUM('Apropriação diária'!T262:T292)</f>
        <v>983.38321535912246</v>
      </c>
      <c r="I18" s="99">
        <f>SUM('Apropriação diária'!R262:R292)</f>
        <v>64.367742594934583</v>
      </c>
      <c r="J18" s="100">
        <f>SUM('Apropriação diária'!S262:S292)/1000</f>
        <v>5.4272010438202729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675.5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499.86999999999983</v>
      </c>
      <c r="G19" s="91">
        <f>SUM('Apropriação diária'!M294:M324)</f>
        <v>41644.012083333349</v>
      </c>
      <c r="H19" s="91">
        <f>SUM('Apropriação diária'!T294:T324)</f>
        <v>13760.735244938522</v>
      </c>
      <c r="I19" s="99">
        <f>SUM('Apropriação diária'!R294:R324)</f>
        <v>208.81126465683332</v>
      </c>
      <c r="J19" s="100">
        <f>SUM('Apropriação diária'!S294:S324)/1000</f>
        <v>45.028250095097633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706.3</v>
      </c>
      <c r="C20" s="91">
        <f>SUM('Apropriação diária'!I326:I356)</f>
        <v>277.7600000000001</v>
      </c>
      <c r="D20" s="91">
        <f>SUM('Apropriação diária'!J326:J356)</f>
        <v>5150.9599999999982</v>
      </c>
      <c r="E20" s="91">
        <f>SUM('Apropriação diária'!K326:K356)</f>
        <v>119.04000000000008</v>
      </c>
      <c r="F20" s="91">
        <f>SUM('Apropriação diária'!L326:L356)</f>
        <v>263.68533333333346</v>
      </c>
      <c r="G20" s="91">
        <f>SUM('Apropriação diária'!M326:M356)</f>
        <v>4889.9503333333314</v>
      </c>
      <c r="H20" s="91">
        <f>SUM('Apropriação diária'!T326:T356)</f>
        <v>171.2703163941629</v>
      </c>
      <c r="I20" s="99">
        <f>SUM('Apropriação diária'!R326:R356)</f>
        <v>104.85070322159315</v>
      </c>
      <c r="J20" s="100">
        <f>SUM('Apropriação diária'!S326:S356)/1000</f>
        <v>4.8899503333333314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2572.2559999999999</v>
      </c>
      <c r="D22" s="96">
        <f t="shared" si="0"/>
        <v>169646.24450000009</v>
      </c>
      <c r="E22" s="96">
        <f t="shared" si="0"/>
        <v>63923.922000000006</v>
      </c>
      <c r="F22" s="96">
        <f t="shared" si="0"/>
        <v>2073.5281125000001</v>
      </c>
      <c r="G22" s="96">
        <f t="shared" si="0"/>
        <v>126364.39520625002</v>
      </c>
      <c r="H22" s="96">
        <f t="shared" si="0"/>
        <v>70621</v>
      </c>
      <c r="I22" s="97">
        <f t="shared" si="0"/>
        <v>847.07819299840401</v>
      </c>
      <c r="J22" s="98">
        <f t="shared" si="0"/>
        <v>135.03295033333333</v>
      </c>
      <c r="K22" s="74"/>
      <c r="L22" s="93"/>
      <c r="M22" s="74"/>
    </row>
  </sheetData>
  <sheetProtection algorithmName="SHA-512" hashValue="IyLtJqpVLJ4MRf8NS17vymAE8xUXm2cdLdhUNaBZbZVb9MD42T12MYrowsiy/2uiTuPQdDOQBTgOawCknrbj+Q==" saltValue="dQJDCJerRlMzEAp+YBzcG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M20"/>
  <sheetViews>
    <sheetView view="pageBreakPreview" zoomScaleNormal="100" zoomScaleSheetLayoutView="100" workbookViewId="0">
      <selection activeCell="L29" sqref="L29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29" t="s">
        <v>67</v>
      </c>
      <c r="B1" s="230"/>
      <c r="C1" s="230"/>
      <c r="D1" s="230"/>
      <c r="E1" s="230"/>
      <c r="F1" s="230"/>
      <c r="G1" s="230"/>
      <c r="H1" s="230"/>
      <c r="I1" s="230"/>
      <c r="J1" s="231"/>
      <c r="K1" s="74"/>
      <c r="L1" s="74"/>
      <c r="M1" s="74"/>
    </row>
    <row r="2" spans="1:13" x14ac:dyDescent="0.25">
      <c r="A2" s="232"/>
      <c r="B2" s="233"/>
      <c r="C2" s="233"/>
      <c r="D2" s="233"/>
      <c r="E2" s="233"/>
      <c r="F2" s="233"/>
      <c r="G2" s="233"/>
      <c r="H2" s="233"/>
      <c r="I2" s="233"/>
      <c r="J2" s="234"/>
      <c r="K2" s="74"/>
      <c r="L2" s="74"/>
      <c r="M2" s="74"/>
    </row>
    <row r="3" spans="1:13" ht="15.75" customHeight="1" thickBot="1" x14ac:dyDescent="0.3">
      <c r="A3" s="235"/>
      <c r="B3" s="236"/>
      <c r="C3" s="236"/>
      <c r="D3" s="236"/>
      <c r="E3" s="236"/>
      <c r="F3" s="236"/>
      <c r="G3" s="236"/>
      <c r="H3" s="236"/>
      <c r="I3" s="236"/>
      <c r="J3" s="23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JUNHO</v>
      </c>
      <c r="E5" s="78" t="s">
        <v>66</v>
      </c>
      <c r="F5" s="238" t="s">
        <v>110</v>
      </c>
      <c r="G5" s="238"/>
      <c r="H5" s="79"/>
      <c r="I5" s="79"/>
      <c r="J5" s="80"/>
      <c r="K5" s="239"/>
      <c r="L5" s="239"/>
      <c r="M5" s="23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9"/>
      <c r="L6" s="239"/>
      <c r="M6" s="23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9"/>
      <c r="L7" s="239"/>
      <c r="M7" s="239"/>
    </row>
    <row r="8" spans="1:13" ht="46.9" customHeight="1" x14ac:dyDescent="0.25">
      <c r="A8" s="81" t="s">
        <v>41</v>
      </c>
      <c r="B8" s="82" t="s">
        <v>68</v>
      </c>
      <c r="C8" s="240" t="s">
        <v>69</v>
      </c>
      <c r="D8" s="241"/>
      <c r="E8" s="241"/>
      <c r="F8" s="240" t="s">
        <v>70</v>
      </c>
      <c r="G8" s="241"/>
      <c r="H8" s="241"/>
      <c r="I8" s="242" t="s">
        <v>71</v>
      </c>
      <c r="J8" s="243"/>
      <c r="K8" s="239"/>
      <c r="L8" s="239"/>
      <c r="M8" s="23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2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686.55000000000007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38.618437500000013</v>
      </c>
      <c r="G10" s="91">
        <f>SUM('Apropriação diária'!M6:M36)</f>
        <v>3847.8266875000018</v>
      </c>
      <c r="H10" s="91">
        <f>SUM('Apropriação diária'!T6:T36)</f>
        <v>4560.1569427171462</v>
      </c>
      <c r="I10" s="99">
        <f>SUM('Apropriação diária'!R6:R36)</f>
        <v>15.32357877074813</v>
      </c>
      <c r="J10" s="100">
        <f>SUM('Apropriação diária'!S6:S36)/1000</f>
        <v>4.1233571870542329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439.3</v>
      </c>
      <c r="C12" s="91">
        <f>SUM('Apropriação diária'!I70:I100)</f>
        <v>247.07</v>
      </c>
      <c r="D12" s="91">
        <f>SUM('Apropriação diária'!J70:J100)</f>
        <v>30234.904500000015</v>
      </c>
      <c r="E12" s="91">
        <f>SUM('Apropriação diária'!K70:K100)</f>
        <v>13966.120000000008</v>
      </c>
      <c r="F12" s="91">
        <f>SUM('Apropriação diária'!L70:L100)</f>
        <v>145.88420833333333</v>
      </c>
      <c r="G12" s="91">
        <f>SUM('Apropriação diária'!M70:M100)</f>
        <v>17852.410681249999</v>
      </c>
      <c r="H12" s="91">
        <f>SUM('Apropriação diária'!T70:T100)</f>
        <v>13243.538617631672</v>
      </c>
      <c r="I12" s="99">
        <f>SUM('Apropriação diária'!R70:R100)</f>
        <v>59.572492555316352</v>
      </c>
      <c r="J12" s="100">
        <f>SUM('Apropriação diária'!S70:S100)/1000</f>
        <v>18.682921681793221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367.6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9.9558333333333344</v>
      </c>
      <c r="G13" s="91">
        <f>SUM('Apropriação diária'!M102:M132)</f>
        <v>1180.1491666666666</v>
      </c>
      <c r="H13" s="91">
        <f>SUM('Apropriação diária'!T102:T132)</f>
        <v>1555.3603781128465</v>
      </c>
      <c r="I13" s="99">
        <f>SUM('Apropriação diária'!R102:R132)</f>
        <v>4.2225922791315549</v>
      </c>
      <c r="J13" s="100">
        <f>SUM('Apropriação diária'!S102:S132)/1000</f>
        <v>1.2557234957531607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412.44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173.91219999999998</v>
      </c>
      <c r="G14" s="91">
        <f>SUM('Apropriação diária'!M134:M164)</f>
        <v>17486.424900000002</v>
      </c>
      <c r="H14" s="91">
        <f>SUM('Apropriação diária'!T134:T164)</f>
        <v>11655.19823672593</v>
      </c>
      <c r="I14" s="99">
        <f>SUM('Apropriação diária'!R134:R164)</f>
        <v>63.81252580991427</v>
      </c>
      <c r="J14" s="100">
        <f>SUM('Apropriação diária'!S134:S164)/1000</f>
        <v>18.551358401650468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691.55000000000007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32.848625000000013</v>
      </c>
      <c r="G15" s="91">
        <f>SUM('Apropriação diária'!M166:M196)</f>
        <v>4556.450062500001</v>
      </c>
      <c r="H15" s="91">
        <f>SUM('Apropriação diária'!T166:T196)</f>
        <v>4461.9526833100799</v>
      </c>
      <c r="I15" s="99">
        <f>SUM('Apropriação diária'!R166:R196)</f>
        <v>13.154006446990271</v>
      </c>
      <c r="J15" s="100">
        <f>SUM('Apropriação diária'!S166:S196)/1000</f>
        <v>4.8839648776846962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700.4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106.22733333333333</v>
      </c>
      <c r="G16" s="91">
        <f>SUM('Apropriação diária'!M198:M228)</f>
        <v>2441.4776666666667</v>
      </c>
      <c r="H16" s="91">
        <f>SUM('Apropriação diária'!T198:T228)</f>
        <v>2514.5827859728502</v>
      </c>
      <c r="I16" s="99">
        <f>SUM('Apropriação diária'!R198:R228)</f>
        <v>42.775893460193274</v>
      </c>
      <c r="J16" s="100">
        <f>SUM('Apropriação diária'!S198:S228)/1000</f>
        <v>2.6209617426363043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667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640.8566666666668</v>
      </c>
      <c r="G17" s="91">
        <f>SUM('Apropriação diária'!M230:M260)</f>
        <v>27398.692500000008</v>
      </c>
      <c r="H17" s="91">
        <f>SUM('Apropriação diária'!T230:T260)</f>
        <v>17714.821578837666</v>
      </c>
      <c r="I17" s="99">
        <f>SUM('Apropriação diária'!R230:R260)</f>
        <v>270.18739320274921</v>
      </c>
      <c r="J17" s="100">
        <f>SUM('Apropriação diária'!S230:S260)/1000</f>
        <v>29.569261474510014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708.3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161.66947500000001</v>
      </c>
      <c r="G18" s="91">
        <f>SUM('Apropriação diária'!M262:M292)</f>
        <v>5067.001124999998</v>
      </c>
      <c r="H18" s="91">
        <f>SUM('Apropriação diária'!T262:T292)</f>
        <v>983.38321535912246</v>
      </c>
      <c r="I18" s="99">
        <f>SUM('Apropriação diária'!R262:R292)</f>
        <v>64.367742594934583</v>
      </c>
      <c r="J18" s="100">
        <f>SUM('Apropriação diária'!S262:S292)/1000</f>
        <v>5.4272010438202729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675.5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499.86999999999983</v>
      </c>
      <c r="G19" s="91">
        <f>SUM('Apropriação diária'!M294:M324)</f>
        <v>41644.012083333349</v>
      </c>
      <c r="H19" s="91">
        <f>SUM('Apropriação diária'!T294:T324)</f>
        <v>13760.735244938522</v>
      </c>
      <c r="I19" s="99">
        <f>SUM('Apropriação diária'!R294:R324)</f>
        <v>208.81126465683332</v>
      </c>
      <c r="J19" s="100">
        <f>SUM('Apropriação diária'!S294:S324)/1000</f>
        <v>45.028250095097633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2273.7259999999997</v>
      </c>
      <c r="D20" s="96">
        <f t="shared" si="0"/>
        <v>159501.49450000009</v>
      </c>
      <c r="E20" s="96">
        <f t="shared" si="0"/>
        <v>63650.812000000005</v>
      </c>
      <c r="F20" s="96">
        <f t="shared" si="0"/>
        <v>1809.8427791666666</v>
      </c>
      <c r="G20" s="96">
        <f t="shared" si="0"/>
        <v>121474.44487291669</v>
      </c>
      <c r="H20" s="96">
        <f t="shared" si="0"/>
        <v>70449.729683605838</v>
      </c>
      <c r="I20" s="97">
        <f t="shared" si="0"/>
        <v>742.2274897768109</v>
      </c>
      <c r="J20" s="98">
        <f t="shared" si="0"/>
        <v>130.143</v>
      </c>
      <c r="K20" s="74"/>
      <c r="L20" s="93"/>
      <c r="M20" s="74"/>
    </row>
  </sheetData>
  <sheetProtection algorithmName="SHA-512" hashValue="WUKmy4tgMzwRGHBucidXsKMG6D4iWvhxJQCeDltIcAw46IQP2SQXOTDu+Na/rzBkQnwD/SPo7tKRISYT9pwiRA==" saltValue="UjW7+jPBNQAH749f7d+m3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M12"/>
  <sheetViews>
    <sheetView view="pageBreakPreview" zoomScaleNormal="100" zoomScaleSheetLayoutView="100" workbookViewId="0">
      <selection activeCell="J20" sqref="J20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9" t="s">
        <v>67</v>
      </c>
      <c r="B1" s="230"/>
      <c r="C1" s="230"/>
      <c r="D1" s="230"/>
      <c r="E1" s="230"/>
      <c r="F1" s="230"/>
      <c r="G1" s="230"/>
      <c r="H1" s="230"/>
      <c r="I1" s="230"/>
      <c r="J1" s="231"/>
      <c r="K1" s="74"/>
      <c r="L1" s="74"/>
      <c r="M1" s="74"/>
    </row>
    <row r="2" spans="1:13" x14ac:dyDescent="0.25">
      <c r="A2" s="232"/>
      <c r="B2" s="233"/>
      <c r="C2" s="233"/>
      <c r="D2" s="233"/>
      <c r="E2" s="233"/>
      <c r="F2" s="233"/>
      <c r="G2" s="233"/>
      <c r="H2" s="233"/>
      <c r="I2" s="233"/>
      <c r="J2" s="234"/>
      <c r="K2" s="74"/>
      <c r="L2" s="74"/>
      <c r="M2" s="74"/>
    </row>
    <row r="3" spans="1:13" ht="15.75" customHeight="1" thickBot="1" x14ac:dyDescent="0.3">
      <c r="A3" s="235"/>
      <c r="B3" s="236"/>
      <c r="C3" s="236"/>
      <c r="D3" s="236"/>
      <c r="E3" s="236"/>
      <c r="F3" s="236"/>
      <c r="G3" s="236"/>
      <c r="H3" s="236"/>
      <c r="I3" s="236"/>
      <c r="J3" s="23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JUNHO</v>
      </c>
      <c r="E5" s="78" t="s">
        <v>66</v>
      </c>
      <c r="F5" s="238" t="s">
        <v>126</v>
      </c>
      <c r="G5" s="238"/>
      <c r="H5" s="79"/>
      <c r="I5" s="79"/>
      <c r="J5" s="80"/>
      <c r="K5" s="239"/>
      <c r="L5" s="239"/>
      <c r="M5" s="23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9"/>
      <c r="L6" s="239"/>
      <c r="M6" s="23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9"/>
      <c r="L7" s="239"/>
      <c r="M7" s="239"/>
    </row>
    <row r="8" spans="1:13" ht="46.9" customHeight="1" x14ac:dyDescent="0.25">
      <c r="A8" s="81" t="s">
        <v>41</v>
      </c>
      <c r="B8" s="82" t="s">
        <v>68</v>
      </c>
      <c r="C8" s="240" t="s">
        <v>69</v>
      </c>
      <c r="D8" s="241"/>
      <c r="E8" s="241"/>
      <c r="F8" s="240" t="s">
        <v>70</v>
      </c>
      <c r="G8" s="241"/>
      <c r="H8" s="241"/>
      <c r="I8" s="242" t="s">
        <v>71</v>
      </c>
      <c r="J8" s="243"/>
      <c r="K8" s="239"/>
      <c r="L8" s="239"/>
      <c r="M8" s="23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2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706.3</v>
      </c>
      <c r="C10" s="91">
        <f>SUM('Apropriação diária'!I326:I356)</f>
        <v>277.7600000000001</v>
      </c>
      <c r="D10" s="91">
        <f>SUM('Apropriação diária'!J326:J356)</f>
        <v>5150.9599999999982</v>
      </c>
      <c r="E10" s="91">
        <f>SUM('Apropriação diária'!K326:K356)</f>
        <v>119.04000000000008</v>
      </c>
      <c r="F10" s="91">
        <f>SUM('Apropriação diária'!L326:L356)</f>
        <v>263.68533333333346</v>
      </c>
      <c r="G10" s="91">
        <f>SUM('Apropriação diária'!M326:M356)</f>
        <v>4889.9503333333314</v>
      </c>
      <c r="H10" s="91">
        <f>SUM('Apropriação diária'!T326:T356)</f>
        <v>171.2703163941629</v>
      </c>
      <c r="I10" s="99">
        <f>SUM('Apropriação diária'!R326:R356)</f>
        <v>104.85070322159315</v>
      </c>
      <c r="J10" s="100">
        <f>SUM('Apropriação diária'!S326:S356)/1000</f>
        <v>4.8899503333333314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298.53000000000014</v>
      </c>
      <c r="D12" s="96">
        <f t="shared" si="0"/>
        <v>10144.75</v>
      </c>
      <c r="E12" s="96">
        <f t="shared" si="0"/>
        <v>273.11000000000007</v>
      </c>
      <c r="F12" s="96">
        <f t="shared" si="0"/>
        <v>263.68533333333346</v>
      </c>
      <c r="G12" s="96">
        <f t="shared" si="0"/>
        <v>4889.9503333333314</v>
      </c>
      <c r="H12" s="96">
        <f t="shared" si="0"/>
        <v>171.2703163941629</v>
      </c>
      <c r="I12" s="97">
        <f t="shared" si="0"/>
        <v>104.85070322159315</v>
      </c>
      <c r="J12" s="98">
        <f t="shared" si="0"/>
        <v>4.8899503333333314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IA41"/>
  <sheetViews>
    <sheetView showGridLines="0" zoomScale="96" zoomScaleNormal="96" workbookViewId="0">
      <pane xSplit="1" ySplit="3" topLeftCell="R8" activePane="bottomRight" state="frozen"/>
      <selection activeCell="N28" sqref="N28"/>
      <selection pane="topRight" activeCell="N28" sqref="N28"/>
      <selection pane="bottomLeft" activeCell="N28" sqref="N28"/>
      <selection pane="bottomRight" activeCell="Y39" sqref="Y39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83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5"/>
      <c r="AQ3" s="180" t="s">
        <v>75</v>
      </c>
      <c r="AR3" s="181"/>
      <c r="AS3" s="181"/>
      <c r="AT3" s="181" t="s">
        <v>75</v>
      </c>
      <c r="AU3" s="181"/>
      <c r="AV3" s="181"/>
      <c r="AW3" s="181" t="s">
        <v>74</v>
      </c>
      <c r="AX3" s="181"/>
      <c r="AY3" s="181"/>
      <c r="AZ3" s="181" t="s">
        <v>74</v>
      </c>
      <c r="BA3" s="181"/>
      <c r="BB3" s="182"/>
    </row>
    <row r="4" spans="1:235" ht="59.25" customHeight="1" x14ac:dyDescent="0.25">
      <c r="B4" s="4" t="s">
        <v>0</v>
      </c>
      <c r="C4" s="18" t="s">
        <v>135</v>
      </c>
      <c r="D4" s="19"/>
      <c r="E4" s="19"/>
      <c r="F4" s="18" t="s">
        <v>136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134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5">
        <v>44347</v>
      </c>
      <c r="C5" s="165">
        <v>2421</v>
      </c>
      <c r="D5" s="22">
        <f>(TRUNC((C5/10),0))</f>
        <v>242</v>
      </c>
      <c r="E5" s="22">
        <f>(ROUND((C5/10)-D5,1))</f>
        <v>0.1</v>
      </c>
      <c r="F5" s="165">
        <v>2421</v>
      </c>
      <c r="G5" s="22">
        <f>(TRUNC((F5/10),0))</f>
        <v>242</v>
      </c>
      <c r="H5" s="22">
        <f>(ROUND((F5/10)-G5,1))</f>
        <v>0.1</v>
      </c>
      <c r="I5" s="2">
        <f>VLOOKUP(D5,'Arqueação Tanque'!$B$4:$C$480,2,0)</f>
        <v>165.56100000000001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6.5000000000000002E-2</v>
      </c>
      <c r="K5" s="2">
        <f>VLOOKUP(G5,'Arqueação Tanque'!$B$4:$C$480,2,0)</f>
        <v>165.56100000000001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6.5000000000000002E-2</v>
      </c>
      <c r="M5" s="101">
        <f>I5+J5</f>
        <v>165.626</v>
      </c>
      <c r="N5" s="101">
        <f>K5+L5</f>
        <v>165.626</v>
      </c>
      <c r="O5" s="24">
        <f>M5-N5</f>
        <v>0</v>
      </c>
      <c r="P5" s="29">
        <f t="shared" ref="P5:P36" si="0">(M5-O5)*Y5</f>
        <v>165.68810134652418</v>
      </c>
      <c r="Q5" s="5">
        <v>68</v>
      </c>
      <c r="R5" s="165">
        <v>38.950000000000003</v>
      </c>
      <c r="S5" s="165">
        <v>21.74</v>
      </c>
      <c r="T5" s="165">
        <v>26.2</v>
      </c>
      <c r="U5" s="24">
        <f>IF(AC5&lt;&gt;"",ROUND(141.5/(AC5+131.5),3),"")</f>
        <v>0.88800000000000001</v>
      </c>
      <c r="V5" s="5">
        <f t="shared" ref="V5:V36" si="1">1.8*R5+32</f>
        <v>102.11000000000001</v>
      </c>
      <c r="W5" s="5">
        <f t="shared" ref="W5:W36" si="2">1.8*S5+32</f>
        <v>71.132000000000005</v>
      </c>
      <c r="X5" s="5">
        <f>((7*V5)+W5)/8</f>
        <v>98.237750000000005</v>
      </c>
      <c r="Y5" s="39">
        <f>1+2*'Arqueação Tanque'!$K$4*(X5-Q5)+('Arqueação Tanque'!$K$4^2)*(X5-Q5)</f>
        <v>1.0003749492623391</v>
      </c>
      <c r="Z5" s="132">
        <v>29.84</v>
      </c>
      <c r="AA5" s="5">
        <v>0.5</v>
      </c>
      <c r="AB5" s="27">
        <f>CEILING(Z5,AA5)</f>
        <v>30</v>
      </c>
      <c r="AC5" s="27">
        <f t="shared" ref="AC5:AC36" si="3">Z5+(60-(T5*1.8+32))/10</f>
        <v>27.923999999999999</v>
      </c>
      <c r="AD5" s="49">
        <f>ROUND(AC5,)</f>
        <v>28</v>
      </c>
      <c r="AE5" s="48">
        <f>IF(T5="","",IF(T5&lt;25,25,_xlfn.FLOOR.MATH(T5,0.5,)))</f>
        <v>26</v>
      </c>
      <c r="AF5" s="48">
        <f t="shared" ref="AF5:AF36" si="4">IF(R5="","",IF(R5&lt;25,25,_xlfn.FLOOR.MATH(R5,0.5)))</f>
        <v>38.5</v>
      </c>
      <c r="AG5" s="27">
        <f>IFERROR(IF(Z5&lt;57,ROUND(IF(AE5="","",DGET('Banco de dados'!$D$3:$F$6293,$AG$4,'Densidade corrigida'!C2:D3)),3),""),"")</f>
        <v>0.89200000000000002</v>
      </c>
      <c r="AH5" s="27">
        <f>IF(AD5&lt;55,DGET('Banco de dados'!$G$3:$I$9744,$AH$4,FCV!C2:D3),DGET('Banco de dados'!$L$3:$N$499,$AH$4,FCV!B2:C3))</f>
        <v>0.98629999999999995</v>
      </c>
      <c r="AI5" s="27">
        <f t="shared" ref="AI5:AI36" si="5">P5*AH5</f>
        <v>163.41817435807678</v>
      </c>
      <c r="AJ5" s="133">
        <v>2E-3</v>
      </c>
      <c r="AK5" s="34">
        <f>AI5*(AJ5)</f>
        <v>0.32683634871615358</v>
      </c>
      <c r="AL5" s="29">
        <f>AI5-AK5</f>
        <v>163.09133800936064</v>
      </c>
      <c r="AM5" s="29">
        <f>SUMIF(Carregamento!$C$5:$C$36,'Fechamento fiscal'!B5,Carregamento!$AT$5:$AT$36)</f>
        <v>0</v>
      </c>
      <c r="AN5" s="13"/>
      <c r="AO5" s="13"/>
      <c r="AP5" s="153"/>
      <c r="AQ5" s="154"/>
      <c r="AR5" s="155"/>
      <c r="AS5" s="154"/>
      <c r="AT5" s="154"/>
      <c r="AU5" s="155"/>
      <c r="AV5" s="154"/>
      <c r="AW5" s="136" t="s">
        <v>107</v>
      </c>
      <c r="AX5" s="137" t="s">
        <v>108</v>
      </c>
      <c r="AY5" s="136"/>
      <c r="AZ5" s="136" t="s">
        <v>107</v>
      </c>
      <c r="BA5" s="137" t="s">
        <v>108</v>
      </c>
      <c r="BB5" s="136"/>
      <c r="BD5" t="s">
        <v>5</v>
      </c>
    </row>
    <row r="6" spans="1:235" s="44" customFormat="1" x14ac:dyDescent="0.25">
      <c r="A6"/>
      <c r="B6" s="135">
        <v>44348</v>
      </c>
      <c r="C6" s="129">
        <v>1409</v>
      </c>
      <c r="D6" s="22">
        <f>(TRUNC((C6/10),0))</f>
        <v>140</v>
      </c>
      <c r="E6" s="22">
        <f>(ROUND((C6/10)-D6,1))</f>
        <v>0.9</v>
      </c>
      <c r="F6" s="129">
        <v>1409</v>
      </c>
      <c r="G6" s="22">
        <f t="shared" ref="G6:G36" si="6">(TRUNC((F6/10),0))</f>
        <v>140</v>
      </c>
      <c r="H6" s="22">
        <f t="shared" ref="H6:H36" si="7">(ROUND((F6/10)-G6,1))</f>
        <v>0.9</v>
      </c>
      <c r="I6" s="2">
        <f>VLOOKUP(D6,'Arqueação Tanque'!$B$4:$C$480,2,0)</f>
        <v>98.436999999999998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0.59199999999999997</v>
      </c>
      <c r="K6" s="2">
        <f>VLOOKUP(G6,'Arqueação Tanque'!$B$4:$C$480,2,0)</f>
        <v>98.436999999999998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0.59199999999999997</v>
      </c>
      <c r="M6" s="101">
        <f>I6+J6</f>
        <v>99.028999999999996</v>
      </c>
      <c r="N6" s="101">
        <f t="shared" ref="N6:N35" si="8">K6+L6</f>
        <v>99.028999999999996</v>
      </c>
      <c r="O6" s="24">
        <f t="shared" ref="O6:O35" si="9">M6-N6</f>
        <v>0</v>
      </c>
      <c r="P6" s="29">
        <f t="shared" si="0"/>
        <v>99.058800829934881</v>
      </c>
      <c r="Q6" s="5">
        <v>68</v>
      </c>
      <c r="R6" s="129">
        <v>35</v>
      </c>
      <c r="S6" s="129">
        <v>22.86</v>
      </c>
      <c r="T6" s="129">
        <v>25.9</v>
      </c>
      <c r="U6" s="24">
        <f t="shared" ref="U6:U35" si="10">IF(AC6&lt;&gt;"",ROUND(141.5/(AC6+131.5),3),"")</f>
        <v>0.88600000000000001</v>
      </c>
      <c r="V6" s="5">
        <f t="shared" si="1"/>
        <v>95</v>
      </c>
      <c r="W6" s="5">
        <f t="shared" si="2"/>
        <v>73.147999999999996</v>
      </c>
      <c r="X6" s="5">
        <f t="shared" ref="X6:X35" si="11">((7*V6)+W6)/8</f>
        <v>92.268500000000003</v>
      </c>
      <c r="Y6" s="39">
        <f>1+2*'Arqueação Tanque'!$K$4*(X6-Q6)+('Arqueação Tanque'!$K$4^2)*(X6-Q6)</f>
        <v>1.0003009303328811</v>
      </c>
      <c r="Z6" s="132">
        <v>30.02</v>
      </c>
      <c r="AA6" s="5">
        <v>0.5</v>
      </c>
      <c r="AB6" s="27">
        <f>CEILING(Z6,AA6)</f>
        <v>30.5</v>
      </c>
      <c r="AC6" s="27">
        <f t="shared" si="3"/>
        <v>28.157999999999998</v>
      </c>
      <c r="AD6" s="49">
        <f t="shared" ref="AD6:AD35" si="12">ROUND(AC6,)</f>
        <v>28</v>
      </c>
      <c r="AE6" s="48">
        <f>IF(T6="","",IF(T6&lt;25,25,_xlfn.FLOOR.MATH(T6,0.5)))</f>
        <v>25.5</v>
      </c>
      <c r="AF6" s="48">
        <f t="shared" si="4"/>
        <v>35</v>
      </c>
      <c r="AG6" s="27">
        <f>IFERROR(IF(Z6&lt;57,ROUND(IF(AE6="","",DGET('Banco de dados'!$D$3:$F$6293,$AG$4,'Densidade corrigida'!C4:D5)),3),""),"")</f>
        <v>0.89</v>
      </c>
      <c r="AH6" s="27">
        <f>IF(AD6&lt;55,DGET('Banco de dados'!$G$3:$I$9744,$AH$4,FCV!C4:D5),DGET('Banco de dados'!$L$3:$N$499,$AH$4,FCV!B4:C5))</f>
        <v>0.9889</v>
      </c>
      <c r="AI6" s="27">
        <f t="shared" si="5"/>
        <v>97.959248140722607</v>
      </c>
      <c r="AJ6" s="133">
        <v>1E-3</v>
      </c>
      <c r="AK6" s="34">
        <f t="shared" ref="AK6:AK35" si="13">AI6*(AJ6)</f>
        <v>9.7959248140722613E-2</v>
      </c>
      <c r="AL6" s="29">
        <f t="shared" ref="AL6:AL36" si="14">AI6-AK6</f>
        <v>97.861288892581882</v>
      </c>
      <c r="AM6" s="29">
        <f>SUMIF(Carregamento!$C$5:$C$36,'Fechamento fiscal'!B6,Carregamento!$AT$5:$AT$36)</f>
        <v>65.314821334786302</v>
      </c>
      <c r="AN6" s="13">
        <f>IFERROR((AL6-AL5)+AM6,"")</f>
        <v>8.4772218007543643E-2</v>
      </c>
      <c r="AO6" s="13">
        <f>IFERROR(AN6*6.28981,"")</f>
        <v>0.53320114454602807</v>
      </c>
      <c r="AP6" s="153"/>
      <c r="AQ6" s="154"/>
      <c r="AR6" s="155"/>
      <c r="AS6" s="154"/>
      <c r="AT6" s="154"/>
      <c r="AU6" s="155"/>
      <c r="AV6" s="154"/>
      <c r="AW6" s="136" t="s">
        <v>107</v>
      </c>
      <c r="AX6" s="137" t="s">
        <v>108</v>
      </c>
      <c r="AY6" s="136"/>
      <c r="AZ6" s="136" t="s">
        <v>107</v>
      </c>
      <c r="BA6" s="137" t="s">
        <v>108</v>
      </c>
      <c r="BB6" s="136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5">
        <v>44349</v>
      </c>
      <c r="C7" s="129">
        <v>1416</v>
      </c>
      <c r="D7" s="22">
        <f t="shared" ref="D7:D36" si="15">(TRUNC((C7/10),0))</f>
        <v>141</v>
      </c>
      <c r="E7" s="22">
        <f t="shared" ref="E7:E36" si="16">(ROUND((C7/10)-D7,1))</f>
        <v>0.6</v>
      </c>
      <c r="F7" s="129">
        <v>1416</v>
      </c>
      <c r="G7" s="22">
        <f t="shared" si="6"/>
        <v>141</v>
      </c>
      <c r="H7" s="22">
        <f t="shared" si="7"/>
        <v>0.6</v>
      </c>
      <c r="I7" s="2">
        <f>VLOOKUP(D7,'Arqueação Tanque'!$B$4:$C$480,2,0)</f>
        <v>99.094999999999999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0.39400000000000002</v>
      </c>
      <c r="K7" s="2">
        <f>VLOOKUP(G7,'Arqueação Tanque'!$B$4:$C$480,2,0)</f>
        <v>99.094999999999999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0.39400000000000002</v>
      </c>
      <c r="M7" s="101">
        <f t="shared" ref="M7:M35" si="17">I7+J7</f>
        <v>99.489000000000004</v>
      </c>
      <c r="N7" s="101">
        <f t="shared" si="8"/>
        <v>99.489000000000004</v>
      </c>
      <c r="O7" s="24">
        <f t="shared" si="9"/>
        <v>0</v>
      </c>
      <c r="P7" s="29">
        <f t="shared" si="0"/>
        <v>99.543221533801628</v>
      </c>
      <c r="Q7" s="5">
        <v>68</v>
      </c>
      <c r="R7" s="129">
        <v>47.9</v>
      </c>
      <c r="S7" s="129">
        <v>20.04</v>
      </c>
      <c r="T7" s="129">
        <v>25.9</v>
      </c>
      <c r="U7" s="24">
        <f t="shared" si="10"/>
        <v>0.88600000000000001</v>
      </c>
      <c r="V7" s="5">
        <f t="shared" si="1"/>
        <v>118.22</v>
      </c>
      <c r="W7" s="5">
        <f t="shared" si="2"/>
        <v>68.072000000000003</v>
      </c>
      <c r="X7" s="5">
        <f t="shared" si="11"/>
        <v>111.9515</v>
      </c>
      <c r="Y7" s="39">
        <f>1+2*'Arqueação Tanque'!$K$4*(X7-Q7)+('Arqueação Tanque'!$K$4^2)*(X7-Q7)</f>
        <v>1.0005450002894956</v>
      </c>
      <c r="Z7" s="132">
        <v>30.02</v>
      </c>
      <c r="AA7" s="5">
        <v>0.5</v>
      </c>
      <c r="AB7" s="27">
        <f t="shared" ref="AB7:AB35" si="18">CEILING(Z7,AA7)</f>
        <v>30.5</v>
      </c>
      <c r="AC7" s="27">
        <f t="shared" si="3"/>
        <v>28.157999999999998</v>
      </c>
      <c r="AD7" s="49">
        <f t="shared" si="12"/>
        <v>28</v>
      </c>
      <c r="AE7" s="48">
        <f t="shared" ref="AE7:AE36" si="19">IF(T7="","",IF(T7&lt;25,25,_xlfn.FLOOR.MATH(T7,0.5)))</f>
        <v>25.5</v>
      </c>
      <c r="AF7" s="48">
        <f t="shared" si="4"/>
        <v>47.5</v>
      </c>
      <c r="AG7" s="27">
        <f>IFERROR(IF(Z7&lt;57,ROUND(IF(T7="","",DGET('Banco de dados'!$D$3:$F$6293,$AG$4,'Densidade corrigida'!C6:D7)),3),""),"")</f>
        <v>0.89</v>
      </c>
      <c r="AH7" s="27">
        <f>IF(AD7&lt;55,DGET('Banco de dados'!$G$3:$I$9744,$AH$4,FCV!C6:D7),DGET('Banco de dados'!$L$3:$N$499,$AH$4,FCV!B6:C7))</f>
        <v>0.97970000000000002</v>
      </c>
      <c r="AI7" s="27">
        <f t="shared" si="5"/>
        <v>97.522494136665458</v>
      </c>
      <c r="AJ7" s="133">
        <v>1E-3</v>
      </c>
      <c r="AK7" s="34">
        <f t="shared" si="13"/>
        <v>9.7522494136665458E-2</v>
      </c>
      <c r="AL7" s="29">
        <f t="shared" si="14"/>
        <v>97.424971642528789</v>
      </c>
      <c r="AM7" s="29">
        <f>SUMIF(Carregamento!$C$5:$C$36,'Fechamento fiscal'!B7,Carregamento!$AT$5:$AT$36)</f>
        <v>52.770427394083399</v>
      </c>
      <c r="AN7" s="13">
        <f t="shared" ref="AN7:AN36" si="20">IFERROR((AL7-AL6)+AM7,"")</f>
        <v>52.334110144030305</v>
      </c>
      <c r="AO7" s="13">
        <f t="shared" ref="AO7:AO35" si="21">IFERROR(AN7*6.28981,"")</f>
        <v>329.17160932502327</v>
      </c>
      <c r="AP7" s="153"/>
      <c r="AQ7" s="154"/>
      <c r="AR7" s="155"/>
      <c r="AS7" s="154"/>
      <c r="AT7" s="154"/>
      <c r="AU7" s="155"/>
      <c r="AV7" s="154"/>
      <c r="AW7" s="136" t="s">
        <v>107</v>
      </c>
      <c r="AX7" s="137" t="s">
        <v>108</v>
      </c>
      <c r="AY7" s="136"/>
      <c r="AZ7" s="136" t="s">
        <v>107</v>
      </c>
      <c r="BA7" s="137" t="s">
        <v>108</v>
      </c>
      <c r="BB7" s="136"/>
    </row>
    <row r="8" spans="1:235" x14ac:dyDescent="0.25">
      <c r="B8" s="135">
        <v>44350</v>
      </c>
      <c r="C8" s="129">
        <v>2383</v>
      </c>
      <c r="D8" s="22">
        <f t="shared" si="15"/>
        <v>238</v>
      </c>
      <c r="E8" s="22">
        <f t="shared" si="16"/>
        <v>0.3</v>
      </c>
      <c r="F8" s="129">
        <v>2383</v>
      </c>
      <c r="G8" s="22">
        <f t="shared" si="6"/>
        <v>238</v>
      </c>
      <c r="H8" s="22">
        <f t="shared" si="7"/>
        <v>0.3</v>
      </c>
      <c r="I8" s="2">
        <f>VLOOKUP(D8,'Arqueação Tanque'!$B$4:$C$480,2,0)</f>
        <v>162.929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0.19700000000000001</v>
      </c>
      <c r="K8" s="2">
        <f>VLOOKUP(G8,'Arqueação Tanque'!$B$4:$C$480,2,0)</f>
        <v>162.929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0.19700000000000001</v>
      </c>
      <c r="M8" s="101">
        <f t="shared" si="17"/>
        <v>163.126</v>
      </c>
      <c r="N8" s="101">
        <f t="shared" si="8"/>
        <v>163.126</v>
      </c>
      <c r="O8" s="24">
        <f t="shared" si="9"/>
        <v>0</v>
      </c>
      <c r="P8" s="29">
        <f t="shared" si="0"/>
        <v>163.20627913730519</v>
      </c>
      <c r="Q8" s="5">
        <v>68</v>
      </c>
      <c r="R8" s="129">
        <v>45.12</v>
      </c>
      <c r="S8" s="129">
        <v>20.55</v>
      </c>
      <c r="T8" s="129">
        <v>23.8</v>
      </c>
      <c r="U8" s="24">
        <f t="shared" si="10"/>
        <v>0.88500000000000001</v>
      </c>
      <c r="V8" s="5">
        <f t="shared" si="1"/>
        <v>113.21599999999999</v>
      </c>
      <c r="W8" s="5">
        <f t="shared" si="2"/>
        <v>68.990000000000009</v>
      </c>
      <c r="X8" s="5">
        <f t="shared" si="11"/>
        <v>107.68774999999999</v>
      </c>
      <c r="Y8" s="39">
        <f>1+2*'Arqueação Tanque'!$K$4*(X8-Q8)+('Arqueação Tanque'!$K$4^2)*(X8-Q8)</f>
        <v>1.0004921296255973</v>
      </c>
      <c r="Z8" s="132">
        <v>29.84</v>
      </c>
      <c r="AA8" s="5">
        <v>0.5</v>
      </c>
      <c r="AB8" s="27">
        <f t="shared" si="18"/>
        <v>30</v>
      </c>
      <c r="AC8" s="27">
        <f t="shared" si="3"/>
        <v>28.355999999999998</v>
      </c>
      <c r="AD8" s="49">
        <f t="shared" si="12"/>
        <v>28</v>
      </c>
      <c r="AE8" s="48">
        <f t="shared" si="19"/>
        <v>25</v>
      </c>
      <c r="AF8" s="48">
        <f t="shared" si="4"/>
        <v>45</v>
      </c>
      <c r="AG8" s="27">
        <f>IFERROR(IF(Z8&lt;57,ROUND(IF(T8="","",DGET('Banco de dados'!$D$3:$F$6293,$AG$4,'Densidade corrigida'!C8:D9)),3),""),"")</f>
        <v>0.88800000000000001</v>
      </c>
      <c r="AH8" s="27">
        <f>IF(AD8&lt;55,DGET('Banco de dados'!$G$3:$I$9744,$AH$4,FCV!C8:D9),DGET('Banco de dados'!$L$3:$N$499,$AH$4,FCV!B8:C9))</f>
        <v>0.98140000000000005</v>
      </c>
      <c r="AI8" s="27">
        <f t="shared" si="5"/>
        <v>160.17064234535133</v>
      </c>
      <c r="AJ8" s="133">
        <v>2E-3</v>
      </c>
      <c r="AK8" s="34">
        <f t="shared" si="13"/>
        <v>0.32034128469070267</v>
      </c>
      <c r="AL8" s="29">
        <f t="shared" si="14"/>
        <v>159.85030106066063</v>
      </c>
      <c r="AM8" s="29">
        <f>SUMIF(Carregamento!$C$5:$C$36,'Fechamento fiscal'!B8,Carregamento!$AT$5:$AT$36)</f>
        <v>0</v>
      </c>
      <c r="AN8" s="13">
        <f t="shared" si="20"/>
        <v>62.425329418131838</v>
      </c>
      <c r="AO8" s="13">
        <f t="shared" si="21"/>
        <v>392.64346122745985</v>
      </c>
      <c r="AP8" s="153"/>
      <c r="AQ8" s="154"/>
      <c r="AR8" s="155"/>
      <c r="AS8" s="154"/>
      <c r="AT8" s="154"/>
      <c r="AU8" s="155"/>
      <c r="AV8" s="154"/>
      <c r="AW8" s="136" t="s">
        <v>107</v>
      </c>
      <c r="AX8" s="137" t="s">
        <v>108</v>
      </c>
      <c r="AY8" s="136"/>
      <c r="AZ8" s="136" t="s">
        <v>107</v>
      </c>
      <c r="BA8" s="137" t="s">
        <v>108</v>
      </c>
      <c r="BB8" s="136"/>
    </row>
    <row r="9" spans="1:235" x14ac:dyDescent="0.25">
      <c r="B9" s="135">
        <v>44351</v>
      </c>
      <c r="C9" s="129">
        <v>3346</v>
      </c>
      <c r="D9" s="22">
        <f t="shared" si="15"/>
        <v>334</v>
      </c>
      <c r="E9" s="22">
        <f t="shared" si="16"/>
        <v>0.6</v>
      </c>
      <c r="F9" s="129">
        <v>3346</v>
      </c>
      <c r="G9" s="22">
        <f t="shared" si="6"/>
        <v>334</v>
      </c>
      <c r="H9" s="22">
        <f t="shared" si="7"/>
        <v>0.6</v>
      </c>
      <c r="I9" s="2">
        <f>VLOOKUP(D9,'Arqueação Tanque'!$B$4:$C$480,2,0)</f>
        <v>226.107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0.39400000000000002</v>
      </c>
      <c r="K9" s="2">
        <f>VLOOKUP(G9,'Arqueação Tanque'!$B$4:$C$480,2,0)</f>
        <v>226.107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0.39400000000000002</v>
      </c>
      <c r="M9" s="101">
        <f t="shared" si="17"/>
        <v>226.501</v>
      </c>
      <c r="N9" s="101">
        <f t="shared" si="8"/>
        <v>226.501</v>
      </c>
      <c r="O9" s="24">
        <f t="shared" si="9"/>
        <v>0</v>
      </c>
      <c r="P9" s="29">
        <f t="shared" si="0"/>
        <v>226.59856517784925</v>
      </c>
      <c r="Q9" s="5">
        <v>68</v>
      </c>
      <c r="R9" s="165">
        <v>41.75</v>
      </c>
      <c r="S9" s="165">
        <v>22.14</v>
      </c>
      <c r="T9" s="165">
        <v>24.5</v>
      </c>
      <c r="U9" s="24">
        <f t="shared" si="10"/>
        <v>0.88600000000000001</v>
      </c>
      <c r="V9" s="5">
        <f t="shared" si="1"/>
        <v>107.15</v>
      </c>
      <c r="W9" s="5">
        <f t="shared" si="2"/>
        <v>71.852000000000004</v>
      </c>
      <c r="X9" s="5">
        <f t="shared" si="11"/>
        <v>102.73775000000001</v>
      </c>
      <c r="Y9" s="39">
        <f>1+2*'Arqueação Tanque'!$K$4*(X9-Q9)+('Arqueação Tanque'!$K$4^2)*(X9-Q9)</f>
        <v>1.0004307494353193</v>
      </c>
      <c r="Z9" s="132">
        <v>29.84</v>
      </c>
      <c r="AA9" s="5">
        <v>0.5</v>
      </c>
      <c r="AB9" s="27">
        <f t="shared" si="18"/>
        <v>30</v>
      </c>
      <c r="AC9" s="27">
        <f t="shared" si="3"/>
        <v>28.23</v>
      </c>
      <c r="AD9" s="49">
        <f t="shared" si="12"/>
        <v>28</v>
      </c>
      <c r="AE9" s="48">
        <f t="shared" si="19"/>
        <v>25</v>
      </c>
      <c r="AF9" s="48">
        <f t="shared" si="4"/>
        <v>41.5</v>
      </c>
      <c r="AG9" s="27">
        <f>IFERROR(IF(Z9&lt;57,ROUND(IF(T9="","",DGET('Banco de dados'!$D$3:$F$6293,$AG$4,'Densidade corrigida'!C10:D11)),3),""),"")</f>
        <v>0.88900000000000001</v>
      </c>
      <c r="AH9" s="27">
        <f>IF(AD9&lt;55,DGET('Banco de dados'!$G$3:$I$9744,$AH$4,FCV!C10:D11),DGET('Banco de dados'!$L$3:$N$499,$AH$4,FCV!B10:C11))</f>
        <v>0.98399999999999999</v>
      </c>
      <c r="AI9" s="27">
        <f t="shared" si="5"/>
        <v>222.97298813500367</v>
      </c>
      <c r="AJ9" s="133">
        <v>2E-3</v>
      </c>
      <c r="AK9" s="34">
        <f t="shared" si="13"/>
        <v>0.44594597627000737</v>
      </c>
      <c r="AL9" s="29">
        <f t="shared" si="14"/>
        <v>222.52704215873368</v>
      </c>
      <c r="AM9" s="29">
        <f>SUMIF(Carregamento!$C$5:$C$36,'Fechamento fiscal'!B9,Carregamento!$AT$5:$AT$36)</f>
        <v>0</v>
      </c>
      <c r="AN9" s="13">
        <f t="shared" si="20"/>
        <v>62.676741098073052</v>
      </c>
      <c r="AO9" s="13">
        <f t="shared" si="21"/>
        <v>394.22479292607085</v>
      </c>
      <c r="AP9" s="153"/>
      <c r="AQ9" s="154"/>
      <c r="AR9" s="155"/>
      <c r="AS9" s="154"/>
      <c r="AT9" s="154"/>
      <c r="AU9" s="155"/>
      <c r="AV9" s="154"/>
      <c r="AW9" s="136" t="s">
        <v>107</v>
      </c>
      <c r="AX9" s="137" t="s">
        <v>108</v>
      </c>
      <c r="AY9" s="136"/>
      <c r="AZ9" s="136" t="s">
        <v>107</v>
      </c>
      <c r="BA9" s="137" t="s">
        <v>108</v>
      </c>
      <c r="BB9" s="136"/>
    </row>
    <row r="10" spans="1:235" x14ac:dyDescent="0.25">
      <c r="B10" s="135">
        <v>44352</v>
      </c>
      <c r="C10" s="129">
        <v>4310</v>
      </c>
      <c r="D10" s="22">
        <f t="shared" si="15"/>
        <v>431</v>
      </c>
      <c r="E10" s="22">
        <f t="shared" si="16"/>
        <v>0</v>
      </c>
      <c r="F10" s="129">
        <v>4310</v>
      </c>
      <c r="G10" s="22">
        <f t="shared" si="6"/>
        <v>431</v>
      </c>
      <c r="H10" s="22">
        <f t="shared" si="7"/>
        <v>0</v>
      </c>
      <c r="I10" s="2">
        <f>VLOOKUP(D10,'Arqueação Tanque'!$B$4:$C$480,2,0)</f>
        <v>289.94900000000001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</v>
      </c>
      <c r="K10" s="2">
        <f>VLOOKUP(G10,'Arqueação Tanque'!$B$4:$C$480,2,0)</f>
        <v>289.94900000000001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</v>
      </c>
      <c r="M10" s="101">
        <f t="shared" si="17"/>
        <v>289.94900000000001</v>
      </c>
      <c r="N10" s="101">
        <f t="shared" si="8"/>
        <v>289.94900000000001</v>
      </c>
      <c r="O10" s="24">
        <f t="shared" si="9"/>
        <v>0</v>
      </c>
      <c r="P10" s="29">
        <f t="shared" si="0"/>
        <v>290.06191466719622</v>
      </c>
      <c r="Q10" s="5">
        <v>68</v>
      </c>
      <c r="R10" s="129">
        <v>39.28</v>
      </c>
      <c r="S10" s="129">
        <v>24.62</v>
      </c>
      <c r="T10" s="129">
        <v>25.1</v>
      </c>
      <c r="U10" s="24">
        <f t="shared" si="10"/>
        <v>0.88600000000000001</v>
      </c>
      <c r="V10" s="5">
        <f t="shared" si="1"/>
        <v>102.70400000000001</v>
      </c>
      <c r="W10" s="5">
        <f t="shared" si="2"/>
        <v>76.316000000000003</v>
      </c>
      <c r="X10" s="5">
        <f t="shared" si="11"/>
        <v>99.405500000000018</v>
      </c>
      <c r="Y10" s="39">
        <f>1+2*'Arqueação Tanque'!$K$4*(X10-Q10)+('Arqueação Tanque'!$K$4^2)*(X10-Q10)</f>
        <v>1.0003894294072275</v>
      </c>
      <c r="Z10" s="132">
        <v>29.84</v>
      </c>
      <c r="AA10" s="5">
        <v>0.5</v>
      </c>
      <c r="AB10" s="27">
        <f t="shared" si="18"/>
        <v>30</v>
      </c>
      <c r="AC10" s="27">
        <f t="shared" si="3"/>
        <v>28.122</v>
      </c>
      <c r="AD10" s="49">
        <f t="shared" si="12"/>
        <v>28</v>
      </c>
      <c r="AE10" s="48">
        <f t="shared" si="19"/>
        <v>25</v>
      </c>
      <c r="AF10" s="48">
        <f t="shared" si="4"/>
        <v>39</v>
      </c>
      <c r="AG10" s="27">
        <f>IFERROR(IF(Z10&lt;57,ROUND(IF(T10="","",DGET('Banco de dados'!$D$3:$F$6293,$AG$4,'Densidade corrigida'!C12:D13)),3),""),"")</f>
        <v>0.88900000000000001</v>
      </c>
      <c r="AH10" s="27">
        <f>IF(AD10&lt;55,DGET('Banco de dados'!$G$3:$I$9744,$AH$4,FCV!C12:D13),DGET('Banco de dados'!$L$3:$N$499,$AH$4,FCV!B12:C13))</f>
        <v>0.9859</v>
      </c>
      <c r="AI10" s="27">
        <f t="shared" si="5"/>
        <v>285.97204167038876</v>
      </c>
      <c r="AJ10" s="133">
        <v>2E-3</v>
      </c>
      <c r="AK10" s="34">
        <f t="shared" si="13"/>
        <v>0.57194408334077751</v>
      </c>
      <c r="AL10" s="29">
        <f t="shared" si="14"/>
        <v>285.40009758704798</v>
      </c>
      <c r="AM10" s="29">
        <f>SUMIF(Carregamento!$C$5:$C$36,'Fechamento fiscal'!B10,Carregamento!$AT$5:$AT$36)</f>
        <v>0</v>
      </c>
      <c r="AN10" s="13">
        <f t="shared" si="20"/>
        <v>62.873055428314302</v>
      </c>
      <c r="AO10" s="13">
        <f t="shared" si="21"/>
        <v>395.45957276356557</v>
      </c>
      <c r="AP10" s="153"/>
      <c r="AQ10" s="154"/>
      <c r="AR10" s="155"/>
      <c r="AS10" s="154"/>
      <c r="AT10" s="154"/>
      <c r="AU10" s="155"/>
      <c r="AV10" s="154"/>
      <c r="AW10" s="136" t="s">
        <v>107</v>
      </c>
      <c r="AX10" s="137" t="s">
        <v>108</v>
      </c>
      <c r="AY10" s="136"/>
      <c r="AZ10" s="136" t="s">
        <v>107</v>
      </c>
      <c r="BA10" s="137" t="s">
        <v>108</v>
      </c>
      <c r="BB10" s="136"/>
    </row>
    <row r="11" spans="1:235" x14ac:dyDescent="0.25">
      <c r="B11" s="135">
        <v>44353</v>
      </c>
      <c r="C11" s="129">
        <v>4310</v>
      </c>
      <c r="D11" s="22">
        <f t="shared" si="15"/>
        <v>431</v>
      </c>
      <c r="E11" s="22">
        <f t="shared" si="16"/>
        <v>0</v>
      </c>
      <c r="F11" s="129">
        <v>4310</v>
      </c>
      <c r="G11" s="22">
        <f t="shared" si="6"/>
        <v>431</v>
      </c>
      <c r="H11" s="22">
        <f t="shared" si="7"/>
        <v>0</v>
      </c>
      <c r="I11" s="2">
        <f>VLOOKUP(D11,'Arqueação Tanque'!$B$4:$C$480,2,0)</f>
        <v>289.94900000000001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</v>
      </c>
      <c r="K11" s="2">
        <f>VLOOKUP(G11,'Arqueação Tanque'!$B$4:$C$480,2,0)</f>
        <v>289.94900000000001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</v>
      </c>
      <c r="M11" s="101">
        <f t="shared" si="17"/>
        <v>289.94900000000001</v>
      </c>
      <c r="N11" s="101">
        <f t="shared" si="8"/>
        <v>289.94900000000001</v>
      </c>
      <c r="O11" s="24">
        <f t="shared" si="9"/>
        <v>0</v>
      </c>
      <c r="P11" s="29">
        <f t="shared" si="0"/>
        <v>290.05375225859888</v>
      </c>
      <c r="Q11" s="5">
        <v>68</v>
      </c>
      <c r="R11" s="129">
        <v>38.49</v>
      </c>
      <c r="S11" s="129">
        <v>20.059999999999999</v>
      </c>
      <c r="T11" s="129">
        <v>22.15</v>
      </c>
      <c r="U11" s="24">
        <f t="shared" si="10"/>
        <v>0.88400000000000001</v>
      </c>
      <c r="V11" s="5">
        <f t="shared" si="1"/>
        <v>101.28200000000001</v>
      </c>
      <c r="W11" s="5">
        <f t="shared" si="2"/>
        <v>68.108000000000004</v>
      </c>
      <c r="X11" s="5">
        <f t="shared" si="11"/>
        <v>97.135250000000013</v>
      </c>
      <c r="Y11" s="39">
        <f>1+2*'Arqueação Tanque'!$K$4*(X11-Q11)+('Arqueação Tanque'!$K$4^2)*(X11-Q11)</f>
        <v>1.0003612782199589</v>
      </c>
      <c r="Z11" s="132">
        <v>29.84</v>
      </c>
      <c r="AA11" s="5">
        <v>0.5</v>
      </c>
      <c r="AB11" s="27">
        <f t="shared" si="18"/>
        <v>30</v>
      </c>
      <c r="AC11" s="27">
        <f t="shared" si="3"/>
        <v>28.652999999999999</v>
      </c>
      <c r="AD11" s="49">
        <f t="shared" si="12"/>
        <v>29</v>
      </c>
      <c r="AE11" s="48">
        <f t="shared" si="19"/>
        <v>25</v>
      </c>
      <c r="AF11" s="48">
        <f t="shared" si="4"/>
        <v>38</v>
      </c>
      <c r="AG11" s="27">
        <f>IFERROR(IF(Z11&lt;57,ROUND(IF(T11="","",DGET('Banco de dados'!$D$3:$F$6293,$AG$4,'Densidade corrigida'!C14:D15)),3),""),"")</f>
        <v>0.88700000000000001</v>
      </c>
      <c r="AH11" s="27">
        <f>IF(AD11&lt;55,DGET('Banco de dados'!$G$3:$I$9744,$AH$4,FCV!C14:D15),DGET('Banco de dados'!$L$3:$N$499,$AH$4,FCV!B14:C15))</f>
        <v>0.98660000000000003</v>
      </c>
      <c r="AI11" s="27">
        <f t="shared" si="5"/>
        <v>286.16703197833368</v>
      </c>
      <c r="AJ11" s="133">
        <v>2E-3</v>
      </c>
      <c r="AK11" s="34">
        <f t="shared" si="13"/>
        <v>0.57233406395666742</v>
      </c>
      <c r="AL11" s="29">
        <f t="shared" si="14"/>
        <v>285.59469791437704</v>
      </c>
      <c r="AM11" s="29">
        <f>SUMIF(Carregamento!$C$5:$C$36,'Fechamento fiscal'!B11,Carregamento!$AT$5:$AT$36)</f>
        <v>0</v>
      </c>
      <c r="AN11" s="13">
        <f t="shared" si="20"/>
        <v>0.19460032732905574</v>
      </c>
      <c r="AO11" s="13">
        <f t="shared" si="21"/>
        <v>1.2239990848375681</v>
      </c>
      <c r="AP11" s="153"/>
      <c r="AQ11" s="154"/>
      <c r="AR11" s="155"/>
      <c r="AS11" s="154"/>
      <c r="AT11" s="154"/>
      <c r="AU11" s="155"/>
      <c r="AV11" s="154"/>
      <c r="AW11" s="136" t="s">
        <v>107</v>
      </c>
      <c r="AX11" s="137" t="s">
        <v>108</v>
      </c>
      <c r="AY11" s="136"/>
      <c r="AZ11" s="136" t="s">
        <v>107</v>
      </c>
      <c r="BA11" s="137" t="s">
        <v>108</v>
      </c>
      <c r="BB11" s="136"/>
    </row>
    <row r="12" spans="1:235" x14ac:dyDescent="0.25">
      <c r="B12" s="135">
        <v>44354</v>
      </c>
      <c r="C12" s="129">
        <v>4047</v>
      </c>
      <c r="D12" s="22">
        <f t="shared" si="15"/>
        <v>404</v>
      </c>
      <c r="E12" s="22">
        <f t="shared" si="16"/>
        <v>0.7</v>
      </c>
      <c r="F12" s="129">
        <v>4047</v>
      </c>
      <c r="G12" s="22">
        <f t="shared" si="6"/>
        <v>404</v>
      </c>
      <c r="H12" s="22">
        <f t="shared" si="7"/>
        <v>0.7</v>
      </c>
      <c r="I12" s="2">
        <f>VLOOKUP(D12,'Arqueação Tanque'!$B$4:$C$480,2,0)</f>
        <v>272.17899999999997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0.46</v>
      </c>
      <c r="K12" s="2">
        <f>VLOOKUP(G12,'Arqueação Tanque'!$B$4:$C$480,2,0)</f>
        <v>272.17899999999997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0.46</v>
      </c>
      <c r="M12" s="101">
        <f t="shared" si="17"/>
        <v>272.63899999999995</v>
      </c>
      <c r="N12" s="101">
        <f t="shared" si="8"/>
        <v>272.63899999999995</v>
      </c>
      <c r="O12" s="24">
        <f t="shared" si="9"/>
        <v>0</v>
      </c>
      <c r="P12" s="29">
        <f t="shared" si="0"/>
        <v>272.73034828003165</v>
      </c>
      <c r="Q12" s="5">
        <v>68</v>
      </c>
      <c r="R12" s="129">
        <v>37.33</v>
      </c>
      <c r="S12" s="129">
        <v>18.78</v>
      </c>
      <c r="T12" s="129">
        <v>22.4</v>
      </c>
      <c r="U12" s="24">
        <f t="shared" si="10"/>
        <v>0.88400000000000001</v>
      </c>
      <c r="V12" s="5">
        <f t="shared" si="1"/>
        <v>99.194000000000003</v>
      </c>
      <c r="W12" s="5">
        <f t="shared" si="2"/>
        <v>65.804000000000002</v>
      </c>
      <c r="X12" s="5">
        <f t="shared" si="11"/>
        <v>95.020250000000004</v>
      </c>
      <c r="Y12" s="39">
        <f>1+2*'Arqueação Tanque'!$K$4*(X12-Q12)+('Arqueação Tanque'!$K$4^2)*(X12-Q12)</f>
        <v>1.0003350521386585</v>
      </c>
      <c r="Z12" s="132">
        <v>29.84</v>
      </c>
      <c r="AA12" s="5">
        <v>0.5</v>
      </c>
      <c r="AB12" s="27">
        <f t="shared" si="18"/>
        <v>30</v>
      </c>
      <c r="AC12" s="27">
        <f t="shared" si="3"/>
        <v>28.608000000000001</v>
      </c>
      <c r="AD12" s="49">
        <f t="shared" si="12"/>
        <v>29</v>
      </c>
      <c r="AE12" s="48">
        <f t="shared" si="19"/>
        <v>25</v>
      </c>
      <c r="AF12" s="48">
        <f t="shared" si="4"/>
        <v>37</v>
      </c>
      <c r="AG12" s="27">
        <f>IFERROR(IF(Z12&lt;57,ROUND(IF(T12="","",DGET('Banco de dados'!$D$3:$F$6293,$AG$4,'Densidade corrigida'!C16:D17)),3),""),"")</f>
        <v>0.88700000000000001</v>
      </c>
      <c r="AH12" s="27">
        <f>IF(AD12&lt;55,DGET('Banco de dados'!$G$3:$I$9744,$AH$4,FCV!C16:D17),DGET('Banco de dados'!$L$3:$N$499,$AH$4,FCV!B16:C17))</f>
        <v>0.98729999999999996</v>
      </c>
      <c r="AI12" s="27">
        <f t="shared" si="5"/>
        <v>269.26667285687523</v>
      </c>
      <c r="AJ12" s="133">
        <v>5.0000000000000001E-3</v>
      </c>
      <c r="AK12" s="34">
        <f t="shared" si="13"/>
        <v>1.3463333642843762</v>
      </c>
      <c r="AL12" s="29">
        <f t="shared" si="14"/>
        <v>267.92033949259087</v>
      </c>
      <c r="AM12" s="29">
        <f>SUMIF(Carregamento!$C$5:$C$36,'Fechamento fiscal'!B12,Carregamento!$AT$5:$AT$36)</f>
        <v>0</v>
      </c>
      <c r="AN12" s="13">
        <f t="shared" si="20"/>
        <v>-17.674358421786167</v>
      </c>
      <c r="AO12" s="13">
        <f t="shared" si="21"/>
        <v>-111.16835634493485</v>
      </c>
      <c r="AP12" s="153"/>
      <c r="AQ12" s="154"/>
      <c r="AR12" s="155"/>
      <c r="AS12" s="154"/>
      <c r="AT12" s="154"/>
      <c r="AU12" s="155"/>
      <c r="AV12" s="154"/>
      <c r="AW12" s="136" t="s">
        <v>107</v>
      </c>
      <c r="AX12" s="137" t="s">
        <v>108</v>
      </c>
      <c r="AY12" s="136"/>
      <c r="AZ12" s="136" t="s">
        <v>107</v>
      </c>
      <c r="BA12" s="137" t="s">
        <v>108</v>
      </c>
      <c r="BB12" s="136"/>
    </row>
    <row r="13" spans="1:235" x14ac:dyDescent="0.25">
      <c r="B13" s="135">
        <v>44355</v>
      </c>
      <c r="C13" s="129">
        <v>4039</v>
      </c>
      <c r="D13" s="22">
        <f t="shared" si="15"/>
        <v>403</v>
      </c>
      <c r="E13" s="22">
        <f t="shared" si="16"/>
        <v>0.9</v>
      </c>
      <c r="F13" s="129">
        <v>4039</v>
      </c>
      <c r="G13" s="22">
        <f t="shared" si="6"/>
        <v>403</v>
      </c>
      <c r="H13" s="22">
        <f t="shared" si="7"/>
        <v>0.9</v>
      </c>
      <c r="I13" s="2">
        <f>VLOOKUP(D13,'Arqueação Tanque'!$B$4:$C$480,2,0)</f>
        <v>271.52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0.59199999999999997</v>
      </c>
      <c r="K13" s="2">
        <f>VLOOKUP(G13,'Arqueação Tanque'!$B$4:$C$480,2,0)</f>
        <v>271.52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0.59199999999999997</v>
      </c>
      <c r="M13" s="101">
        <f t="shared" si="17"/>
        <v>272.11199999999997</v>
      </c>
      <c r="N13" s="101">
        <f t="shared" si="8"/>
        <v>272.11199999999997</v>
      </c>
      <c r="O13" s="24">
        <f t="shared" si="9"/>
        <v>0</v>
      </c>
      <c r="P13" s="29">
        <f t="shared" si="0"/>
        <v>272.1953368168729</v>
      </c>
      <c r="Q13" s="5">
        <v>68</v>
      </c>
      <c r="R13" s="129">
        <v>35.76</v>
      </c>
      <c r="S13" s="129">
        <v>19.45</v>
      </c>
      <c r="T13" s="129">
        <v>22.5</v>
      </c>
      <c r="U13" s="24">
        <f t="shared" si="10"/>
        <v>0.88400000000000001</v>
      </c>
      <c r="V13" s="5">
        <f t="shared" si="1"/>
        <v>96.367999999999995</v>
      </c>
      <c r="W13" s="5">
        <f t="shared" si="2"/>
        <v>67.009999999999991</v>
      </c>
      <c r="X13" s="5">
        <f t="shared" si="11"/>
        <v>92.698250000000002</v>
      </c>
      <c r="Y13" s="39">
        <f>1+2*'Arqueação Tanque'!$K$4*(X13-Q13)+('Arqueação Tanque'!$K$4^2)*(X13-Q13)</f>
        <v>1.0003062592494008</v>
      </c>
      <c r="Z13" s="132">
        <v>29.84</v>
      </c>
      <c r="AA13" s="5">
        <v>0.5</v>
      </c>
      <c r="AB13" s="27">
        <f t="shared" si="18"/>
        <v>30</v>
      </c>
      <c r="AC13" s="27">
        <f t="shared" si="3"/>
        <v>28.59</v>
      </c>
      <c r="AD13" s="49">
        <f t="shared" si="12"/>
        <v>29</v>
      </c>
      <c r="AE13" s="48">
        <f t="shared" si="19"/>
        <v>25</v>
      </c>
      <c r="AF13" s="48">
        <f t="shared" si="4"/>
        <v>35.5</v>
      </c>
      <c r="AG13" s="27">
        <f>IFERROR(IF(Z13&lt;57,ROUND(IF(T13="","",DGET('Banco de dados'!$D$3:$F$6293,$AG$4,'Densidade corrigida'!C18:D19)),3),""),"")</f>
        <v>0.88700000000000001</v>
      </c>
      <c r="AH13" s="27">
        <f>IF(AD13&lt;55,DGET('Banco de dados'!$G$3:$I$9744,$AH$4,FCV!C18:D19),DGET('Banco de dados'!$L$3:$N$499,$AH$4,FCV!B18:C19))</f>
        <v>0.98839999999999995</v>
      </c>
      <c r="AI13" s="27">
        <f t="shared" si="5"/>
        <v>269.03787090979716</v>
      </c>
      <c r="AJ13" s="133">
        <v>6.0000000000000001E-3</v>
      </c>
      <c r="AK13" s="34">
        <f t="shared" si="13"/>
        <v>1.6142272254587831</v>
      </c>
      <c r="AL13" s="29">
        <f t="shared" si="14"/>
        <v>267.4236436843384</v>
      </c>
      <c r="AM13" s="29">
        <f>SUMIF(Carregamento!$C$5:$C$36,'Fechamento fiscal'!B13,Carregamento!$AT$5:$AT$36)</f>
        <v>0</v>
      </c>
      <c r="AN13" s="13">
        <f t="shared" si="20"/>
        <v>-0.4966958082524684</v>
      </c>
      <c r="AO13" s="13">
        <f t="shared" si="21"/>
        <v>-3.1241222617044584</v>
      </c>
      <c r="AP13" s="153"/>
      <c r="AQ13" s="154"/>
      <c r="AR13" s="155"/>
      <c r="AS13" s="154"/>
      <c r="AT13" s="154"/>
      <c r="AU13" s="155"/>
      <c r="AV13" s="154"/>
      <c r="AW13" s="136" t="s">
        <v>107</v>
      </c>
      <c r="AX13" s="137" t="s">
        <v>108</v>
      </c>
      <c r="AY13" s="136"/>
      <c r="AZ13" s="136" t="s">
        <v>107</v>
      </c>
      <c r="BA13" s="137" t="s">
        <v>108</v>
      </c>
      <c r="BB13" s="136"/>
    </row>
    <row r="14" spans="1:235" x14ac:dyDescent="0.25">
      <c r="B14" s="135">
        <v>44356</v>
      </c>
      <c r="C14" s="129">
        <v>3040</v>
      </c>
      <c r="D14" s="22">
        <f t="shared" si="15"/>
        <v>304</v>
      </c>
      <c r="E14" s="22">
        <f t="shared" si="16"/>
        <v>0</v>
      </c>
      <c r="F14" s="129">
        <v>3040</v>
      </c>
      <c r="G14" s="22">
        <f t="shared" si="6"/>
        <v>304</v>
      </c>
      <c r="H14" s="22">
        <f t="shared" si="7"/>
        <v>0</v>
      </c>
      <c r="I14" s="2">
        <f>VLOOKUP(D14,'Arqueação Tanque'!$B$4:$C$480,2,0)</f>
        <v>206.363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</v>
      </c>
      <c r="K14" s="2">
        <f>VLOOKUP(G14,'Arqueação Tanque'!$B$4:$C$480,2,0)</f>
        <v>206.363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</v>
      </c>
      <c r="M14" s="101">
        <f t="shared" si="17"/>
        <v>206.363</v>
      </c>
      <c r="N14" s="101">
        <f t="shared" si="8"/>
        <v>206.363</v>
      </c>
      <c r="O14" s="24">
        <f t="shared" si="9"/>
        <v>0</v>
      </c>
      <c r="P14" s="29">
        <f t="shared" si="0"/>
        <v>206.42506634101105</v>
      </c>
      <c r="Q14" s="5">
        <v>68</v>
      </c>
      <c r="R14" s="129">
        <v>35.15</v>
      </c>
      <c r="S14" s="129">
        <v>21.75</v>
      </c>
      <c r="T14" s="129">
        <v>24.3</v>
      </c>
      <c r="U14" s="24">
        <f t="shared" si="10"/>
        <v>0.88600000000000001</v>
      </c>
      <c r="V14" s="5">
        <f t="shared" si="1"/>
        <v>95.27</v>
      </c>
      <c r="W14" s="5">
        <f t="shared" si="2"/>
        <v>71.150000000000006</v>
      </c>
      <c r="X14" s="5">
        <f t="shared" si="11"/>
        <v>92.254999999999995</v>
      </c>
      <c r="Y14" s="39">
        <f>1+2*'Arqueação Tanque'!$K$4*(X14-Q14)+('Arqueação Tanque'!$K$4^2)*(X14-Q14)</f>
        <v>1.0003007629323621</v>
      </c>
      <c r="Z14" s="132">
        <v>29.84</v>
      </c>
      <c r="AA14" s="5">
        <v>0.5</v>
      </c>
      <c r="AB14" s="27">
        <f t="shared" si="18"/>
        <v>30</v>
      </c>
      <c r="AC14" s="27">
        <f t="shared" si="3"/>
        <v>28.265999999999998</v>
      </c>
      <c r="AD14" s="49">
        <f t="shared" si="12"/>
        <v>28</v>
      </c>
      <c r="AE14" s="48">
        <f t="shared" si="19"/>
        <v>25</v>
      </c>
      <c r="AF14" s="48">
        <f t="shared" si="4"/>
        <v>35</v>
      </c>
      <c r="AG14" s="27">
        <f>IFERROR(IF(Z14&lt;57,ROUND(IF(T14="","",DGET('Banco de dados'!$D$3:$F$6293,$AG$4,'Densidade corrigida'!C20:D21)),3),""),"")</f>
        <v>0.88900000000000001</v>
      </c>
      <c r="AH14" s="27">
        <f>IF(AD14&lt;55,DGET('Banco de dados'!$G$3:$I$9744,$AH$4,FCV!C20:D21),DGET('Banco de dados'!$L$3:$N$499,$AH$4,FCV!B20:C21))</f>
        <v>0.98880000000000001</v>
      </c>
      <c r="AI14" s="27">
        <f t="shared" si="5"/>
        <v>204.11310559799173</v>
      </c>
      <c r="AJ14" s="133">
        <v>6.0000000000000001E-3</v>
      </c>
      <c r="AK14" s="34">
        <f t="shared" si="13"/>
        <v>1.2246786335879505</v>
      </c>
      <c r="AL14" s="29">
        <f t="shared" si="14"/>
        <v>202.88842696440378</v>
      </c>
      <c r="AM14" s="29">
        <f>SUMIF(Carregamento!$C$5:$C$36,'Fechamento fiscal'!B14,Carregamento!$AT$5:$AT$36)</f>
        <v>91.391562626923672</v>
      </c>
      <c r="AN14" s="13">
        <f t="shared" si="20"/>
        <v>26.856345906989048</v>
      </c>
      <c r="AO14" s="13">
        <f t="shared" si="21"/>
        <v>168.92131304923879</v>
      </c>
      <c r="AP14" s="153"/>
      <c r="AQ14" s="154"/>
      <c r="AR14" s="155"/>
      <c r="AS14" s="154"/>
      <c r="AT14" s="154"/>
      <c r="AU14" s="155"/>
      <c r="AV14" s="154"/>
      <c r="AW14" s="136" t="s">
        <v>107</v>
      </c>
      <c r="AX14" s="137" t="s">
        <v>108</v>
      </c>
      <c r="AY14" s="136"/>
      <c r="AZ14" s="136" t="s">
        <v>107</v>
      </c>
      <c r="BA14" s="137" t="s">
        <v>108</v>
      </c>
      <c r="BB14" s="136"/>
    </row>
    <row r="15" spans="1:235" x14ac:dyDescent="0.25">
      <c r="B15" s="135">
        <v>44357</v>
      </c>
      <c r="C15" s="129">
        <v>4005</v>
      </c>
      <c r="D15" s="22">
        <f t="shared" si="15"/>
        <v>400</v>
      </c>
      <c r="E15" s="22">
        <f t="shared" si="16"/>
        <v>0.5</v>
      </c>
      <c r="F15" s="129">
        <v>4005</v>
      </c>
      <c r="G15" s="22">
        <f t="shared" si="6"/>
        <v>400</v>
      </c>
      <c r="H15" s="22">
        <f t="shared" si="7"/>
        <v>0.5</v>
      </c>
      <c r="I15" s="2">
        <f>VLOOKUP(D15,'Arqueação Tanque'!$B$4:$C$480,2,0)</f>
        <v>269.54599999999999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0.32900000000000001</v>
      </c>
      <c r="K15" s="2">
        <f>VLOOKUP(G15,'Arqueação Tanque'!$B$4:$C$480,2,0)</f>
        <v>269.54599999999999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0.32900000000000001</v>
      </c>
      <c r="M15" s="101">
        <f t="shared" si="17"/>
        <v>269.875</v>
      </c>
      <c r="N15" s="101">
        <f t="shared" si="8"/>
        <v>269.875</v>
      </c>
      <c r="O15" s="24">
        <f t="shared" si="9"/>
        <v>0</v>
      </c>
      <c r="P15" s="29">
        <f t="shared" si="0"/>
        <v>269.95924044699456</v>
      </c>
      <c r="Q15" s="5">
        <v>68</v>
      </c>
      <c r="R15" s="129">
        <v>35.92</v>
      </c>
      <c r="S15" s="129">
        <v>20.440000000000001</v>
      </c>
      <c r="T15" s="129">
        <v>24.4</v>
      </c>
      <c r="U15" s="24">
        <f t="shared" si="10"/>
        <v>0.89100000000000001</v>
      </c>
      <c r="V15" s="5">
        <f t="shared" si="1"/>
        <v>96.656000000000006</v>
      </c>
      <c r="W15" s="5">
        <f t="shared" si="2"/>
        <v>68.792000000000002</v>
      </c>
      <c r="X15" s="5">
        <f t="shared" si="11"/>
        <v>93.173000000000016</v>
      </c>
      <c r="Y15" s="39">
        <f>1+2*'Arqueação Tanque'!$K$4*(X15-Q15)+('Arqueação Tanque'!$K$4^2)*(X15-Q15)</f>
        <v>1.0003121461676501</v>
      </c>
      <c r="Z15" s="132">
        <v>28.93</v>
      </c>
      <c r="AA15" s="5">
        <v>0.5</v>
      </c>
      <c r="AB15" s="27">
        <f t="shared" si="18"/>
        <v>29</v>
      </c>
      <c r="AC15" s="27">
        <f t="shared" si="3"/>
        <v>27.338000000000001</v>
      </c>
      <c r="AD15" s="49">
        <f t="shared" si="12"/>
        <v>27</v>
      </c>
      <c r="AE15" s="48">
        <f t="shared" si="19"/>
        <v>25</v>
      </c>
      <c r="AF15" s="48">
        <f t="shared" si="4"/>
        <v>35.5</v>
      </c>
      <c r="AG15" s="27">
        <f>IFERROR(IF(Z15&lt;57,ROUND(IF(T15="","",DGET('Banco de dados'!$D$3:$F$6293,$AG$4,'Densidade corrigida'!C22:D23)),3),""),"")</f>
        <v>0.89400000000000002</v>
      </c>
      <c r="AH15" s="27">
        <f>IF(AD15&lt;55,DGET('Banco de dados'!$G$3:$I$9744,$AH$4,FCV!C22:D23),DGET('Banco de dados'!$L$3:$N$499,$AH$4,FCV!B22:C23))</f>
        <v>0.98860000000000003</v>
      </c>
      <c r="AI15" s="27">
        <f t="shared" si="5"/>
        <v>266.88170510589885</v>
      </c>
      <c r="AJ15" s="133">
        <v>5.0000000000000001E-3</v>
      </c>
      <c r="AK15" s="34">
        <f t="shared" si="13"/>
        <v>1.3344085255294942</v>
      </c>
      <c r="AL15" s="29">
        <f t="shared" si="14"/>
        <v>265.54729658036933</v>
      </c>
      <c r="AM15" s="29">
        <f>SUMIF(Carregamento!$C$5:$C$36,'Fechamento fiscal'!B15,Carregamento!$AT$5:$AT$36)</f>
        <v>0</v>
      </c>
      <c r="AN15" s="13">
        <f t="shared" si="20"/>
        <v>62.658869615965557</v>
      </c>
      <c r="AO15" s="13">
        <f t="shared" si="21"/>
        <v>394.11238469919635</v>
      </c>
      <c r="AP15" s="153"/>
      <c r="AQ15" s="154"/>
      <c r="AR15" s="155"/>
      <c r="AS15" s="154"/>
      <c r="AT15" s="154"/>
      <c r="AU15" s="155"/>
      <c r="AV15" s="154"/>
      <c r="AW15" s="136" t="s">
        <v>107</v>
      </c>
      <c r="AX15" s="137" t="s">
        <v>108</v>
      </c>
      <c r="AY15" s="136"/>
      <c r="AZ15" s="136" t="s">
        <v>107</v>
      </c>
      <c r="BA15" s="137" t="s">
        <v>108</v>
      </c>
      <c r="BB15" s="136"/>
    </row>
    <row r="16" spans="1:235" x14ac:dyDescent="0.25">
      <c r="B16" s="135">
        <v>44358</v>
      </c>
      <c r="C16" s="129">
        <v>3997</v>
      </c>
      <c r="D16" s="22">
        <f t="shared" si="15"/>
        <v>399</v>
      </c>
      <c r="E16" s="22">
        <f t="shared" si="16"/>
        <v>0.7</v>
      </c>
      <c r="F16" s="129">
        <v>3997</v>
      </c>
      <c r="G16" s="22">
        <f t="shared" si="6"/>
        <v>399</v>
      </c>
      <c r="H16" s="22">
        <f t="shared" si="7"/>
        <v>0.7</v>
      </c>
      <c r="I16" s="2">
        <f>VLOOKUP(D16,'Arqueação Tanque'!$B$4:$C$480,2,0)</f>
        <v>268.88799999999998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0.46</v>
      </c>
      <c r="K16" s="2">
        <f>VLOOKUP(G16,'Arqueação Tanque'!$B$4:$C$480,2,0)</f>
        <v>268.88799999999998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0.46</v>
      </c>
      <c r="M16" s="101">
        <f t="shared" si="17"/>
        <v>269.34799999999996</v>
      </c>
      <c r="N16" s="101">
        <f t="shared" si="8"/>
        <v>269.34799999999996</v>
      </c>
      <c r="O16" s="24">
        <f t="shared" si="9"/>
        <v>0</v>
      </c>
      <c r="P16" s="29">
        <f t="shared" si="0"/>
        <v>269.42039789626551</v>
      </c>
      <c r="Q16" s="5">
        <v>68</v>
      </c>
      <c r="R16" s="129">
        <v>33.49</v>
      </c>
      <c r="S16" s="129">
        <v>21.91</v>
      </c>
      <c r="T16" s="129">
        <v>25.3</v>
      </c>
      <c r="U16" s="24">
        <f t="shared" si="10"/>
        <v>0.89200000000000002</v>
      </c>
      <c r="V16" s="5">
        <f t="shared" si="1"/>
        <v>92.282000000000011</v>
      </c>
      <c r="W16" s="5">
        <f t="shared" si="2"/>
        <v>71.438000000000002</v>
      </c>
      <c r="X16" s="5">
        <f t="shared" si="11"/>
        <v>89.676500000000004</v>
      </c>
      <c r="Y16" s="39">
        <f>1+2*'Arqueação Tanque'!$K$4*(X16-Q16)+('Arqueação Tanque'!$K$4^2)*(X16-Q16)</f>
        <v>1.0002687894332445</v>
      </c>
      <c r="Z16" s="132">
        <v>28.93</v>
      </c>
      <c r="AA16" s="5">
        <v>0.5</v>
      </c>
      <c r="AB16" s="27">
        <f t="shared" si="18"/>
        <v>29</v>
      </c>
      <c r="AC16" s="27">
        <f t="shared" si="3"/>
        <v>27.176000000000002</v>
      </c>
      <c r="AD16" s="49">
        <f t="shared" si="12"/>
        <v>27</v>
      </c>
      <c r="AE16" s="48">
        <f t="shared" si="19"/>
        <v>25</v>
      </c>
      <c r="AF16" s="48">
        <f t="shared" si="4"/>
        <v>33</v>
      </c>
      <c r="AG16" s="27">
        <f>IFERROR(IF(Z16&lt;57,ROUND(IF(T16="","",DGET('Banco de dados'!$D$3:$F$6293,$AG$4,'Densidade corrigida'!C24:D25)),3),""),"")</f>
        <v>0.89500000000000002</v>
      </c>
      <c r="AH16" s="27">
        <f>IF(AD16&lt;55,DGET('Banco de dados'!$G$3:$I$9744,$AH$4,FCV!C24:D25),DGET('Banco de dados'!$L$3:$N$499,$AH$4,FCV!B24:C25))</f>
        <v>0.99039999999999995</v>
      </c>
      <c r="AI16" s="27">
        <f t="shared" si="5"/>
        <v>266.83396207646138</v>
      </c>
      <c r="AJ16" s="133">
        <v>5.0000000000000001E-3</v>
      </c>
      <c r="AK16" s="34">
        <f t="shared" si="13"/>
        <v>1.334169810382307</v>
      </c>
      <c r="AL16" s="29">
        <f t="shared" si="14"/>
        <v>265.49979226607906</v>
      </c>
      <c r="AM16" s="29">
        <f>SUMIF(Carregamento!$C$5:$C$36,'Fechamento fiscal'!B16,Carregamento!$AT$5:$AT$36)</f>
        <v>0</v>
      </c>
      <c r="AN16" s="13">
        <f t="shared" si="20"/>
        <v>-4.7504314290279126E-2</v>
      </c>
      <c r="AO16" s="13">
        <f t="shared" si="21"/>
        <v>-0.29879311106614054</v>
      </c>
      <c r="AP16" s="153"/>
      <c r="AQ16" s="154"/>
      <c r="AR16" s="155"/>
      <c r="AS16" s="154"/>
      <c r="AT16" s="154"/>
      <c r="AU16" s="155"/>
      <c r="AV16" s="154"/>
      <c r="AW16" s="136" t="s">
        <v>107</v>
      </c>
      <c r="AX16" s="137" t="s">
        <v>108</v>
      </c>
      <c r="AY16" s="136"/>
      <c r="AZ16" s="136" t="s">
        <v>107</v>
      </c>
      <c r="BA16" s="137" t="s">
        <v>108</v>
      </c>
      <c r="BB16" s="136"/>
    </row>
    <row r="17" spans="2:54" x14ac:dyDescent="0.25">
      <c r="B17" s="135">
        <v>44359</v>
      </c>
      <c r="C17" s="129">
        <v>3599</v>
      </c>
      <c r="D17" s="22">
        <f t="shared" si="15"/>
        <v>359</v>
      </c>
      <c r="E17" s="22">
        <f t="shared" si="16"/>
        <v>0.9</v>
      </c>
      <c r="F17" s="129">
        <v>3599</v>
      </c>
      <c r="G17" s="22">
        <f t="shared" si="6"/>
        <v>359</v>
      </c>
      <c r="H17" s="22">
        <f t="shared" si="7"/>
        <v>0.9</v>
      </c>
      <c r="I17" s="2">
        <f>VLOOKUP(D17,'Arqueação Tanque'!$B$4:$C$480,2,0)</f>
        <v>242.56100000000001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0.59199999999999997</v>
      </c>
      <c r="K17" s="2">
        <f>VLOOKUP(G17,'Arqueação Tanque'!$B$4:$C$480,2,0)</f>
        <v>242.56100000000001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0.59199999999999997</v>
      </c>
      <c r="M17" s="101">
        <f t="shared" si="17"/>
        <v>243.15300000000002</v>
      </c>
      <c r="N17" s="101">
        <f t="shared" si="8"/>
        <v>243.15300000000002</v>
      </c>
      <c r="O17" s="24">
        <f t="shared" si="9"/>
        <v>0</v>
      </c>
      <c r="P17" s="29">
        <f t="shared" si="0"/>
        <v>243.2142865632236</v>
      </c>
      <c r="Q17" s="5">
        <v>68</v>
      </c>
      <c r="R17" s="129">
        <v>32.450000000000003</v>
      </c>
      <c r="S17" s="129">
        <v>23.19</v>
      </c>
      <c r="T17" s="129">
        <v>24.1</v>
      </c>
      <c r="U17" s="24">
        <f t="shared" si="10"/>
        <v>0.89100000000000001</v>
      </c>
      <c r="V17" s="5">
        <f t="shared" si="1"/>
        <v>90.41</v>
      </c>
      <c r="W17" s="5">
        <f t="shared" si="2"/>
        <v>73.742000000000004</v>
      </c>
      <c r="X17" s="5">
        <f t="shared" si="11"/>
        <v>88.326499999999996</v>
      </c>
      <c r="Y17" s="39">
        <f>1+2*'Arqueação Tanque'!$K$4*(X17-Q17)+('Arqueação Tanque'!$K$4^2)*(X17-Q17)</f>
        <v>1.0002520493813507</v>
      </c>
      <c r="Z17" s="132">
        <v>28.93</v>
      </c>
      <c r="AA17" s="5">
        <v>0.5</v>
      </c>
      <c r="AB17" s="27">
        <f t="shared" si="18"/>
        <v>29</v>
      </c>
      <c r="AC17" s="27">
        <f t="shared" si="3"/>
        <v>27.391999999999999</v>
      </c>
      <c r="AD17" s="49">
        <f t="shared" si="12"/>
        <v>27</v>
      </c>
      <c r="AE17" s="48">
        <f t="shared" si="19"/>
        <v>25</v>
      </c>
      <c r="AF17" s="48">
        <f t="shared" si="4"/>
        <v>32</v>
      </c>
      <c r="AG17" s="27">
        <f>IFERROR(IF(Z17&lt;57,ROUND(IF(T17="","",DGET('Banco de dados'!$D$3:$F$6293,$AG$4,'Densidade corrigida'!C26:D27)),3),""),"")</f>
        <v>0.89400000000000002</v>
      </c>
      <c r="AH17" s="27">
        <f>IF(AD17&lt;55,DGET('Banco de dados'!$G$3:$I$9744,$AH$4,FCV!C26:D27),DGET('Banco de dados'!$L$3:$N$499,$AH$4,FCV!B26:C27))</f>
        <v>0.99119999999999997</v>
      </c>
      <c r="AI17" s="27">
        <f t="shared" si="5"/>
        <v>241.07400084146721</v>
      </c>
      <c r="AJ17" s="133">
        <v>6.0000000000000001E-3</v>
      </c>
      <c r="AK17" s="34">
        <f t="shared" si="13"/>
        <v>1.4464440050488032</v>
      </c>
      <c r="AL17" s="29">
        <f t="shared" si="14"/>
        <v>239.62755683641842</v>
      </c>
      <c r="AM17" s="29">
        <f>SUMIF(Carregamento!$C$5:$C$36,'Fechamento fiscal'!B17,Carregamento!$AT$5:$AT$36)</f>
        <v>25.116949862416462</v>
      </c>
      <c r="AN17" s="13">
        <f t="shared" si="20"/>
        <v>-0.75528556724417228</v>
      </c>
      <c r="AO17" s="13">
        <f t="shared" si="21"/>
        <v>-4.7506027137080675</v>
      </c>
      <c r="AP17" s="153"/>
      <c r="AQ17" s="154"/>
      <c r="AR17" s="155"/>
      <c r="AS17" s="154"/>
      <c r="AT17" s="154"/>
      <c r="AU17" s="155"/>
      <c r="AV17" s="154"/>
      <c r="AW17" s="136" t="s">
        <v>107</v>
      </c>
      <c r="AX17" s="137" t="s">
        <v>108</v>
      </c>
      <c r="AY17" s="136"/>
      <c r="AZ17" s="136" t="s">
        <v>107</v>
      </c>
      <c r="BA17" s="137" t="s">
        <v>108</v>
      </c>
      <c r="BB17" s="136"/>
    </row>
    <row r="18" spans="2:54" s="58" customFormat="1" x14ac:dyDescent="0.25">
      <c r="B18" s="135">
        <v>44360</v>
      </c>
      <c r="C18" s="129">
        <v>2908</v>
      </c>
      <c r="D18" s="22">
        <f t="shared" si="15"/>
        <v>290</v>
      </c>
      <c r="E18" s="22">
        <f t="shared" si="16"/>
        <v>0.8</v>
      </c>
      <c r="F18" s="129">
        <v>2908</v>
      </c>
      <c r="G18" s="22">
        <f t="shared" si="6"/>
        <v>290</v>
      </c>
      <c r="H18" s="22">
        <f t="shared" si="7"/>
        <v>0.8</v>
      </c>
      <c r="I18" s="50">
        <f>VLOOKUP(D18,'Arqueação Tanque'!$B$4:$C$480,2,0)</f>
        <v>197.15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0.52600000000000002</v>
      </c>
      <c r="K18" s="50">
        <f>VLOOKUP(G18,'Arqueação Tanque'!$B$4:$C$480,2,0)</f>
        <v>197.15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0.52600000000000002</v>
      </c>
      <c r="M18" s="102">
        <f t="shared" si="17"/>
        <v>197.67600000000002</v>
      </c>
      <c r="N18" s="102">
        <f t="shared" si="8"/>
        <v>197.67600000000002</v>
      </c>
      <c r="O18" s="54">
        <f t="shared" si="9"/>
        <v>0</v>
      </c>
      <c r="P18" s="55">
        <f t="shared" si="0"/>
        <v>197.72350222378165</v>
      </c>
      <c r="Q18" s="22">
        <v>68</v>
      </c>
      <c r="R18" s="129">
        <v>32.200000000000003</v>
      </c>
      <c r="S18" s="129">
        <v>20.73</v>
      </c>
      <c r="T18" s="129">
        <v>23.6</v>
      </c>
      <c r="U18" s="54">
        <f t="shared" si="10"/>
        <v>0.89</v>
      </c>
      <c r="V18" s="22">
        <f t="shared" si="1"/>
        <v>89.960000000000008</v>
      </c>
      <c r="W18" s="22">
        <f t="shared" si="2"/>
        <v>69.313999999999993</v>
      </c>
      <c r="X18" s="22">
        <f t="shared" si="11"/>
        <v>87.379249999999999</v>
      </c>
      <c r="Y18" s="56">
        <f>1+2*'Arqueação Tanque'!$K$4*(X18-Q18)+('Arqueação Tanque'!$K$4^2)*(X18-Q18)</f>
        <v>1.0002403034449383</v>
      </c>
      <c r="Z18" s="132">
        <v>28.93</v>
      </c>
      <c r="AA18" s="22">
        <v>0.5</v>
      </c>
      <c r="AB18" s="27">
        <f t="shared" si="18"/>
        <v>29</v>
      </c>
      <c r="AC18" s="57">
        <f t="shared" si="3"/>
        <v>27.481999999999999</v>
      </c>
      <c r="AD18" s="49">
        <f t="shared" si="12"/>
        <v>27</v>
      </c>
      <c r="AE18" s="48">
        <f t="shared" si="19"/>
        <v>25</v>
      </c>
      <c r="AF18" s="48">
        <f t="shared" si="4"/>
        <v>32</v>
      </c>
      <c r="AG18" s="27">
        <f>IFERROR(IF(Z18&lt;57,ROUND(IF(T18="","",DGET('Banco de dados'!$D$3:$F$6293,$AG$4,'Densidade corrigida'!C28:D29)),3),""),"")</f>
        <v>0.89300000000000002</v>
      </c>
      <c r="AH18" s="27">
        <f>IF(AD18&lt;55,DGET('Banco de dados'!$G$3:$I$9744,$AH$4,FCV!C28:D29),DGET('Banco de dados'!$L$3:$N$499,$AH$4,FCV!B28:C29))</f>
        <v>0.99109999999999998</v>
      </c>
      <c r="AI18" s="27">
        <f t="shared" si="5"/>
        <v>195.96376305398999</v>
      </c>
      <c r="AJ18" s="133">
        <v>5.0000000000000001E-3</v>
      </c>
      <c r="AK18" s="34">
        <f t="shared" si="13"/>
        <v>0.97981881526994996</v>
      </c>
      <c r="AL18" s="29">
        <f t="shared" si="14"/>
        <v>194.98394423872006</v>
      </c>
      <c r="AM18" s="29">
        <f>SUMIF(Carregamento!$C$5:$C$36,'Fechamento fiscal'!B18,Carregamento!$AT$5:$AT$36)</f>
        <v>44.635549465192014</v>
      </c>
      <c r="AN18" s="13">
        <f t="shared" si="20"/>
        <v>-8.063132506350712E-3</v>
      </c>
      <c r="AO18" s="13">
        <f t="shared" si="21"/>
        <v>-5.0715571469769773E-2</v>
      </c>
      <c r="AP18" s="153"/>
      <c r="AQ18" s="154"/>
      <c r="AR18" s="155"/>
      <c r="AS18" s="154"/>
      <c r="AT18" s="154"/>
      <c r="AU18" s="155"/>
      <c r="AV18" s="154"/>
      <c r="AW18" s="136" t="s">
        <v>107</v>
      </c>
      <c r="AX18" s="137" t="s">
        <v>108</v>
      </c>
      <c r="AY18" s="136"/>
      <c r="AZ18" s="136" t="s">
        <v>107</v>
      </c>
      <c r="BA18" s="137" t="s">
        <v>108</v>
      </c>
      <c r="BB18" s="136"/>
    </row>
    <row r="19" spans="2:54" x14ac:dyDescent="0.25">
      <c r="B19" s="135">
        <v>44361</v>
      </c>
      <c r="C19" s="129">
        <v>2831</v>
      </c>
      <c r="D19" s="22">
        <f t="shared" si="15"/>
        <v>283</v>
      </c>
      <c r="E19" s="22">
        <f t="shared" si="16"/>
        <v>0.1</v>
      </c>
      <c r="F19" s="129">
        <v>2831</v>
      </c>
      <c r="G19" s="22">
        <f t="shared" si="6"/>
        <v>283</v>
      </c>
      <c r="H19" s="22">
        <f t="shared" si="7"/>
        <v>0.1</v>
      </c>
      <c r="I19" s="2">
        <f>VLOOKUP(D19,'Arqueação Tanque'!$B$4:$C$480,2,0)</f>
        <v>192.54300000000001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6.5000000000000002E-2</v>
      </c>
      <c r="K19" s="2">
        <f>VLOOKUP(G19,'Arqueação Tanque'!$B$4:$C$480,2,0)</f>
        <v>192.54300000000001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6.5000000000000002E-2</v>
      </c>
      <c r="M19" s="101">
        <f t="shared" si="17"/>
        <v>192.608</v>
      </c>
      <c r="N19" s="101">
        <f t="shared" si="8"/>
        <v>192.608</v>
      </c>
      <c r="O19" s="24">
        <f t="shared" si="9"/>
        <v>0</v>
      </c>
      <c r="P19" s="29">
        <f t="shared" si="0"/>
        <v>192.67155032060859</v>
      </c>
      <c r="Q19" s="5">
        <v>68</v>
      </c>
      <c r="R19" s="129">
        <v>36.78</v>
      </c>
      <c r="S19" s="129">
        <v>20.8</v>
      </c>
      <c r="T19" s="129">
        <v>24.5</v>
      </c>
      <c r="U19" s="24">
        <f t="shared" si="10"/>
        <v>0.89100000000000001</v>
      </c>
      <c r="V19" s="5">
        <f t="shared" si="1"/>
        <v>98.204000000000008</v>
      </c>
      <c r="W19" s="5">
        <f t="shared" si="2"/>
        <v>69.44</v>
      </c>
      <c r="X19" s="5">
        <f t="shared" si="11"/>
        <v>94.608500000000021</v>
      </c>
      <c r="Y19" s="39">
        <f>1+2*'Arqueação Tanque'!$K$4*(X19-Q19)+('Arqueação Tanque'!$K$4^2)*(X19-Q19)</f>
        <v>1.0003299464228308</v>
      </c>
      <c r="Z19" s="132">
        <v>28.93</v>
      </c>
      <c r="AA19" s="5">
        <v>0.5</v>
      </c>
      <c r="AB19" s="27">
        <f t="shared" si="18"/>
        <v>29</v>
      </c>
      <c r="AC19" s="27">
        <f t="shared" si="3"/>
        <v>27.32</v>
      </c>
      <c r="AD19" s="49">
        <f t="shared" si="12"/>
        <v>27</v>
      </c>
      <c r="AE19" s="48">
        <f t="shared" si="19"/>
        <v>25</v>
      </c>
      <c r="AF19" s="48">
        <f t="shared" si="4"/>
        <v>36.5</v>
      </c>
      <c r="AG19" s="27">
        <f>IFERROR(IF(Z19&lt;57,ROUND(IF(T19="","",DGET('Banco de dados'!$D$3:$F$6293,$AG$4,'Densidade corrigida'!C30:D31)),3),""),"")</f>
        <v>0.89400000000000002</v>
      </c>
      <c r="AH19" s="27">
        <f>IF(AD19&lt;55,DGET('Banco de dados'!$G$3:$I$9744,$AH$4,FCV!C30:D31),DGET('Banco de dados'!$L$3:$N$499,$AH$4,FCV!B30:C31))</f>
        <v>0.98780000000000001</v>
      </c>
      <c r="AI19" s="27">
        <f t="shared" si="5"/>
        <v>190.32095740669718</v>
      </c>
      <c r="AJ19" s="133">
        <v>5.0000000000000001E-3</v>
      </c>
      <c r="AK19" s="34">
        <f t="shared" si="13"/>
        <v>0.95160478703348594</v>
      </c>
      <c r="AL19" s="29">
        <f t="shared" si="14"/>
        <v>189.36935261966369</v>
      </c>
      <c r="AM19" s="29">
        <f>SUMIF(Carregamento!$C$5:$C$36,'Fechamento fiscal'!B19,Carregamento!$AT$5:$AT$36)</f>
        <v>45.215896236694263</v>
      </c>
      <c r="AN19" s="13">
        <f t="shared" si="20"/>
        <v>39.601304617637894</v>
      </c>
      <c r="AO19" s="13">
        <f t="shared" si="21"/>
        <v>249.084681797065</v>
      </c>
      <c r="AP19" s="153"/>
      <c r="AQ19" s="154"/>
      <c r="AR19" s="155"/>
      <c r="AS19" s="154"/>
      <c r="AT19" s="154"/>
      <c r="AU19" s="155"/>
      <c r="AV19" s="154"/>
      <c r="AW19" s="136" t="s">
        <v>107</v>
      </c>
      <c r="AX19" s="137" t="s">
        <v>108</v>
      </c>
      <c r="AY19" s="136"/>
      <c r="AZ19" s="136" t="s">
        <v>107</v>
      </c>
      <c r="BA19" s="137" t="s">
        <v>108</v>
      </c>
      <c r="BB19" s="136"/>
    </row>
    <row r="20" spans="2:54" x14ac:dyDescent="0.25">
      <c r="B20" s="135">
        <v>44362</v>
      </c>
      <c r="C20" s="129">
        <v>3819</v>
      </c>
      <c r="D20" s="22">
        <f t="shared" si="15"/>
        <v>381</v>
      </c>
      <c r="E20" s="22">
        <f t="shared" si="16"/>
        <v>0.9</v>
      </c>
      <c r="F20" s="129">
        <v>3819</v>
      </c>
      <c r="G20" s="22">
        <f t="shared" si="6"/>
        <v>381</v>
      </c>
      <c r="H20" s="22">
        <f t="shared" si="7"/>
        <v>0.9</v>
      </c>
      <c r="I20" s="2">
        <f>VLOOKUP(D20,'Arqueação Tanque'!$B$4:$C$480,2,0)</f>
        <v>257.041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0.59199999999999997</v>
      </c>
      <c r="K20" s="2">
        <f>VLOOKUP(G20,'Arqueação Tanque'!$B$4:$C$480,2,0)</f>
        <v>257.041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0.59199999999999997</v>
      </c>
      <c r="M20" s="101">
        <f t="shared" si="17"/>
        <v>257.63299999999998</v>
      </c>
      <c r="N20" s="101">
        <f t="shared" si="8"/>
        <v>257.63299999999998</v>
      </c>
      <c r="O20" s="24">
        <f t="shared" si="9"/>
        <v>0</v>
      </c>
      <c r="P20" s="29">
        <f t="shared" si="0"/>
        <v>257.70848100930112</v>
      </c>
      <c r="Q20" s="5">
        <v>68</v>
      </c>
      <c r="R20" s="129">
        <v>35.61</v>
      </c>
      <c r="S20" s="129">
        <v>15.74</v>
      </c>
      <c r="T20" s="129">
        <v>23.5</v>
      </c>
      <c r="U20" s="24">
        <f t="shared" si="10"/>
        <v>0.89</v>
      </c>
      <c r="V20" s="5">
        <f t="shared" si="1"/>
        <v>96.097999999999999</v>
      </c>
      <c r="W20" s="5">
        <f t="shared" si="2"/>
        <v>60.332000000000001</v>
      </c>
      <c r="X20" s="5">
        <f t="shared" si="11"/>
        <v>91.627250000000004</v>
      </c>
      <c r="Y20" s="39">
        <f>1+2*'Arqueação Tanque'!$K$4*(X20-Q20)+('Arqueação Tanque'!$K$4^2)*(X20-Q20)</f>
        <v>1.0002929788082315</v>
      </c>
      <c r="Z20" s="132">
        <v>28.93</v>
      </c>
      <c r="AA20" s="5">
        <v>0.5</v>
      </c>
      <c r="AB20" s="27">
        <f t="shared" si="18"/>
        <v>29</v>
      </c>
      <c r="AC20" s="27">
        <f t="shared" si="3"/>
        <v>27.5</v>
      </c>
      <c r="AD20" s="49">
        <f t="shared" si="12"/>
        <v>28</v>
      </c>
      <c r="AE20" s="48">
        <f t="shared" si="19"/>
        <v>25</v>
      </c>
      <c r="AF20" s="48">
        <f t="shared" si="4"/>
        <v>35.5</v>
      </c>
      <c r="AG20" s="27">
        <f>IFERROR(IF(Z20&lt;57,ROUND(IF(T20="","",DGET('Banco de dados'!$D$3:$F$6293,$AG$4,'Densidade corrigida'!C32:D33)),3),""),"")</f>
        <v>0.89300000000000002</v>
      </c>
      <c r="AH20" s="27">
        <f>IF(AD20&lt;55,DGET('Banco de dados'!$G$3:$I$9744,$AH$4,FCV!C32:D33),DGET('Banco de dados'!$L$3:$N$499,$AH$4,FCV!B32:C33))</f>
        <v>0.98850000000000005</v>
      </c>
      <c r="AI20" s="27">
        <f t="shared" si="5"/>
        <v>254.74483347769419</v>
      </c>
      <c r="AJ20" s="133">
        <v>5.0000000000000001E-3</v>
      </c>
      <c r="AK20" s="34">
        <f t="shared" si="13"/>
        <v>1.2737241673884709</v>
      </c>
      <c r="AL20" s="29">
        <f t="shared" si="14"/>
        <v>253.47110931030571</v>
      </c>
      <c r="AM20" s="29">
        <f>SUMIF(Carregamento!$C$5:$C$36,'Fechamento fiscal'!B20,Carregamento!$AT$5:$AT$36)</f>
        <v>0</v>
      </c>
      <c r="AN20" s="13">
        <f t="shared" si="20"/>
        <v>64.10175669064202</v>
      </c>
      <c r="AO20" s="13">
        <f t="shared" si="21"/>
        <v>403.1878702503671</v>
      </c>
      <c r="AP20" s="153"/>
      <c r="AQ20" s="154"/>
      <c r="AR20" s="155"/>
      <c r="AS20" s="154"/>
      <c r="AT20" s="154"/>
      <c r="AU20" s="155"/>
      <c r="AV20" s="154"/>
      <c r="AW20" s="136" t="s">
        <v>107</v>
      </c>
      <c r="AX20" s="137" t="s">
        <v>108</v>
      </c>
      <c r="AY20" s="136"/>
      <c r="AZ20" s="136" t="s">
        <v>107</v>
      </c>
      <c r="BA20" s="137" t="s">
        <v>108</v>
      </c>
      <c r="BB20" s="136"/>
    </row>
    <row r="21" spans="2:54" x14ac:dyDescent="0.25">
      <c r="B21" s="135">
        <v>44363</v>
      </c>
      <c r="C21" s="129">
        <v>4236</v>
      </c>
      <c r="D21" s="22">
        <f t="shared" si="15"/>
        <v>423</v>
      </c>
      <c r="E21" s="22">
        <f t="shared" si="16"/>
        <v>0.6</v>
      </c>
      <c r="F21" s="129">
        <v>4236</v>
      </c>
      <c r="G21" s="22">
        <f t="shared" si="6"/>
        <v>423</v>
      </c>
      <c r="H21" s="22">
        <f t="shared" si="7"/>
        <v>0.6</v>
      </c>
      <c r="I21" s="2">
        <f>VLOOKUP(D21,'Arqueação Tanque'!$B$4:$C$480,2,0)</f>
        <v>284.68400000000003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0.39400000000000002</v>
      </c>
      <c r="K21" s="2">
        <f>VLOOKUP(G21,'Arqueação Tanque'!$B$4:$C$480,2,0)</f>
        <v>284.68400000000003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0.39400000000000002</v>
      </c>
      <c r="M21" s="101">
        <f t="shared" si="17"/>
        <v>285.07800000000003</v>
      </c>
      <c r="N21" s="101">
        <f t="shared" si="8"/>
        <v>285.07800000000003</v>
      </c>
      <c r="O21" s="24">
        <f t="shared" si="9"/>
        <v>0</v>
      </c>
      <c r="P21" s="29">
        <f t="shared" si="0"/>
        <v>285.15818125833334</v>
      </c>
      <c r="Q21" s="5">
        <v>68</v>
      </c>
      <c r="R21" s="165">
        <v>34.83</v>
      </c>
      <c r="S21" s="165">
        <v>17</v>
      </c>
      <c r="T21" s="165">
        <v>23.6</v>
      </c>
      <c r="U21" s="24">
        <f t="shared" si="10"/>
        <v>0.88800000000000001</v>
      </c>
      <c r="V21" s="5">
        <f t="shared" si="1"/>
        <v>94.693999999999988</v>
      </c>
      <c r="W21" s="5">
        <f t="shared" si="2"/>
        <v>62.6</v>
      </c>
      <c r="X21" s="5">
        <f t="shared" si="11"/>
        <v>90.682249999999996</v>
      </c>
      <c r="Y21" s="39">
        <f>1+2*'Arqueação Tanque'!$K$4*(X21-Q21)+('Arqueação Tanque'!$K$4^2)*(X21-Q21)</f>
        <v>1.0002812607719056</v>
      </c>
      <c r="Z21" s="132">
        <v>29.29</v>
      </c>
      <c r="AA21" s="5">
        <v>0.5</v>
      </c>
      <c r="AB21" s="27">
        <f t="shared" si="18"/>
        <v>29.5</v>
      </c>
      <c r="AC21" s="27">
        <f t="shared" si="3"/>
        <v>27.841999999999999</v>
      </c>
      <c r="AD21" s="49">
        <f t="shared" si="12"/>
        <v>28</v>
      </c>
      <c r="AE21" s="48">
        <f t="shared" si="19"/>
        <v>25</v>
      </c>
      <c r="AF21" s="48">
        <f t="shared" si="4"/>
        <v>34.5</v>
      </c>
      <c r="AG21" s="27">
        <f>IFERROR(IF(Z21&lt;57,ROUND(IF(T21="","",DGET('Banco de dados'!$D$3:$F$6293,$AG$4,'Densidade corrigida'!C34:D35)),3),""),"")</f>
        <v>0.89100000000000001</v>
      </c>
      <c r="AH21" s="27">
        <f>IF(AD21&lt;55,DGET('Banco de dados'!$G$3:$I$9744,$AH$4,FCV!C34:D35),DGET('Banco de dados'!$L$3:$N$499,$AH$4,FCV!B34:C35))</f>
        <v>0.98919999999999997</v>
      </c>
      <c r="AI21" s="27">
        <f t="shared" si="5"/>
        <v>282.07847290074335</v>
      </c>
      <c r="AJ21" s="133">
        <v>2E-3</v>
      </c>
      <c r="AK21" s="34">
        <f t="shared" si="13"/>
        <v>0.56415694580148668</v>
      </c>
      <c r="AL21" s="29">
        <f t="shared" si="14"/>
        <v>281.51431595494188</v>
      </c>
      <c r="AM21" s="29">
        <f>SUMIF(Carregamento!$C$5:$C$36,'Fechamento fiscal'!B21,Carregamento!$AT$5:$AT$36)</f>
        <v>0</v>
      </c>
      <c r="AN21" s="13">
        <f t="shared" si="20"/>
        <v>28.043206644636172</v>
      </c>
      <c r="AO21" s="13">
        <f t="shared" si="21"/>
        <v>176.38644158549903</v>
      </c>
      <c r="AP21" s="153"/>
      <c r="AQ21" s="154"/>
      <c r="AR21" s="155"/>
      <c r="AS21" s="154"/>
      <c r="AT21" s="154"/>
      <c r="AU21" s="155"/>
      <c r="AV21" s="154"/>
      <c r="AW21" s="136" t="s">
        <v>107</v>
      </c>
      <c r="AX21" s="137" t="s">
        <v>108</v>
      </c>
      <c r="AY21" s="136"/>
      <c r="AZ21" s="136" t="s">
        <v>107</v>
      </c>
      <c r="BA21" s="137" t="s">
        <v>108</v>
      </c>
      <c r="BB21" s="136"/>
    </row>
    <row r="22" spans="2:54" x14ac:dyDescent="0.25">
      <c r="B22" s="135">
        <v>44364</v>
      </c>
      <c r="C22" s="129">
        <v>2077</v>
      </c>
      <c r="D22" s="22">
        <f t="shared" si="15"/>
        <v>207</v>
      </c>
      <c r="E22" s="22">
        <f t="shared" si="16"/>
        <v>0.7</v>
      </c>
      <c r="F22" s="129">
        <v>2077</v>
      </c>
      <c r="G22" s="22">
        <f t="shared" si="6"/>
        <v>207</v>
      </c>
      <c r="H22" s="22">
        <f t="shared" si="7"/>
        <v>0.7</v>
      </c>
      <c r="I22" s="2">
        <f>VLOOKUP(D22,'Arqueação Tanque'!$B$4:$C$480,2,0)</f>
        <v>142.52799999999999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0.46</v>
      </c>
      <c r="K22" s="2">
        <f>VLOOKUP(G22,'Arqueação Tanque'!$B$4:$C$480,2,0)</f>
        <v>142.52799999999999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0.46</v>
      </c>
      <c r="M22" s="101">
        <f t="shared" si="17"/>
        <v>142.988</v>
      </c>
      <c r="N22" s="101">
        <f t="shared" si="8"/>
        <v>142.988</v>
      </c>
      <c r="O22" s="24">
        <f t="shared" si="9"/>
        <v>0</v>
      </c>
      <c r="P22" s="29">
        <f t="shared" si="0"/>
        <v>143.03643902241888</v>
      </c>
      <c r="Q22" s="5">
        <v>68</v>
      </c>
      <c r="R22" s="129">
        <v>37.5</v>
      </c>
      <c r="S22" s="129">
        <v>18.920000000000002</v>
      </c>
      <c r="T22" s="129">
        <v>23.6</v>
      </c>
      <c r="U22" s="24">
        <f t="shared" si="10"/>
        <v>0.88800000000000001</v>
      </c>
      <c r="V22" s="5">
        <f t="shared" si="1"/>
        <v>99.5</v>
      </c>
      <c r="W22" s="5">
        <f t="shared" si="2"/>
        <v>66.056000000000012</v>
      </c>
      <c r="X22" s="5">
        <f t="shared" si="11"/>
        <v>95.319500000000005</v>
      </c>
      <c r="Y22" s="39">
        <f>1+2*'Arqueação Tanque'!$K$4*(X22-Q22)+('Arqueação Tanque'!$K$4^2)*(X22-Q22)</f>
        <v>1.0003387628501614</v>
      </c>
      <c r="Z22" s="132">
        <v>29.29</v>
      </c>
      <c r="AA22" s="5">
        <v>0.5</v>
      </c>
      <c r="AB22" s="27">
        <f t="shared" si="18"/>
        <v>29.5</v>
      </c>
      <c r="AC22" s="27">
        <f t="shared" si="3"/>
        <v>27.841999999999999</v>
      </c>
      <c r="AD22" s="49">
        <f t="shared" si="12"/>
        <v>28</v>
      </c>
      <c r="AE22" s="48">
        <f t="shared" si="19"/>
        <v>25</v>
      </c>
      <c r="AF22" s="48">
        <f t="shared" si="4"/>
        <v>37.5</v>
      </c>
      <c r="AG22" s="27">
        <f>IFERROR(IF(Z22&lt;57,ROUND(IF(T22="","",DGET('Banco de dados'!$D$3:$F$6293,$AG$4,'Densidade corrigida'!C36:D37)),3),""),"")</f>
        <v>0.89100000000000001</v>
      </c>
      <c r="AH22" s="27">
        <f>IF(AD22&lt;55,DGET('Banco de dados'!$G$3:$I$9744,$AH$4,FCV!C36:D37),DGET('Banco de dados'!$L$3:$N$499,$AH$4,FCV!B36:C37))</f>
        <v>0.98699999999999999</v>
      </c>
      <c r="AI22" s="27">
        <f t="shared" si="5"/>
        <v>141.17696531512743</v>
      </c>
      <c r="AJ22" s="133">
        <v>2E-3</v>
      </c>
      <c r="AK22" s="34">
        <f t="shared" si="13"/>
        <v>0.28235393063025488</v>
      </c>
      <c r="AL22" s="29">
        <f t="shared" si="14"/>
        <v>140.89461138449718</v>
      </c>
      <c r="AM22" s="29">
        <f>SUMIF(Carregamento!$C$5:$C$36,'Fechamento fiscal'!B22,Carregamento!$AT$5:$AT$36)</f>
        <v>140.22779258242738</v>
      </c>
      <c r="AN22" s="13">
        <f t="shared" si="20"/>
        <v>-0.39191198801731275</v>
      </c>
      <c r="AO22" s="13">
        <f t="shared" si="21"/>
        <v>-2.4650519413511738</v>
      </c>
      <c r="AP22" s="153"/>
      <c r="AQ22" s="154"/>
      <c r="AR22" s="155"/>
      <c r="AS22" s="154"/>
      <c r="AT22" s="154"/>
      <c r="AU22" s="155"/>
      <c r="AV22" s="154"/>
      <c r="AW22" s="136" t="s">
        <v>107</v>
      </c>
      <c r="AX22" s="137" t="s">
        <v>108</v>
      </c>
      <c r="AY22" s="136"/>
      <c r="AZ22" s="136" t="s">
        <v>107</v>
      </c>
      <c r="BA22" s="137" t="s">
        <v>108</v>
      </c>
      <c r="BB22" s="136"/>
    </row>
    <row r="23" spans="2:54" x14ac:dyDescent="0.25">
      <c r="B23" s="135">
        <v>44365</v>
      </c>
      <c r="C23" s="129">
        <v>930</v>
      </c>
      <c r="D23" s="22">
        <f t="shared" si="15"/>
        <v>93</v>
      </c>
      <c r="E23" s="22">
        <f t="shared" si="16"/>
        <v>0</v>
      </c>
      <c r="F23" s="129">
        <v>930</v>
      </c>
      <c r="G23" s="22">
        <f t="shared" si="6"/>
        <v>93</v>
      </c>
      <c r="H23" s="22">
        <f t="shared" si="7"/>
        <v>0</v>
      </c>
      <c r="I23" s="2">
        <f>VLOOKUP(D23,'Arqueação Tanque'!$B$4:$C$480,2,0)</f>
        <v>67.510000000000005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</v>
      </c>
      <c r="K23" s="2">
        <f>VLOOKUP(G23,'Arqueação Tanque'!$B$4:$C$480,2,0)</f>
        <v>67.510000000000005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</v>
      </c>
      <c r="M23" s="101">
        <f t="shared" si="17"/>
        <v>67.510000000000005</v>
      </c>
      <c r="N23" s="101">
        <f t="shared" si="8"/>
        <v>67.510000000000005</v>
      </c>
      <c r="O23" s="24">
        <f t="shared" si="9"/>
        <v>0</v>
      </c>
      <c r="P23" s="29">
        <f t="shared" si="0"/>
        <v>67.530328991516683</v>
      </c>
      <c r="Q23" s="5">
        <v>68</v>
      </c>
      <c r="R23" s="129">
        <v>35.5</v>
      </c>
      <c r="S23" s="129">
        <v>19.43</v>
      </c>
      <c r="T23" s="129">
        <v>23.6</v>
      </c>
      <c r="U23" s="24">
        <f t="shared" si="10"/>
        <v>0.88800000000000001</v>
      </c>
      <c r="V23" s="5">
        <f t="shared" si="1"/>
        <v>95.9</v>
      </c>
      <c r="W23" s="5">
        <f t="shared" si="2"/>
        <v>66.974000000000004</v>
      </c>
      <c r="X23" s="5">
        <f t="shared" si="11"/>
        <v>92.284250000000014</v>
      </c>
      <c r="Y23" s="39">
        <f>1+2*'Arqueação Tanque'!$K$4*(X23-Q23)+('Arqueação Tanque'!$K$4^2)*(X23-Q23)</f>
        <v>1.0003011256334866</v>
      </c>
      <c r="Z23" s="132">
        <v>29.29</v>
      </c>
      <c r="AA23" s="5">
        <v>0.5</v>
      </c>
      <c r="AB23" s="27">
        <f t="shared" si="18"/>
        <v>29.5</v>
      </c>
      <c r="AC23" s="27">
        <f t="shared" si="3"/>
        <v>27.841999999999999</v>
      </c>
      <c r="AD23" s="49">
        <f t="shared" si="12"/>
        <v>28</v>
      </c>
      <c r="AE23" s="48">
        <f t="shared" si="19"/>
        <v>25</v>
      </c>
      <c r="AF23" s="48">
        <f t="shared" si="4"/>
        <v>35.5</v>
      </c>
      <c r="AG23" s="27">
        <f>IFERROR(IF(Z23&lt;57,ROUND(IF(T23="","",DGET('Banco de dados'!$D$3:$F$6293,$AG$4,'Densidade corrigida'!C38:D39)),3),""),"")</f>
        <v>0.89100000000000001</v>
      </c>
      <c r="AH23" s="27">
        <f>IF(AD23&lt;55,DGET('Banco de dados'!$G$3:$I$9744,$AH$4,FCV!C38:D39),DGET('Banco de dados'!$L$3:$N$499,$AH$4,FCV!B38:C39))</f>
        <v>0.98850000000000005</v>
      </c>
      <c r="AI23" s="27">
        <f t="shared" si="5"/>
        <v>66.753730208114249</v>
      </c>
      <c r="AJ23" s="133">
        <v>2E-3</v>
      </c>
      <c r="AK23" s="34">
        <f t="shared" si="13"/>
        <v>0.13350746041622849</v>
      </c>
      <c r="AL23" s="29">
        <f t="shared" si="14"/>
        <v>66.620222747698023</v>
      </c>
      <c r="AM23" s="29">
        <f>SUMIF(Carregamento!$C$5:$C$36,'Fechamento fiscal'!B23,Carregamento!$AT$5:$AT$36)</f>
        <v>74.191336737583256</v>
      </c>
      <c r="AN23" s="13">
        <f t="shared" si="20"/>
        <v>-8.3051899215902836E-2</v>
      </c>
      <c r="AO23" s="13">
        <f t="shared" si="21"/>
        <v>-0.52238066620717782</v>
      </c>
      <c r="AP23" s="153"/>
      <c r="AQ23" s="154"/>
      <c r="AR23" s="155"/>
      <c r="AS23" s="154"/>
      <c r="AT23" s="154"/>
      <c r="AU23" s="155"/>
      <c r="AV23" s="154"/>
      <c r="AW23" s="136" t="s">
        <v>107</v>
      </c>
      <c r="AX23" s="137" t="s">
        <v>108</v>
      </c>
      <c r="AY23" s="136"/>
      <c r="AZ23" s="136" t="s">
        <v>107</v>
      </c>
      <c r="BA23" s="137" t="s">
        <v>108</v>
      </c>
      <c r="BB23" s="136"/>
    </row>
    <row r="24" spans="2:54" x14ac:dyDescent="0.25">
      <c r="B24" s="135">
        <v>44366</v>
      </c>
      <c r="C24" s="129">
        <v>1904</v>
      </c>
      <c r="D24" s="22">
        <f t="shared" si="15"/>
        <v>190</v>
      </c>
      <c r="E24" s="22">
        <f t="shared" si="16"/>
        <v>0.4</v>
      </c>
      <c r="F24" s="129">
        <v>1904</v>
      </c>
      <c r="G24" s="22">
        <f t="shared" si="6"/>
        <v>190</v>
      </c>
      <c r="H24" s="22">
        <f t="shared" si="7"/>
        <v>0.4</v>
      </c>
      <c r="I24" s="2">
        <f>VLOOKUP(D24,'Arqueação Tanque'!$B$4:$C$480,2,0)</f>
        <v>131.34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0.26300000000000001</v>
      </c>
      <c r="K24" s="2">
        <f>VLOOKUP(G24,'Arqueação Tanque'!$B$4:$C$480,2,0)</f>
        <v>131.34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0.26300000000000001</v>
      </c>
      <c r="M24" s="101">
        <f t="shared" si="17"/>
        <v>131.60300000000001</v>
      </c>
      <c r="N24" s="101">
        <f t="shared" si="8"/>
        <v>131.60300000000001</v>
      </c>
      <c r="O24" s="24">
        <f t="shared" si="9"/>
        <v>0</v>
      </c>
      <c r="P24" s="29">
        <f t="shared" si="0"/>
        <v>131.66694693819409</v>
      </c>
      <c r="Q24" s="5">
        <v>68</v>
      </c>
      <c r="R24" s="129">
        <v>45.2</v>
      </c>
      <c r="S24" s="129">
        <v>17.760000000000002</v>
      </c>
      <c r="T24" s="129">
        <v>21.4</v>
      </c>
      <c r="U24" s="24">
        <f t="shared" si="10"/>
        <v>0.876</v>
      </c>
      <c r="V24" s="5">
        <f t="shared" si="1"/>
        <v>113.36000000000001</v>
      </c>
      <c r="W24" s="5">
        <f t="shared" si="2"/>
        <v>63.968000000000004</v>
      </c>
      <c r="X24" s="5">
        <f t="shared" si="11"/>
        <v>107.18600000000001</v>
      </c>
      <c r="Y24" s="39">
        <f>1+2*'Arqueação Tanque'!$K$4*(X24-Q24)+('Arqueação Tanque'!$K$4^2)*(X24-Q24)</f>
        <v>1.0004859079063098</v>
      </c>
      <c r="Z24" s="132">
        <v>31.14</v>
      </c>
      <c r="AA24" s="5">
        <v>0.5</v>
      </c>
      <c r="AB24" s="27">
        <f t="shared" si="18"/>
        <v>31.5</v>
      </c>
      <c r="AC24" s="27">
        <f t="shared" si="3"/>
        <v>30.088000000000001</v>
      </c>
      <c r="AD24" s="49">
        <f t="shared" si="12"/>
        <v>30</v>
      </c>
      <c r="AE24" s="48">
        <f t="shared" si="19"/>
        <v>25</v>
      </c>
      <c r="AF24" s="48">
        <f t="shared" si="4"/>
        <v>45</v>
      </c>
      <c r="AG24" s="27">
        <f>IFERROR(IF(Z24&lt;57,ROUND(IF(T24="","",DGET('Banco de dados'!$D$3:$F$6293,$AG$4,'Densidade corrigida'!C40:D41)),3),""),"")</f>
        <v>0.879</v>
      </c>
      <c r="AH24" s="27">
        <f>IF(AD24&lt;55,DGET('Banco de dados'!$G$3:$I$9744,$AH$4,FCV!C40:D41),DGET('Banco de dados'!$L$3:$N$499,$AH$4,FCV!B40:C41))</f>
        <v>0.98109999999999997</v>
      </c>
      <c r="AI24" s="27">
        <f t="shared" si="5"/>
        <v>129.17844164106222</v>
      </c>
      <c r="AJ24" s="133">
        <v>2E-3</v>
      </c>
      <c r="AK24" s="34">
        <f t="shared" si="13"/>
        <v>0.25835688328212447</v>
      </c>
      <c r="AL24" s="29">
        <f t="shared" si="14"/>
        <v>128.9200847577801</v>
      </c>
      <c r="AM24" s="29">
        <f>SUMIF(Carregamento!$C$5:$C$36,'Fechamento fiscal'!B24,Carregamento!$AT$5:$AT$36)</f>
        <v>0</v>
      </c>
      <c r="AN24" s="13">
        <f t="shared" si="20"/>
        <v>62.29986201008208</v>
      </c>
      <c r="AO24" s="13">
        <f t="shared" si="21"/>
        <v>391.85429506963436</v>
      </c>
      <c r="AP24" s="153"/>
      <c r="AQ24" s="154"/>
      <c r="AR24" s="155"/>
      <c r="AS24" s="154"/>
      <c r="AT24" s="154"/>
      <c r="AU24" s="155"/>
      <c r="AV24" s="154"/>
      <c r="AW24" s="136" t="s">
        <v>107</v>
      </c>
      <c r="AX24" s="137" t="s">
        <v>108</v>
      </c>
      <c r="AY24" s="136"/>
      <c r="AZ24" s="136" t="s">
        <v>107</v>
      </c>
      <c r="BA24" s="137" t="s">
        <v>108</v>
      </c>
      <c r="BB24" s="136"/>
    </row>
    <row r="25" spans="2:54" x14ac:dyDescent="0.25">
      <c r="B25" s="135">
        <v>44367</v>
      </c>
      <c r="C25" s="129">
        <v>2866</v>
      </c>
      <c r="D25" s="22">
        <f t="shared" si="15"/>
        <v>286</v>
      </c>
      <c r="E25" s="22">
        <f t="shared" si="16"/>
        <v>0.6</v>
      </c>
      <c r="F25" s="129">
        <v>2866</v>
      </c>
      <c r="G25" s="22">
        <f t="shared" si="6"/>
        <v>286</v>
      </c>
      <c r="H25" s="22">
        <f t="shared" si="7"/>
        <v>0.6</v>
      </c>
      <c r="I25" s="2">
        <f>VLOOKUP(D25,'Arqueação Tanque'!$B$4:$C$480,2,0)</f>
        <v>194.518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0.39400000000000002</v>
      </c>
      <c r="K25" s="2">
        <f>VLOOKUP(G25,'Arqueação Tanque'!$B$4:$C$480,2,0)</f>
        <v>194.518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0.39400000000000002</v>
      </c>
      <c r="M25" s="101">
        <f t="shared" si="17"/>
        <v>194.91200000000001</v>
      </c>
      <c r="N25" s="101">
        <f t="shared" si="8"/>
        <v>194.91200000000001</v>
      </c>
      <c r="O25" s="24">
        <f t="shared" si="9"/>
        <v>0</v>
      </c>
      <c r="P25" s="29">
        <f t="shared" si="0"/>
        <v>195.00073829013428</v>
      </c>
      <c r="Q25" s="5">
        <v>68</v>
      </c>
      <c r="R25" s="129">
        <v>43.15</v>
      </c>
      <c r="S25" s="129">
        <v>21.13</v>
      </c>
      <c r="T25" s="129">
        <v>22.9</v>
      </c>
      <c r="U25" s="24">
        <f t="shared" si="10"/>
        <v>0.877</v>
      </c>
      <c r="V25" s="5">
        <f t="shared" si="1"/>
        <v>109.67</v>
      </c>
      <c r="W25" s="5">
        <f t="shared" si="2"/>
        <v>70.033999999999992</v>
      </c>
      <c r="X25" s="5">
        <f t="shared" si="11"/>
        <v>104.71550000000001</v>
      </c>
      <c r="Y25" s="39">
        <f>1+2*'Arqueação Tanque'!$K$4*(X25-Q25)+('Arqueação Tanque'!$K$4^2)*(X25-Q25)</f>
        <v>1.0004552736113439</v>
      </c>
      <c r="Z25" s="132">
        <v>31.14</v>
      </c>
      <c r="AA25" s="5">
        <v>0.5</v>
      </c>
      <c r="AB25" s="27">
        <f t="shared" si="18"/>
        <v>31.5</v>
      </c>
      <c r="AC25" s="27">
        <f t="shared" si="3"/>
        <v>29.818000000000001</v>
      </c>
      <c r="AD25" s="49">
        <f t="shared" si="12"/>
        <v>30</v>
      </c>
      <c r="AE25" s="48">
        <f t="shared" si="19"/>
        <v>25</v>
      </c>
      <c r="AF25" s="48">
        <f t="shared" si="4"/>
        <v>43</v>
      </c>
      <c r="AG25" s="27">
        <f>IFERROR(IF(Z25&lt;57,ROUND(IF(T25="","",DGET('Banco de dados'!$D$3:$F$6293,$AG$4,'Densidade corrigida'!C42:D43)),3),""),"")</f>
        <v>0.88</v>
      </c>
      <c r="AH25" s="27">
        <f>IF(AD25&lt;55,DGET('Banco de dados'!$G$3:$I$9744,$AH$4,FCV!C42:D43),DGET('Banco de dados'!$L$3:$N$499,$AH$4,FCV!B42:C43))</f>
        <v>0.98270000000000002</v>
      </c>
      <c r="AI25" s="27">
        <f t="shared" si="5"/>
        <v>191.62722551771495</v>
      </c>
      <c r="AJ25" s="133">
        <v>2E-3</v>
      </c>
      <c r="AK25" s="34">
        <f t="shared" si="13"/>
        <v>0.38325445103542988</v>
      </c>
      <c r="AL25" s="29">
        <f t="shared" si="14"/>
        <v>191.24397106667951</v>
      </c>
      <c r="AM25" s="29">
        <f>SUMIF(Carregamento!$C$5:$C$36,'Fechamento fiscal'!B25,Carregamento!$AT$5:$AT$36)</f>
        <v>0</v>
      </c>
      <c r="AN25" s="13">
        <f t="shared" si="20"/>
        <v>62.323886308899404</v>
      </c>
      <c r="AO25" s="13">
        <f t="shared" si="21"/>
        <v>392.00540334457855</v>
      </c>
      <c r="AP25" s="153"/>
      <c r="AQ25" s="154"/>
      <c r="AR25" s="155"/>
      <c r="AS25" s="154"/>
      <c r="AT25" s="154"/>
      <c r="AU25" s="155"/>
      <c r="AV25" s="154"/>
      <c r="AW25" s="136" t="s">
        <v>107</v>
      </c>
      <c r="AX25" s="137" t="s">
        <v>108</v>
      </c>
      <c r="AY25" s="136"/>
      <c r="AZ25" s="136" t="s">
        <v>107</v>
      </c>
      <c r="BA25" s="137" t="s">
        <v>108</v>
      </c>
      <c r="BB25" s="136"/>
    </row>
    <row r="26" spans="2:54" x14ac:dyDescent="0.25">
      <c r="B26" s="135">
        <v>44368</v>
      </c>
      <c r="C26" s="129">
        <v>3824</v>
      </c>
      <c r="D26" s="22">
        <f t="shared" si="15"/>
        <v>382</v>
      </c>
      <c r="E26" s="22">
        <f t="shared" si="16"/>
        <v>0.4</v>
      </c>
      <c r="F26" s="129">
        <v>3824</v>
      </c>
      <c r="G26" s="22">
        <f t="shared" si="6"/>
        <v>382</v>
      </c>
      <c r="H26" s="22">
        <f t="shared" si="7"/>
        <v>0.4</v>
      </c>
      <c r="I26" s="2">
        <f>VLOOKUP(D26,'Arqueação Tanque'!$B$4:$C$480,2,0)</f>
        <v>257.69900000000001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0.26300000000000001</v>
      </c>
      <c r="K26" s="2">
        <f>VLOOKUP(G26,'Arqueação Tanque'!$B$4:$C$480,2,0)</f>
        <v>257.69900000000001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0.26300000000000001</v>
      </c>
      <c r="M26" s="101">
        <f t="shared" si="17"/>
        <v>257.96199999999999</v>
      </c>
      <c r="N26" s="101">
        <f t="shared" si="8"/>
        <v>257.96199999999999</v>
      </c>
      <c r="O26" s="24">
        <f t="shared" si="9"/>
        <v>0</v>
      </c>
      <c r="P26" s="29">
        <f t="shared" si="0"/>
        <v>258.06242920009873</v>
      </c>
      <c r="Q26" s="5">
        <v>68</v>
      </c>
      <c r="R26" s="129">
        <v>39.5</v>
      </c>
      <c r="S26" s="129">
        <v>23.04</v>
      </c>
      <c r="T26" s="129">
        <v>22.9</v>
      </c>
      <c r="U26" s="24">
        <f t="shared" si="10"/>
        <v>0.877</v>
      </c>
      <c r="V26" s="5">
        <f t="shared" si="1"/>
        <v>103.10000000000001</v>
      </c>
      <c r="W26" s="5">
        <f t="shared" si="2"/>
        <v>73.472000000000008</v>
      </c>
      <c r="X26" s="5">
        <f t="shared" si="11"/>
        <v>99.396500000000003</v>
      </c>
      <c r="Y26" s="39">
        <f>1+2*'Arqueação Tanque'!$K$4*(X26-Q26)+('Arqueação Tanque'!$K$4^2)*(X26-Q26)</f>
        <v>1.0003893178068815</v>
      </c>
      <c r="Z26" s="132">
        <v>31.14</v>
      </c>
      <c r="AA26" s="5">
        <v>0.5</v>
      </c>
      <c r="AB26" s="27">
        <f t="shared" si="18"/>
        <v>31.5</v>
      </c>
      <c r="AC26" s="27">
        <f t="shared" si="3"/>
        <v>29.818000000000001</v>
      </c>
      <c r="AD26" s="49">
        <f t="shared" si="12"/>
        <v>30</v>
      </c>
      <c r="AE26" s="48">
        <f t="shared" si="19"/>
        <v>25</v>
      </c>
      <c r="AF26" s="48">
        <f t="shared" si="4"/>
        <v>39.5</v>
      </c>
      <c r="AG26" s="27">
        <f>IFERROR(IF(Z26&lt;57,ROUND(IF(T26="","",DGET('Banco de dados'!$D$3:$F$6293,$AG$4,'Densidade corrigida'!C44:D45)),3),""),"")</f>
        <v>0.88</v>
      </c>
      <c r="AH26" s="27">
        <f>IF(AD26&lt;55,DGET('Banco de dados'!$G$3:$I$9744,$AH$4,FCV!C44:D45),DGET('Banco de dados'!$L$3:$N$499,$AH$4,FCV!B44:C45))</f>
        <v>0.98529999999999995</v>
      </c>
      <c r="AI26" s="27">
        <f t="shared" si="5"/>
        <v>254.26891149085728</v>
      </c>
      <c r="AJ26" s="133">
        <v>2E-3</v>
      </c>
      <c r="AK26" s="34">
        <f t="shared" si="13"/>
        <v>0.50853782298171457</v>
      </c>
      <c r="AL26" s="29">
        <f t="shared" si="14"/>
        <v>253.76037366787557</v>
      </c>
      <c r="AM26" s="29">
        <f>SUMIF(Carregamento!$C$5:$C$36,'Fechamento fiscal'!B26,Carregamento!$AT$5:$AT$36)</f>
        <v>0</v>
      </c>
      <c r="AN26" s="13">
        <f t="shared" si="20"/>
        <v>62.516402601196063</v>
      </c>
      <c r="AO26" s="13">
        <f t="shared" si="21"/>
        <v>393.21629424502902</v>
      </c>
      <c r="AP26" s="153"/>
      <c r="AQ26" s="154"/>
      <c r="AR26" s="155"/>
      <c r="AS26" s="154"/>
      <c r="AT26" s="154"/>
      <c r="AU26" s="155"/>
      <c r="AV26" s="154"/>
      <c r="AW26" s="136" t="s">
        <v>107</v>
      </c>
      <c r="AX26" s="137" t="s">
        <v>108</v>
      </c>
      <c r="AY26" s="136"/>
      <c r="AZ26" s="136" t="s">
        <v>107</v>
      </c>
      <c r="BA26" s="137" t="s">
        <v>108</v>
      </c>
      <c r="BB26" s="136"/>
    </row>
    <row r="27" spans="2:54" x14ac:dyDescent="0.25">
      <c r="B27" s="135">
        <v>44369</v>
      </c>
      <c r="C27" s="129">
        <v>4106</v>
      </c>
      <c r="D27" s="22">
        <f t="shared" si="15"/>
        <v>410</v>
      </c>
      <c r="E27" s="22">
        <f t="shared" si="16"/>
        <v>0.6</v>
      </c>
      <c r="F27" s="129">
        <v>4106</v>
      </c>
      <c r="G27" s="22">
        <f t="shared" si="6"/>
        <v>410</v>
      </c>
      <c r="H27" s="22">
        <f t="shared" si="7"/>
        <v>0.6</v>
      </c>
      <c r="I27" s="2">
        <f>VLOOKUP(D27,'Arqueação Tanque'!$B$4:$C$480,2,0)</f>
        <v>276.12799999999999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0.39400000000000002</v>
      </c>
      <c r="K27" s="2">
        <f>VLOOKUP(G27,'Arqueação Tanque'!$B$4:$C$480,2,0)</f>
        <v>276.12799999999999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0.39400000000000002</v>
      </c>
      <c r="M27" s="101">
        <f t="shared" si="17"/>
        <v>276.52199999999999</v>
      </c>
      <c r="N27" s="101">
        <f t="shared" si="8"/>
        <v>276.52199999999999</v>
      </c>
      <c r="O27" s="24">
        <f t="shared" si="9"/>
        <v>0</v>
      </c>
      <c r="P27" s="29">
        <f t="shared" si="0"/>
        <v>276.6253114005101</v>
      </c>
      <c r="Q27" s="5">
        <v>68</v>
      </c>
      <c r="R27" s="129">
        <v>38.67</v>
      </c>
      <c r="S27" s="129">
        <v>23.22</v>
      </c>
      <c r="T27" s="129">
        <v>22.9</v>
      </c>
      <c r="U27" s="24">
        <f t="shared" si="10"/>
        <v>0.877</v>
      </c>
      <c r="V27" s="5">
        <f t="shared" si="1"/>
        <v>101.60600000000001</v>
      </c>
      <c r="W27" s="5">
        <f t="shared" si="2"/>
        <v>73.795999999999992</v>
      </c>
      <c r="X27" s="5">
        <f t="shared" si="11"/>
        <v>98.129750000000001</v>
      </c>
      <c r="Y27" s="39">
        <f>1+2*'Arqueação Tanque'!$K$4*(X27-Q27)+('Arqueação Tanque'!$K$4^2)*(X27-Q27)</f>
        <v>1.0003736100581875</v>
      </c>
      <c r="Z27" s="132">
        <v>31.14</v>
      </c>
      <c r="AA27" s="5">
        <v>0.5</v>
      </c>
      <c r="AB27" s="27">
        <f t="shared" si="18"/>
        <v>31.5</v>
      </c>
      <c r="AC27" s="27">
        <f t="shared" si="3"/>
        <v>29.818000000000001</v>
      </c>
      <c r="AD27" s="49">
        <f t="shared" si="12"/>
        <v>30</v>
      </c>
      <c r="AE27" s="48">
        <f t="shared" si="19"/>
        <v>25</v>
      </c>
      <c r="AF27" s="48">
        <f t="shared" si="4"/>
        <v>38.5</v>
      </c>
      <c r="AG27" s="27">
        <f>IFERROR(IF(Z27&lt;57,ROUND(IF(T27="","",DGET('Banco de dados'!$D$3:$F$6293,$AG$4,'Densidade corrigida'!C46:D47)),3),""),"")</f>
        <v>0.88</v>
      </c>
      <c r="AH27" s="27">
        <f>IF(AD27&lt;55,DGET('Banco de dados'!$G$3:$I$9744,$AH$4,FCV!C46:D47),DGET('Banco de dados'!$L$3:$N$499,$AH$4,FCV!B46:C47))</f>
        <v>0.98609999999999998</v>
      </c>
      <c r="AI27" s="27">
        <f t="shared" si="5"/>
        <v>272.78021957204299</v>
      </c>
      <c r="AJ27" s="133">
        <v>2E-3</v>
      </c>
      <c r="AK27" s="34">
        <f t="shared" si="13"/>
        <v>0.54556043914408603</v>
      </c>
      <c r="AL27" s="29">
        <f t="shared" si="14"/>
        <v>272.23465913289891</v>
      </c>
      <c r="AM27" s="29">
        <f>SUMIF(Carregamento!$C$5:$C$36,'Fechamento fiscal'!B27,Carregamento!$AT$5:$AT$36)</f>
        <v>0</v>
      </c>
      <c r="AN27" s="13">
        <f t="shared" si="20"/>
        <v>18.474285465023343</v>
      </c>
      <c r="AO27" s="13">
        <f t="shared" si="21"/>
        <v>116.19974546075848</v>
      </c>
      <c r="AP27" s="153"/>
      <c r="AQ27" s="154"/>
      <c r="AR27" s="155"/>
      <c r="AS27" s="154"/>
      <c r="AT27" s="154"/>
      <c r="AU27" s="155"/>
      <c r="AV27" s="154"/>
      <c r="AW27" s="136" t="s">
        <v>107</v>
      </c>
      <c r="AX27" s="137" t="s">
        <v>108</v>
      </c>
      <c r="AY27" s="136"/>
      <c r="AZ27" s="136" t="s">
        <v>107</v>
      </c>
      <c r="BA27" s="137" t="s">
        <v>108</v>
      </c>
      <c r="BB27" s="136"/>
    </row>
    <row r="28" spans="2:54" x14ac:dyDescent="0.25">
      <c r="B28" s="135">
        <v>44370</v>
      </c>
      <c r="C28" s="129">
        <v>1865</v>
      </c>
      <c r="D28" s="22">
        <f t="shared" si="15"/>
        <v>186</v>
      </c>
      <c r="E28" s="22">
        <f t="shared" si="16"/>
        <v>0.5</v>
      </c>
      <c r="F28" s="129">
        <v>1865</v>
      </c>
      <c r="G28" s="22">
        <f t="shared" si="6"/>
        <v>186</v>
      </c>
      <c r="H28" s="22">
        <f t="shared" si="7"/>
        <v>0.5</v>
      </c>
      <c r="I28" s="2">
        <f>VLOOKUP(D28,'Arqueação Tanque'!$B$4:$C$480,2,0)</f>
        <v>128.708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0.32900000000000001</v>
      </c>
      <c r="K28" s="2">
        <f>VLOOKUP(G28,'Arqueação Tanque'!$B$4:$C$480,2,0)</f>
        <v>128.708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0.32900000000000001</v>
      </c>
      <c r="M28" s="101">
        <f t="shared" si="17"/>
        <v>129.03700000000001</v>
      </c>
      <c r="N28" s="101">
        <f t="shared" si="8"/>
        <v>129.03700000000001</v>
      </c>
      <c r="O28" s="24">
        <f t="shared" si="9"/>
        <v>0</v>
      </c>
      <c r="P28" s="29">
        <f t="shared" si="0"/>
        <v>129.0755395357437</v>
      </c>
      <c r="Q28" s="5">
        <v>68</v>
      </c>
      <c r="R28" s="129">
        <v>35.1</v>
      </c>
      <c r="S28" s="129">
        <v>21.35</v>
      </c>
      <c r="T28" s="129">
        <v>22.9</v>
      </c>
      <c r="U28" s="24">
        <f t="shared" si="10"/>
        <v>0.877</v>
      </c>
      <c r="V28" s="5">
        <f t="shared" si="1"/>
        <v>95.18</v>
      </c>
      <c r="W28" s="5">
        <f t="shared" si="2"/>
        <v>70.430000000000007</v>
      </c>
      <c r="X28" s="5">
        <f t="shared" si="11"/>
        <v>92.086250000000007</v>
      </c>
      <c r="Y28" s="39">
        <f>1+2*'Arqueação Tanque'!$K$4*(X28-Q28)+('Arqueação Tanque'!$K$4^2)*(X28-Q28)</f>
        <v>1.0002986704258754</v>
      </c>
      <c r="Z28" s="132">
        <v>31.14</v>
      </c>
      <c r="AA28" s="5">
        <v>0.5</v>
      </c>
      <c r="AB28" s="27">
        <f t="shared" si="18"/>
        <v>31.5</v>
      </c>
      <c r="AC28" s="27">
        <f t="shared" si="3"/>
        <v>29.818000000000001</v>
      </c>
      <c r="AD28" s="49">
        <f t="shared" si="12"/>
        <v>30</v>
      </c>
      <c r="AE28" s="48">
        <f t="shared" si="19"/>
        <v>25</v>
      </c>
      <c r="AF28" s="48">
        <f t="shared" si="4"/>
        <v>35</v>
      </c>
      <c r="AG28" s="27">
        <f>IFERROR(IF(Z28&lt;57,ROUND(IF(T28="","",DGET('Banco de dados'!$D$3:$F$6293,$AG$4,'Densidade corrigida'!C48:D49)),3),""),"")</f>
        <v>0.88</v>
      </c>
      <c r="AH28" s="27">
        <f>IF(AD28&lt;55,DGET('Banco de dados'!$G$3:$I$9744,$AH$4,FCV!C48:D49),DGET('Banco de dados'!$L$3:$N$499,$AH$4,FCV!B48:C49))</f>
        <v>0.98870000000000002</v>
      </c>
      <c r="AI28" s="27">
        <f t="shared" si="5"/>
        <v>127.6169859389898</v>
      </c>
      <c r="AJ28" s="133">
        <v>2E-3</v>
      </c>
      <c r="AK28" s="34">
        <f t="shared" si="13"/>
        <v>0.25523397187797958</v>
      </c>
      <c r="AL28" s="29">
        <f t="shared" si="14"/>
        <v>127.36175196711181</v>
      </c>
      <c r="AM28" s="29">
        <f>SUMIF(Carregamento!$C$5:$C$36,'Fechamento fiscal'!B28,Carregamento!$AT$5:$AT$36)</f>
        <v>144.5435025834478</v>
      </c>
      <c r="AN28" s="13">
        <f t="shared" si="20"/>
        <v>-0.32940458233929348</v>
      </c>
      <c r="AO28" s="13">
        <f t="shared" si="21"/>
        <v>-2.0718922360435115</v>
      </c>
      <c r="AP28" s="153"/>
      <c r="AQ28" s="154"/>
      <c r="AR28" s="155"/>
      <c r="AS28" s="154"/>
      <c r="AT28" s="154"/>
      <c r="AU28" s="155"/>
      <c r="AV28" s="154"/>
      <c r="AW28" s="136" t="s">
        <v>107</v>
      </c>
      <c r="AX28" s="137" t="s">
        <v>108</v>
      </c>
      <c r="AY28" s="136"/>
      <c r="AZ28" s="136" t="s">
        <v>107</v>
      </c>
      <c r="BA28" s="137" t="s">
        <v>108</v>
      </c>
      <c r="BB28" s="136"/>
    </row>
    <row r="29" spans="2:54" x14ac:dyDescent="0.25">
      <c r="B29" s="135">
        <v>44371</v>
      </c>
      <c r="C29" s="129">
        <v>177</v>
      </c>
      <c r="D29" s="22">
        <f t="shared" si="15"/>
        <v>17</v>
      </c>
      <c r="E29" s="22">
        <f t="shared" si="16"/>
        <v>0.7</v>
      </c>
      <c r="F29" s="129">
        <v>177</v>
      </c>
      <c r="G29" s="22">
        <f t="shared" si="6"/>
        <v>17</v>
      </c>
      <c r="H29" s="22">
        <f t="shared" si="7"/>
        <v>0.7</v>
      </c>
      <c r="I29" s="2">
        <f>VLOOKUP(D29,'Arqueação Tanque'!$B$4:$C$480,2,0)</f>
        <v>17.370999999999999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0.46</v>
      </c>
      <c r="K29" s="2">
        <f>VLOOKUP(G29,'Arqueação Tanque'!$B$4:$C$480,2,0)</f>
        <v>17.370999999999999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0.46</v>
      </c>
      <c r="M29" s="101">
        <f t="shared" si="17"/>
        <v>17.831</v>
      </c>
      <c r="N29" s="101">
        <f t="shared" si="8"/>
        <v>17.831</v>
      </c>
      <c r="O29" s="24">
        <f t="shared" si="9"/>
        <v>0</v>
      </c>
      <c r="P29" s="29">
        <f t="shared" si="0"/>
        <v>17.830685588568528</v>
      </c>
      <c r="Q29" s="5">
        <v>68</v>
      </c>
      <c r="R29" s="129">
        <v>19.7</v>
      </c>
      <c r="S29" s="129">
        <v>15.78</v>
      </c>
      <c r="T29" s="129">
        <v>23.2</v>
      </c>
      <c r="U29" s="24">
        <f t="shared" si="10"/>
        <v>0.877</v>
      </c>
      <c r="V29" s="5">
        <f t="shared" si="1"/>
        <v>67.460000000000008</v>
      </c>
      <c r="W29" s="5">
        <f t="shared" si="2"/>
        <v>60.403999999999996</v>
      </c>
      <c r="X29" s="5">
        <f t="shared" si="11"/>
        <v>66.578000000000003</v>
      </c>
      <c r="Y29" s="39">
        <f>1+2*'Arqueação Tanque'!$K$4*(X29-Q29)+('Arqueação Tanque'!$K$4^2)*(X29-Q29)</f>
        <v>0.99998236714533828</v>
      </c>
      <c r="Z29" s="132">
        <v>31.14</v>
      </c>
      <c r="AA29" s="5">
        <v>0.5</v>
      </c>
      <c r="AB29" s="27">
        <f t="shared" si="18"/>
        <v>31.5</v>
      </c>
      <c r="AC29" s="27">
        <f t="shared" si="3"/>
        <v>29.764000000000003</v>
      </c>
      <c r="AD29" s="49">
        <f t="shared" si="12"/>
        <v>30</v>
      </c>
      <c r="AE29" s="48">
        <f t="shared" si="19"/>
        <v>25</v>
      </c>
      <c r="AF29" s="48">
        <f t="shared" si="4"/>
        <v>25</v>
      </c>
      <c r="AG29" s="27">
        <f>IFERROR(IF(Z29&lt;57,ROUND(IF(T29="","",DGET('Banco de dados'!$D$3:$F$6293,$AG$4,'Densidade corrigida'!C50:D51)),3),""),"")</f>
        <v>0.88</v>
      </c>
      <c r="AH29" s="27">
        <f>IF(AD29&lt;55,DGET('Banco de dados'!$G$3:$I$9744,$AH$4,FCV!C50:D51),DGET('Banco de dados'!$L$3:$N$499,$AH$4,FCV!B50:C51))</f>
        <v>0.99619999999999997</v>
      </c>
      <c r="AI29" s="27">
        <f t="shared" si="5"/>
        <v>17.762928983331967</v>
      </c>
      <c r="AJ29" s="133">
        <v>4.0000000000000001E-3</v>
      </c>
      <c r="AK29" s="34">
        <f t="shared" si="13"/>
        <v>7.1051715933327875E-2</v>
      </c>
      <c r="AL29" s="29">
        <f t="shared" si="14"/>
        <v>17.691877267398638</v>
      </c>
      <c r="AM29" s="29">
        <f>SUMIF(Carregamento!$C$5:$C$36,'Fechamento fiscal'!B29,Carregamento!$AT$5:$AT$36)</f>
        <v>109.53742022970289</v>
      </c>
      <c r="AN29" s="13">
        <f t="shared" si="20"/>
        <v>-0.13245447001028765</v>
      </c>
      <c r="AO29" s="13">
        <f t="shared" si="21"/>
        <v>-0.83311345001540738</v>
      </c>
      <c r="AP29" s="153"/>
      <c r="AQ29" s="154"/>
      <c r="AR29" s="155"/>
      <c r="AS29" s="154"/>
      <c r="AT29" s="154"/>
      <c r="AU29" s="155"/>
      <c r="AV29" s="154"/>
      <c r="AW29" s="136" t="s">
        <v>107</v>
      </c>
      <c r="AX29" s="137" t="s">
        <v>108</v>
      </c>
      <c r="AY29" s="136"/>
      <c r="AZ29" s="136" t="s">
        <v>107</v>
      </c>
      <c r="BA29" s="137" t="s">
        <v>108</v>
      </c>
      <c r="BB29" s="136"/>
    </row>
    <row r="30" spans="2:54" x14ac:dyDescent="0.25">
      <c r="B30" s="135">
        <v>44372</v>
      </c>
      <c r="C30" s="129">
        <v>1138</v>
      </c>
      <c r="D30" s="22">
        <f t="shared" si="15"/>
        <v>113</v>
      </c>
      <c r="E30" s="22">
        <f t="shared" si="16"/>
        <v>0.8</v>
      </c>
      <c r="F30" s="129">
        <v>1138</v>
      </c>
      <c r="G30" s="22">
        <f t="shared" si="6"/>
        <v>113</v>
      </c>
      <c r="H30" s="22">
        <f t="shared" si="7"/>
        <v>0.8</v>
      </c>
      <c r="I30" s="2">
        <f>VLOOKUP(D30,'Arqueação Tanque'!$B$4:$C$480,2,0)</f>
        <v>80.671000000000006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0.52600000000000002</v>
      </c>
      <c r="K30" s="2">
        <f>VLOOKUP(G30,'Arqueação Tanque'!$B$4:$C$480,2,0)</f>
        <v>80.671000000000006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0.52600000000000002</v>
      </c>
      <c r="M30" s="101">
        <f t="shared" si="17"/>
        <v>81.197000000000003</v>
      </c>
      <c r="N30" s="101">
        <f t="shared" si="8"/>
        <v>81.197000000000003</v>
      </c>
      <c r="O30" s="24">
        <f t="shared" si="9"/>
        <v>0</v>
      </c>
      <c r="P30" s="29">
        <f t="shared" si="0"/>
        <v>81.213276922873803</v>
      </c>
      <c r="Q30" s="5">
        <v>68</v>
      </c>
      <c r="R30" s="129">
        <v>30.64</v>
      </c>
      <c r="S30" s="129">
        <v>17.37</v>
      </c>
      <c r="T30" s="129">
        <v>23.2</v>
      </c>
      <c r="U30" s="24">
        <f t="shared" si="10"/>
        <v>0.877</v>
      </c>
      <c r="V30" s="5">
        <f t="shared" si="1"/>
        <v>87.152000000000001</v>
      </c>
      <c r="W30" s="5">
        <f t="shared" si="2"/>
        <v>63.266000000000005</v>
      </c>
      <c r="X30" s="5">
        <f t="shared" si="11"/>
        <v>84.166249999999991</v>
      </c>
      <c r="Y30" s="39">
        <f>1+2*'Arqueação Tanque'!$K$4*(X30-Q30)+('Arqueação Tanque'!$K$4^2)*(X30-Q30)</f>
        <v>1.0002004621214307</v>
      </c>
      <c r="Z30" s="132">
        <v>31.14</v>
      </c>
      <c r="AA30" s="5">
        <v>0.5</v>
      </c>
      <c r="AB30" s="27">
        <f t="shared" si="18"/>
        <v>31.5</v>
      </c>
      <c r="AC30" s="27">
        <f t="shared" si="3"/>
        <v>29.764000000000003</v>
      </c>
      <c r="AD30" s="49">
        <f t="shared" si="12"/>
        <v>30</v>
      </c>
      <c r="AE30" s="48">
        <f t="shared" si="19"/>
        <v>25</v>
      </c>
      <c r="AF30" s="48">
        <f t="shared" si="4"/>
        <v>30.5</v>
      </c>
      <c r="AG30" s="27">
        <f>IFERROR(IF(Z30&lt;57,ROUND(IF(T30="","",DGET('Banco de dados'!$D$3:$F$6293,$AG$4,'Densidade corrigida'!C52:D53)),3),""),"")</f>
        <v>0.88</v>
      </c>
      <c r="AH30" s="27">
        <f>IF(AD30&lt;55,DGET('Banco de dados'!$G$3:$I$9744,$AH$4,FCV!C52:D53),DGET('Banco de dados'!$L$3:$N$499,$AH$4,FCV!B52:C53))</f>
        <v>0.99209999999999998</v>
      </c>
      <c r="AI30" s="27">
        <f t="shared" si="5"/>
        <v>80.571692035183105</v>
      </c>
      <c r="AJ30" s="133">
        <v>4.0000000000000001E-3</v>
      </c>
      <c r="AK30" s="34">
        <f t="shared" si="13"/>
        <v>0.32228676814073243</v>
      </c>
      <c r="AL30" s="29">
        <f t="shared" si="14"/>
        <v>80.249405267042377</v>
      </c>
      <c r="AM30" s="29">
        <f>SUMIF(Carregamento!$C$5:$C$36,'Fechamento fiscal'!B30,Carregamento!$AT$5:$AT$36)</f>
        <v>0</v>
      </c>
      <c r="AN30" s="13">
        <f t="shared" si="20"/>
        <v>62.557527999643739</v>
      </c>
      <c r="AO30" s="13">
        <f t="shared" si="21"/>
        <v>393.47496518743918</v>
      </c>
      <c r="AP30" s="153"/>
      <c r="AQ30" s="154"/>
      <c r="AR30" s="155"/>
      <c r="AS30" s="154"/>
      <c r="AT30" s="154"/>
      <c r="AU30" s="155"/>
      <c r="AV30" s="154"/>
      <c r="AW30" s="136" t="s">
        <v>107</v>
      </c>
      <c r="AX30" s="137" t="s">
        <v>108</v>
      </c>
      <c r="AY30" s="136"/>
      <c r="AZ30" s="136" t="s">
        <v>107</v>
      </c>
      <c r="BA30" s="137" t="s">
        <v>108</v>
      </c>
      <c r="BB30" s="136"/>
    </row>
    <row r="31" spans="2:54" x14ac:dyDescent="0.25">
      <c r="B31" s="135">
        <v>44373</v>
      </c>
      <c r="C31" s="129">
        <v>2102</v>
      </c>
      <c r="D31" s="22">
        <f t="shared" si="15"/>
        <v>210</v>
      </c>
      <c r="E31" s="22">
        <f t="shared" si="16"/>
        <v>0.2</v>
      </c>
      <c r="F31" s="129">
        <v>2102</v>
      </c>
      <c r="G31" s="22">
        <f t="shared" si="6"/>
        <v>210</v>
      </c>
      <c r="H31" s="22">
        <f t="shared" si="7"/>
        <v>0.2</v>
      </c>
      <c r="I31" s="2">
        <f>VLOOKUP(D31,'Arqueação Tanque'!$B$4:$C$480,2,0)</f>
        <v>144.50200000000001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0.13100000000000001</v>
      </c>
      <c r="K31" s="2">
        <f>VLOOKUP(G31,'Arqueação Tanque'!$B$4:$C$480,2,0)</f>
        <v>144.50200000000001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0.13100000000000001</v>
      </c>
      <c r="M31" s="101">
        <f t="shared" si="17"/>
        <v>144.63300000000001</v>
      </c>
      <c r="N31" s="101">
        <f t="shared" si="8"/>
        <v>144.63300000000001</v>
      </c>
      <c r="O31" s="24">
        <f t="shared" si="9"/>
        <v>0</v>
      </c>
      <c r="P31" s="29">
        <f t="shared" si="0"/>
        <v>144.70023975748671</v>
      </c>
      <c r="Q31" s="5">
        <v>68</v>
      </c>
      <c r="R31" s="129">
        <v>44.2</v>
      </c>
      <c r="S31" s="129">
        <v>17.23</v>
      </c>
      <c r="T31" s="129">
        <v>23.2</v>
      </c>
      <c r="U31" s="24">
        <f t="shared" si="10"/>
        <v>0.877</v>
      </c>
      <c r="V31" s="5">
        <f t="shared" si="1"/>
        <v>111.56</v>
      </c>
      <c r="W31" s="5">
        <f t="shared" si="2"/>
        <v>63.014000000000003</v>
      </c>
      <c r="X31" s="5">
        <f t="shared" si="11"/>
        <v>105.49175000000001</v>
      </c>
      <c r="Y31" s="39">
        <f>1+2*'Arqueação Tanque'!$K$4*(X31-Q31)+('Arqueação Tanque'!$K$4^2)*(X31-Q31)</f>
        <v>1.0004648991411829</v>
      </c>
      <c r="Z31" s="132">
        <v>31.14</v>
      </c>
      <c r="AA31" s="5">
        <v>0.5</v>
      </c>
      <c r="AB31" s="27">
        <f t="shared" si="18"/>
        <v>31.5</v>
      </c>
      <c r="AC31" s="27">
        <f t="shared" si="3"/>
        <v>29.764000000000003</v>
      </c>
      <c r="AD31" s="49">
        <f t="shared" si="12"/>
        <v>30</v>
      </c>
      <c r="AE31" s="48">
        <f t="shared" si="19"/>
        <v>25</v>
      </c>
      <c r="AF31" s="48">
        <f t="shared" si="4"/>
        <v>44</v>
      </c>
      <c r="AG31" s="27">
        <f>IFERROR(IF(Z31&lt;57,ROUND(IF(T31="","",DGET('Banco de dados'!$D$3:$F$6293,$AG$4,'Densidade corrigida'!C54:D55)),3),""),"")</f>
        <v>0.88</v>
      </c>
      <c r="AH31" s="27">
        <f>IF(AD31&lt;55,DGET('Banco de dados'!$G$3:$I$9744,$AH$4,FCV!C54:D55),DGET('Banco de dados'!$L$3:$N$499,$AH$4,FCV!B54:C55))</f>
        <v>0.9819</v>
      </c>
      <c r="AI31" s="27">
        <f t="shared" si="5"/>
        <v>142.08116541787621</v>
      </c>
      <c r="AJ31" s="133">
        <v>4.0000000000000001E-3</v>
      </c>
      <c r="AK31" s="34">
        <f t="shared" si="13"/>
        <v>0.56832466167150486</v>
      </c>
      <c r="AL31" s="29">
        <f t="shared" si="14"/>
        <v>141.5128407562047</v>
      </c>
      <c r="AM31" s="29">
        <f>SUMIF(Carregamento!$C$5:$C$36,'Fechamento fiscal'!B31,Carregamento!$AT$5:$AT$36)</f>
        <v>0</v>
      </c>
      <c r="AN31" s="13">
        <f t="shared" si="20"/>
        <v>61.263435489162319</v>
      </c>
      <c r="AO31" s="13">
        <f t="shared" si="21"/>
        <v>385.33536917408804</v>
      </c>
      <c r="AP31" s="153"/>
      <c r="AQ31" s="154"/>
      <c r="AR31" s="155"/>
      <c r="AS31" s="154"/>
      <c r="AT31" s="154"/>
      <c r="AU31" s="155"/>
      <c r="AV31" s="154"/>
      <c r="AW31" s="136" t="s">
        <v>107</v>
      </c>
      <c r="AX31" s="137" t="s">
        <v>108</v>
      </c>
      <c r="AY31" s="136"/>
      <c r="AZ31" s="136" t="s">
        <v>107</v>
      </c>
      <c r="BA31" s="137" t="s">
        <v>108</v>
      </c>
      <c r="BB31" s="136"/>
    </row>
    <row r="32" spans="2:54" x14ac:dyDescent="0.25">
      <c r="B32" s="135">
        <v>44374</v>
      </c>
      <c r="C32" s="129">
        <v>1399</v>
      </c>
      <c r="D32" s="22">
        <f t="shared" si="15"/>
        <v>139</v>
      </c>
      <c r="E32" s="22">
        <f t="shared" si="16"/>
        <v>0.9</v>
      </c>
      <c r="F32" s="129">
        <v>1399</v>
      </c>
      <c r="G32" s="22">
        <f t="shared" si="6"/>
        <v>139</v>
      </c>
      <c r="H32" s="22">
        <f t="shared" si="7"/>
        <v>0.9</v>
      </c>
      <c r="I32" s="2">
        <f>VLOOKUP(D32,'Arqueação Tanque'!$B$4:$C$480,2,0)</f>
        <v>97.778999999999996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0.59199999999999997</v>
      </c>
      <c r="K32" s="2">
        <f>VLOOKUP(G32,'Arqueação Tanque'!$B$4:$C$480,2,0)</f>
        <v>97.778999999999996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0.59199999999999997</v>
      </c>
      <c r="M32" s="101">
        <f t="shared" si="17"/>
        <v>98.370999999999995</v>
      </c>
      <c r="N32" s="101">
        <f t="shared" si="8"/>
        <v>98.370999999999995</v>
      </c>
      <c r="O32" s="24">
        <f t="shared" si="9"/>
        <v>0</v>
      </c>
      <c r="P32" s="29">
        <f t="shared" si="0"/>
        <v>98.402567922312059</v>
      </c>
      <c r="Q32" s="5">
        <v>68</v>
      </c>
      <c r="R32" s="129">
        <v>36.799999999999997</v>
      </c>
      <c r="S32" s="129">
        <v>17.420000000000002</v>
      </c>
      <c r="T32" s="129">
        <v>22.9</v>
      </c>
      <c r="U32" s="24">
        <f t="shared" si="10"/>
        <v>0.878</v>
      </c>
      <c r="V32" s="5">
        <f t="shared" si="1"/>
        <v>98.24</v>
      </c>
      <c r="W32" s="5">
        <f t="shared" si="2"/>
        <v>63.356000000000009</v>
      </c>
      <c r="X32" s="5">
        <f t="shared" si="11"/>
        <v>93.879499999999993</v>
      </c>
      <c r="Y32" s="39">
        <f>1+2*'Arqueação Tanque'!$K$4*(X32-Q32)+('Arqueação Tanque'!$K$4^2)*(X32-Q32)</f>
        <v>1.000320906794808</v>
      </c>
      <c r="Z32" s="132">
        <v>30.95</v>
      </c>
      <c r="AA32" s="5">
        <v>0.5</v>
      </c>
      <c r="AB32" s="27">
        <f t="shared" si="18"/>
        <v>31</v>
      </c>
      <c r="AC32" s="27">
        <f t="shared" si="3"/>
        <v>29.628</v>
      </c>
      <c r="AD32" s="49">
        <f t="shared" si="12"/>
        <v>30</v>
      </c>
      <c r="AE32" s="48">
        <f t="shared" si="19"/>
        <v>25</v>
      </c>
      <c r="AF32" s="48">
        <f t="shared" si="4"/>
        <v>36.5</v>
      </c>
      <c r="AG32" s="27">
        <f>IFERROR(IF(Z32&lt;57,ROUND(IF(T32="","",DGET('Banco de dados'!$D$3:$F$6293,$AG$4,'Densidade corrigida'!C56:D57)),3),""),"")</f>
        <v>0.88100000000000001</v>
      </c>
      <c r="AH32" s="27">
        <f>IF(AD32&lt;55,DGET('Banco de dados'!$G$3:$I$9744,$AH$4,FCV!C56:D57),DGET('Banco de dados'!$L$3:$N$499,$AH$4,FCV!B56:C57))</f>
        <v>0.98760000000000003</v>
      </c>
      <c r="AI32" s="27">
        <f t="shared" si="5"/>
        <v>97.182376080075386</v>
      </c>
      <c r="AJ32" s="133">
        <v>1E-3</v>
      </c>
      <c r="AK32" s="34">
        <f t="shared" si="13"/>
        <v>9.7182376080075392E-2</v>
      </c>
      <c r="AL32" s="29">
        <f t="shared" si="14"/>
        <v>97.085193703995316</v>
      </c>
      <c r="AM32" s="29">
        <f>SUMIF(Carregamento!$C$5:$C$36,'Fechamento fiscal'!B32,Carregamento!$AT$5:$AT$36)</f>
        <v>44.79342880486189</v>
      </c>
      <c r="AN32" s="13">
        <f t="shared" si="20"/>
        <v>0.36578175265250934</v>
      </c>
      <c r="AO32" s="13">
        <f t="shared" si="21"/>
        <v>2.3006977256512799</v>
      </c>
      <c r="AP32" s="153"/>
      <c r="AQ32" s="154"/>
      <c r="AR32" s="155"/>
      <c r="AS32" s="154"/>
      <c r="AT32" s="154"/>
      <c r="AU32" s="155"/>
      <c r="AV32" s="154"/>
      <c r="AW32" s="136" t="s">
        <v>107</v>
      </c>
      <c r="AX32" s="137" t="s">
        <v>108</v>
      </c>
      <c r="AY32" s="136"/>
      <c r="AZ32" s="136" t="s">
        <v>107</v>
      </c>
      <c r="BA32" s="137" t="s">
        <v>108</v>
      </c>
      <c r="BB32" s="136"/>
    </row>
    <row r="33" spans="2:54" x14ac:dyDescent="0.25">
      <c r="B33" s="135">
        <v>44375</v>
      </c>
      <c r="C33" s="129">
        <v>248</v>
      </c>
      <c r="D33" s="22">
        <f t="shared" si="15"/>
        <v>24</v>
      </c>
      <c r="E33" s="22">
        <f t="shared" si="16"/>
        <v>0.8</v>
      </c>
      <c r="F33" s="129">
        <v>248</v>
      </c>
      <c r="G33" s="22">
        <f t="shared" si="6"/>
        <v>24</v>
      </c>
      <c r="H33" s="22">
        <f t="shared" si="7"/>
        <v>0.8</v>
      </c>
      <c r="I33" s="2">
        <f>VLOOKUP(D33,'Arqueação Tanque'!$B$4:$C$480,2,0)</f>
        <v>21.988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0.52600000000000002</v>
      </c>
      <c r="K33" s="2">
        <f>VLOOKUP(G33,'Arqueação Tanque'!$B$4:$C$480,2,0)</f>
        <v>21.988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0.52600000000000002</v>
      </c>
      <c r="M33" s="101">
        <f t="shared" si="17"/>
        <v>22.513999999999999</v>
      </c>
      <c r="N33" s="101">
        <f t="shared" si="8"/>
        <v>22.513999999999999</v>
      </c>
      <c r="O33" s="24">
        <f t="shared" si="9"/>
        <v>0</v>
      </c>
      <c r="P33" s="29">
        <f t="shared" si="0"/>
        <v>22.515509426541012</v>
      </c>
      <c r="Q33" s="5">
        <v>68</v>
      </c>
      <c r="R33" s="129">
        <v>23.79</v>
      </c>
      <c r="S33" s="129">
        <v>17.5</v>
      </c>
      <c r="T33" s="129">
        <v>22.9</v>
      </c>
      <c r="U33" s="24">
        <f t="shared" si="10"/>
        <v>0.878</v>
      </c>
      <c r="V33" s="5">
        <f t="shared" si="1"/>
        <v>74.822000000000003</v>
      </c>
      <c r="W33" s="5">
        <f t="shared" si="2"/>
        <v>63.5</v>
      </c>
      <c r="X33" s="5">
        <f t="shared" si="11"/>
        <v>73.406750000000002</v>
      </c>
      <c r="Y33" s="39">
        <f>1+2*'Arqueação Tanque'!$K$4*(X33-Q33)+('Arqueação Tanque'!$K$4^2)*(X33-Q33)</f>
        <v>1.0000670439078356</v>
      </c>
      <c r="Z33" s="132">
        <v>30.95</v>
      </c>
      <c r="AA33" s="5">
        <v>0.5</v>
      </c>
      <c r="AB33" s="27">
        <f t="shared" si="18"/>
        <v>31</v>
      </c>
      <c r="AC33" s="27">
        <f t="shared" si="3"/>
        <v>29.628</v>
      </c>
      <c r="AD33" s="49">
        <f t="shared" si="12"/>
        <v>30</v>
      </c>
      <c r="AE33" s="48">
        <f t="shared" si="19"/>
        <v>25</v>
      </c>
      <c r="AF33" s="48">
        <f t="shared" si="4"/>
        <v>25</v>
      </c>
      <c r="AG33" s="27">
        <f>IFERROR(IF(Z33&lt;57,ROUND(IF(T33="","",DGET('Banco de dados'!$D$3:$F$6293,$AG$4,'Densidade corrigida'!C58:D59)),3),""),"")</f>
        <v>0.88100000000000001</v>
      </c>
      <c r="AH33" s="27">
        <f>IF(AD33&lt;55,DGET('Banco de dados'!$G$3:$I$9744,$AH$4,FCV!C58:D59),DGET('Banco de dados'!$L$3:$N$499,$AH$4,FCV!B58:C59))</f>
        <v>0.99619999999999997</v>
      </c>
      <c r="AI33" s="27">
        <f t="shared" si="5"/>
        <v>22.429950490720156</v>
      </c>
      <c r="AJ33" s="133">
        <v>1E-3</v>
      </c>
      <c r="AK33" s="34">
        <f t="shared" si="13"/>
        <v>2.2429950490720156E-2</v>
      </c>
      <c r="AL33" s="29">
        <f t="shared" si="14"/>
        <v>22.407520540229434</v>
      </c>
      <c r="AM33" s="29">
        <f>SUMIF(Carregamento!$C$5:$C$36,'Fechamento fiscal'!B33,Carregamento!$AT$5:$AT$36)</f>
        <v>74.841176782191141</v>
      </c>
      <c r="AN33" s="13">
        <f t="shared" si="20"/>
        <v>0.16350361842525274</v>
      </c>
      <c r="AO33" s="13">
        <f t="shared" si="21"/>
        <v>1.0284066942073389</v>
      </c>
      <c r="AP33" s="153"/>
      <c r="AQ33" s="154"/>
      <c r="AR33" s="155"/>
      <c r="AS33" s="154"/>
      <c r="AT33" s="154"/>
      <c r="AU33" s="155"/>
      <c r="AV33" s="154"/>
      <c r="AW33" s="136" t="s">
        <v>107</v>
      </c>
      <c r="AX33" s="137" t="s">
        <v>108</v>
      </c>
      <c r="AY33" s="136"/>
      <c r="AZ33" s="136" t="s">
        <v>107</v>
      </c>
      <c r="BA33" s="137" t="s">
        <v>108</v>
      </c>
      <c r="BB33" s="136"/>
    </row>
    <row r="34" spans="2:54" x14ac:dyDescent="0.25">
      <c r="B34" s="135">
        <v>44376</v>
      </c>
      <c r="C34" s="129">
        <v>1178</v>
      </c>
      <c r="D34" s="22">
        <f t="shared" si="15"/>
        <v>117</v>
      </c>
      <c r="E34" s="22">
        <f t="shared" si="16"/>
        <v>0.8</v>
      </c>
      <c r="F34" s="129">
        <v>1178</v>
      </c>
      <c r="G34" s="22">
        <f t="shared" si="6"/>
        <v>117</v>
      </c>
      <c r="H34" s="22">
        <f t="shared" si="7"/>
        <v>0.8</v>
      </c>
      <c r="I34" s="2">
        <f>VLOOKUP(D34,'Arqueação Tanque'!$B$4:$C$480,2,0)</f>
        <v>83.302999999999997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0.52600000000000002</v>
      </c>
      <c r="K34" s="2">
        <f>VLOOKUP(G34,'Arqueação Tanque'!$B$4:$C$480,2,0)</f>
        <v>83.302999999999997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0.52600000000000002</v>
      </c>
      <c r="M34" s="101">
        <f t="shared" si="17"/>
        <v>83.828999999999994</v>
      </c>
      <c r="N34" s="101">
        <f t="shared" si="8"/>
        <v>83.828999999999994</v>
      </c>
      <c r="O34" s="24">
        <f t="shared" si="9"/>
        <v>0</v>
      </c>
      <c r="P34" s="29">
        <f t="shared" si="0"/>
        <v>83.848309432908664</v>
      </c>
      <c r="Q34" s="5">
        <v>68</v>
      </c>
      <c r="R34" s="129">
        <v>31.8</v>
      </c>
      <c r="S34" s="129">
        <v>19.96</v>
      </c>
      <c r="T34" s="129">
        <v>22.9</v>
      </c>
      <c r="U34" s="24">
        <f t="shared" si="10"/>
        <v>0.878</v>
      </c>
      <c r="V34" s="5">
        <f t="shared" si="1"/>
        <v>89.240000000000009</v>
      </c>
      <c r="W34" s="5">
        <f t="shared" si="2"/>
        <v>67.927999999999997</v>
      </c>
      <c r="X34" s="5">
        <f t="shared" si="11"/>
        <v>86.576000000000008</v>
      </c>
      <c r="Y34" s="39">
        <f>1+2*'Arqueação Tanque'!$K$4*(X34-Q34)+('Arqueação Tanque'!$K$4^2)*(X34-Q34)</f>
        <v>1.0002303431140616</v>
      </c>
      <c r="Z34" s="132">
        <v>30.95</v>
      </c>
      <c r="AA34" s="5">
        <v>0.5</v>
      </c>
      <c r="AB34" s="27">
        <f t="shared" si="18"/>
        <v>31</v>
      </c>
      <c r="AC34" s="27">
        <f t="shared" si="3"/>
        <v>29.628</v>
      </c>
      <c r="AD34" s="49">
        <f t="shared" si="12"/>
        <v>30</v>
      </c>
      <c r="AE34" s="48">
        <f t="shared" si="19"/>
        <v>25</v>
      </c>
      <c r="AF34" s="48">
        <f t="shared" si="4"/>
        <v>31.5</v>
      </c>
      <c r="AG34" s="27">
        <f>IFERROR(IF(Z34&lt;57,ROUND(IF(T34="","",DGET('Banco de dados'!$D$3:$F$6293,$AG$4,'Densidade corrigida'!C60:D61)),3),""),"")</f>
        <v>0.88100000000000001</v>
      </c>
      <c r="AH34" s="27">
        <f>IF(AD34&lt;55,DGET('Banco de dados'!$G$3:$I$9744,$AH$4,FCV!C60:D61),DGET('Banco de dados'!$L$3:$N$499,$AH$4,FCV!B60:C61))</f>
        <v>0.99129999999999996</v>
      </c>
      <c r="AI34" s="27">
        <f t="shared" si="5"/>
        <v>83.118829140842351</v>
      </c>
      <c r="AJ34" s="133">
        <v>1E-3</v>
      </c>
      <c r="AK34" s="34">
        <f t="shared" si="13"/>
        <v>8.3118829140842357E-2</v>
      </c>
      <c r="AL34" s="29">
        <f t="shared" si="14"/>
        <v>83.035710311701507</v>
      </c>
      <c r="AM34" s="29">
        <f>SUMIF(Carregamento!$C$5:$C$36,'Fechamento fiscal'!B34,Carregamento!$AT$5:$AT$36)</f>
        <v>0</v>
      </c>
      <c r="AN34" s="13">
        <f t="shared" si="20"/>
        <v>60.628189771472073</v>
      </c>
      <c r="AO34" s="13">
        <f t="shared" si="21"/>
        <v>381.33979430650277</v>
      </c>
      <c r="AP34" s="153"/>
      <c r="AQ34" s="154"/>
      <c r="AR34" s="155"/>
      <c r="AS34" s="154"/>
      <c r="AT34" s="154"/>
      <c r="AU34" s="155"/>
      <c r="AV34" s="154"/>
      <c r="AW34" s="136" t="s">
        <v>107</v>
      </c>
      <c r="AX34" s="137" t="s">
        <v>108</v>
      </c>
      <c r="AY34" s="136"/>
      <c r="AZ34" s="136" t="s">
        <v>107</v>
      </c>
      <c r="BA34" s="137" t="s">
        <v>108</v>
      </c>
      <c r="BB34" s="136"/>
    </row>
    <row r="35" spans="2:54" x14ac:dyDescent="0.25">
      <c r="B35" s="135">
        <v>44377</v>
      </c>
      <c r="C35" s="129">
        <v>250</v>
      </c>
      <c r="D35" s="22">
        <f t="shared" si="15"/>
        <v>25</v>
      </c>
      <c r="E35" s="22">
        <f t="shared" si="16"/>
        <v>0</v>
      </c>
      <c r="F35" s="129">
        <v>250</v>
      </c>
      <c r="G35" s="22">
        <f t="shared" si="6"/>
        <v>25</v>
      </c>
      <c r="H35" s="22">
        <f t="shared" si="7"/>
        <v>0</v>
      </c>
      <c r="I35" s="2">
        <f>VLOOKUP(D35,'Arqueação Tanque'!$B$4:$C$480,2,0)</f>
        <v>22.648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</v>
      </c>
      <c r="K35" s="2">
        <f>VLOOKUP(G35,'Arqueação Tanque'!$B$4:$C$480,2,0)</f>
        <v>22.648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</v>
      </c>
      <c r="M35" s="101">
        <f t="shared" si="17"/>
        <v>22.648</v>
      </c>
      <c r="N35" s="101">
        <f t="shared" si="8"/>
        <v>22.648</v>
      </c>
      <c r="O35" s="24">
        <f t="shared" si="9"/>
        <v>0</v>
      </c>
      <c r="P35" s="29">
        <f t="shared" si="0"/>
        <v>22.650583762058435</v>
      </c>
      <c r="Q35" s="5">
        <v>68</v>
      </c>
      <c r="R35" s="129">
        <v>25.81</v>
      </c>
      <c r="S35" s="129">
        <v>20.22</v>
      </c>
      <c r="T35" s="129">
        <v>23.9</v>
      </c>
      <c r="U35" s="24">
        <f t="shared" si="10"/>
        <v>0.88</v>
      </c>
      <c r="V35" s="5">
        <f t="shared" si="1"/>
        <v>78.457999999999998</v>
      </c>
      <c r="W35" s="5">
        <f t="shared" si="2"/>
        <v>68.396000000000001</v>
      </c>
      <c r="X35" s="5">
        <f t="shared" si="11"/>
        <v>77.200249999999997</v>
      </c>
      <c r="Y35" s="39">
        <f>1+2*'Arqueação Tanque'!$K$4*(X35-Q35)+('Arqueação Tanque'!$K$4^2)*(X35-Q35)</f>
        <v>1.0001140834536575</v>
      </c>
      <c r="Z35" s="132">
        <v>30.77</v>
      </c>
      <c r="AA35" s="5">
        <v>0.5</v>
      </c>
      <c r="AB35" s="27">
        <f t="shared" si="18"/>
        <v>31</v>
      </c>
      <c r="AC35" s="27">
        <f t="shared" si="3"/>
        <v>29.268000000000001</v>
      </c>
      <c r="AD35" s="49">
        <f t="shared" si="12"/>
        <v>29</v>
      </c>
      <c r="AE35" s="48">
        <f t="shared" si="19"/>
        <v>25</v>
      </c>
      <c r="AF35" s="48">
        <f t="shared" si="4"/>
        <v>25.5</v>
      </c>
      <c r="AG35" s="27">
        <f>IFERROR(IF(Z35&lt;57,ROUND(IF(T35="","",DGET('Banco de dados'!$D$3:$F$6293,$AG$4,'Densidade corrigida'!C62:D63)),3),""),"")</f>
        <v>0.88300000000000001</v>
      </c>
      <c r="AH35" s="27">
        <f>IF(AD35&lt;55,DGET('Banco de dados'!$G$3:$I$9744,$AH$4,FCV!C62:D63),DGET('Banco de dados'!$L$3:$N$499,$AH$4,FCV!B62:C63))</f>
        <v>0.99590000000000001</v>
      </c>
      <c r="AI35" s="27">
        <f t="shared" si="5"/>
        <v>22.557716368633997</v>
      </c>
      <c r="AJ35" s="133">
        <v>1E-3</v>
      </c>
      <c r="AK35" s="34">
        <f t="shared" si="13"/>
        <v>2.2557716368633997E-2</v>
      </c>
      <c r="AL35" s="29">
        <f t="shared" si="14"/>
        <v>22.535158652265363</v>
      </c>
      <c r="AM35" s="29">
        <f>SUMIF(Carregamento!$C$5:$C$36,'Fechamento fiscal'!B35,Carregamento!$AT$5:$AT$36)</f>
        <v>75.054507715188862</v>
      </c>
      <c r="AN35" s="13">
        <f t="shared" si="20"/>
        <v>14.553956055752721</v>
      </c>
      <c r="AO35" s="13">
        <f t="shared" si="21"/>
        <v>91.541618339034031</v>
      </c>
      <c r="AP35" s="153"/>
      <c r="AQ35" s="154"/>
      <c r="AR35" s="155"/>
      <c r="AS35" s="154"/>
      <c r="AT35" s="154"/>
      <c r="AU35" s="155"/>
      <c r="AV35" s="154"/>
      <c r="AW35" s="136" t="s">
        <v>107</v>
      </c>
      <c r="AX35" s="137" t="s">
        <v>108</v>
      </c>
      <c r="AY35" s="136"/>
      <c r="AZ35" s="136" t="s">
        <v>107</v>
      </c>
      <c r="BA35" s="137" t="s">
        <v>108</v>
      </c>
      <c r="BB35" s="136"/>
    </row>
    <row r="36" spans="2:54" ht="15.75" thickBot="1" x14ac:dyDescent="0.3">
      <c r="B36" s="135">
        <v>44378</v>
      </c>
      <c r="C36" s="129"/>
      <c r="D36" s="22">
        <f t="shared" si="15"/>
        <v>0</v>
      </c>
      <c r="E36" s="22">
        <f t="shared" si="16"/>
        <v>0</v>
      </c>
      <c r="F36" s="129"/>
      <c r="G36" s="22">
        <f t="shared" si="6"/>
        <v>0</v>
      </c>
      <c r="H36" s="22">
        <f t="shared" si="7"/>
        <v>0</v>
      </c>
      <c r="I36" s="2">
        <f>VLOOKUP(D36,'Arqueação Tanque'!$B$4:$C$480,2,0)</f>
        <v>6.1580000000000004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</v>
      </c>
      <c r="K36" s="2">
        <f>VLOOKUP(G36,'Arqueação Tanque'!$B$4:$C$480,2,0)</f>
        <v>6.1580000000000004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</v>
      </c>
      <c r="M36" s="101">
        <f>I36+J36</f>
        <v>6.1580000000000004</v>
      </c>
      <c r="N36" s="101">
        <f>K36+L36</f>
        <v>6.1580000000000004</v>
      </c>
      <c r="O36" s="24">
        <f>M36-N36</f>
        <v>0</v>
      </c>
      <c r="P36" s="29">
        <f t="shared" si="0"/>
        <v>6.1552510602783137</v>
      </c>
      <c r="Q36" s="5">
        <v>68</v>
      </c>
      <c r="R36" s="129"/>
      <c r="S36" s="129"/>
      <c r="T36" s="129"/>
      <c r="U36" s="24">
        <f>IF(AC36&lt;&gt;"",ROUND(141.5/(AC36+131.5),3),"")</f>
        <v>1.054</v>
      </c>
      <c r="V36" s="5">
        <f t="shared" si="1"/>
        <v>32</v>
      </c>
      <c r="W36" s="5">
        <f t="shared" si="2"/>
        <v>32</v>
      </c>
      <c r="X36" s="5">
        <f>((7*V36)+W36)/8</f>
        <v>32</v>
      </c>
      <c r="Y36" s="39">
        <f>1+2*'Arqueação Tanque'!$K$4*(X36-Q36)+('Arqueação Tanque'!$K$4^2)*(X36-Q36)</f>
        <v>0.99955359861616</v>
      </c>
      <c r="Z36" s="132"/>
      <c r="AA36" s="5">
        <v>0.5</v>
      </c>
      <c r="AB36" s="27">
        <f>CEILING(Z36,AA36)</f>
        <v>0</v>
      </c>
      <c r="AC36" s="27">
        <f t="shared" si="3"/>
        <v>2.8</v>
      </c>
      <c r="AD36" s="49">
        <f>ROUND(AC36,)</f>
        <v>3</v>
      </c>
      <c r="AE36" s="48" t="str">
        <f t="shared" si="19"/>
        <v/>
      </c>
      <c r="AF36" s="48" t="str">
        <f t="shared" si="4"/>
        <v/>
      </c>
      <c r="AG36" s="27" t="str">
        <f>IFERROR(IF(Z36&lt;57,ROUND(IF(T36="","",DGET('Banco de dados'!$D$3:$F$6293,$AG$4,'Densidade corrigida'!C64:D65)),3),""),"")</f>
        <v/>
      </c>
      <c r="AH36" s="27" t="e">
        <f>IF(AD36&lt;55,DGET('Banco de dados'!$G$3:$I$9744,$AH$4,FCV!C64:D65),DGET('Banco de dados'!$L$3:$N$499,$AH$4,FCV!B64:C65))</f>
        <v>#VALUE!</v>
      </c>
      <c r="AI36" s="27" t="e">
        <f t="shared" si="5"/>
        <v>#VALUE!</v>
      </c>
      <c r="AJ36" s="133"/>
      <c r="AK36" s="34" t="e">
        <f>AI36*(AJ36)</f>
        <v>#VALUE!</v>
      </c>
      <c r="AL36" s="29" t="e">
        <f t="shared" si="14"/>
        <v>#VALUE!</v>
      </c>
      <c r="AM36" s="29">
        <f>SUMIF(Carregamento!$C$5:$C$36,'Fechamento fiscal'!B36,Carregamento!$AT$5:$AT$36)</f>
        <v>0</v>
      </c>
      <c r="AN36" s="13" t="str">
        <f t="shared" si="20"/>
        <v/>
      </c>
      <c r="AO36" s="13" t="str">
        <f>IFERROR(AN36*6.28981,"")</f>
        <v/>
      </c>
      <c r="AP36" s="153"/>
      <c r="AQ36" s="154"/>
      <c r="AR36" s="155"/>
      <c r="AS36" s="154"/>
      <c r="AT36" s="154"/>
      <c r="AU36" s="155"/>
      <c r="AV36" s="154"/>
      <c r="AW36" s="136" t="s">
        <v>107</v>
      </c>
      <c r="AX36" s="137" t="s">
        <v>108</v>
      </c>
      <c r="AY36" s="136"/>
      <c r="AZ36" s="136" t="s">
        <v>107</v>
      </c>
      <c r="BA36" s="137" t="s">
        <v>108</v>
      </c>
      <c r="BB36" s="136"/>
    </row>
    <row r="37" spans="2:54" ht="15.75" thickBot="1" x14ac:dyDescent="0.3">
      <c r="U37" s="244">
        <f>IF(AC37&lt;&gt;"",ROUND(141.5/(AC37+131.5),3),"")</f>
        <v>0.88400000000000001</v>
      </c>
      <c r="AC37" s="32">
        <f>AVERAGE(AC6:AC35)</f>
        <v>28.655966666666668</v>
      </c>
      <c r="AD37" s="245">
        <f>ROUND(AC37,)</f>
        <v>29</v>
      </c>
      <c r="AL37" s="68" t="s">
        <v>62</v>
      </c>
      <c r="AM37" s="69">
        <f>SUM(AM6:AM35)</f>
        <v>987.63437235549918</v>
      </c>
      <c r="AN37" s="71">
        <f>SUM(AN6:AN36)</f>
        <v>847.07819299840401</v>
      </c>
      <c r="AO37" s="71">
        <f>AN37*6.28981</f>
        <v>5327.9608891032913</v>
      </c>
      <c r="AQ37" s="154"/>
      <c r="AR37" s="155"/>
      <c r="AS37" s="154"/>
      <c r="AT37" s="154"/>
      <c r="AU37" s="155"/>
      <c r="AV37" s="154"/>
      <c r="AW37" s="136" t="s">
        <v>107</v>
      </c>
      <c r="AX37" s="137" t="s">
        <v>108</v>
      </c>
      <c r="AY37" s="134"/>
      <c r="AZ37" s="136" t="s">
        <v>107</v>
      </c>
      <c r="BA37" s="137" t="s">
        <v>108</v>
      </c>
      <c r="BB37" s="134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2:IG39"/>
  <sheetViews>
    <sheetView showGridLines="0" zoomScale="90" zoomScaleNormal="90" workbookViewId="0">
      <pane xSplit="1" ySplit="3" topLeftCell="AH4" activePane="bottomRight" state="frozen"/>
      <selection pane="topRight" activeCell="B1" sqref="B1"/>
      <selection pane="bottomLeft" activeCell="A4" sqref="A4"/>
      <selection pane="bottomRight" activeCell="AW32" sqref="AW32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40" width="18.85546875" hidden="1" customWidth="1"/>
    <col min="41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83"/>
      <c r="C3" s="186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7"/>
      <c r="AV3" s="181" t="s">
        <v>106</v>
      </c>
      <c r="AW3" s="181"/>
      <c r="AX3" s="181"/>
      <c r="AY3" s="181" t="s">
        <v>105</v>
      </c>
      <c r="AZ3" s="181"/>
      <c r="BA3" s="182"/>
    </row>
    <row r="4" spans="1:241" ht="59.25" customHeight="1" x14ac:dyDescent="0.25">
      <c r="B4" s="4" t="s">
        <v>0</v>
      </c>
      <c r="C4" s="151"/>
      <c r="D4" s="66" t="s">
        <v>137</v>
      </c>
      <c r="E4" s="19"/>
      <c r="F4" s="19"/>
      <c r="G4" s="66" t="s">
        <v>138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144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134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58">
        <v>44348.343055555553</v>
      </c>
      <c r="C5" s="152" t="str">
        <f t="shared" ref="C5:C36" si="0">TEXT(B5,"dd/mm/aaaa")</f>
        <v>01/06/2021</v>
      </c>
      <c r="D5" s="129">
        <v>2421</v>
      </c>
      <c r="E5" s="22">
        <f t="shared" ref="E5:E6" si="1">(TRUNC((D5/10),0))</f>
        <v>242</v>
      </c>
      <c r="F5" s="22">
        <f t="shared" ref="F5:F6" si="2">(ROUND((D5/10)-E5,1))</f>
        <v>0.1</v>
      </c>
      <c r="G5" s="165">
        <v>2418</v>
      </c>
      <c r="H5" s="22">
        <f>(TRUNC((G5/10),0))</f>
        <v>241</v>
      </c>
      <c r="I5" s="22">
        <f>(ROUND((G5/10)-H5,1))</f>
        <v>0.8</v>
      </c>
      <c r="J5" s="2">
        <f>VLOOKUP(E5,'Arqueação Tanque'!$B$4:$C$480,2,0)</f>
        <v>165.56100000000001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6.5000000000000002E-2</v>
      </c>
      <c r="L5" s="2">
        <f>VLOOKUP(H5,'Arqueação Tanque'!$B$4:$C$480,2,0)</f>
        <v>164.90299999999999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0.52600000000000002</v>
      </c>
      <c r="N5" s="23">
        <f>J5+K5</f>
        <v>165.626</v>
      </c>
      <c r="O5" s="23">
        <f t="shared" ref="O5:O35" si="3">L5+M5</f>
        <v>165.429</v>
      </c>
      <c r="P5" s="24">
        <f>N5-O5</f>
        <v>0.19700000000000273</v>
      </c>
      <c r="Q5" s="29">
        <f>(N5-P5)</f>
        <v>165.429</v>
      </c>
      <c r="R5" s="131">
        <v>1947</v>
      </c>
      <c r="S5" s="29">
        <f>TRUNC((R5/10),0)</f>
        <v>194</v>
      </c>
      <c r="T5" s="22">
        <f t="shared" ref="T5:T36" si="4">(ROUND((R5/10)-S5,1))</f>
        <v>0.7</v>
      </c>
      <c r="U5" s="29">
        <f>VLOOKUP(S5,'Arqueação Tanque'!$B$4:$C$480,2,0)</f>
        <v>133.97300000000001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0.46</v>
      </c>
      <c r="W5" s="29">
        <f>U5+V5</f>
        <v>134.43300000000002</v>
      </c>
      <c r="X5" s="29">
        <f>(Q5-W5)*AG5</f>
        <v>31.006764054583243</v>
      </c>
      <c r="Y5" s="5">
        <v>68</v>
      </c>
      <c r="Z5" s="129">
        <v>37.299999999999997</v>
      </c>
      <c r="AA5" s="129">
        <v>23.37</v>
      </c>
      <c r="AB5" s="129">
        <v>26.2</v>
      </c>
      <c r="AC5" s="24">
        <f>IF(AK5&lt;&gt;"",ROUND(141.5/(AK5+131.5),3),"")</f>
        <v>0.88800000000000001</v>
      </c>
      <c r="AD5" s="5">
        <f t="shared" ref="AD5:AE35" si="5">1.8*Z5+32</f>
        <v>99.14</v>
      </c>
      <c r="AE5" s="5">
        <f t="shared" si="5"/>
        <v>74.066000000000003</v>
      </c>
      <c r="AF5" s="5">
        <f>((7*AD5)+AE5)/8</f>
        <v>96.005750000000006</v>
      </c>
      <c r="AG5" s="39">
        <f>1+2*'Arqueação Tanque'!$K$4*(AF5-Y5)+('Arqueação Tanque'!$K$4^2)*(AF5-Y5)</f>
        <v>1.000347272376541</v>
      </c>
      <c r="AH5" s="132">
        <v>29.84</v>
      </c>
      <c r="AI5" s="27">
        <v>0.5</v>
      </c>
      <c r="AJ5" s="27">
        <f>CEILING(AH5,AI5)</f>
        <v>30</v>
      </c>
      <c r="AK5" s="27">
        <f>AH5+(60-(AB5*1.8+32))/10</f>
        <v>27.923999999999999</v>
      </c>
      <c r="AL5" s="49">
        <f>ROUND(AK5,)</f>
        <v>28</v>
      </c>
      <c r="AM5" s="48">
        <f>IF(AB5="","",IF(AB5&lt;25,25,_xlfn.FLOOR.MATH(AB5,0.5,)))</f>
        <v>26</v>
      </c>
      <c r="AN5" s="48">
        <f>IF(Z5="","",IF(Z5&lt;25,25,_xlfn.FLOOR.MATH(Z5,0.5)))</f>
        <v>37</v>
      </c>
      <c r="AO5" s="27">
        <f>IF(AH5&lt;57,ROUND(IF(AM5="","",DGET('Banco de dados'!$D$3:$F$6293,$AO$4,'Densidade corrigida - Carregame'!C2:D3)),3),"")</f>
        <v>0.89200000000000002</v>
      </c>
      <c r="AP5" s="27">
        <f>DGET('Banco de dados'!$G$3:$I$9744,$AP$4,'FCV - Carregamento'!C2:D3)</f>
        <v>0.98740000000000006</v>
      </c>
      <c r="AQ5" s="27">
        <f>X5*AP5</f>
        <v>30.616078827495496</v>
      </c>
      <c r="AR5" s="133">
        <v>2E-3</v>
      </c>
      <c r="AS5" s="34">
        <f>AQ5*(AR5)</f>
        <v>6.1232157654990994E-2</v>
      </c>
      <c r="AT5" s="29">
        <f>AQ5-AS5</f>
        <v>30.554846669840504</v>
      </c>
      <c r="AU5" s="156"/>
      <c r="AV5" s="157">
        <v>348</v>
      </c>
      <c r="AW5" s="164">
        <v>44348.343055555553</v>
      </c>
      <c r="AX5" s="157" t="s">
        <v>167</v>
      </c>
      <c r="AY5" s="157">
        <v>309</v>
      </c>
      <c r="AZ5" s="164">
        <v>44348.370833333334</v>
      </c>
      <c r="BA5" s="157" t="s">
        <v>167</v>
      </c>
      <c r="BJ5" t="s">
        <v>5</v>
      </c>
    </row>
    <row r="6" spans="1:241" s="44" customFormat="1" x14ac:dyDescent="0.25">
      <c r="A6"/>
      <c r="B6" s="158">
        <v>44348.470138888886</v>
      </c>
      <c r="C6" s="152" t="str">
        <f t="shared" si="0"/>
        <v>01/06/2021</v>
      </c>
      <c r="D6" s="129">
        <v>1947</v>
      </c>
      <c r="E6" s="22">
        <f t="shared" si="1"/>
        <v>194</v>
      </c>
      <c r="F6" s="22">
        <f t="shared" si="2"/>
        <v>0.7</v>
      </c>
      <c r="G6" s="165">
        <v>1946</v>
      </c>
      <c r="H6" s="22">
        <f t="shared" ref="H6:H36" si="6">(TRUNC((G6/10),0))</f>
        <v>194</v>
      </c>
      <c r="I6" s="22">
        <f t="shared" ref="I6:I36" si="7">(ROUND((G6/10)-H6,1))</f>
        <v>0.6</v>
      </c>
      <c r="J6" s="2">
        <f>VLOOKUP(E6,'Arqueação Tanque'!$B$4:$C$480,2,0)</f>
        <v>133.97300000000001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0.46</v>
      </c>
      <c r="L6" s="2">
        <f>VLOOKUP(H6,'Arqueação Tanque'!$B$4:$C$480,2,0)</f>
        <v>133.97300000000001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0.39400000000000002</v>
      </c>
      <c r="N6" s="23">
        <f>J6+K6</f>
        <v>134.43300000000002</v>
      </c>
      <c r="O6" s="23">
        <f t="shared" si="3"/>
        <v>134.36700000000002</v>
      </c>
      <c r="P6" s="24">
        <f t="shared" ref="P6:P35" si="8">N6-O6</f>
        <v>6.6000000000002501E-2</v>
      </c>
      <c r="Q6" s="29">
        <f t="shared" ref="Q6:Q35" si="9">(N6-P6)</f>
        <v>134.36700000000002</v>
      </c>
      <c r="R6" s="131">
        <v>1410</v>
      </c>
      <c r="S6" s="29">
        <f t="shared" ref="S6:S36" si="10">TRUNC((R6/10),0)</f>
        <v>141</v>
      </c>
      <c r="T6" s="22">
        <f t="shared" si="4"/>
        <v>0</v>
      </c>
      <c r="U6" s="29">
        <f>VLOOKUP(S6,'Arqueação Tanque'!$B$4:$C$480,2,0)</f>
        <v>99.094999999999999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</v>
      </c>
      <c r="W6" s="29">
        <f t="shared" ref="W6:W35" si="11">U6+V6</f>
        <v>99.094999999999999</v>
      </c>
      <c r="X6" s="29">
        <f t="shared" ref="X6:X35" si="12">(Q6-W6)*AG6</f>
        <v>35.284807955436555</v>
      </c>
      <c r="Y6" s="5">
        <v>68</v>
      </c>
      <c r="Z6" s="129">
        <v>37.69</v>
      </c>
      <c r="AA6" s="129">
        <v>26.32</v>
      </c>
      <c r="AB6" s="129">
        <v>26.2</v>
      </c>
      <c r="AC6" s="24">
        <f t="shared" ref="AC6:AC35" si="13">IF(AK6&lt;&gt;"",ROUND(141.5/(AK6+131.5),3),"")</f>
        <v>0.88800000000000001</v>
      </c>
      <c r="AD6" s="5">
        <f t="shared" si="5"/>
        <v>99.841999999999999</v>
      </c>
      <c r="AE6" s="5">
        <f t="shared" si="5"/>
        <v>79.376000000000005</v>
      </c>
      <c r="AF6" s="5">
        <f t="shared" ref="AF6:AF35" si="14">((7*AD6)+AE6)/8</f>
        <v>97.283749999999998</v>
      </c>
      <c r="AG6" s="39">
        <f>1+2*'Arqueação Tanque'!$K$4*(AF6-Y6)+('Arqueação Tanque'!$K$4^2)*(AF6-Y6)</f>
        <v>1.0003631196256673</v>
      </c>
      <c r="AH6" s="132">
        <v>29.84</v>
      </c>
      <c r="AI6" s="27">
        <v>0.5</v>
      </c>
      <c r="AJ6" s="27">
        <f>CEILING(AH6,AI6)</f>
        <v>30</v>
      </c>
      <c r="AK6" s="27">
        <f>AH6+(60-(AB6*1.8+32))/10</f>
        <v>27.923999999999999</v>
      </c>
      <c r="AL6" s="49">
        <f t="shared" ref="AL6:AL35" si="15">ROUND(AK6,)</f>
        <v>28</v>
      </c>
      <c r="AM6" s="48">
        <f>IF(AB6="","",IF(AB6&lt;25,25,_xlfn.FLOOR.MATH(AB6,0.5)))</f>
        <v>26</v>
      </c>
      <c r="AN6" s="48">
        <f t="shared" ref="AN6:AN36" si="16">IF(Z6="","",IF(Z6&lt;25,25,_xlfn.FLOOR.MATH(Z6,0.5)))</f>
        <v>37.5</v>
      </c>
      <c r="AO6" s="27">
        <f>IF(AH6&lt;57,ROUND(IF(AB6="","",DGET('Banco de dados'!$D$3:$F$6293,$AO$4,'Densidade corrigida - Carregame'!C4:D5)),3),"")</f>
        <v>0.89200000000000002</v>
      </c>
      <c r="AP6" s="27">
        <f>DGET('Banco de dados'!$G$3:$I$9744,$AP$4,'FCV - Carregamento'!C4:D5)</f>
        <v>0.98709999999999998</v>
      </c>
      <c r="AQ6" s="27">
        <f t="shared" ref="AQ6:AQ35" si="17">X6*AP6</f>
        <v>34.829633932811426</v>
      </c>
      <c r="AR6" s="133">
        <v>2E-3</v>
      </c>
      <c r="AS6" s="34">
        <f t="shared" ref="AS6:AS35" si="18">AQ6*(AR6)</f>
        <v>6.9659267865622848E-2</v>
      </c>
      <c r="AT6" s="29">
        <f t="shared" ref="AT6:AT35" si="19">AQ6-AS6</f>
        <v>34.759974664945801</v>
      </c>
      <c r="AU6" s="156"/>
      <c r="AV6" s="157">
        <v>309</v>
      </c>
      <c r="AW6" s="164">
        <v>44348.470138888886</v>
      </c>
      <c r="AX6" s="157" t="s">
        <v>167</v>
      </c>
      <c r="AY6" s="157">
        <v>310</v>
      </c>
      <c r="AZ6" s="164">
        <v>44348.519444444442</v>
      </c>
      <c r="BA6" s="157" t="s">
        <v>167</v>
      </c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58">
        <v>44349.450694444444</v>
      </c>
      <c r="C7" s="152" t="str">
        <f t="shared" si="0"/>
        <v>02/06/2021</v>
      </c>
      <c r="D7" s="129">
        <v>1410</v>
      </c>
      <c r="E7" s="22">
        <f t="shared" ref="E7:E36" si="20">(TRUNC((D7/10),0))</f>
        <v>141</v>
      </c>
      <c r="F7" s="22">
        <f t="shared" ref="F7:F36" si="21">(ROUND((D7/10)-E7,1))</f>
        <v>0</v>
      </c>
      <c r="G7" s="165">
        <v>1407</v>
      </c>
      <c r="H7" s="22">
        <f t="shared" si="6"/>
        <v>140</v>
      </c>
      <c r="I7" s="22">
        <f t="shared" si="7"/>
        <v>0.7</v>
      </c>
      <c r="J7" s="2">
        <f>VLOOKUP(E7,'Arqueação Tanque'!$B$4:$C$480,2,0)</f>
        <v>99.094999999999999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</v>
      </c>
      <c r="L7" s="2">
        <f>VLOOKUP(H7,'Arqueação Tanque'!$B$4:$C$480,2,0)</f>
        <v>98.436999999999998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0.46</v>
      </c>
      <c r="N7" s="23">
        <f t="shared" ref="N7:N35" si="22">J7+K7</f>
        <v>99.094999999999999</v>
      </c>
      <c r="O7" s="23">
        <f t="shared" si="3"/>
        <v>98.896999999999991</v>
      </c>
      <c r="P7" s="24">
        <f t="shared" si="8"/>
        <v>0.1980000000000075</v>
      </c>
      <c r="Q7" s="29">
        <f t="shared" si="9"/>
        <v>98.896999999999991</v>
      </c>
      <c r="R7" s="166">
        <v>1069</v>
      </c>
      <c r="S7" s="29">
        <f t="shared" si="10"/>
        <v>106</v>
      </c>
      <c r="T7" s="22">
        <f t="shared" si="4"/>
        <v>0.9</v>
      </c>
      <c r="U7" s="29">
        <f>VLOOKUP(S7,'Arqueação Tanque'!$B$4:$C$480,2,0)</f>
        <v>76.063999999999993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0.59199999999999997</v>
      </c>
      <c r="W7" s="29">
        <f t="shared" si="11"/>
        <v>76.655999999999992</v>
      </c>
      <c r="X7" s="29">
        <f t="shared" si="12"/>
        <v>22.248149698539795</v>
      </c>
      <c r="Y7" s="5">
        <v>68</v>
      </c>
      <c r="Z7" s="129">
        <v>35.28</v>
      </c>
      <c r="AA7" s="129">
        <v>28.26</v>
      </c>
      <c r="AB7" s="129">
        <v>26.2</v>
      </c>
      <c r="AC7" s="24">
        <f t="shared" si="13"/>
        <v>0.88800000000000001</v>
      </c>
      <c r="AD7" s="5">
        <f t="shared" si="5"/>
        <v>95.504000000000005</v>
      </c>
      <c r="AE7" s="5">
        <f t="shared" si="5"/>
        <v>82.867999999999995</v>
      </c>
      <c r="AF7" s="5">
        <f t="shared" si="14"/>
        <v>93.924499999999995</v>
      </c>
      <c r="AG7" s="39">
        <f>1+2*'Arqueação Tanque'!$K$4*(AF7-Y7)+('Arqueação Tanque'!$K$4^2)*(AF7-Y7)</f>
        <v>1.0003214647965377</v>
      </c>
      <c r="AH7" s="132">
        <v>29.84</v>
      </c>
      <c r="AI7" s="27">
        <v>0.5</v>
      </c>
      <c r="AJ7" s="27"/>
      <c r="AK7" s="27">
        <f t="shared" ref="AK7:AK35" si="23">AH7+(60-(AB7*1.8+32))/10</f>
        <v>27.923999999999999</v>
      </c>
      <c r="AL7" s="49">
        <f t="shared" si="15"/>
        <v>28</v>
      </c>
      <c r="AM7" s="48">
        <f t="shared" ref="AM7:AM36" si="24">IF(AB7="","",IF(AB7&lt;25,25,_xlfn.FLOOR.MATH(AB7,0.5)))</f>
        <v>26</v>
      </c>
      <c r="AN7" s="48">
        <f t="shared" si="16"/>
        <v>35</v>
      </c>
      <c r="AO7" s="27">
        <f>IF(AH7&lt;57,ROUND(IF(AB7="","",DGET('Banco de dados'!$D$3:$F$6293,$AO$4,'Densidade corrigida - Carregame'!C6:D7)),3),"")</f>
        <v>0.89200000000000002</v>
      </c>
      <c r="AP7" s="27">
        <f>DGET('Banco de dados'!$G$3:$I$9744,$AP$4,'FCV - Carregamento'!C6:D7)</f>
        <v>0.98889000000000005</v>
      </c>
      <c r="AQ7" s="27">
        <f t="shared" si="17"/>
        <v>22.000972755389018</v>
      </c>
      <c r="AR7" s="133">
        <v>2E-3</v>
      </c>
      <c r="AS7" s="34">
        <f t="shared" si="18"/>
        <v>4.4001945510778039E-2</v>
      </c>
      <c r="AT7" s="29">
        <f t="shared" si="19"/>
        <v>21.956970809878239</v>
      </c>
      <c r="AU7" s="156"/>
      <c r="AV7" s="157">
        <v>310</v>
      </c>
      <c r="AW7" s="164">
        <v>44349.450694444444</v>
      </c>
      <c r="AX7" s="157" t="s">
        <v>167</v>
      </c>
      <c r="AY7" s="157">
        <v>340</v>
      </c>
      <c r="AZ7" s="164">
        <v>44349.470138888886</v>
      </c>
      <c r="BA7" s="157" t="s">
        <v>167</v>
      </c>
    </row>
    <row r="8" spans="1:241" x14ac:dyDescent="0.25">
      <c r="B8" s="158">
        <v>44349.630555555559</v>
      </c>
      <c r="C8" s="152" t="str">
        <f t="shared" si="0"/>
        <v>02/06/2021</v>
      </c>
      <c r="D8" s="129">
        <v>1069</v>
      </c>
      <c r="E8" s="22">
        <f t="shared" si="20"/>
        <v>106</v>
      </c>
      <c r="F8" s="22">
        <f t="shared" si="21"/>
        <v>0.9</v>
      </c>
      <c r="G8" s="165">
        <v>1071</v>
      </c>
      <c r="H8" s="22">
        <f t="shared" si="6"/>
        <v>107</v>
      </c>
      <c r="I8" s="22">
        <f t="shared" si="7"/>
        <v>0.1</v>
      </c>
      <c r="J8" s="2">
        <f>VLOOKUP(E8,'Arqueação Tanque'!$B$4:$C$480,2,0)</f>
        <v>76.063999999999993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0.59199999999999997</v>
      </c>
      <c r="L8" s="2">
        <f>VLOOKUP(H8,'Arqueação Tanque'!$B$4:$C$480,2,0)</f>
        <v>76.722999999999999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6.5000000000000002E-2</v>
      </c>
      <c r="N8" s="23">
        <f t="shared" si="22"/>
        <v>76.655999999999992</v>
      </c>
      <c r="O8" s="23">
        <f t="shared" si="3"/>
        <v>76.787999999999997</v>
      </c>
      <c r="P8" s="24">
        <f t="shared" si="8"/>
        <v>-0.132000000000005</v>
      </c>
      <c r="Q8" s="29">
        <f t="shared" si="9"/>
        <v>76.787999999999997</v>
      </c>
      <c r="R8" s="131">
        <v>596</v>
      </c>
      <c r="S8" s="29">
        <f t="shared" si="10"/>
        <v>59</v>
      </c>
      <c r="T8" s="22">
        <f t="shared" si="4"/>
        <v>0.6</v>
      </c>
      <c r="U8" s="29">
        <f>VLOOKUP(S8,'Arqueação Tanque'!$B$4:$C$480,2,0)</f>
        <v>45.093000000000004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0.39400000000000002</v>
      </c>
      <c r="W8" s="29">
        <f t="shared" si="11"/>
        <v>45.487000000000002</v>
      </c>
      <c r="X8" s="29">
        <f t="shared" si="12"/>
        <v>31.313597361259191</v>
      </c>
      <c r="Y8" s="5">
        <v>68</v>
      </c>
      <c r="Z8" s="129">
        <v>39.270000000000003</v>
      </c>
      <c r="AA8" s="129">
        <v>29.36</v>
      </c>
      <c r="AB8" s="129">
        <v>26.2</v>
      </c>
      <c r="AC8" s="24">
        <f t="shared" si="13"/>
        <v>0.88800000000000001</v>
      </c>
      <c r="AD8" s="5">
        <f t="shared" si="5"/>
        <v>102.68600000000001</v>
      </c>
      <c r="AE8" s="5">
        <f t="shared" si="5"/>
        <v>84.847999999999999</v>
      </c>
      <c r="AF8" s="5">
        <f t="shared" si="14"/>
        <v>100.45625</v>
      </c>
      <c r="AG8" s="39">
        <f>1+2*'Arqueação Tanque'!$K$4*(AF8-Y8)+('Arqueação Tanque'!$K$4^2)*(AF8-Y8)</f>
        <v>1.0004024587476181</v>
      </c>
      <c r="AH8" s="132">
        <v>29.84</v>
      </c>
      <c r="AI8" s="5">
        <v>0.5</v>
      </c>
      <c r="AJ8" s="5"/>
      <c r="AK8" s="27">
        <f t="shared" si="23"/>
        <v>27.923999999999999</v>
      </c>
      <c r="AL8" s="49">
        <f t="shared" si="15"/>
        <v>28</v>
      </c>
      <c r="AM8" s="48">
        <f t="shared" si="24"/>
        <v>26</v>
      </c>
      <c r="AN8" s="48">
        <f t="shared" si="16"/>
        <v>39</v>
      </c>
      <c r="AO8" s="27">
        <f>IF(AH8&lt;57,ROUND(IF(AB8="","",DGET('Banco de dados'!$D$3:$F$6293,$AO$4,'Densidade corrigida - Carregame'!C8:D9)),3),"")</f>
        <v>0.89200000000000002</v>
      </c>
      <c r="AP8" s="27">
        <f>DGET('Banco de dados'!$G$3:$I$9744,$AP$4,'FCV - Carregamento'!C8:D9)</f>
        <v>0.98599999999999999</v>
      </c>
      <c r="AQ8" s="27">
        <f t="shared" si="17"/>
        <v>30.875206998201563</v>
      </c>
      <c r="AR8" s="133">
        <v>2E-3</v>
      </c>
      <c r="AS8" s="34">
        <f t="shared" si="18"/>
        <v>6.1750413996403124E-2</v>
      </c>
      <c r="AT8" s="29">
        <f t="shared" si="19"/>
        <v>30.813456584205159</v>
      </c>
      <c r="AU8" s="156"/>
      <c r="AV8" s="157">
        <v>340</v>
      </c>
      <c r="AW8" s="164">
        <v>44349.630555555559</v>
      </c>
      <c r="AX8" s="157" t="s">
        <v>167</v>
      </c>
      <c r="AY8" s="157">
        <v>326</v>
      </c>
      <c r="AZ8" s="164">
        <v>44349.655555555553</v>
      </c>
      <c r="BA8" s="157" t="s">
        <v>167</v>
      </c>
    </row>
    <row r="9" spans="1:241" x14ac:dyDescent="0.25">
      <c r="B9" s="158">
        <v>44354.222222222219</v>
      </c>
      <c r="C9" s="152" t="str">
        <f t="shared" si="0"/>
        <v>07/06/2021</v>
      </c>
      <c r="D9" s="165">
        <v>4310</v>
      </c>
      <c r="E9" s="22">
        <f t="shared" si="20"/>
        <v>431</v>
      </c>
      <c r="F9" s="22">
        <f t="shared" si="21"/>
        <v>0</v>
      </c>
      <c r="G9" s="165">
        <v>4050</v>
      </c>
      <c r="H9" s="22">
        <f t="shared" si="6"/>
        <v>405</v>
      </c>
      <c r="I9" s="22">
        <f t="shared" si="7"/>
        <v>0</v>
      </c>
      <c r="J9" s="2">
        <f>VLOOKUP(E9,'Arqueação Tanque'!$B$4:$C$480,2,0)</f>
        <v>289.94900000000001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</v>
      </c>
      <c r="L9" s="2">
        <f>VLOOKUP(H9,'Arqueação Tanque'!$B$4:$C$480,2,0)</f>
        <v>272.83699999999999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</v>
      </c>
      <c r="N9" s="23">
        <f t="shared" si="22"/>
        <v>289.94900000000001</v>
      </c>
      <c r="O9" s="23">
        <f t="shared" si="3"/>
        <v>272.83699999999999</v>
      </c>
      <c r="P9" s="24">
        <f t="shared" si="8"/>
        <v>17.112000000000023</v>
      </c>
      <c r="Q9" s="29">
        <f t="shared" si="9"/>
        <v>272.83699999999999</v>
      </c>
      <c r="R9" s="131">
        <v>4050</v>
      </c>
      <c r="S9" s="29">
        <f t="shared" si="10"/>
        <v>405</v>
      </c>
      <c r="T9" s="22">
        <f t="shared" si="4"/>
        <v>0</v>
      </c>
      <c r="U9" s="29">
        <f>VLOOKUP(S9,'Arqueação Tanque'!$B$4:$C$480,2,0)</f>
        <v>272.83699999999999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</v>
      </c>
      <c r="W9" s="29">
        <f t="shared" si="11"/>
        <v>272.83699999999999</v>
      </c>
      <c r="X9" s="29">
        <f t="shared" si="12"/>
        <v>0</v>
      </c>
      <c r="Y9" s="5">
        <v>68</v>
      </c>
      <c r="Z9" s="165">
        <v>38.22</v>
      </c>
      <c r="AA9" s="165">
        <v>18.86</v>
      </c>
      <c r="AB9" s="165">
        <v>20.399999999999999</v>
      </c>
      <c r="AC9" s="24">
        <f t="shared" si="13"/>
        <v>0.88500000000000001</v>
      </c>
      <c r="AD9" s="5">
        <f t="shared" si="5"/>
        <v>100.79600000000001</v>
      </c>
      <c r="AE9" s="5">
        <f t="shared" si="5"/>
        <v>65.948000000000008</v>
      </c>
      <c r="AF9" s="5">
        <f t="shared" si="14"/>
        <v>96.44</v>
      </c>
      <c r="AG9" s="39">
        <f>1+2*'Arqueação Tanque'!$K$4*(AF9-Y9)+('Arqueação Tanque'!$K$4^2)*(AF9-Y9)</f>
        <v>1.0003526570932335</v>
      </c>
      <c r="AH9" s="132">
        <v>29.29</v>
      </c>
      <c r="AI9" s="27">
        <v>0.5</v>
      </c>
      <c r="AJ9" s="27"/>
      <c r="AK9" s="27">
        <f t="shared" si="23"/>
        <v>28.417999999999999</v>
      </c>
      <c r="AL9" s="49">
        <f t="shared" si="15"/>
        <v>28</v>
      </c>
      <c r="AM9" s="48">
        <f t="shared" si="24"/>
        <v>25</v>
      </c>
      <c r="AN9" s="48">
        <f t="shared" si="16"/>
        <v>38</v>
      </c>
      <c r="AO9" s="27">
        <f>IF(AH9&lt;57,ROUND(IF(AB9="","",DGET('Banco de dados'!$D$3:$F$6293,$AO$4,'Densidade corrigida - Carregame'!C10:D11)),3),"")</f>
        <v>0.88800000000000001</v>
      </c>
      <c r="AP9" s="27">
        <f>DGET('Banco de dados'!$G$3:$I$9744,$AP$4,'FCV - Carregamento'!C10:D11)</f>
        <v>0.98660000000000003</v>
      </c>
      <c r="AQ9" s="27">
        <f t="shared" si="17"/>
        <v>0</v>
      </c>
      <c r="AR9" s="133">
        <v>5.0000000000000001E-3</v>
      </c>
      <c r="AS9" s="34">
        <f t="shared" si="18"/>
        <v>0</v>
      </c>
      <c r="AT9" s="29">
        <f t="shared" si="19"/>
        <v>0</v>
      </c>
      <c r="AU9" s="156" t="s">
        <v>168</v>
      </c>
      <c r="AV9" s="157"/>
      <c r="AW9" s="164"/>
      <c r="AX9" s="157"/>
      <c r="AY9" s="157"/>
      <c r="AZ9" s="164"/>
      <c r="BA9" s="157"/>
    </row>
    <row r="10" spans="1:241" x14ac:dyDescent="0.25">
      <c r="B10" s="158">
        <v>44356.041666666664</v>
      </c>
      <c r="C10" s="152" t="str">
        <f t="shared" si="0"/>
        <v>09/06/2021</v>
      </c>
      <c r="D10" s="129">
        <v>4039</v>
      </c>
      <c r="E10" s="22">
        <f t="shared" si="20"/>
        <v>403</v>
      </c>
      <c r="F10" s="22">
        <f t="shared" si="21"/>
        <v>0.9</v>
      </c>
      <c r="G10" s="165">
        <v>4039</v>
      </c>
      <c r="H10" s="22">
        <f t="shared" si="6"/>
        <v>403</v>
      </c>
      <c r="I10" s="22">
        <f t="shared" si="7"/>
        <v>0.9</v>
      </c>
      <c r="J10" s="2">
        <f>VLOOKUP(E10,'Arqueação Tanque'!$B$4:$C$480,2,0)</f>
        <v>271.52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0.59199999999999997</v>
      </c>
      <c r="L10" s="2">
        <f>VLOOKUP(H10,'Arqueação Tanque'!$B$4:$C$480,2,0)</f>
        <v>271.52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0.59199999999999997</v>
      </c>
      <c r="N10" s="23">
        <f t="shared" si="22"/>
        <v>272.11199999999997</v>
      </c>
      <c r="O10" s="23">
        <f t="shared" si="3"/>
        <v>272.11199999999997</v>
      </c>
      <c r="P10" s="24">
        <f t="shared" si="8"/>
        <v>0</v>
      </c>
      <c r="Q10" s="29">
        <f t="shared" si="9"/>
        <v>272.11199999999997</v>
      </c>
      <c r="R10" s="131">
        <v>3576</v>
      </c>
      <c r="S10" s="29">
        <f t="shared" si="10"/>
        <v>357</v>
      </c>
      <c r="T10" s="22">
        <f t="shared" si="4"/>
        <v>0.6</v>
      </c>
      <c r="U10" s="29">
        <f>VLOOKUP(S10,'Arqueação Tanque'!$B$4:$C$480,2,0)</f>
        <v>241.245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0.39400000000000002</v>
      </c>
      <c r="W10" s="29">
        <f t="shared" si="11"/>
        <v>241.63900000000001</v>
      </c>
      <c r="X10" s="29">
        <f t="shared" si="12"/>
        <v>30.482703325017269</v>
      </c>
      <c r="Y10" s="5">
        <v>68</v>
      </c>
      <c r="Z10" s="129">
        <v>36.42</v>
      </c>
      <c r="AA10" s="129">
        <v>19.190000000000001</v>
      </c>
      <c r="AB10" s="129">
        <v>21.4</v>
      </c>
      <c r="AC10" s="24">
        <f t="shared" si="13"/>
        <v>0.88600000000000001</v>
      </c>
      <c r="AD10" s="5">
        <f t="shared" si="5"/>
        <v>97.556000000000012</v>
      </c>
      <c r="AE10" s="5">
        <f t="shared" si="5"/>
        <v>66.542000000000002</v>
      </c>
      <c r="AF10" s="5">
        <f t="shared" si="14"/>
        <v>93.67925000000001</v>
      </c>
      <c r="AG10" s="39">
        <f>1+2*'Arqueação Tanque'!$K$4*(AF10-Y10)+('Arqueação Tanque'!$K$4^2)*(AF10-Y10)</f>
        <v>1.0003184236871103</v>
      </c>
      <c r="AH10" s="132">
        <v>29.29</v>
      </c>
      <c r="AI10" s="5">
        <v>0.5</v>
      </c>
      <c r="AJ10" s="5"/>
      <c r="AK10" s="27">
        <f t="shared" si="23"/>
        <v>28.238</v>
      </c>
      <c r="AL10" s="49">
        <f t="shared" si="15"/>
        <v>28</v>
      </c>
      <c r="AM10" s="48">
        <f t="shared" si="24"/>
        <v>25</v>
      </c>
      <c r="AN10" s="48">
        <f t="shared" si="16"/>
        <v>36</v>
      </c>
      <c r="AO10" s="27">
        <f>IF(AH10&lt;57,ROUND(IF(AB10="","",DGET('Banco de dados'!$D$3:$F$6293,$AO$4,'Densidade corrigida - Carregame'!C12:D13)),3),"")</f>
        <v>0.88900000000000001</v>
      </c>
      <c r="AP10" s="27">
        <f>DGET('Banco de dados'!$G$3:$I$9744,$AP$4,'FCV - Carregamento'!C12:D13)</f>
        <v>0.98809999999999998</v>
      </c>
      <c r="AQ10" s="27">
        <f t="shared" si="17"/>
        <v>30.119959155449564</v>
      </c>
      <c r="AR10" s="133">
        <v>6.0000000000000001E-3</v>
      </c>
      <c r="AS10" s="34">
        <f t="shared" si="18"/>
        <v>0.1807197549326974</v>
      </c>
      <c r="AT10" s="29">
        <f t="shared" si="19"/>
        <v>29.939239400516868</v>
      </c>
      <c r="AU10" s="156"/>
      <c r="AV10" s="157"/>
      <c r="AW10" s="164"/>
      <c r="AX10" s="157"/>
      <c r="AY10" s="157"/>
      <c r="AZ10" s="164"/>
      <c r="BA10" s="157"/>
    </row>
    <row r="11" spans="1:241" x14ac:dyDescent="0.25">
      <c r="B11" s="158">
        <v>44356.621527777781</v>
      </c>
      <c r="C11" s="152" t="str">
        <f t="shared" si="0"/>
        <v>09/06/2021</v>
      </c>
      <c r="D11" s="129">
        <v>3574</v>
      </c>
      <c r="E11" s="22">
        <f t="shared" si="20"/>
        <v>357</v>
      </c>
      <c r="F11" s="22">
        <f t="shared" si="21"/>
        <v>0.4</v>
      </c>
      <c r="G11" s="165">
        <v>3574</v>
      </c>
      <c r="H11" s="22">
        <f t="shared" si="6"/>
        <v>357</v>
      </c>
      <c r="I11" s="22">
        <f t="shared" si="7"/>
        <v>0.4</v>
      </c>
      <c r="J11" s="2">
        <f>VLOOKUP(E11,'Arqueação Tanque'!$B$4:$C$480,2,0)</f>
        <v>241.245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0.26300000000000001</v>
      </c>
      <c r="L11" s="2">
        <f>VLOOKUP(H11,'Arqueação Tanque'!$B$4:$C$480,2,0)</f>
        <v>241.245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0.26300000000000001</v>
      </c>
      <c r="N11" s="23">
        <f t="shared" si="22"/>
        <v>241.50800000000001</v>
      </c>
      <c r="O11" s="23">
        <f t="shared" si="3"/>
        <v>241.50800000000001</v>
      </c>
      <c r="P11" s="24">
        <f t="shared" si="8"/>
        <v>0</v>
      </c>
      <c r="Q11" s="29">
        <f t="shared" si="9"/>
        <v>241.50800000000001</v>
      </c>
      <c r="R11" s="131">
        <v>2624</v>
      </c>
      <c r="S11" s="29">
        <f t="shared" si="10"/>
        <v>262</v>
      </c>
      <c r="T11" s="22">
        <f t="shared" si="4"/>
        <v>0.4</v>
      </c>
      <c r="U11" s="29">
        <f>VLOOKUP(S11,'Arqueação Tanque'!$B$4:$C$480,2,0)</f>
        <v>178.72300000000001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0.26300000000000001</v>
      </c>
      <c r="W11" s="29">
        <f t="shared" si="11"/>
        <v>178.98600000000002</v>
      </c>
      <c r="X11" s="29">
        <f t="shared" si="12"/>
        <v>62.542501571296064</v>
      </c>
      <c r="Y11" s="5">
        <v>68</v>
      </c>
      <c r="Z11" s="129">
        <v>35.619999999999997</v>
      </c>
      <c r="AA11" s="129">
        <v>28.19</v>
      </c>
      <c r="AB11" s="129">
        <v>21.4</v>
      </c>
      <c r="AC11" s="24">
        <f t="shared" si="13"/>
        <v>0.88600000000000001</v>
      </c>
      <c r="AD11" s="5">
        <f t="shared" si="5"/>
        <v>96.116</v>
      </c>
      <c r="AE11" s="5">
        <f t="shared" si="5"/>
        <v>82.742000000000004</v>
      </c>
      <c r="AF11" s="5">
        <f t="shared" si="14"/>
        <v>94.444249999999997</v>
      </c>
      <c r="AG11" s="39">
        <f>1+2*'Arqueação Tanque'!$K$4*(AF11-Y11)+('Arqueação Tanque'!$K$4^2)*(AF11-Y11)</f>
        <v>1.000327909716517</v>
      </c>
      <c r="AH11" s="132">
        <v>29.19</v>
      </c>
      <c r="AI11" s="27">
        <v>0.5</v>
      </c>
      <c r="AJ11" s="39"/>
      <c r="AK11" s="27">
        <f t="shared" si="23"/>
        <v>28.138000000000002</v>
      </c>
      <c r="AL11" s="49">
        <f t="shared" si="15"/>
        <v>28</v>
      </c>
      <c r="AM11" s="48">
        <f t="shared" si="24"/>
        <v>25</v>
      </c>
      <c r="AN11" s="48">
        <f t="shared" si="16"/>
        <v>35.5</v>
      </c>
      <c r="AO11" s="27">
        <f>IF(AH11&lt;57,ROUND(IF(AB11="","",DGET('Banco de dados'!$D$3:$F$6293,$AO$4,'Densidade corrigida - Carregame'!C14:D15)),3),"")</f>
        <v>0.88900000000000001</v>
      </c>
      <c r="AP11" s="27">
        <f>DGET('Banco de dados'!$G$3:$I$9744,$AP$4,'FCV - Carregamento'!C14:D15)</f>
        <v>0.98850000000000005</v>
      </c>
      <c r="AQ11" s="27">
        <f t="shared" si="17"/>
        <v>61.823262803226164</v>
      </c>
      <c r="AR11" s="133">
        <v>6.0000000000000001E-3</v>
      </c>
      <c r="AS11" s="34">
        <f t="shared" si="18"/>
        <v>0.37093957681935702</v>
      </c>
      <c r="AT11" s="29">
        <f t="shared" si="19"/>
        <v>61.452323226406804</v>
      </c>
      <c r="AU11" s="156"/>
      <c r="AV11" s="157">
        <v>326</v>
      </c>
      <c r="AW11" s="164">
        <v>44356.621527777781</v>
      </c>
      <c r="AX11" s="157" t="s">
        <v>169</v>
      </c>
      <c r="AY11" s="157">
        <v>2331</v>
      </c>
      <c r="AZ11" s="164">
        <v>44356.694444444445</v>
      </c>
      <c r="BA11" s="157" t="s">
        <v>169</v>
      </c>
    </row>
    <row r="12" spans="1:241" x14ac:dyDescent="0.25">
      <c r="B12" s="158">
        <v>44359.369444444441</v>
      </c>
      <c r="C12" s="152" t="str">
        <f t="shared" si="0"/>
        <v>12/06/2021</v>
      </c>
      <c r="D12" s="129">
        <v>3991</v>
      </c>
      <c r="E12" s="22">
        <f t="shared" si="20"/>
        <v>399</v>
      </c>
      <c r="F12" s="22">
        <f t="shared" si="21"/>
        <v>0.1</v>
      </c>
      <c r="G12" s="165">
        <v>3991</v>
      </c>
      <c r="H12" s="22">
        <f t="shared" si="6"/>
        <v>399</v>
      </c>
      <c r="I12" s="22">
        <f t="shared" si="7"/>
        <v>0.1</v>
      </c>
      <c r="J12" s="2">
        <f>VLOOKUP(E12,'Arqueação Tanque'!$B$4:$C$480,2,0)</f>
        <v>268.88799999999998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6.5000000000000002E-2</v>
      </c>
      <c r="L12" s="2">
        <f>VLOOKUP(H12,'Arqueação Tanque'!$B$4:$C$480,2,0)</f>
        <v>268.88799999999998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6.5000000000000002E-2</v>
      </c>
      <c r="N12" s="23">
        <f t="shared" si="22"/>
        <v>268.95299999999997</v>
      </c>
      <c r="O12" s="23">
        <f t="shared" si="3"/>
        <v>268.95299999999997</v>
      </c>
      <c r="P12" s="24">
        <f t="shared" si="8"/>
        <v>0</v>
      </c>
      <c r="Q12" s="29">
        <f t="shared" si="9"/>
        <v>268.95299999999997</v>
      </c>
      <c r="R12" s="131">
        <v>3604</v>
      </c>
      <c r="S12" s="29">
        <f t="shared" si="10"/>
        <v>360</v>
      </c>
      <c r="T12" s="22">
        <f t="shared" si="4"/>
        <v>0.4</v>
      </c>
      <c r="U12" s="29">
        <f>VLOOKUP(S12,'Arqueação Tanque'!$B$4:$C$480,2,0)</f>
        <v>243.21899999999999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0.26300000000000001</v>
      </c>
      <c r="W12" s="29">
        <f t="shared" si="11"/>
        <v>243.482</v>
      </c>
      <c r="X12" s="29">
        <f t="shared" si="12"/>
        <v>25.477559235840548</v>
      </c>
      <c r="Y12" s="5">
        <v>68</v>
      </c>
      <c r="Z12" s="129">
        <v>32.86</v>
      </c>
      <c r="AA12" s="129">
        <v>22.28</v>
      </c>
      <c r="AB12" s="129">
        <v>25.3</v>
      </c>
      <c r="AC12" s="24">
        <f t="shared" si="13"/>
        <v>0.89200000000000002</v>
      </c>
      <c r="AD12" s="5">
        <f t="shared" si="5"/>
        <v>91.147999999999996</v>
      </c>
      <c r="AE12" s="5">
        <f t="shared" si="5"/>
        <v>72.104000000000013</v>
      </c>
      <c r="AF12" s="5">
        <f t="shared" si="14"/>
        <v>88.767499999999998</v>
      </c>
      <c r="AG12" s="39">
        <f>1+2*'Arqueação Tanque'!$K$4*(AF12-Y12)+('Arqueação Tanque'!$K$4^2)*(AF12-Y12)</f>
        <v>1.0002575177983029</v>
      </c>
      <c r="AH12" s="132">
        <v>28.93</v>
      </c>
      <c r="AI12" s="5">
        <v>0.5</v>
      </c>
      <c r="AJ12" s="5"/>
      <c r="AK12" s="27">
        <f t="shared" si="23"/>
        <v>27.176000000000002</v>
      </c>
      <c r="AL12" s="49">
        <f t="shared" si="15"/>
        <v>27</v>
      </c>
      <c r="AM12" s="48">
        <f t="shared" si="24"/>
        <v>25</v>
      </c>
      <c r="AN12" s="48">
        <f t="shared" si="16"/>
        <v>32.5</v>
      </c>
      <c r="AO12" s="27">
        <f>IF(AH12&lt;57,ROUND(IF(AB12="","",DGET('Banco de dados'!$D$3:$F$6293,$AO$4,'Densidade corrigida - Carregame'!C16:D17)),3),"")</f>
        <v>0.89500000000000002</v>
      </c>
      <c r="AP12" s="27">
        <f>DGET('Banco de dados'!$G$3:$I$9744,$AP$4,'FCV - Carregamento'!C16:D17)</f>
        <v>0.99080000000000001</v>
      </c>
      <c r="AQ12" s="27">
        <f t="shared" si="17"/>
        <v>25.243165690870814</v>
      </c>
      <c r="AR12" s="133">
        <v>5.0000000000000001E-3</v>
      </c>
      <c r="AS12" s="34">
        <f t="shared" si="18"/>
        <v>0.12621582845435408</v>
      </c>
      <c r="AT12" s="29">
        <f t="shared" si="19"/>
        <v>25.116949862416462</v>
      </c>
      <c r="AU12" s="156"/>
      <c r="AV12" s="157">
        <v>2331</v>
      </c>
      <c r="AW12" s="164">
        <v>44359.369444444441</v>
      </c>
      <c r="AX12" s="157" t="s">
        <v>170</v>
      </c>
      <c r="AY12" s="157">
        <v>3521</v>
      </c>
      <c r="AZ12" s="164">
        <v>44359.404861111114</v>
      </c>
      <c r="BA12" s="157" t="s">
        <v>170</v>
      </c>
    </row>
    <row r="13" spans="1:241" x14ac:dyDescent="0.25">
      <c r="B13" s="158">
        <v>44360.397916666669</v>
      </c>
      <c r="C13" s="152" t="str">
        <f t="shared" si="0"/>
        <v>13/06/2021</v>
      </c>
      <c r="D13" s="129">
        <v>3597</v>
      </c>
      <c r="E13" s="22">
        <f t="shared" si="20"/>
        <v>359</v>
      </c>
      <c r="F13" s="22">
        <f t="shared" si="21"/>
        <v>0.7</v>
      </c>
      <c r="G13" s="165">
        <v>3597</v>
      </c>
      <c r="H13" s="22">
        <f t="shared" si="6"/>
        <v>359</v>
      </c>
      <c r="I13" s="22">
        <f t="shared" si="7"/>
        <v>0.7</v>
      </c>
      <c r="J13" s="2">
        <f>VLOOKUP(E13,'Arqueação Tanque'!$B$4:$C$480,2,0)</f>
        <v>242.56100000000001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0.46</v>
      </c>
      <c r="L13" s="2">
        <f>VLOOKUP(H13,'Arqueação Tanque'!$B$4:$C$480,2,0)</f>
        <v>242.56100000000001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0.46</v>
      </c>
      <c r="N13" s="23">
        <f t="shared" si="22"/>
        <v>243.02100000000002</v>
      </c>
      <c r="O13" s="23">
        <f t="shared" si="3"/>
        <v>243.02100000000002</v>
      </c>
      <c r="P13" s="24">
        <f t="shared" si="8"/>
        <v>0</v>
      </c>
      <c r="Q13" s="29">
        <f t="shared" si="9"/>
        <v>243.02100000000002</v>
      </c>
      <c r="R13" s="131">
        <v>2909</v>
      </c>
      <c r="S13" s="29">
        <f t="shared" si="10"/>
        <v>290</v>
      </c>
      <c r="T13" s="22">
        <f t="shared" si="4"/>
        <v>0.9</v>
      </c>
      <c r="U13" s="29">
        <f>VLOOKUP(S13,'Arqueação Tanque'!$B$4:$C$480,2,0)</f>
        <v>197.15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0.59199999999999997</v>
      </c>
      <c r="W13" s="29">
        <f t="shared" si="11"/>
        <v>197.74200000000002</v>
      </c>
      <c r="X13" s="29">
        <f t="shared" si="12"/>
        <v>45.289943864084165</v>
      </c>
      <c r="Y13" s="5">
        <v>68</v>
      </c>
      <c r="Z13" s="129">
        <v>31.8</v>
      </c>
      <c r="AA13" s="129">
        <v>24.03</v>
      </c>
      <c r="AB13" s="129">
        <v>24.1</v>
      </c>
      <c r="AC13" s="24">
        <f t="shared" si="13"/>
        <v>0.89100000000000001</v>
      </c>
      <c r="AD13" s="5">
        <f t="shared" si="5"/>
        <v>89.240000000000009</v>
      </c>
      <c r="AE13" s="5">
        <f t="shared" si="5"/>
        <v>75.254000000000005</v>
      </c>
      <c r="AF13" s="5">
        <f t="shared" si="14"/>
        <v>87.49175000000001</v>
      </c>
      <c r="AG13" s="39">
        <f>1+2*'Arqueação Tanque'!$K$4*(AF13-Y13)+('Arqueação Tanque'!$K$4^2)*(AF13-Y13)</f>
        <v>1.0002416984492628</v>
      </c>
      <c r="AH13" s="132">
        <v>28.93</v>
      </c>
      <c r="AI13" s="27">
        <v>0.5</v>
      </c>
      <c r="AJ13" s="27"/>
      <c r="AK13" s="27">
        <f t="shared" si="23"/>
        <v>27.391999999999999</v>
      </c>
      <c r="AL13" s="49">
        <f t="shared" si="15"/>
        <v>27</v>
      </c>
      <c r="AM13" s="48">
        <f t="shared" si="24"/>
        <v>25</v>
      </c>
      <c r="AN13" s="48">
        <f t="shared" si="16"/>
        <v>31.5</v>
      </c>
      <c r="AO13" s="27">
        <f>IF(AH13&lt;57,ROUND(IF(AB13="","",DGET('Banco de dados'!$D$3:$F$6293,$AO$4,'Densidade corrigida - Carregame'!C18:D19)),3),"")</f>
        <v>0.89400000000000002</v>
      </c>
      <c r="AP13" s="27">
        <f>DGET('Banco de dados'!$G$3:$I$9744,$AP$4,'FCV - Carregamento'!C18:D19)</f>
        <v>0.99150000000000005</v>
      </c>
      <c r="AQ13" s="27">
        <f t="shared" si="17"/>
        <v>44.904979341239454</v>
      </c>
      <c r="AR13" s="133">
        <v>6.0000000000000001E-3</v>
      </c>
      <c r="AS13" s="34">
        <f t="shared" si="18"/>
        <v>0.26942987604743673</v>
      </c>
      <c r="AT13" s="29">
        <f t="shared" si="19"/>
        <v>44.635549465192014</v>
      </c>
      <c r="AU13" s="156"/>
      <c r="AV13" s="157">
        <v>3521</v>
      </c>
      <c r="AW13" s="164">
        <v>44360.397916666669</v>
      </c>
      <c r="AX13" s="157" t="s">
        <v>170</v>
      </c>
      <c r="AY13" s="157">
        <v>3515</v>
      </c>
      <c r="AZ13" s="164">
        <v>44360.451388888891</v>
      </c>
      <c r="BA13" s="157" t="s">
        <v>170</v>
      </c>
    </row>
    <row r="14" spans="1:241" x14ac:dyDescent="0.25">
      <c r="B14" s="158">
        <v>44361.71597222222</v>
      </c>
      <c r="C14" s="152" t="str">
        <f t="shared" si="0"/>
        <v>14/06/2021</v>
      </c>
      <c r="D14" s="129">
        <v>2905</v>
      </c>
      <c r="E14" s="22">
        <f t="shared" si="20"/>
        <v>290</v>
      </c>
      <c r="F14" s="22">
        <f t="shared" si="21"/>
        <v>0.5</v>
      </c>
      <c r="G14" s="165">
        <v>2905</v>
      </c>
      <c r="H14" s="22">
        <f t="shared" si="6"/>
        <v>290</v>
      </c>
      <c r="I14" s="22">
        <f t="shared" si="7"/>
        <v>0.5</v>
      </c>
      <c r="J14" s="2">
        <f>VLOOKUP(E14,'Arqueação Tanque'!$B$4:$C$480,2,0)</f>
        <v>197.15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0.32900000000000001</v>
      </c>
      <c r="L14" s="2">
        <f>VLOOKUP(H14,'Arqueação Tanque'!$B$4:$C$480,2,0)</f>
        <v>197.15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0.32900000000000001</v>
      </c>
      <c r="N14" s="23">
        <f t="shared" si="22"/>
        <v>197.47900000000001</v>
      </c>
      <c r="O14" s="23">
        <f t="shared" si="3"/>
        <v>197.47900000000001</v>
      </c>
      <c r="P14" s="24">
        <f t="shared" si="8"/>
        <v>0</v>
      </c>
      <c r="Q14" s="29">
        <f t="shared" si="9"/>
        <v>197.47900000000001</v>
      </c>
      <c r="R14" s="131">
        <v>2209</v>
      </c>
      <c r="S14" s="29">
        <f t="shared" si="10"/>
        <v>220</v>
      </c>
      <c r="T14" s="22">
        <f t="shared" si="4"/>
        <v>0.9</v>
      </c>
      <c r="U14" s="29">
        <f>VLOOKUP(S14,'Arqueação Tanque'!$B$4:$C$480,2,0)</f>
        <v>151.083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0.59199999999999997</v>
      </c>
      <c r="W14" s="29">
        <f t="shared" si="11"/>
        <v>151.67500000000001</v>
      </c>
      <c r="X14" s="29">
        <f t="shared" si="12"/>
        <v>45.814206871330406</v>
      </c>
      <c r="Y14" s="5">
        <v>68</v>
      </c>
      <c r="Z14" s="129">
        <v>31.05</v>
      </c>
      <c r="AA14" s="129">
        <v>22.52</v>
      </c>
      <c r="AB14" s="129">
        <v>23.6</v>
      </c>
      <c r="AC14" s="24">
        <f t="shared" si="13"/>
        <v>0.89</v>
      </c>
      <c r="AD14" s="5">
        <f t="shared" si="5"/>
        <v>87.89</v>
      </c>
      <c r="AE14" s="5">
        <f t="shared" si="5"/>
        <v>72.536000000000001</v>
      </c>
      <c r="AF14" s="5">
        <f t="shared" si="14"/>
        <v>85.97075000000001</v>
      </c>
      <c r="AG14" s="39">
        <f>1+2*'Arqueação Tanque'!$K$4*(AF14-Y14)+('Arqueação Tanque'!$K$4^2)*(AF14-Y14)</f>
        <v>1.0002228379907956</v>
      </c>
      <c r="AH14" s="132">
        <v>28.93</v>
      </c>
      <c r="AI14" s="5">
        <v>0.5</v>
      </c>
      <c r="AJ14" s="5"/>
      <c r="AK14" s="27">
        <f t="shared" si="23"/>
        <v>27.481999999999999</v>
      </c>
      <c r="AL14" s="49">
        <f t="shared" si="15"/>
        <v>27</v>
      </c>
      <c r="AM14" s="48">
        <f t="shared" si="24"/>
        <v>25</v>
      </c>
      <c r="AN14" s="48">
        <f t="shared" si="16"/>
        <v>31</v>
      </c>
      <c r="AO14" s="27">
        <f>IF(AH14&lt;57,ROUND(IF(AB14="","",DGET('Banco de dados'!$D$3:$F$6293,$AO$4,'Densidade corrigida - Carregame'!C20:D21)),3),"")</f>
        <v>0.89300000000000002</v>
      </c>
      <c r="AP14" s="27">
        <f>DGET('Banco de dados'!$G$3:$I$9744,$AP$4,'FCV - Carregamento'!C20:D21)</f>
        <v>0.9919</v>
      </c>
      <c r="AQ14" s="27">
        <f t="shared" si="17"/>
        <v>45.443111795672628</v>
      </c>
      <c r="AR14" s="133">
        <v>5.0000000000000001E-3</v>
      </c>
      <c r="AS14" s="34">
        <f t="shared" si="18"/>
        <v>0.22721555897836315</v>
      </c>
      <c r="AT14" s="29">
        <f t="shared" si="19"/>
        <v>45.215896236694263</v>
      </c>
      <c r="AU14" s="156"/>
      <c r="AV14" s="157">
        <v>3515</v>
      </c>
      <c r="AW14" s="164">
        <v>44361.71597222222</v>
      </c>
      <c r="AX14" s="157" t="s">
        <v>170</v>
      </c>
      <c r="AY14" s="157">
        <v>3518</v>
      </c>
      <c r="AZ14" s="164">
        <v>44361.760416666664</v>
      </c>
      <c r="BA14" s="157" t="s">
        <v>170</v>
      </c>
    </row>
    <row r="15" spans="1:241" x14ac:dyDescent="0.25">
      <c r="B15" s="158">
        <v>44364.375</v>
      </c>
      <c r="C15" s="152" t="str">
        <f t="shared" si="0"/>
        <v>17/06/2021</v>
      </c>
      <c r="D15" s="129">
        <v>4237</v>
      </c>
      <c r="E15" s="22">
        <f t="shared" si="20"/>
        <v>423</v>
      </c>
      <c r="F15" s="22">
        <f t="shared" si="21"/>
        <v>0.7</v>
      </c>
      <c r="G15" s="165">
        <v>4237</v>
      </c>
      <c r="H15" s="22">
        <f t="shared" si="6"/>
        <v>423</v>
      </c>
      <c r="I15" s="22">
        <f t="shared" si="7"/>
        <v>0.7</v>
      </c>
      <c r="J15" s="2">
        <f>VLOOKUP(E15,'Arqueação Tanque'!$B$4:$C$480,2,0)</f>
        <v>284.68400000000003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0.46</v>
      </c>
      <c r="L15" s="2">
        <f>VLOOKUP(H15,'Arqueação Tanque'!$B$4:$C$480,2,0)</f>
        <v>284.68400000000003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0.46</v>
      </c>
      <c r="N15" s="23">
        <f t="shared" si="22"/>
        <v>285.14400000000001</v>
      </c>
      <c r="O15" s="23">
        <f t="shared" si="3"/>
        <v>285.14400000000001</v>
      </c>
      <c r="P15" s="24">
        <f t="shared" si="8"/>
        <v>0</v>
      </c>
      <c r="Q15" s="29">
        <f t="shared" si="9"/>
        <v>285.14400000000001</v>
      </c>
      <c r="R15" s="131">
        <v>3551</v>
      </c>
      <c r="S15" s="29">
        <f t="shared" si="10"/>
        <v>355</v>
      </c>
      <c r="T15" s="22">
        <f t="shared" si="4"/>
        <v>0.1</v>
      </c>
      <c r="U15" s="29">
        <f>VLOOKUP(S15,'Arqueação Tanque'!$B$4:$C$480,2,0)</f>
        <v>239.929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6.5000000000000002E-2</v>
      </c>
      <c r="W15" s="29">
        <f t="shared" si="11"/>
        <v>239.994</v>
      </c>
      <c r="X15" s="29">
        <f t="shared" si="12"/>
        <v>45.162845047764527</v>
      </c>
      <c r="Y15" s="5">
        <v>68</v>
      </c>
      <c r="Z15" s="165">
        <v>33.99</v>
      </c>
      <c r="AA15" s="165">
        <v>24.04</v>
      </c>
      <c r="AB15" s="165">
        <v>25.6</v>
      </c>
      <c r="AC15" s="24">
        <f t="shared" si="13"/>
        <v>0.88</v>
      </c>
      <c r="AD15" s="5">
        <f t="shared" si="5"/>
        <v>93.182000000000002</v>
      </c>
      <c r="AE15" s="5">
        <f t="shared" si="5"/>
        <v>75.271999999999991</v>
      </c>
      <c r="AF15" s="5">
        <f t="shared" si="14"/>
        <v>90.943250000000006</v>
      </c>
      <c r="AG15" s="39">
        <f>1+2*'Arqueação Tanque'!$K$4*(AF15-Y15)+('Arqueação Tanque'!$K$4^2)*(AF15-Y15)</f>
        <v>1.0002844971819385</v>
      </c>
      <c r="AH15" s="132">
        <v>31.14</v>
      </c>
      <c r="AI15" s="27">
        <v>0.5</v>
      </c>
      <c r="AJ15" s="27"/>
      <c r="AK15" s="27">
        <f t="shared" si="23"/>
        <v>29.332000000000001</v>
      </c>
      <c r="AL15" s="49">
        <f t="shared" si="15"/>
        <v>29</v>
      </c>
      <c r="AM15" s="48">
        <f t="shared" si="24"/>
        <v>25.5</v>
      </c>
      <c r="AN15" s="48">
        <f t="shared" si="16"/>
        <v>33.5</v>
      </c>
      <c r="AO15" s="27">
        <f>IF(AH15&lt;57,ROUND(IF(AB15="","",DGET('Banco de dados'!$D$3:$F$6293,$AO$4,'Densidade corrigida - Carregame'!C22:D23)),3),"")</f>
        <v>0.88400000000000001</v>
      </c>
      <c r="AP15" s="27">
        <f>DGET('Banco de dados'!$G$3:$I$9744,$AP$4,'FCV - Carregamento'!C22:D23)</f>
        <v>0.9899</v>
      </c>
      <c r="AQ15" s="27">
        <f t="shared" si="17"/>
        <v>44.706700312782104</v>
      </c>
      <c r="AR15" s="133">
        <v>2E-3</v>
      </c>
      <c r="AS15" s="34">
        <f t="shared" si="18"/>
        <v>8.9413400625564216E-2</v>
      </c>
      <c r="AT15" s="29">
        <f t="shared" si="19"/>
        <v>44.617286912156537</v>
      </c>
      <c r="AU15" s="156"/>
      <c r="AV15" s="157"/>
      <c r="AW15" s="164"/>
      <c r="AX15" s="157"/>
      <c r="AY15" s="157"/>
      <c r="AZ15" s="164"/>
      <c r="BA15" s="157"/>
    </row>
    <row r="16" spans="1:241" x14ac:dyDescent="0.25">
      <c r="B16" s="158">
        <v>44364.427083333336</v>
      </c>
      <c r="C16" s="152" t="str">
        <f t="shared" si="0"/>
        <v>17/06/2021</v>
      </c>
      <c r="D16" s="129">
        <v>3551</v>
      </c>
      <c r="E16" s="22">
        <f t="shared" si="20"/>
        <v>355</v>
      </c>
      <c r="F16" s="22">
        <f t="shared" si="21"/>
        <v>0.1</v>
      </c>
      <c r="G16" s="165">
        <v>3551</v>
      </c>
      <c r="H16" s="22">
        <f t="shared" si="6"/>
        <v>355</v>
      </c>
      <c r="I16" s="22">
        <f t="shared" si="7"/>
        <v>0.1</v>
      </c>
      <c r="J16" s="2">
        <f>VLOOKUP(E16,'Arqueação Tanque'!$B$4:$C$480,2,0)</f>
        <v>239.929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6.5000000000000002E-2</v>
      </c>
      <c r="L16" s="2">
        <f>VLOOKUP(H16,'Arqueação Tanque'!$B$4:$C$480,2,0)</f>
        <v>239.929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6.5000000000000002E-2</v>
      </c>
      <c r="N16" s="23">
        <f t="shared" si="22"/>
        <v>239.994</v>
      </c>
      <c r="O16" s="23">
        <f t="shared" si="3"/>
        <v>239.994</v>
      </c>
      <c r="P16" s="24">
        <f t="shared" si="8"/>
        <v>0</v>
      </c>
      <c r="Q16" s="29">
        <f t="shared" si="9"/>
        <v>239.994</v>
      </c>
      <c r="R16" s="131">
        <v>3092</v>
      </c>
      <c r="S16" s="29">
        <f t="shared" si="10"/>
        <v>309</v>
      </c>
      <c r="T16" s="22">
        <f t="shared" si="4"/>
        <v>0.2</v>
      </c>
      <c r="U16" s="29">
        <f>VLOOKUP(S16,'Arqueação Tanque'!$B$4:$C$480,2,0)</f>
        <v>209.654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0.13100000000000001</v>
      </c>
      <c r="W16" s="29">
        <f t="shared" si="11"/>
        <v>209.785</v>
      </c>
      <c r="X16" s="29">
        <f t="shared" si="12"/>
        <v>30.218318369528465</v>
      </c>
      <c r="Y16" s="5">
        <v>68</v>
      </c>
      <c r="Z16" s="129">
        <v>34.979999999999997</v>
      </c>
      <c r="AA16" s="129">
        <v>25.7</v>
      </c>
      <c r="AB16" s="129">
        <v>26.4</v>
      </c>
      <c r="AC16" s="24">
        <f t="shared" si="13"/>
        <v>0.88100000000000001</v>
      </c>
      <c r="AD16" s="5">
        <f t="shared" si="5"/>
        <v>94.963999999999999</v>
      </c>
      <c r="AE16" s="5">
        <f t="shared" si="5"/>
        <v>78.259999999999991</v>
      </c>
      <c r="AF16" s="5">
        <f t="shared" si="14"/>
        <v>92.876000000000005</v>
      </c>
      <c r="AG16" s="39">
        <f>1+2*'Arqueação Tanque'!$K$4*(AF16-Y16)+('Arqueação Tanque'!$K$4^2)*(AF16-Y16)</f>
        <v>1.0003084633562336</v>
      </c>
      <c r="AH16" s="132">
        <v>31.14</v>
      </c>
      <c r="AI16" s="5">
        <v>0.5</v>
      </c>
      <c r="AJ16" s="5"/>
      <c r="AK16" s="27">
        <f t="shared" si="23"/>
        <v>29.188000000000002</v>
      </c>
      <c r="AL16" s="49">
        <f t="shared" si="15"/>
        <v>29</v>
      </c>
      <c r="AM16" s="48">
        <f t="shared" si="24"/>
        <v>26</v>
      </c>
      <c r="AN16" s="48">
        <f t="shared" si="16"/>
        <v>34.5</v>
      </c>
      <c r="AO16" s="27">
        <f>IF(AH16&lt;57,ROUND(IF(AB16="","",DGET('Banco de dados'!$D$3:$F$6293,$AO$4,'Densidade corrigida - Carregame'!C24:D25)),3),"")</f>
        <v>0.88500000000000001</v>
      </c>
      <c r="AP16" s="27">
        <f>DGET('Banco de dados'!$G$3:$I$9744,$AP$4,'FCV - Carregamento'!C24:D25)</f>
        <v>0.98909999999999998</v>
      </c>
      <c r="AQ16" s="27">
        <f t="shared" si="17"/>
        <v>29.888938699300603</v>
      </c>
      <c r="AR16" s="133">
        <v>2E-3</v>
      </c>
      <c r="AS16" s="34">
        <f t="shared" si="18"/>
        <v>5.9777877398601208E-2</v>
      </c>
      <c r="AT16" s="29">
        <f t="shared" si="19"/>
        <v>29.829160821902001</v>
      </c>
      <c r="AU16" s="156"/>
      <c r="AV16" s="157"/>
      <c r="AW16" s="164"/>
      <c r="AX16" s="157"/>
      <c r="AY16" s="157"/>
      <c r="AZ16" s="164"/>
      <c r="BA16" s="157"/>
    </row>
    <row r="17" spans="2:58" x14ac:dyDescent="0.25">
      <c r="B17" s="158">
        <v>44364.541666666664</v>
      </c>
      <c r="C17" s="152" t="str">
        <f t="shared" si="0"/>
        <v>17/06/2021</v>
      </c>
      <c r="D17" s="129">
        <v>3092</v>
      </c>
      <c r="E17" s="22">
        <f t="shared" si="20"/>
        <v>309</v>
      </c>
      <c r="F17" s="22">
        <f t="shared" si="21"/>
        <v>0.2</v>
      </c>
      <c r="G17" s="165">
        <v>3092</v>
      </c>
      <c r="H17" s="22">
        <f t="shared" si="6"/>
        <v>309</v>
      </c>
      <c r="I17" s="22">
        <f t="shared" si="7"/>
        <v>0.2</v>
      </c>
      <c r="J17" s="2">
        <f>VLOOKUP(E17,'Arqueação Tanque'!$B$4:$C$480,2,0)</f>
        <v>209.654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0.13100000000000001</v>
      </c>
      <c r="L17" s="2">
        <f>VLOOKUP(H17,'Arqueação Tanque'!$B$4:$C$480,2,0)</f>
        <v>209.654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0.13100000000000001</v>
      </c>
      <c r="N17" s="23">
        <f t="shared" si="22"/>
        <v>209.785</v>
      </c>
      <c r="O17" s="23">
        <f t="shared" si="3"/>
        <v>209.785</v>
      </c>
      <c r="P17" s="24">
        <f t="shared" si="8"/>
        <v>0</v>
      </c>
      <c r="Q17" s="29">
        <f t="shared" si="9"/>
        <v>209.785</v>
      </c>
      <c r="R17" s="131">
        <v>2079</v>
      </c>
      <c r="S17" s="29">
        <f t="shared" si="10"/>
        <v>207</v>
      </c>
      <c r="T17" s="22">
        <f t="shared" si="4"/>
        <v>0.9</v>
      </c>
      <c r="U17" s="29">
        <f>VLOOKUP(S17,'Arqueação Tanque'!$B$4:$C$480,2,0)</f>
        <v>142.52799999999999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0.59199999999999997</v>
      </c>
      <c r="W17" s="29">
        <f t="shared" si="11"/>
        <v>143.12</v>
      </c>
      <c r="X17" s="29">
        <f t="shared" si="12"/>
        <v>66.686737343940052</v>
      </c>
      <c r="Y17" s="5">
        <v>68</v>
      </c>
      <c r="Z17" s="129">
        <v>35.6</v>
      </c>
      <c r="AA17" s="129">
        <v>27.67</v>
      </c>
      <c r="AB17" s="129">
        <v>27.8</v>
      </c>
      <c r="AC17" s="24">
        <f t="shared" si="13"/>
        <v>0.88200000000000001</v>
      </c>
      <c r="AD17" s="5">
        <f t="shared" si="5"/>
        <v>96.08</v>
      </c>
      <c r="AE17" s="5">
        <f t="shared" si="5"/>
        <v>81.806000000000012</v>
      </c>
      <c r="AF17" s="5">
        <f t="shared" si="14"/>
        <v>94.295749999999998</v>
      </c>
      <c r="AG17" s="39">
        <f>1+2*'Arqueação Tanque'!$K$4*(AF17-Y17)+('Arqueação Tanque'!$K$4^2)*(AF17-Y17)</f>
        <v>1.0003260683108086</v>
      </c>
      <c r="AH17" s="132">
        <v>31.14</v>
      </c>
      <c r="AI17" s="27">
        <v>0.5</v>
      </c>
      <c r="AJ17" s="27"/>
      <c r="AK17" s="27">
        <f t="shared" si="23"/>
        <v>28.936</v>
      </c>
      <c r="AL17" s="49">
        <f t="shared" si="15"/>
        <v>29</v>
      </c>
      <c r="AM17" s="48">
        <f t="shared" si="24"/>
        <v>27.5</v>
      </c>
      <c r="AN17" s="48">
        <f t="shared" si="16"/>
        <v>35.5</v>
      </c>
      <c r="AO17" s="27">
        <f>IF(AH17&lt;57,ROUND(IF(AB17="","",DGET('Banco de dados'!$D$3:$F$6293,$AO$4,'Densidade corrigida - Carregame'!C26:D27)),3),"")</f>
        <v>0.88700000000000001</v>
      </c>
      <c r="AP17" s="27">
        <f>DGET('Banco de dados'!$G$3:$I$9744,$AP$4,'FCV - Carregamento'!C26:D27)</f>
        <v>0.98839999999999995</v>
      </c>
      <c r="AQ17" s="27">
        <f t="shared" si="17"/>
        <v>65.913171190750347</v>
      </c>
      <c r="AR17" s="133">
        <v>2E-3</v>
      </c>
      <c r="AS17" s="34">
        <f t="shared" si="18"/>
        <v>0.13182634238150071</v>
      </c>
      <c r="AT17" s="29">
        <f t="shared" si="19"/>
        <v>65.781344848368846</v>
      </c>
      <c r="AU17" s="156"/>
      <c r="AV17" s="157"/>
      <c r="AW17" s="164"/>
      <c r="AX17" s="157"/>
      <c r="AY17" s="157"/>
      <c r="AZ17" s="164"/>
      <c r="BA17" s="157"/>
    </row>
    <row r="18" spans="2:58" s="58" customFormat="1" x14ac:dyDescent="0.25">
      <c r="B18" s="158">
        <v>44365.618055555555</v>
      </c>
      <c r="C18" s="152" t="str">
        <f t="shared" si="0"/>
        <v>18/06/2021</v>
      </c>
      <c r="D18" s="129">
        <v>2072</v>
      </c>
      <c r="E18" s="22">
        <f t="shared" si="20"/>
        <v>207</v>
      </c>
      <c r="F18" s="22">
        <f t="shared" si="21"/>
        <v>0.2</v>
      </c>
      <c r="G18" s="165">
        <v>2072</v>
      </c>
      <c r="H18" s="22">
        <f t="shared" si="6"/>
        <v>207</v>
      </c>
      <c r="I18" s="22">
        <f t="shared" si="7"/>
        <v>0.2</v>
      </c>
      <c r="J18" s="50">
        <f>VLOOKUP(E18,'Arqueação Tanque'!$B$4:$C$480,2,0)</f>
        <v>142.52799999999999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0.13100000000000001</v>
      </c>
      <c r="L18" s="50">
        <f>VLOOKUP(H18,'Arqueação Tanque'!$B$4:$C$480,2,0)</f>
        <v>142.52799999999999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0.13100000000000001</v>
      </c>
      <c r="N18" s="53">
        <f t="shared" si="22"/>
        <v>142.65899999999999</v>
      </c>
      <c r="O18" s="53">
        <f t="shared" si="3"/>
        <v>142.65899999999999</v>
      </c>
      <c r="P18" s="54">
        <f t="shared" si="8"/>
        <v>0</v>
      </c>
      <c r="Q18" s="29">
        <f t="shared" si="9"/>
        <v>142.65899999999999</v>
      </c>
      <c r="R18" s="131">
        <v>1615</v>
      </c>
      <c r="S18" s="29">
        <f t="shared" si="10"/>
        <v>161</v>
      </c>
      <c r="T18" s="22">
        <f t="shared" si="4"/>
        <v>0.5</v>
      </c>
      <c r="U18" s="29">
        <f>VLOOKUP(S18,'Arqueação Tanque'!$B$4:$C$480,2,0)</f>
        <v>112.256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0.32900000000000001</v>
      </c>
      <c r="W18" s="29">
        <f t="shared" si="11"/>
        <v>112.58499999999999</v>
      </c>
      <c r="X18" s="29">
        <f t="shared" si="12"/>
        <v>30.083110591669541</v>
      </c>
      <c r="Y18" s="22">
        <v>68</v>
      </c>
      <c r="Z18" s="129">
        <v>35.090000000000003</v>
      </c>
      <c r="AA18" s="129">
        <v>22.95</v>
      </c>
      <c r="AB18" s="129">
        <v>23.9</v>
      </c>
      <c r="AC18" s="54">
        <f t="shared" si="13"/>
        <v>0.878</v>
      </c>
      <c r="AD18" s="22">
        <f t="shared" si="5"/>
        <v>95.162000000000006</v>
      </c>
      <c r="AE18" s="22">
        <f t="shared" si="5"/>
        <v>73.31</v>
      </c>
      <c r="AF18" s="22">
        <f t="shared" si="14"/>
        <v>92.430499999999995</v>
      </c>
      <c r="AG18" s="56">
        <f>1+2*'Arqueação Tanque'!$K$4*(AF18-Y18)+('Arqueação Tanque'!$K$4^2)*(AF18-Y18)</f>
        <v>1.0003029391391083</v>
      </c>
      <c r="AH18" s="132">
        <v>31.14</v>
      </c>
      <c r="AI18" s="22">
        <v>0.5</v>
      </c>
      <c r="AJ18" s="22"/>
      <c r="AK18" s="57">
        <f t="shared" si="23"/>
        <v>29.638000000000002</v>
      </c>
      <c r="AL18" s="49">
        <f t="shared" si="15"/>
        <v>30</v>
      </c>
      <c r="AM18" s="48">
        <f t="shared" si="24"/>
        <v>25</v>
      </c>
      <c r="AN18" s="48">
        <f t="shared" si="16"/>
        <v>35</v>
      </c>
      <c r="AO18" s="27">
        <f>IF(AH18&lt;57,ROUND(IF(AB18="","",DGET('Banco de dados'!$D$3:$F$6293,$AO$4,'Densidade corrigida - Carregame'!C28:D29)),3),"")</f>
        <v>0.88100000000000001</v>
      </c>
      <c r="AP18" s="27">
        <f>DGET('Banco de dados'!$G$3:$I$9744,$AP$4,'FCV - Carregamento'!C28:D29)</f>
        <v>0.98870000000000002</v>
      </c>
      <c r="AQ18" s="27">
        <f t="shared" si="17"/>
        <v>29.743171441983677</v>
      </c>
      <c r="AR18" s="133">
        <v>2E-3</v>
      </c>
      <c r="AS18" s="34">
        <f t="shared" si="18"/>
        <v>5.9486342883967355E-2</v>
      </c>
      <c r="AT18" s="29">
        <f t="shared" si="19"/>
        <v>29.683685099099709</v>
      </c>
      <c r="AU18" s="156"/>
      <c r="AV18" s="157"/>
      <c r="AW18" s="164"/>
      <c r="AX18" s="157"/>
      <c r="AY18" s="157"/>
      <c r="AZ18" s="164"/>
      <c r="BA18" s="157"/>
      <c r="BB18"/>
      <c r="BC18"/>
      <c r="BD18"/>
      <c r="BE18"/>
      <c r="BF18"/>
    </row>
    <row r="19" spans="2:58" x14ac:dyDescent="0.25">
      <c r="B19" s="158">
        <v>44365.6875</v>
      </c>
      <c r="C19" s="152" t="str">
        <f t="shared" si="0"/>
        <v>18/06/2021</v>
      </c>
      <c r="D19" s="129">
        <v>1615</v>
      </c>
      <c r="E19" s="22">
        <f t="shared" si="20"/>
        <v>161</v>
      </c>
      <c r="F19" s="22">
        <f t="shared" si="21"/>
        <v>0.5</v>
      </c>
      <c r="G19" s="165">
        <v>1615</v>
      </c>
      <c r="H19" s="22">
        <f t="shared" si="6"/>
        <v>161</v>
      </c>
      <c r="I19" s="22">
        <f t="shared" si="7"/>
        <v>0.5</v>
      </c>
      <c r="J19" s="2">
        <f>VLOOKUP(E19,'Arqueação Tanque'!$B$4:$C$480,2,0)</f>
        <v>112.256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0.32900000000000001</v>
      </c>
      <c r="L19" s="2">
        <f>VLOOKUP(H19,'Arqueação Tanque'!$B$4:$C$480,2,0)</f>
        <v>112.256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0.32900000000000001</v>
      </c>
      <c r="N19" s="23">
        <f t="shared" si="22"/>
        <v>112.58499999999999</v>
      </c>
      <c r="O19" s="23">
        <f t="shared" si="3"/>
        <v>112.58499999999999</v>
      </c>
      <c r="P19" s="24">
        <f t="shared" si="8"/>
        <v>0</v>
      </c>
      <c r="Q19" s="29">
        <f t="shared" si="9"/>
        <v>112.58499999999999</v>
      </c>
      <c r="R19" s="131">
        <v>930</v>
      </c>
      <c r="S19" s="29">
        <f t="shared" si="10"/>
        <v>93</v>
      </c>
      <c r="T19" s="22">
        <f t="shared" si="4"/>
        <v>0</v>
      </c>
      <c r="U19" s="29">
        <f>VLOOKUP(S19,'Arqueação Tanque'!$B$4:$C$480,2,0)</f>
        <v>67.510000000000005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</v>
      </c>
      <c r="W19" s="29">
        <f t="shared" si="11"/>
        <v>67.510000000000005</v>
      </c>
      <c r="X19" s="29">
        <f t="shared" si="12"/>
        <v>45.088307885089307</v>
      </c>
      <c r="Y19" s="5">
        <v>68</v>
      </c>
      <c r="Z19" s="129">
        <v>34.6</v>
      </c>
      <c r="AA19" s="129">
        <v>23.62</v>
      </c>
      <c r="AB19" s="129">
        <v>24.1</v>
      </c>
      <c r="AC19" s="24">
        <f t="shared" si="13"/>
        <v>0.878</v>
      </c>
      <c r="AD19" s="5">
        <f t="shared" si="5"/>
        <v>94.28</v>
      </c>
      <c r="AE19" s="5">
        <f t="shared" si="5"/>
        <v>74.516000000000005</v>
      </c>
      <c r="AF19" s="5">
        <f t="shared" si="14"/>
        <v>91.8095</v>
      </c>
      <c r="AG19" s="39">
        <f>1+2*'Arqueação Tanque'!$K$4*(AF19-Y19)+('Arqueação Tanque'!$K$4^2)*(AF19-Y19)</f>
        <v>1.0002952387152373</v>
      </c>
      <c r="AH19" s="132">
        <v>31.14</v>
      </c>
      <c r="AI19" s="27">
        <v>0.5</v>
      </c>
      <c r="AJ19" s="27"/>
      <c r="AK19" s="27">
        <f t="shared" si="23"/>
        <v>29.602</v>
      </c>
      <c r="AL19" s="49">
        <f t="shared" si="15"/>
        <v>30</v>
      </c>
      <c r="AM19" s="48">
        <f t="shared" si="24"/>
        <v>25</v>
      </c>
      <c r="AN19" s="48">
        <f t="shared" si="16"/>
        <v>34.5</v>
      </c>
      <c r="AO19" s="27">
        <f>IF(AH19&lt;57,ROUND(IF(AB19="","",DGET('Banco de dados'!$D$3:$F$6293,$AO$4,'Densidade corrigida - Carregame'!C30:D31)),3),"")</f>
        <v>0.88100000000000001</v>
      </c>
      <c r="AP19" s="27">
        <f>DGET('Banco de dados'!$G$3:$I$9744,$AP$4,'FCV - Carregamento'!C30:D31)</f>
        <v>0.98909999999999998</v>
      </c>
      <c r="AQ19" s="27">
        <f t="shared" si="17"/>
        <v>44.596845329141836</v>
      </c>
      <c r="AR19" s="133">
        <v>2E-3</v>
      </c>
      <c r="AS19" s="34">
        <f t="shared" si="18"/>
        <v>8.919369065828367E-2</v>
      </c>
      <c r="AT19" s="29">
        <f t="shared" si="19"/>
        <v>44.507651638483551</v>
      </c>
      <c r="AU19" s="156"/>
      <c r="AV19" s="157"/>
      <c r="AW19" s="164"/>
      <c r="AX19" s="157"/>
      <c r="AY19" s="157"/>
      <c r="AZ19" s="164"/>
      <c r="BA19" s="157"/>
    </row>
    <row r="20" spans="2:58" x14ac:dyDescent="0.25">
      <c r="B20" s="158">
        <v>44370.388888888891</v>
      </c>
      <c r="C20" s="152" t="str">
        <f t="shared" si="0"/>
        <v>23/06/2021</v>
      </c>
      <c r="D20" s="129">
        <v>4099</v>
      </c>
      <c r="E20" s="22">
        <f t="shared" si="20"/>
        <v>409</v>
      </c>
      <c r="F20" s="22">
        <f t="shared" si="21"/>
        <v>0.9</v>
      </c>
      <c r="G20" s="165">
        <v>4099</v>
      </c>
      <c r="H20" s="22">
        <f t="shared" si="6"/>
        <v>409</v>
      </c>
      <c r="I20" s="22">
        <f t="shared" si="7"/>
        <v>0.9</v>
      </c>
      <c r="J20" s="2">
        <f>VLOOKUP(E20,'Arqueação Tanque'!$B$4:$C$480,2,0)</f>
        <v>275.46899999999999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0.59199999999999997</v>
      </c>
      <c r="L20" s="2">
        <f>VLOOKUP(H20,'Arqueação Tanque'!$B$4:$C$480,2,0)</f>
        <v>275.46899999999999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0.59199999999999997</v>
      </c>
      <c r="N20" s="23">
        <f t="shared" si="22"/>
        <v>276.06099999999998</v>
      </c>
      <c r="O20" s="23">
        <f t="shared" si="3"/>
        <v>276.06099999999998</v>
      </c>
      <c r="P20" s="24">
        <f t="shared" si="8"/>
        <v>0</v>
      </c>
      <c r="Q20" s="29">
        <f t="shared" si="9"/>
        <v>276.06099999999998</v>
      </c>
      <c r="R20" s="131">
        <v>3710</v>
      </c>
      <c r="S20" s="29">
        <f t="shared" si="10"/>
        <v>371</v>
      </c>
      <c r="T20" s="22">
        <f t="shared" si="4"/>
        <v>0</v>
      </c>
      <c r="U20" s="29">
        <f>VLOOKUP(S20,'Arqueação Tanque'!$B$4:$C$480,2,0)</f>
        <v>250.459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11"/>
        <v>250.459</v>
      </c>
      <c r="X20" s="29">
        <f t="shared" si="12"/>
        <v>25.611183015272033</v>
      </c>
      <c r="Y20" s="5">
        <v>68</v>
      </c>
      <c r="Z20" s="129">
        <v>37.72</v>
      </c>
      <c r="AA20" s="129">
        <v>24.52</v>
      </c>
      <c r="AB20" s="129">
        <v>25.9</v>
      </c>
      <c r="AC20" s="24">
        <f t="shared" si="13"/>
        <v>0.89</v>
      </c>
      <c r="AD20" s="5">
        <f t="shared" si="5"/>
        <v>99.896000000000001</v>
      </c>
      <c r="AE20" s="5">
        <f t="shared" si="5"/>
        <v>76.135999999999996</v>
      </c>
      <c r="AF20" s="5">
        <f t="shared" si="14"/>
        <v>96.926000000000002</v>
      </c>
      <c r="AG20" s="39">
        <f>1+2*'Arqueação Tanque'!$K$4*(AF20-Y20)+('Arqueação Tanque'!$K$4^2)*(AF20-Y20)</f>
        <v>1.0003586835119154</v>
      </c>
      <c r="AH20" s="132">
        <v>29.29</v>
      </c>
      <c r="AI20" s="5">
        <v>0.5</v>
      </c>
      <c r="AJ20" s="5"/>
      <c r="AK20" s="27">
        <f t="shared" si="23"/>
        <v>27.427999999999997</v>
      </c>
      <c r="AL20" s="49">
        <f t="shared" si="15"/>
        <v>27</v>
      </c>
      <c r="AM20" s="48">
        <f t="shared" si="24"/>
        <v>25.5</v>
      </c>
      <c r="AN20" s="48">
        <f t="shared" si="16"/>
        <v>37.5</v>
      </c>
      <c r="AO20" s="27">
        <f>IF(AH20&lt;57,ROUND(IF(AB20="","",DGET('Banco de dados'!$D$3:$F$6293,$AO$4,'Densidade corrigida - Carregame'!C32:D33)),3),"")</f>
        <v>0.89400000000000002</v>
      </c>
      <c r="AP20" s="27">
        <f>DGET('Banco de dados'!$G$3:$I$9744,$AP$4,'FCV - Carregamento'!C32:D33)</f>
        <v>0.98709999999999998</v>
      </c>
      <c r="AQ20" s="27">
        <f t="shared" si="17"/>
        <v>25.280798754375024</v>
      </c>
      <c r="AR20" s="133">
        <v>4.0000000000000001E-3</v>
      </c>
      <c r="AS20" s="34">
        <f t="shared" si="18"/>
        <v>0.1011231950175001</v>
      </c>
      <c r="AT20" s="29">
        <f t="shared" si="19"/>
        <v>25.179675559357523</v>
      </c>
      <c r="AU20" s="156"/>
      <c r="AV20" s="157"/>
      <c r="AW20" s="164"/>
      <c r="AX20" s="157"/>
      <c r="AY20" s="157"/>
      <c r="AZ20" s="164"/>
      <c r="BA20" s="157"/>
    </row>
    <row r="21" spans="2:58" x14ac:dyDescent="0.25">
      <c r="B21" s="158">
        <v>44370.615277777775</v>
      </c>
      <c r="C21" s="152" t="str">
        <f t="shared" si="0"/>
        <v>23/06/2021</v>
      </c>
      <c r="D21" s="129">
        <v>3710</v>
      </c>
      <c r="E21" s="22">
        <f t="shared" si="20"/>
        <v>371</v>
      </c>
      <c r="F21" s="22">
        <f t="shared" si="21"/>
        <v>0</v>
      </c>
      <c r="G21" s="165">
        <v>3710</v>
      </c>
      <c r="H21" s="22">
        <f t="shared" si="6"/>
        <v>371</v>
      </c>
      <c r="I21" s="22">
        <f t="shared" si="7"/>
        <v>0</v>
      </c>
      <c r="J21" s="2">
        <f>VLOOKUP(E21,'Arqueação Tanque'!$B$4:$C$480,2,0)</f>
        <v>250.459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250.459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250.459</v>
      </c>
      <c r="O21" s="23">
        <f t="shared" si="3"/>
        <v>250.459</v>
      </c>
      <c r="P21" s="24">
        <f t="shared" si="8"/>
        <v>0</v>
      </c>
      <c r="Q21" s="29">
        <f t="shared" si="9"/>
        <v>250.459</v>
      </c>
      <c r="R21" s="131">
        <v>3018</v>
      </c>
      <c r="S21" s="29">
        <f t="shared" si="10"/>
        <v>301</v>
      </c>
      <c r="T21" s="22">
        <f t="shared" si="4"/>
        <v>0.8</v>
      </c>
      <c r="U21" s="29">
        <f>VLOOKUP(S21,'Arqueação Tanque'!$B$4:$C$480,2,0)</f>
        <v>204.38900000000001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0.52600000000000002</v>
      </c>
      <c r="W21" s="29">
        <f t="shared" si="11"/>
        <v>204.91500000000002</v>
      </c>
      <c r="X21" s="29">
        <f t="shared" si="12"/>
        <v>45.559033433289088</v>
      </c>
      <c r="Y21" s="5">
        <v>68</v>
      </c>
      <c r="Z21" s="129">
        <v>36.159999999999997</v>
      </c>
      <c r="AA21" s="129">
        <v>25.19</v>
      </c>
      <c r="AB21" s="129">
        <v>26.9</v>
      </c>
      <c r="AC21" s="24">
        <f t="shared" si="13"/>
        <v>0.89100000000000001</v>
      </c>
      <c r="AD21" s="5">
        <f t="shared" si="5"/>
        <v>97.087999999999994</v>
      </c>
      <c r="AE21" s="5">
        <f t="shared" si="5"/>
        <v>77.342000000000013</v>
      </c>
      <c r="AF21" s="5">
        <f t="shared" si="14"/>
        <v>94.619749999999996</v>
      </c>
      <c r="AG21" s="39">
        <f>1+2*'Arqueação Tanque'!$K$4*(AF21-Y21)+('Arqueação Tanque'!$K$4^2)*(AF21-Y21)</f>
        <v>1.0003300859232633</v>
      </c>
      <c r="AH21" s="132">
        <v>29.29</v>
      </c>
      <c r="AI21" s="27">
        <v>0.5</v>
      </c>
      <c r="AJ21" s="27"/>
      <c r="AK21" s="27">
        <f t="shared" si="23"/>
        <v>27.247999999999998</v>
      </c>
      <c r="AL21" s="49">
        <f t="shared" si="15"/>
        <v>27</v>
      </c>
      <c r="AM21" s="48">
        <f t="shared" si="24"/>
        <v>26.5</v>
      </c>
      <c r="AN21" s="48">
        <f t="shared" si="16"/>
        <v>36</v>
      </c>
      <c r="AO21" s="27">
        <f>IF(AH21&lt;57,ROUND(IF(AB21="","",DGET('Banco de dados'!$D$3:$F$6293,$AO$4,'Densidade corrigida - Carregame'!C34:D35)),3),"")</f>
        <v>0.89500000000000002</v>
      </c>
      <c r="AP21" s="27">
        <f>DGET('Banco de dados'!$G$3:$I$9744,$AP$4,'FCV - Carregamento'!C34:D35)</f>
        <v>0.98819999999999997</v>
      </c>
      <c r="AQ21" s="27">
        <f t="shared" si="17"/>
        <v>45.021436838776275</v>
      </c>
      <c r="AR21" s="133">
        <v>4.0000000000000001E-3</v>
      </c>
      <c r="AS21" s="34">
        <f t="shared" si="18"/>
        <v>0.1800857473551051</v>
      </c>
      <c r="AT21" s="29">
        <f t="shared" si="19"/>
        <v>44.841351091421167</v>
      </c>
      <c r="AU21" s="156"/>
      <c r="AV21" s="157"/>
      <c r="AW21" s="164"/>
      <c r="AX21" s="157"/>
      <c r="AY21" s="157"/>
      <c r="AZ21" s="164"/>
      <c r="BA21" s="157"/>
    </row>
    <row r="22" spans="2:58" x14ac:dyDescent="0.25">
      <c r="B22" s="158">
        <v>44370.65625</v>
      </c>
      <c r="C22" s="152" t="str">
        <f t="shared" si="0"/>
        <v>23/06/2021</v>
      </c>
      <c r="D22" s="129">
        <v>3018</v>
      </c>
      <c r="E22" s="22">
        <f t="shared" si="20"/>
        <v>301</v>
      </c>
      <c r="F22" s="22">
        <f t="shared" si="21"/>
        <v>0.8</v>
      </c>
      <c r="G22" s="165">
        <v>3018</v>
      </c>
      <c r="H22" s="22">
        <f t="shared" si="6"/>
        <v>301</v>
      </c>
      <c r="I22" s="22">
        <f t="shared" si="7"/>
        <v>0.8</v>
      </c>
      <c r="J22" s="2">
        <f>VLOOKUP(E22,'Arqueação Tanque'!$B$4:$C$480,2,0)</f>
        <v>204.38900000000001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0.52600000000000002</v>
      </c>
      <c r="L22" s="2">
        <f>VLOOKUP(H22,'Arqueação Tanque'!$B$4:$C$480,2,0)</f>
        <v>204.38900000000001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0.52600000000000002</v>
      </c>
      <c r="N22" s="23">
        <f t="shared" si="22"/>
        <v>204.91500000000002</v>
      </c>
      <c r="O22" s="23">
        <f t="shared" si="3"/>
        <v>204.91500000000002</v>
      </c>
      <c r="P22" s="24">
        <f t="shared" si="8"/>
        <v>0</v>
      </c>
      <c r="Q22" s="29">
        <f t="shared" si="9"/>
        <v>204.91500000000002</v>
      </c>
      <c r="R22" s="131">
        <v>2326</v>
      </c>
      <c r="S22" s="29">
        <f t="shared" si="10"/>
        <v>232</v>
      </c>
      <c r="T22" s="22">
        <f t="shared" si="4"/>
        <v>0.6</v>
      </c>
      <c r="U22" s="29">
        <f>VLOOKUP(S22,'Arqueação Tanque'!$B$4:$C$480,2,0)</f>
        <v>158.97999999999999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0.39400000000000002</v>
      </c>
      <c r="W22" s="29">
        <f t="shared" si="11"/>
        <v>159.374</v>
      </c>
      <c r="X22" s="29">
        <f t="shared" si="12"/>
        <v>45.558651145177208</v>
      </c>
      <c r="Y22" s="5">
        <v>68</v>
      </c>
      <c r="Z22" s="129">
        <v>39.19</v>
      </c>
      <c r="AA22" s="129">
        <v>24.59</v>
      </c>
      <c r="AB22" s="129">
        <v>26.5</v>
      </c>
      <c r="AC22" s="24">
        <f t="shared" si="13"/>
        <v>0.89100000000000001</v>
      </c>
      <c r="AD22" s="5">
        <f t="shared" si="5"/>
        <v>102.542</v>
      </c>
      <c r="AE22" s="5">
        <f t="shared" si="5"/>
        <v>76.262</v>
      </c>
      <c r="AF22" s="5">
        <f t="shared" si="14"/>
        <v>99.257000000000005</v>
      </c>
      <c r="AG22" s="39">
        <f>1+2*'Arqueação Tanque'!$K$4*(AF22-Y22)+('Arqueação Tanque'!$K$4^2)*(AF22-Y22)</f>
        <v>1.0003875880015192</v>
      </c>
      <c r="AH22" s="132">
        <v>29.29</v>
      </c>
      <c r="AI22" s="5">
        <v>0.5</v>
      </c>
      <c r="AJ22" s="5"/>
      <c r="AK22" s="27">
        <f t="shared" si="23"/>
        <v>27.32</v>
      </c>
      <c r="AL22" s="49">
        <f t="shared" si="15"/>
        <v>27</v>
      </c>
      <c r="AM22" s="48">
        <f t="shared" si="24"/>
        <v>26.5</v>
      </c>
      <c r="AN22" s="48">
        <f t="shared" si="16"/>
        <v>39</v>
      </c>
      <c r="AO22" s="27">
        <f>IF(AH22&lt;57,ROUND(IF(AB22="","",DGET('Banco de dados'!$D$3:$F$6293,$AO$4,'Densidade corrigida - Carregame'!C36:D37)),3),"")</f>
        <v>0.89500000000000002</v>
      </c>
      <c r="AP22" s="27">
        <f>DGET('Banco de dados'!$G$3:$I$9744,$AP$4,'FCV - Carregamento'!C36:D37)</f>
        <v>0.98599999999999999</v>
      </c>
      <c r="AQ22" s="27">
        <f t="shared" si="17"/>
        <v>44.920830029144724</v>
      </c>
      <c r="AR22" s="133">
        <v>4.0000000000000001E-3</v>
      </c>
      <c r="AS22" s="34">
        <f t="shared" si="18"/>
        <v>0.17968332011657889</v>
      </c>
      <c r="AT22" s="29">
        <f t="shared" si="19"/>
        <v>44.741146709028143</v>
      </c>
      <c r="AU22" s="156"/>
      <c r="AV22" s="157"/>
      <c r="AW22" s="157"/>
      <c r="AX22" s="157"/>
      <c r="AY22" s="157"/>
      <c r="AZ22" s="157"/>
      <c r="BA22" s="157"/>
    </row>
    <row r="23" spans="2:58" x14ac:dyDescent="0.25">
      <c r="B23" s="158">
        <v>44370.729166666664</v>
      </c>
      <c r="C23" s="152" t="str">
        <f t="shared" si="0"/>
        <v>23/06/2021</v>
      </c>
      <c r="D23" s="129">
        <v>2326</v>
      </c>
      <c r="E23" s="22">
        <f t="shared" si="20"/>
        <v>232</v>
      </c>
      <c r="F23" s="22">
        <f t="shared" si="21"/>
        <v>0.6</v>
      </c>
      <c r="G23" s="165">
        <v>2326</v>
      </c>
      <c r="H23" s="22">
        <f t="shared" si="6"/>
        <v>232</v>
      </c>
      <c r="I23" s="22">
        <f t="shared" si="7"/>
        <v>0.6</v>
      </c>
      <c r="J23" s="2">
        <f>VLOOKUP(E23,'Arqueação Tanque'!$B$4:$C$480,2,0)</f>
        <v>158.97999999999999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0.39400000000000002</v>
      </c>
      <c r="L23" s="2">
        <f>VLOOKUP(H23,'Arqueação Tanque'!$B$4:$C$480,2,0)</f>
        <v>158.97999999999999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0.39400000000000002</v>
      </c>
      <c r="N23" s="23">
        <f t="shared" si="22"/>
        <v>159.374</v>
      </c>
      <c r="O23" s="23">
        <f t="shared" si="3"/>
        <v>159.374</v>
      </c>
      <c r="P23" s="24">
        <f t="shared" si="8"/>
        <v>0</v>
      </c>
      <c r="Q23" s="29">
        <f t="shared" si="9"/>
        <v>159.374</v>
      </c>
      <c r="R23" s="131">
        <v>1866</v>
      </c>
      <c r="S23" s="29">
        <f t="shared" si="10"/>
        <v>186</v>
      </c>
      <c r="T23" s="22">
        <f t="shared" si="4"/>
        <v>0.6</v>
      </c>
      <c r="U23" s="29">
        <f>VLOOKUP(S23,'Arqueação Tanque'!$B$4:$C$480,2,0)</f>
        <v>128.708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0.39400000000000002</v>
      </c>
      <c r="W23" s="29">
        <f t="shared" si="11"/>
        <v>129.102</v>
      </c>
      <c r="X23" s="29">
        <f t="shared" si="12"/>
        <v>30.282492359188602</v>
      </c>
      <c r="Y23" s="5">
        <v>68</v>
      </c>
      <c r="Z23" s="129">
        <v>37.369999999999997</v>
      </c>
      <c r="AA23" s="129">
        <v>22.64</v>
      </c>
      <c r="AB23" s="129">
        <v>24.6</v>
      </c>
      <c r="AC23" s="24">
        <f t="shared" si="13"/>
        <v>0.88900000000000001</v>
      </c>
      <c r="AD23" s="5">
        <f t="shared" si="5"/>
        <v>99.265999999999991</v>
      </c>
      <c r="AE23" s="5">
        <f t="shared" si="5"/>
        <v>72.75200000000001</v>
      </c>
      <c r="AF23" s="5">
        <f t="shared" si="14"/>
        <v>95.951750000000004</v>
      </c>
      <c r="AG23" s="39">
        <f>1+2*'Arqueação Tanque'!$K$4*(AF23-Y23)+('Arqueação Tanque'!$K$4^2)*(AF23-Y23)</f>
        <v>1.0003466027744652</v>
      </c>
      <c r="AH23" s="132">
        <v>29.29</v>
      </c>
      <c r="AI23" s="27">
        <v>0.5</v>
      </c>
      <c r="AJ23" s="27"/>
      <c r="AK23" s="27">
        <f t="shared" si="23"/>
        <v>27.661999999999999</v>
      </c>
      <c r="AL23" s="49">
        <f t="shared" si="15"/>
        <v>28</v>
      </c>
      <c r="AM23" s="48">
        <f t="shared" si="24"/>
        <v>25</v>
      </c>
      <c r="AN23" s="48">
        <f t="shared" si="16"/>
        <v>37</v>
      </c>
      <c r="AO23" s="27">
        <f>IF(AH23&lt;57,ROUND(IF(AB23="","",DGET('Banco de dados'!$D$3:$F$6293,$AO$4,'Densidade corrigida - Carregame'!C38:D39)),3),"")</f>
        <v>0.89200000000000002</v>
      </c>
      <c r="AP23" s="27">
        <f>DGET('Banco de dados'!$G$3:$I$9744,$AP$4,'FCV - Carregamento'!C38:D39)</f>
        <v>0.98740000000000006</v>
      </c>
      <c r="AQ23" s="27">
        <f t="shared" si="17"/>
        <v>29.900932955462828</v>
      </c>
      <c r="AR23" s="133">
        <v>4.0000000000000001E-3</v>
      </c>
      <c r="AS23" s="34">
        <f t="shared" si="18"/>
        <v>0.11960373182185131</v>
      </c>
      <c r="AT23" s="29">
        <f t="shared" si="19"/>
        <v>29.781329223640977</v>
      </c>
      <c r="AU23" s="156"/>
      <c r="AV23" s="157"/>
      <c r="AW23" s="157"/>
      <c r="AX23" s="157"/>
      <c r="AY23" s="157"/>
      <c r="AZ23" s="157"/>
      <c r="BA23" s="157"/>
    </row>
    <row r="24" spans="2:58" x14ac:dyDescent="0.25">
      <c r="B24" s="158">
        <v>44371.431250000001</v>
      </c>
      <c r="C24" s="152" t="str">
        <f t="shared" si="0"/>
        <v>24/06/2021</v>
      </c>
      <c r="D24" s="129">
        <v>1860</v>
      </c>
      <c r="E24" s="22">
        <f t="shared" si="20"/>
        <v>186</v>
      </c>
      <c r="F24" s="22">
        <f t="shared" si="21"/>
        <v>0</v>
      </c>
      <c r="G24" s="165">
        <v>1860</v>
      </c>
      <c r="H24" s="22">
        <f t="shared" si="6"/>
        <v>186</v>
      </c>
      <c r="I24" s="22">
        <f t="shared" si="7"/>
        <v>0</v>
      </c>
      <c r="J24" s="2">
        <f>VLOOKUP(E24,'Arqueação Tanque'!$B$4:$C$480,2,0)</f>
        <v>128.708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128.708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2"/>
        <v>128.708</v>
      </c>
      <c r="O24" s="23">
        <f t="shared" si="3"/>
        <v>128.708</v>
      </c>
      <c r="P24" s="24">
        <f t="shared" si="8"/>
        <v>0</v>
      </c>
      <c r="Q24" s="29">
        <f t="shared" si="9"/>
        <v>128.708</v>
      </c>
      <c r="R24" s="131">
        <v>1553</v>
      </c>
      <c r="S24" s="29">
        <f t="shared" si="10"/>
        <v>155</v>
      </c>
      <c r="T24" s="22">
        <f t="shared" si="4"/>
        <v>0.3</v>
      </c>
      <c r="U24" s="29">
        <f>VLOOKUP(S24,'Arqueação Tanque'!$B$4:$C$480,2,0)</f>
        <v>108.30800000000001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0.19700000000000001</v>
      </c>
      <c r="W24" s="29">
        <f t="shared" si="11"/>
        <v>108.50500000000001</v>
      </c>
      <c r="X24" s="29">
        <f t="shared" si="12"/>
        <v>20.208630454153646</v>
      </c>
      <c r="Y24" s="5">
        <v>68</v>
      </c>
      <c r="Z24" s="129">
        <v>33.9</v>
      </c>
      <c r="AA24" s="129">
        <v>22.59</v>
      </c>
      <c r="AB24" s="165">
        <v>24</v>
      </c>
      <c r="AC24" s="24">
        <f t="shared" si="13"/>
        <v>0.88800000000000001</v>
      </c>
      <c r="AD24" s="5">
        <f t="shared" si="5"/>
        <v>93.02</v>
      </c>
      <c r="AE24" s="5">
        <f t="shared" si="5"/>
        <v>72.662000000000006</v>
      </c>
      <c r="AF24" s="5">
        <f t="shared" si="14"/>
        <v>90.475250000000003</v>
      </c>
      <c r="AG24" s="39">
        <f>1+2*'Arqueação Tanque'!$K$4*(AF24-Y24)+('Arqueação Tanque'!$K$4^2)*(AF24-Y24)</f>
        <v>1.0002786939639488</v>
      </c>
      <c r="AH24" s="132">
        <v>29.29</v>
      </c>
      <c r="AI24" s="5">
        <v>0.5</v>
      </c>
      <c r="AJ24" s="5"/>
      <c r="AK24" s="27">
        <f t="shared" si="23"/>
        <v>27.77</v>
      </c>
      <c r="AL24" s="49">
        <f t="shared" si="15"/>
        <v>28</v>
      </c>
      <c r="AM24" s="48">
        <f t="shared" si="24"/>
        <v>25</v>
      </c>
      <c r="AN24" s="48">
        <f t="shared" si="16"/>
        <v>33.5</v>
      </c>
      <c r="AO24" s="27">
        <f>IF(AH24&lt;57,ROUND(IF(AB24="","",DGET('Banco de dados'!$D$3:$F$6293,$AO$4,'Densidade corrigida - Carregame'!C40:D41)),3),"")</f>
        <v>0.89100000000000001</v>
      </c>
      <c r="AP24" s="27">
        <f>DGET('Banco de dados'!$G$3:$I$9744,$AP$4,'FCV - Carregamento'!C40:D41)</f>
        <v>0.99</v>
      </c>
      <c r="AQ24" s="27">
        <f t="shared" si="17"/>
        <v>20.006544149612107</v>
      </c>
      <c r="AR24" s="133">
        <v>4.0000000000000001E-3</v>
      </c>
      <c r="AS24" s="34">
        <f t="shared" si="18"/>
        <v>8.0026176598448434E-2</v>
      </c>
      <c r="AT24" s="29">
        <f t="shared" si="19"/>
        <v>19.926517973013659</v>
      </c>
      <c r="AU24" s="156"/>
      <c r="AV24" s="157">
        <v>2549</v>
      </c>
      <c r="AW24" s="164">
        <v>44371.431250000001</v>
      </c>
      <c r="AX24" s="157" t="s">
        <v>167</v>
      </c>
      <c r="AY24" s="157">
        <v>2568</v>
      </c>
      <c r="AZ24" s="164">
        <v>44371.470833333333</v>
      </c>
      <c r="BA24" s="157" t="s">
        <v>167</v>
      </c>
    </row>
    <row r="25" spans="2:58" x14ac:dyDescent="0.25">
      <c r="B25" s="158">
        <v>44371.553472222222</v>
      </c>
      <c r="C25" s="152" t="str">
        <f t="shared" si="0"/>
        <v>24/06/2021</v>
      </c>
      <c r="D25" s="129">
        <v>1553</v>
      </c>
      <c r="E25" s="22">
        <f t="shared" si="20"/>
        <v>155</v>
      </c>
      <c r="F25" s="22">
        <f t="shared" si="21"/>
        <v>0.3</v>
      </c>
      <c r="G25" s="165">
        <v>1553</v>
      </c>
      <c r="H25" s="22">
        <f t="shared" si="6"/>
        <v>155</v>
      </c>
      <c r="I25" s="22">
        <f t="shared" si="7"/>
        <v>0.3</v>
      </c>
      <c r="J25" s="2">
        <f>VLOOKUP(E25,'Arqueação Tanque'!$B$4:$C$480,2,0)</f>
        <v>108.30800000000001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0.19700000000000001</v>
      </c>
      <c r="L25" s="2">
        <f>VLOOKUP(H25,'Arqueação Tanque'!$B$4:$C$480,2,0)</f>
        <v>108.30800000000001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0.19700000000000001</v>
      </c>
      <c r="N25" s="23">
        <f t="shared" si="22"/>
        <v>108.50500000000001</v>
      </c>
      <c r="O25" s="23">
        <f t="shared" si="3"/>
        <v>108.50500000000001</v>
      </c>
      <c r="P25" s="24">
        <f t="shared" si="8"/>
        <v>0</v>
      </c>
      <c r="Q25" s="29">
        <f t="shared" si="9"/>
        <v>108.50500000000001</v>
      </c>
      <c r="R25" s="131">
        <v>1322</v>
      </c>
      <c r="S25" s="29">
        <f t="shared" si="10"/>
        <v>132</v>
      </c>
      <c r="T25" s="22">
        <f t="shared" si="4"/>
        <v>0.2</v>
      </c>
      <c r="U25" s="29">
        <f>VLOOKUP(S25,'Arqueação Tanque'!$B$4:$C$480,2,0)</f>
        <v>93.173000000000002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0.13100000000000001</v>
      </c>
      <c r="W25" s="29">
        <f t="shared" si="11"/>
        <v>93.304000000000002</v>
      </c>
      <c r="X25" s="29">
        <f t="shared" si="12"/>
        <v>15.205356449853763</v>
      </c>
      <c r="Y25" s="5">
        <v>68</v>
      </c>
      <c r="Z25" s="129">
        <v>34</v>
      </c>
      <c r="AA25" s="129">
        <v>24.72</v>
      </c>
      <c r="AB25" s="165">
        <v>24</v>
      </c>
      <c r="AC25" s="24">
        <f t="shared" si="13"/>
        <v>0.88800000000000001</v>
      </c>
      <c r="AD25" s="5">
        <f t="shared" si="5"/>
        <v>93.2</v>
      </c>
      <c r="AE25" s="5">
        <f t="shared" si="5"/>
        <v>76.496000000000009</v>
      </c>
      <c r="AF25" s="5">
        <f t="shared" si="14"/>
        <v>91.111999999999995</v>
      </c>
      <c r="AG25" s="39">
        <f>1+2*'Arqueação Tanque'!$K$4*(AF25-Y25)+('Arqueação Tanque'!$K$4^2)*(AF25-Y25)</f>
        <v>1.0002865896884254</v>
      </c>
      <c r="AH25" s="132">
        <v>29.29</v>
      </c>
      <c r="AI25" s="27">
        <v>0.5</v>
      </c>
      <c r="AJ25" s="27"/>
      <c r="AK25" s="27">
        <f t="shared" si="23"/>
        <v>27.77</v>
      </c>
      <c r="AL25" s="49">
        <f t="shared" si="15"/>
        <v>28</v>
      </c>
      <c r="AM25" s="48">
        <f t="shared" si="24"/>
        <v>25</v>
      </c>
      <c r="AN25" s="48">
        <f t="shared" si="16"/>
        <v>34</v>
      </c>
      <c r="AO25" s="27">
        <f>IF(AH25&lt;57,ROUND(IF(AB25="","",DGET('Banco de dados'!$D$3:$F$6293,$AO$4,'Densidade corrigida - Carregame'!C42:D43)),3),"")</f>
        <v>0.89100000000000001</v>
      </c>
      <c r="AP25" s="27">
        <f>DGET('Banco de dados'!$G$3:$I$9744,$AP$4,'FCV - Carregamento'!C42:D43)</f>
        <v>0.98960000000000004</v>
      </c>
      <c r="AQ25" s="27">
        <f t="shared" si="17"/>
        <v>15.047220742775284</v>
      </c>
      <c r="AR25" s="133">
        <v>4.0000000000000001E-3</v>
      </c>
      <c r="AS25" s="34">
        <f t="shared" si="18"/>
        <v>6.0188882971101136E-2</v>
      </c>
      <c r="AT25" s="29">
        <f t="shared" si="19"/>
        <v>14.987031859804183</v>
      </c>
      <c r="AU25" s="156"/>
      <c r="AV25" s="157">
        <v>2568</v>
      </c>
      <c r="AW25" s="164">
        <v>44371.553472222222</v>
      </c>
      <c r="AX25" s="157" t="s">
        <v>167</v>
      </c>
      <c r="AY25" s="157">
        <v>2562</v>
      </c>
      <c r="AZ25" s="164">
        <v>44371.590277777781</v>
      </c>
      <c r="BA25" s="157" t="s">
        <v>167</v>
      </c>
    </row>
    <row r="26" spans="2:58" x14ac:dyDescent="0.25">
      <c r="B26" s="158">
        <v>44371.64166666667</v>
      </c>
      <c r="C26" s="152" t="str">
        <f t="shared" si="0"/>
        <v>24/06/2021</v>
      </c>
      <c r="D26" s="129">
        <v>1322</v>
      </c>
      <c r="E26" s="22">
        <f t="shared" si="20"/>
        <v>132</v>
      </c>
      <c r="F26" s="22">
        <f t="shared" si="21"/>
        <v>0.2</v>
      </c>
      <c r="G26" s="165">
        <v>1322</v>
      </c>
      <c r="H26" s="22">
        <f t="shared" si="6"/>
        <v>132</v>
      </c>
      <c r="I26" s="22">
        <f t="shared" si="7"/>
        <v>0.2</v>
      </c>
      <c r="J26" s="2">
        <f>VLOOKUP(E26,'Arqueação Tanque'!$B$4:$C$480,2,0)</f>
        <v>93.173000000000002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0.13100000000000001</v>
      </c>
      <c r="L26" s="2">
        <f>VLOOKUP(H26,'Arqueação Tanque'!$B$4:$C$480,2,0)</f>
        <v>93.173000000000002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0.13100000000000001</v>
      </c>
      <c r="N26" s="23">
        <f t="shared" si="22"/>
        <v>93.304000000000002</v>
      </c>
      <c r="O26" s="23">
        <f t="shared" si="3"/>
        <v>93.304000000000002</v>
      </c>
      <c r="P26" s="24">
        <f t="shared" si="8"/>
        <v>0</v>
      </c>
      <c r="Q26" s="29">
        <f t="shared" si="9"/>
        <v>93.304000000000002</v>
      </c>
      <c r="R26" s="131">
        <v>635</v>
      </c>
      <c r="S26" s="29">
        <f t="shared" si="10"/>
        <v>63</v>
      </c>
      <c r="T26" s="22">
        <f t="shared" si="4"/>
        <v>0.5</v>
      </c>
      <c r="U26" s="29">
        <f>VLOOKUP(S26,'Arqueação Tanque'!$B$4:$C$480,2,0)</f>
        <v>47.734000000000002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0.32900000000000001</v>
      </c>
      <c r="W26" s="29">
        <f t="shared" si="11"/>
        <v>48.063000000000002</v>
      </c>
      <c r="X26" s="29">
        <f t="shared" si="12"/>
        <v>45.253479646386083</v>
      </c>
      <c r="Y26" s="5">
        <v>68</v>
      </c>
      <c r="Z26" s="129">
        <v>33.5</v>
      </c>
      <c r="AA26" s="129">
        <v>24.37</v>
      </c>
      <c r="AB26" s="129">
        <v>24</v>
      </c>
      <c r="AC26" s="24">
        <f t="shared" si="13"/>
        <v>0.88800000000000001</v>
      </c>
      <c r="AD26" s="5">
        <f t="shared" si="5"/>
        <v>92.300000000000011</v>
      </c>
      <c r="AE26" s="5">
        <f t="shared" si="5"/>
        <v>75.866</v>
      </c>
      <c r="AF26" s="5">
        <f t="shared" si="14"/>
        <v>90.245750000000015</v>
      </c>
      <c r="AG26" s="39">
        <f>1+2*'Arqueação Tanque'!$K$4*(AF26-Y26)+('Arqueação Tanque'!$K$4^2)*(AF26-Y26)</f>
        <v>1.0002758481551266</v>
      </c>
      <c r="AH26" s="132">
        <v>29.29</v>
      </c>
      <c r="AI26" s="5">
        <v>0.5</v>
      </c>
      <c r="AJ26" s="5"/>
      <c r="AK26" s="27">
        <f t="shared" si="23"/>
        <v>27.77</v>
      </c>
      <c r="AL26" s="49">
        <f t="shared" si="15"/>
        <v>28</v>
      </c>
      <c r="AM26" s="48">
        <f t="shared" si="24"/>
        <v>25</v>
      </c>
      <c r="AN26" s="48">
        <f t="shared" si="16"/>
        <v>33.5</v>
      </c>
      <c r="AO26" s="27">
        <f>IF(AH26&lt;57,ROUND(IF(AB26="","",DGET('Banco de dados'!$D$3:$F$6293,$AO$4,'Densidade corrigida - Carregame'!C44:D45)),3),"")</f>
        <v>0.89100000000000001</v>
      </c>
      <c r="AP26" s="27">
        <f>DGET('Banco de dados'!$G$3:$I$9744,$AP$4,'FCV - Carregamento'!C44:D45)</f>
        <v>0.99</v>
      </c>
      <c r="AQ26" s="27">
        <f t="shared" si="17"/>
        <v>44.800944849922224</v>
      </c>
      <c r="AR26" s="133">
        <v>4.0000000000000001E-3</v>
      </c>
      <c r="AS26" s="34">
        <f t="shared" si="18"/>
        <v>0.1792037793996889</v>
      </c>
      <c r="AT26" s="29">
        <f t="shared" si="19"/>
        <v>44.621741070522539</v>
      </c>
      <c r="AU26" s="156"/>
      <c r="AV26" s="157">
        <v>2562</v>
      </c>
      <c r="AW26" s="164">
        <v>44371.64166666667</v>
      </c>
      <c r="AX26" s="157" t="s">
        <v>167</v>
      </c>
      <c r="AY26" s="157">
        <v>2564</v>
      </c>
      <c r="AZ26" s="164">
        <v>44371.698611111111</v>
      </c>
      <c r="BA26" s="157" t="s">
        <v>167</v>
      </c>
    </row>
    <row r="27" spans="2:58" x14ac:dyDescent="0.25">
      <c r="B27" s="158">
        <v>44371.824305555558</v>
      </c>
      <c r="C27" s="152" t="str">
        <f t="shared" si="0"/>
        <v>24/06/2021</v>
      </c>
      <c r="D27" s="129">
        <v>635</v>
      </c>
      <c r="E27" s="22">
        <f t="shared" si="20"/>
        <v>63</v>
      </c>
      <c r="F27" s="22">
        <f t="shared" si="21"/>
        <v>0.5</v>
      </c>
      <c r="G27" s="165">
        <v>635</v>
      </c>
      <c r="H27" s="22">
        <f t="shared" si="6"/>
        <v>63</v>
      </c>
      <c r="I27" s="22">
        <f t="shared" si="7"/>
        <v>0.5</v>
      </c>
      <c r="J27" s="2">
        <f>VLOOKUP(E27,'Arqueação Tanque'!$B$4:$C$480,2,0)</f>
        <v>47.734000000000002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0.32900000000000001</v>
      </c>
      <c r="L27" s="2">
        <f>VLOOKUP(H27,'Arqueação Tanque'!$B$4:$C$480,2,0)</f>
        <v>47.734000000000002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0.32900000000000001</v>
      </c>
      <c r="N27" s="23">
        <f t="shared" si="22"/>
        <v>48.063000000000002</v>
      </c>
      <c r="O27" s="23">
        <f t="shared" si="3"/>
        <v>48.063000000000002</v>
      </c>
      <c r="P27" s="24">
        <f t="shared" si="8"/>
        <v>0</v>
      </c>
      <c r="Q27" s="29">
        <f t="shared" si="9"/>
        <v>48.063000000000002</v>
      </c>
      <c r="R27" s="131">
        <v>177</v>
      </c>
      <c r="S27" s="29">
        <f t="shared" si="10"/>
        <v>17</v>
      </c>
      <c r="T27" s="22">
        <f t="shared" si="4"/>
        <v>0.7</v>
      </c>
      <c r="U27" s="29">
        <f>VLOOKUP(S27,'Arqueação Tanque'!$B$4:$C$480,2,0)</f>
        <v>17.370999999999999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0.46</v>
      </c>
      <c r="W27" s="29">
        <f t="shared" si="11"/>
        <v>17.831</v>
      </c>
      <c r="X27" s="29">
        <f t="shared" si="12"/>
        <v>30.234487408998149</v>
      </c>
      <c r="Y27" s="5">
        <v>68</v>
      </c>
      <c r="Z27" s="129">
        <v>24.5</v>
      </c>
      <c r="AA27" s="129">
        <v>17.989999999999998</v>
      </c>
      <c r="AB27" s="129">
        <v>24</v>
      </c>
      <c r="AC27" s="24">
        <f t="shared" si="13"/>
        <v>0.88800000000000001</v>
      </c>
      <c r="AD27" s="5">
        <f t="shared" si="5"/>
        <v>76.099999999999994</v>
      </c>
      <c r="AE27" s="5">
        <f t="shared" si="5"/>
        <v>64.382000000000005</v>
      </c>
      <c r="AF27" s="5">
        <f t="shared" si="14"/>
        <v>74.635249999999985</v>
      </c>
      <c r="AG27" s="39">
        <f>1+2*'Arqueação Tanque'!$K$4*(AF27-Y27)+('Arqueação Tanque'!$K$4^2)*(AF27-Y27)</f>
        <v>1.0000822773550591</v>
      </c>
      <c r="AH27" s="132">
        <v>29.29</v>
      </c>
      <c r="AI27" s="27">
        <v>0.5</v>
      </c>
      <c r="AJ27" s="27"/>
      <c r="AK27" s="27">
        <f t="shared" si="23"/>
        <v>27.77</v>
      </c>
      <c r="AL27" s="49">
        <f t="shared" si="15"/>
        <v>28</v>
      </c>
      <c r="AM27" s="48">
        <f t="shared" si="24"/>
        <v>25</v>
      </c>
      <c r="AN27" s="48">
        <f t="shared" si="16"/>
        <v>25</v>
      </c>
      <c r="AO27" s="27">
        <f>IF(AH27&lt;57,ROUND(IF(AB27="","",DGET('Banco de dados'!$D$3:$F$6293,$AO$4,'Densidade corrigida - Carregame'!C46:D47)),3),"")</f>
        <v>0.89100000000000001</v>
      </c>
      <c r="AP27" s="27">
        <f>DGET('Banco de dados'!$G$3:$I$9744,$AP$4,'FCV - Carregamento'!C46:D47)</f>
        <v>0.99629999999999996</v>
      </c>
      <c r="AQ27" s="27">
        <f t="shared" si="17"/>
        <v>30.122619805584854</v>
      </c>
      <c r="AR27" s="133">
        <v>4.0000000000000001E-3</v>
      </c>
      <c r="AS27" s="34">
        <f t="shared" si="18"/>
        <v>0.12049047922233942</v>
      </c>
      <c r="AT27" s="29">
        <f t="shared" si="19"/>
        <v>30.002129326362514</v>
      </c>
      <c r="AU27" s="156"/>
      <c r="AV27" s="157">
        <v>2564</v>
      </c>
      <c r="AW27" s="164">
        <v>44371.824305555558</v>
      </c>
      <c r="AX27" s="157" t="s">
        <v>170</v>
      </c>
      <c r="AY27" s="157">
        <v>2771</v>
      </c>
      <c r="AZ27" s="164">
        <v>44371.886805555558</v>
      </c>
      <c r="BA27" s="157" t="s">
        <v>170</v>
      </c>
    </row>
    <row r="28" spans="2:58" x14ac:dyDescent="0.25">
      <c r="B28" s="158">
        <v>44374.32708333333</v>
      </c>
      <c r="C28" s="152" t="str">
        <f t="shared" si="0"/>
        <v>27/06/2021</v>
      </c>
      <c r="D28" s="129">
        <v>2102</v>
      </c>
      <c r="E28" s="22">
        <f t="shared" si="20"/>
        <v>210</v>
      </c>
      <c r="F28" s="22">
        <f t="shared" si="21"/>
        <v>0.2</v>
      </c>
      <c r="G28" s="165">
        <v>2093</v>
      </c>
      <c r="H28" s="22">
        <f t="shared" si="6"/>
        <v>209</v>
      </c>
      <c r="I28" s="22">
        <f t="shared" si="7"/>
        <v>0.3</v>
      </c>
      <c r="J28" s="2">
        <f>VLOOKUP(E28,'Arqueação Tanque'!$B$4:$C$480,2,0)</f>
        <v>144.50200000000001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0.13100000000000001</v>
      </c>
      <c r="L28" s="2">
        <f>VLOOKUP(H28,'Arqueação Tanque'!$B$4:$C$480,2,0)</f>
        <v>143.84399999999999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0.19700000000000001</v>
      </c>
      <c r="N28" s="23">
        <f t="shared" si="22"/>
        <v>144.63300000000001</v>
      </c>
      <c r="O28" s="23">
        <f t="shared" si="3"/>
        <v>144.041</v>
      </c>
      <c r="P28" s="24">
        <f t="shared" si="8"/>
        <v>0.59200000000001296</v>
      </c>
      <c r="Q28" s="29">
        <f t="shared" si="9"/>
        <v>144.041</v>
      </c>
      <c r="R28" s="131">
        <v>1401</v>
      </c>
      <c r="S28" s="29">
        <f t="shared" si="10"/>
        <v>140</v>
      </c>
      <c r="T28" s="22">
        <f t="shared" si="4"/>
        <v>0.1</v>
      </c>
      <c r="U28" s="29">
        <f>VLOOKUP(S28,'Arqueação Tanque'!$B$4:$C$480,2,0)</f>
        <v>98.436999999999998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6.5000000000000002E-2</v>
      </c>
      <c r="W28" s="29">
        <f t="shared" si="11"/>
        <v>98.501999999999995</v>
      </c>
      <c r="X28" s="29">
        <f t="shared" si="12"/>
        <v>45.558084811962836</v>
      </c>
      <c r="Y28" s="5">
        <v>68</v>
      </c>
      <c r="Z28" s="129">
        <v>41.3</v>
      </c>
      <c r="AA28" s="129">
        <v>21.11</v>
      </c>
      <c r="AB28" s="129">
        <v>22.9</v>
      </c>
      <c r="AC28" s="24">
        <f t="shared" si="13"/>
        <v>0.878</v>
      </c>
      <c r="AD28" s="5">
        <f t="shared" si="5"/>
        <v>106.34</v>
      </c>
      <c r="AE28" s="5">
        <f t="shared" si="5"/>
        <v>69.99799999999999</v>
      </c>
      <c r="AF28" s="5">
        <f t="shared" si="14"/>
        <v>101.79724999999999</v>
      </c>
      <c r="AG28" s="39">
        <f>1+2*'Arqueação Tanque'!$K$4*(AF28-Y28)+('Arqueação Tanque'!$K$4^2)*(AF28-Y28)</f>
        <v>1.0004190871991663</v>
      </c>
      <c r="AH28" s="132">
        <v>30.95</v>
      </c>
      <c r="AI28" s="5">
        <v>0.5</v>
      </c>
      <c r="AJ28" s="5"/>
      <c r="AK28" s="27">
        <f t="shared" si="23"/>
        <v>29.628</v>
      </c>
      <c r="AL28" s="49">
        <f t="shared" si="15"/>
        <v>30</v>
      </c>
      <c r="AM28" s="48">
        <f t="shared" si="24"/>
        <v>25</v>
      </c>
      <c r="AN28" s="48">
        <f t="shared" si="16"/>
        <v>41</v>
      </c>
      <c r="AO28" s="27">
        <f>IF(AH28&lt;57,ROUND(IF(AB28="","",DGET('Banco de dados'!$D$3:$F$6293,$AO$4,'Densidade corrigida - Carregame'!C48:D49)),3),"")</f>
        <v>0.88100000000000001</v>
      </c>
      <c r="AP28" s="27">
        <f>DGET('Banco de dados'!$G$3:$I$9744,$AP$4,'FCV - Carregamento'!C48:D49)</f>
        <v>0.98419999999999996</v>
      </c>
      <c r="AQ28" s="27">
        <f t="shared" si="17"/>
        <v>44.838267071933821</v>
      </c>
      <c r="AR28" s="133">
        <v>1E-3</v>
      </c>
      <c r="AS28" s="34">
        <f t="shared" si="18"/>
        <v>4.4838267071933821E-2</v>
      </c>
      <c r="AT28" s="29">
        <f t="shared" si="19"/>
        <v>44.79342880486189</v>
      </c>
      <c r="AU28" s="156"/>
      <c r="AV28" s="157">
        <v>2771</v>
      </c>
      <c r="AW28" s="164">
        <v>44374.32708333333</v>
      </c>
      <c r="AX28" s="157" t="s">
        <v>167</v>
      </c>
      <c r="AY28" s="157">
        <v>2523</v>
      </c>
      <c r="AZ28" s="164">
        <v>44374.361111111109</v>
      </c>
      <c r="BA28" s="157" t="s">
        <v>167</v>
      </c>
    </row>
    <row r="29" spans="2:58" x14ac:dyDescent="0.25">
      <c r="B29" s="158">
        <v>44375.658333333333</v>
      </c>
      <c r="C29" s="152" t="str">
        <f t="shared" si="0"/>
        <v>28/06/2021</v>
      </c>
      <c r="D29" s="129">
        <v>1399</v>
      </c>
      <c r="E29" s="22">
        <f t="shared" si="20"/>
        <v>139</v>
      </c>
      <c r="F29" s="22">
        <f t="shared" si="21"/>
        <v>0.9</v>
      </c>
      <c r="G29" s="165">
        <v>1395</v>
      </c>
      <c r="H29" s="22">
        <f t="shared" si="6"/>
        <v>139</v>
      </c>
      <c r="I29" s="22">
        <f t="shared" si="7"/>
        <v>0.5</v>
      </c>
      <c r="J29" s="2">
        <f>VLOOKUP(E29,'Arqueação Tanque'!$B$4:$C$480,2,0)</f>
        <v>97.778999999999996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0.59199999999999997</v>
      </c>
      <c r="L29" s="2">
        <f>VLOOKUP(H29,'Arqueação Tanque'!$B$4:$C$480,2,0)</f>
        <v>97.778999999999996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0.32900000000000001</v>
      </c>
      <c r="N29" s="23">
        <f t="shared" si="22"/>
        <v>98.370999999999995</v>
      </c>
      <c r="O29" s="23">
        <f t="shared" si="3"/>
        <v>98.10799999999999</v>
      </c>
      <c r="P29" s="24">
        <f t="shared" si="8"/>
        <v>0.26300000000000523</v>
      </c>
      <c r="Q29" s="29">
        <f t="shared" si="9"/>
        <v>98.10799999999999</v>
      </c>
      <c r="R29" s="131">
        <v>705</v>
      </c>
      <c r="S29" s="29">
        <f t="shared" si="10"/>
        <v>70</v>
      </c>
      <c r="T29" s="22">
        <f t="shared" si="4"/>
        <v>0.5</v>
      </c>
      <c r="U29" s="29">
        <f>VLOOKUP(S29,'Arqueação Tanque'!$B$4:$C$480,2,0)</f>
        <v>52.354999999999997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0.32900000000000001</v>
      </c>
      <c r="W29" s="29">
        <f t="shared" si="11"/>
        <v>52.683999999999997</v>
      </c>
      <c r="X29" s="29">
        <f t="shared" si="12"/>
        <v>45.439879689114882</v>
      </c>
      <c r="Y29" s="5">
        <v>68</v>
      </c>
      <c r="Z29" s="129">
        <v>37</v>
      </c>
      <c r="AA29" s="129">
        <v>26.3</v>
      </c>
      <c r="AB29" s="129">
        <v>22.9</v>
      </c>
      <c r="AC29" s="24">
        <f t="shared" si="13"/>
        <v>0.878</v>
      </c>
      <c r="AD29" s="5">
        <f t="shared" si="5"/>
        <v>98.600000000000009</v>
      </c>
      <c r="AE29" s="5">
        <f t="shared" si="5"/>
        <v>79.34</v>
      </c>
      <c r="AF29" s="5">
        <f t="shared" si="14"/>
        <v>96.19250000000001</v>
      </c>
      <c r="AG29" s="39">
        <f>1+2*'Arqueação Tanque'!$K$4*(AF29-Y29)+('Arqueação Tanque'!$K$4^2)*(AF29-Y29)</f>
        <v>1.0003495880837199</v>
      </c>
      <c r="AH29" s="132">
        <v>30.95</v>
      </c>
      <c r="AI29" s="27">
        <v>0.5</v>
      </c>
      <c r="AJ29" s="27"/>
      <c r="AK29" s="27">
        <f t="shared" si="23"/>
        <v>29.628</v>
      </c>
      <c r="AL29" s="49">
        <f t="shared" si="15"/>
        <v>30</v>
      </c>
      <c r="AM29" s="48">
        <f t="shared" si="24"/>
        <v>25</v>
      </c>
      <c r="AN29" s="48">
        <f t="shared" si="16"/>
        <v>37</v>
      </c>
      <c r="AO29" s="27">
        <f>IF(AH29&lt;57,ROUND(IF(AB29="","",DGET('Banco de dados'!$D$3:$F$6293,$AO$4,'Densidade corrigida - Carregame'!C50:D51)),3),"")</f>
        <v>0.88100000000000001</v>
      </c>
      <c r="AP29" s="27">
        <f>DGET('Banco de dados'!$G$3:$I$9744,$AP$4,'FCV - Carregamento'!C50:D51)</f>
        <v>0.98719999999999997</v>
      </c>
      <c r="AQ29" s="27">
        <f t="shared" si="17"/>
        <v>44.858249229094213</v>
      </c>
      <c r="AR29" s="133">
        <v>1E-3</v>
      </c>
      <c r="AS29" s="34">
        <f t="shared" si="18"/>
        <v>4.4858249229094212E-2</v>
      </c>
      <c r="AT29" s="29">
        <f t="shared" si="19"/>
        <v>44.813390979865119</v>
      </c>
      <c r="AU29" s="156"/>
      <c r="AV29" s="157">
        <v>2523</v>
      </c>
      <c r="AW29" s="164">
        <v>44375.658333333333</v>
      </c>
      <c r="AX29" s="157" t="s">
        <v>167</v>
      </c>
      <c r="AY29" s="157">
        <v>2594</v>
      </c>
      <c r="AZ29" s="164">
        <v>44375.705555555556</v>
      </c>
      <c r="BA29" s="157" t="s">
        <v>167</v>
      </c>
    </row>
    <row r="30" spans="2:58" x14ac:dyDescent="0.25">
      <c r="B30" s="158">
        <v>44375.972916666666</v>
      </c>
      <c r="C30" s="152" t="str">
        <f t="shared" si="0"/>
        <v>28/06/2021</v>
      </c>
      <c r="D30" s="129">
        <v>705</v>
      </c>
      <c r="E30" s="22">
        <f t="shared" si="20"/>
        <v>70</v>
      </c>
      <c r="F30" s="22">
        <f t="shared" si="21"/>
        <v>0.5</v>
      </c>
      <c r="G30" s="165">
        <v>705</v>
      </c>
      <c r="H30" s="22">
        <f t="shared" si="6"/>
        <v>70</v>
      </c>
      <c r="I30" s="22">
        <f t="shared" si="7"/>
        <v>0.5</v>
      </c>
      <c r="J30" s="2">
        <f>VLOOKUP(E30,'Arqueação Tanque'!$B$4:$C$480,2,0)</f>
        <v>52.354999999999997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0.32900000000000001</v>
      </c>
      <c r="L30" s="2">
        <f>VLOOKUP(H30,'Arqueação Tanque'!$B$4:$C$480,2,0)</f>
        <v>52.354999999999997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0.32900000000000001</v>
      </c>
      <c r="N30" s="23">
        <f t="shared" si="22"/>
        <v>52.683999999999997</v>
      </c>
      <c r="O30" s="23">
        <f t="shared" si="3"/>
        <v>52.683999999999997</v>
      </c>
      <c r="P30" s="24">
        <f t="shared" si="8"/>
        <v>0</v>
      </c>
      <c r="Q30" s="29">
        <f t="shared" si="9"/>
        <v>52.683999999999997</v>
      </c>
      <c r="R30" s="131">
        <v>248</v>
      </c>
      <c r="S30" s="29">
        <f t="shared" si="10"/>
        <v>24</v>
      </c>
      <c r="T30" s="22">
        <f t="shared" si="4"/>
        <v>0.8</v>
      </c>
      <c r="U30" s="29">
        <f>VLOOKUP(S30,'Arqueação Tanque'!$B$4:$C$480,2,0)</f>
        <v>21.988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0.52600000000000002</v>
      </c>
      <c r="W30" s="29">
        <f t="shared" si="11"/>
        <v>22.513999999999999</v>
      </c>
      <c r="X30" s="29">
        <f t="shared" si="12"/>
        <v>30.172499142714315</v>
      </c>
      <c r="Y30" s="5">
        <v>68</v>
      </c>
      <c r="Z30" s="129">
        <v>24.6</v>
      </c>
      <c r="AA30" s="129">
        <v>17.489999999999998</v>
      </c>
      <c r="AB30" s="165">
        <v>22.9</v>
      </c>
      <c r="AC30" s="24">
        <f t="shared" si="13"/>
        <v>0.878</v>
      </c>
      <c r="AD30" s="5">
        <f t="shared" si="5"/>
        <v>76.28</v>
      </c>
      <c r="AE30" s="5">
        <f t="shared" si="5"/>
        <v>63.481999999999999</v>
      </c>
      <c r="AF30" s="5">
        <f t="shared" si="14"/>
        <v>74.680250000000001</v>
      </c>
      <c r="AG30" s="39">
        <f>1+2*'Arqueação Tanque'!$K$4*(AF30-Y30)+('Arqueação Tanque'!$K$4^2)*(AF30-Y30)</f>
        <v>1.0000828353567888</v>
      </c>
      <c r="AH30" s="132">
        <v>30.95</v>
      </c>
      <c r="AI30" s="5">
        <v>0.5</v>
      </c>
      <c r="AJ30" s="5"/>
      <c r="AK30" s="27">
        <f t="shared" si="23"/>
        <v>29.628</v>
      </c>
      <c r="AL30" s="49">
        <f t="shared" si="15"/>
        <v>30</v>
      </c>
      <c r="AM30" s="48">
        <f t="shared" si="24"/>
        <v>25</v>
      </c>
      <c r="AN30" s="48">
        <f t="shared" si="16"/>
        <v>25</v>
      </c>
      <c r="AO30" s="27">
        <f>IF(AH30&lt;57,ROUND(IF(AB30="","",DGET('Banco de dados'!$D$3:$F$6293,$AO$4,'Densidade corrigida - Carregame'!C52:D53)),3),"")</f>
        <v>0.88100000000000001</v>
      </c>
      <c r="AP30" s="27">
        <f>DGET('Banco de dados'!$G$3:$I$9744,$AP$4,'FCV - Carregamento'!C52:D53)</f>
        <v>0.99619999999999997</v>
      </c>
      <c r="AQ30" s="27">
        <f t="shared" si="17"/>
        <v>30.057843645972</v>
      </c>
      <c r="AR30" s="133">
        <v>1E-3</v>
      </c>
      <c r="AS30" s="34">
        <f t="shared" si="18"/>
        <v>3.0057843645971999E-2</v>
      </c>
      <c r="AT30" s="29">
        <f t="shared" si="19"/>
        <v>30.027785802326026</v>
      </c>
      <c r="AU30" s="156"/>
      <c r="AV30" s="157">
        <v>2594</v>
      </c>
      <c r="AW30" s="164">
        <v>44375.972916666666</v>
      </c>
      <c r="AX30" s="157" t="s">
        <v>170</v>
      </c>
      <c r="AY30" s="157">
        <v>2596</v>
      </c>
      <c r="AZ30" s="164">
        <v>44376.018055555556</v>
      </c>
      <c r="BA30" s="157" t="s">
        <v>170</v>
      </c>
    </row>
    <row r="31" spans="2:58" x14ac:dyDescent="0.25">
      <c r="B31" s="158">
        <v>44377.890972222223</v>
      </c>
      <c r="C31" s="152" t="str">
        <f t="shared" si="0"/>
        <v>30/06/2021</v>
      </c>
      <c r="D31" s="129">
        <v>1400</v>
      </c>
      <c r="E31" s="22">
        <f t="shared" si="20"/>
        <v>140</v>
      </c>
      <c r="F31" s="22">
        <f t="shared" si="21"/>
        <v>0</v>
      </c>
      <c r="G31" s="165">
        <v>1400</v>
      </c>
      <c r="H31" s="22">
        <f t="shared" si="6"/>
        <v>140</v>
      </c>
      <c r="I31" s="22">
        <f t="shared" si="7"/>
        <v>0</v>
      </c>
      <c r="J31" s="2">
        <f>VLOOKUP(E31,'Arqueação Tanque'!$B$4:$C$480,2,0)</f>
        <v>98.436999999999998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98.436999999999998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98.436999999999998</v>
      </c>
      <c r="O31" s="23">
        <f t="shared" si="3"/>
        <v>98.436999999999998</v>
      </c>
      <c r="P31" s="24">
        <f t="shared" si="8"/>
        <v>0</v>
      </c>
      <c r="Q31" s="29">
        <f t="shared" si="9"/>
        <v>98.436999999999998</v>
      </c>
      <c r="R31" s="131">
        <v>706</v>
      </c>
      <c r="S31" s="29">
        <f t="shared" si="10"/>
        <v>70</v>
      </c>
      <c r="T31" s="22">
        <f t="shared" si="4"/>
        <v>0.6</v>
      </c>
      <c r="U31" s="29">
        <f>VLOOKUP(S31,'Arqueação Tanque'!$B$4:$C$480,2,0)</f>
        <v>52.354999999999997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0.39400000000000002</v>
      </c>
      <c r="W31" s="29">
        <f t="shared" si="11"/>
        <v>52.748999999999995</v>
      </c>
      <c r="X31" s="29">
        <f t="shared" si="12"/>
        <v>45.702411748607489</v>
      </c>
      <c r="Y31" s="5">
        <v>68</v>
      </c>
      <c r="Z31" s="129">
        <v>35.9</v>
      </c>
      <c r="AA31" s="129">
        <v>21.76</v>
      </c>
      <c r="AB31" s="129">
        <v>23.9</v>
      </c>
      <c r="AC31" s="24">
        <f t="shared" si="13"/>
        <v>0.88</v>
      </c>
      <c r="AD31" s="5">
        <f t="shared" si="5"/>
        <v>96.62</v>
      </c>
      <c r="AE31" s="5">
        <f t="shared" si="5"/>
        <v>71.168000000000006</v>
      </c>
      <c r="AF31" s="5">
        <f t="shared" si="14"/>
        <v>93.438500000000005</v>
      </c>
      <c r="AG31" s="39">
        <f>1+2*'Arqueação Tanque'!$K$4*(AF31-Y31)+('Arqueação Tanque'!$K$4^2)*(AF31-Y31)</f>
        <v>1.0003154383778561</v>
      </c>
      <c r="AH31" s="132">
        <v>30.77</v>
      </c>
      <c r="AI31" s="27">
        <v>0.5</v>
      </c>
      <c r="AJ31" s="27"/>
      <c r="AK31" s="27">
        <f t="shared" si="23"/>
        <v>29.268000000000001</v>
      </c>
      <c r="AL31" s="49">
        <f t="shared" si="15"/>
        <v>29</v>
      </c>
      <c r="AM31" s="48">
        <f t="shared" si="24"/>
        <v>25</v>
      </c>
      <c r="AN31" s="48">
        <f t="shared" si="16"/>
        <v>35.5</v>
      </c>
      <c r="AO31" s="27">
        <f>IF(AH31&lt;57,ROUND(IF(AB31="","",DGET('Banco de dados'!$D$3:$F$6293,$AO$4,'Densidade corrigida - Carregame'!C54:D55)),3),"")</f>
        <v>0.88300000000000001</v>
      </c>
      <c r="AP31" s="27">
        <f>DGET('Banco de dados'!$G$3:$I$9744,$AP$4,'FCV - Carregamento'!C54:D55)</f>
        <v>0.98839999999999995</v>
      </c>
      <c r="AQ31" s="27">
        <f t="shared" si="17"/>
        <v>45.172263772323639</v>
      </c>
      <c r="AR31" s="133">
        <v>1E-3</v>
      </c>
      <c r="AS31" s="34">
        <f t="shared" si="18"/>
        <v>4.517226377232364E-2</v>
      </c>
      <c r="AT31" s="29">
        <f t="shared" si="19"/>
        <v>45.127091508551317</v>
      </c>
      <c r="AU31" s="156"/>
      <c r="AV31" s="157">
        <v>2596</v>
      </c>
      <c r="AW31" s="164">
        <v>44377.890972222223</v>
      </c>
      <c r="AX31" s="157" t="s">
        <v>170</v>
      </c>
      <c r="AY31" s="157">
        <v>2585</v>
      </c>
      <c r="AZ31" s="164">
        <v>44377.94027777778</v>
      </c>
      <c r="BA31" s="157" t="s">
        <v>170</v>
      </c>
    </row>
    <row r="32" spans="2:58" x14ac:dyDescent="0.25">
      <c r="B32" s="158">
        <v>44377.956944444442</v>
      </c>
      <c r="C32" s="152" t="str">
        <f t="shared" si="0"/>
        <v>30/06/2021</v>
      </c>
      <c r="D32" s="129">
        <v>706</v>
      </c>
      <c r="E32" s="22">
        <f t="shared" si="20"/>
        <v>70</v>
      </c>
      <c r="F32" s="22">
        <f t="shared" si="21"/>
        <v>0.6</v>
      </c>
      <c r="G32" s="165">
        <v>706</v>
      </c>
      <c r="H32" s="22">
        <f t="shared" si="6"/>
        <v>70</v>
      </c>
      <c r="I32" s="22">
        <f t="shared" si="7"/>
        <v>0.6</v>
      </c>
      <c r="J32" s="2">
        <f>VLOOKUP(E32,'Arqueação Tanque'!$B$4:$C$480,2,0)</f>
        <v>52.354999999999997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0.39400000000000002</v>
      </c>
      <c r="L32" s="2">
        <f>VLOOKUP(H32,'Arqueação Tanque'!$B$4:$C$480,2,0)</f>
        <v>52.354999999999997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0.39400000000000002</v>
      </c>
      <c r="N32" s="23">
        <f t="shared" si="22"/>
        <v>52.748999999999995</v>
      </c>
      <c r="O32" s="23">
        <f t="shared" si="3"/>
        <v>52.748999999999995</v>
      </c>
      <c r="P32" s="24">
        <f t="shared" si="8"/>
        <v>0</v>
      </c>
      <c r="Q32" s="29">
        <f t="shared" si="9"/>
        <v>52.748999999999995</v>
      </c>
      <c r="R32" s="131">
        <v>250</v>
      </c>
      <c r="S32" s="29">
        <f t="shared" si="10"/>
        <v>25</v>
      </c>
      <c r="T32" s="22">
        <f t="shared" si="4"/>
        <v>0</v>
      </c>
      <c r="U32" s="29">
        <f>VLOOKUP(S32,'Arqueação Tanque'!$B$4:$C$480,2,0)</f>
        <v>22.648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22.648</v>
      </c>
      <c r="X32" s="29">
        <f t="shared" si="12"/>
        <v>30.104887529110396</v>
      </c>
      <c r="Y32" s="5">
        <v>68</v>
      </c>
      <c r="Z32" s="129">
        <v>26.5</v>
      </c>
      <c r="AA32" s="129">
        <v>20.79</v>
      </c>
      <c r="AB32" s="129">
        <v>23.9</v>
      </c>
      <c r="AC32" s="24">
        <f t="shared" si="13"/>
        <v>0.88</v>
      </c>
      <c r="AD32" s="5">
        <f t="shared" si="5"/>
        <v>79.7</v>
      </c>
      <c r="AE32" s="5">
        <f t="shared" si="5"/>
        <v>69.421999999999997</v>
      </c>
      <c r="AF32" s="5">
        <f t="shared" si="14"/>
        <v>78.41525</v>
      </c>
      <c r="AG32" s="39">
        <f>1+2*'Arqueação Tanque'!$K$4*(AF32-Y32)+('Arqueação Tanque'!$K$4^2)*(AF32-Y32)</f>
        <v>1.0001291495003621</v>
      </c>
      <c r="AH32" s="132">
        <v>30.77</v>
      </c>
      <c r="AI32" s="5">
        <v>0.5</v>
      </c>
      <c r="AJ32" s="5"/>
      <c r="AK32" s="27">
        <f t="shared" si="23"/>
        <v>29.268000000000001</v>
      </c>
      <c r="AL32" s="49">
        <f t="shared" si="15"/>
        <v>29</v>
      </c>
      <c r="AM32" s="48">
        <f t="shared" si="24"/>
        <v>25</v>
      </c>
      <c r="AN32" s="48">
        <f t="shared" si="16"/>
        <v>26.5</v>
      </c>
      <c r="AO32" s="27">
        <f>IF(AH32&lt;57,ROUND(IF(AB32="","",DGET('Banco de dados'!$D$3:$F$6293,$AO$4,'Densidade corrigida - Carregame'!C56:D57)),3),"")</f>
        <v>0.88300000000000001</v>
      </c>
      <c r="AP32" s="27">
        <f>DGET('Banco de dados'!$G$3:$I$9744,$AP$4,'FCV - Carregamento'!C56:D57)</f>
        <v>0.99509999999999998</v>
      </c>
      <c r="AQ32" s="27">
        <f t="shared" si="17"/>
        <v>29.957373580217755</v>
      </c>
      <c r="AR32" s="133">
        <v>1E-3</v>
      </c>
      <c r="AS32" s="34">
        <f t="shared" si="18"/>
        <v>2.9957373580217755E-2</v>
      </c>
      <c r="AT32" s="29">
        <f t="shared" si="19"/>
        <v>29.927416206637538</v>
      </c>
      <c r="AU32" s="156"/>
      <c r="AV32" s="157">
        <v>2585</v>
      </c>
      <c r="AW32" s="164">
        <v>44377.956944444442</v>
      </c>
      <c r="AX32" s="157" t="s">
        <v>170</v>
      </c>
      <c r="AY32" s="157">
        <v>2575</v>
      </c>
      <c r="AZ32" s="164">
        <v>44377.993750000001</v>
      </c>
      <c r="BA32" s="157" t="s">
        <v>170</v>
      </c>
    </row>
    <row r="33" spans="2:53" x14ac:dyDescent="0.25">
      <c r="B33" s="158"/>
      <c r="C33" s="152" t="str">
        <f t="shared" si="0"/>
        <v>00/01/1900</v>
      </c>
      <c r="D33" s="129"/>
      <c r="E33" s="22">
        <f t="shared" si="20"/>
        <v>0</v>
      </c>
      <c r="F33" s="22">
        <f t="shared" si="21"/>
        <v>0</v>
      </c>
      <c r="G33" s="165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1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29"/>
      <c r="AA33" s="129"/>
      <c r="AB33" s="129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2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 - Carregame'!C58:D59)),3),"")</f>
        <v>#VALUE!</v>
      </c>
      <c r="AP33" s="27" t="e">
        <f>DGET('Banco de dados'!$G$3:$I$9744,$AP$4,'FCV - Carregamento'!C58:D59)</f>
        <v>#VALUE!</v>
      </c>
      <c r="AQ33" s="27" t="e">
        <f t="shared" si="17"/>
        <v>#VALUE!</v>
      </c>
      <c r="AR33" s="133"/>
      <c r="AS33" s="34" t="e">
        <f t="shared" si="18"/>
        <v>#VALUE!</v>
      </c>
      <c r="AT33" s="29" t="e">
        <f t="shared" si="19"/>
        <v>#VALUE!</v>
      </c>
      <c r="AU33" s="156"/>
      <c r="AV33" s="157"/>
      <c r="AW33" s="157"/>
      <c r="AX33" s="157"/>
      <c r="AY33" s="157"/>
      <c r="AZ33" s="157"/>
      <c r="BA33" s="157"/>
    </row>
    <row r="34" spans="2:53" x14ac:dyDescent="0.25">
      <c r="B34" s="158"/>
      <c r="C34" s="152" t="str">
        <f t="shared" si="0"/>
        <v>00/01/1900</v>
      </c>
      <c r="D34" s="129"/>
      <c r="E34" s="22">
        <f t="shared" si="20"/>
        <v>0</v>
      </c>
      <c r="F34" s="22">
        <f t="shared" si="21"/>
        <v>0</v>
      </c>
      <c r="G34" s="165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1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29"/>
      <c r="AA34" s="129"/>
      <c r="AB34" s="129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2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 - Carregame'!C60:D61)),3),"")</f>
        <v>#VALUE!</v>
      </c>
      <c r="AP34" s="27" t="e">
        <f>DGET('Banco de dados'!$G$3:$I$9744,$AP$4,'FCV - Carregamento'!C60:D61)</f>
        <v>#VALUE!</v>
      </c>
      <c r="AQ34" s="27" t="e">
        <f t="shared" si="17"/>
        <v>#VALUE!</v>
      </c>
      <c r="AR34" s="133"/>
      <c r="AS34" s="34" t="e">
        <f t="shared" si="18"/>
        <v>#VALUE!</v>
      </c>
      <c r="AT34" s="29" t="e">
        <f t="shared" si="19"/>
        <v>#VALUE!</v>
      </c>
      <c r="AU34" s="156"/>
      <c r="AV34" s="157"/>
      <c r="AW34" s="164"/>
      <c r="AX34" s="157"/>
      <c r="AY34" s="157"/>
      <c r="AZ34" s="164"/>
      <c r="BA34" s="157"/>
    </row>
    <row r="35" spans="2:53" x14ac:dyDescent="0.25">
      <c r="B35" s="158"/>
      <c r="C35" s="152" t="str">
        <f t="shared" si="0"/>
        <v>00/01/1900</v>
      </c>
      <c r="D35" s="129"/>
      <c r="E35" s="22">
        <f t="shared" si="20"/>
        <v>0</v>
      </c>
      <c r="F35" s="22">
        <f t="shared" si="21"/>
        <v>0</v>
      </c>
      <c r="G35" s="165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1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29"/>
      <c r="AA35" s="129"/>
      <c r="AB35" s="129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2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 - Carregame'!C62:D63)),3),"")</f>
        <v>#VALUE!</v>
      </c>
      <c r="AP35" s="27" t="e">
        <f>DGET('Banco de dados'!$G$3:$I$9744,$AP$4,'FCV - Carregamento'!C62:D63)</f>
        <v>#VALUE!</v>
      </c>
      <c r="AQ35" s="27" t="e">
        <f t="shared" si="17"/>
        <v>#VALUE!</v>
      </c>
      <c r="AR35" s="133"/>
      <c r="AS35" s="34" t="e">
        <f t="shared" si="18"/>
        <v>#VALUE!</v>
      </c>
      <c r="AT35" s="29" t="e">
        <f t="shared" si="19"/>
        <v>#VALUE!</v>
      </c>
      <c r="AU35" s="156"/>
      <c r="AV35" s="157"/>
      <c r="AW35" s="164"/>
      <c r="AX35" s="157"/>
      <c r="AY35" s="157"/>
      <c r="AZ35" s="164"/>
      <c r="BA35" s="157"/>
    </row>
    <row r="36" spans="2:53" x14ac:dyDescent="0.25">
      <c r="B36" s="158"/>
      <c r="C36" s="152" t="str">
        <f t="shared" si="0"/>
        <v>00/01/1900</v>
      </c>
      <c r="D36" s="129"/>
      <c r="E36" s="22">
        <f t="shared" si="20"/>
        <v>0</v>
      </c>
      <c r="F36" s="22">
        <f t="shared" si="21"/>
        <v>0</v>
      </c>
      <c r="G36" s="165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1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29"/>
      <c r="AA36" s="129"/>
      <c r="AB36" s="129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2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 - Carregame'!C63:D64)),3),"")</f>
        <v>#VALUE!</v>
      </c>
      <c r="AP36" s="27" t="e">
        <f>DGET('Banco de dados'!$G$3:$I$9744,$AP$4,'FCV - Carregamento'!C64:D65)</f>
        <v>#VALUE!</v>
      </c>
      <c r="AQ36" s="27" t="e">
        <f>X36*AP36</f>
        <v>#VALUE!</v>
      </c>
      <c r="AR36" s="133"/>
      <c r="AS36" s="34" t="e">
        <f>AQ36*(AR36)</f>
        <v>#VALUE!</v>
      </c>
      <c r="AT36" s="29" t="e">
        <f>AQ36-AS36</f>
        <v>#VALUE!</v>
      </c>
      <c r="AU36" s="156"/>
      <c r="AV36" s="157"/>
      <c r="AW36" s="157"/>
      <c r="AX36" s="157"/>
      <c r="AY36" s="157"/>
      <c r="AZ36" s="157"/>
      <c r="BA36" s="157"/>
    </row>
    <row r="39" spans="2:53" hidden="1" x14ac:dyDescent="0.25"/>
  </sheetData>
  <sheetProtection algorithmName="SHA-512" hashValue="5XfoesdDz0XhKC3Dw7t6ltxOmiUmNeqjrSqIdmWK74BDBa4/8EHSxdesmhuxXXzVOzj1rCrppeLuOlFbOh1L2A==" saltValue="l4XZYntLJ+ndUPC70a0Wxg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2:I34"/>
  <sheetViews>
    <sheetView view="pageBreakPreview" zoomScale="120" zoomScaleNormal="100" zoomScaleSheetLayoutView="120" workbookViewId="0">
      <selection activeCell="K14" sqref="K14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151</v>
      </c>
      <c r="C2" s="4" t="s">
        <v>150</v>
      </c>
      <c r="D2" s="4" t="s">
        <v>140</v>
      </c>
      <c r="E2" s="4" t="s">
        <v>142</v>
      </c>
      <c r="F2" s="4" t="s">
        <v>141</v>
      </c>
      <c r="G2" s="4" t="s">
        <v>133</v>
      </c>
      <c r="H2" s="4" t="s">
        <v>139</v>
      </c>
      <c r="I2" s="4" t="s">
        <v>109</v>
      </c>
    </row>
    <row r="3" spans="1:9" x14ac:dyDescent="0.25">
      <c r="A3" s="135">
        <f>'Fechamento fiscal'!B6</f>
        <v>44348</v>
      </c>
      <c r="B3" s="130">
        <v>3104</v>
      </c>
      <c r="C3" s="130">
        <v>500</v>
      </c>
      <c r="D3" s="130">
        <v>400</v>
      </c>
      <c r="E3" s="130">
        <v>0</v>
      </c>
      <c r="F3" s="160">
        <f>IF(I3-D3&lt;0,0,I3-D3)</f>
        <v>2204</v>
      </c>
      <c r="G3" s="159">
        <f>IF(D3=0,"",IF(I3&lt;500,500,I3))</f>
        <v>2604</v>
      </c>
      <c r="H3" s="159">
        <f>B3</f>
        <v>3104</v>
      </c>
      <c r="I3" s="50">
        <f>B3-C3</f>
        <v>2604</v>
      </c>
    </row>
    <row r="4" spans="1:9" x14ac:dyDescent="0.25">
      <c r="A4" s="135">
        <f>'Fechamento fiscal'!B7</f>
        <v>44349</v>
      </c>
      <c r="B4" s="130">
        <v>4462</v>
      </c>
      <c r="C4" s="130">
        <v>500</v>
      </c>
      <c r="D4" s="163">
        <v>400</v>
      </c>
      <c r="E4" s="163">
        <v>0</v>
      </c>
      <c r="F4" s="160">
        <f>IF(I4-D4&lt;0,0,I4-D4)</f>
        <v>3562</v>
      </c>
      <c r="G4" s="159">
        <f>IF(D4=0,"",IF(I4&lt;500,500,I4))</f>
        <v>3962</v>
      </c>
      <c r="H4" s="53">
        <f>B4</f>
        <v>4462</v>
      </c>
      <c r="I4" s="50">
        <f t="shared" ref="I4:I33" si="0">B4-C4</f>
        <v>3962</v>
      </c>
    </row>
    <row r="5" spans="1:9" x14ac:dyDescent="0.25">
      <c r="A5" s="135">
        <f>'Fechamento fiscal'!B8</f>
        <v>44350</v>
      </c>
      <c r="B5" s="163">
        <v>4773</v>
      </c>
      <c r="C5" s="163">
        <v>500</v>
      </c>
      <c r="D5" s="163">
        <v>400</v>
      </c>
      <c r="E5" s="163">
        <v>0</v>
      </c>
      <c r="F5" s="160">
        <f t="shared" ref="F5:F33" si="1">IF(I5-D5&lt;0,0,I5-D5)</f>
        <v>3873</v>
      </c>
      <c r="G5" s="159">
        <f t="shared" ref="G5:G33" si="2">IF(D5=0,"",IF(I5&lt;500,500,I5))</f>
        <v>4273</v>
      </c>
      <c r="H5" s="159">
        <f t="shared" ref="H5:H33" si="3">B5</f>
        <v>4773</v>
      </c>
      <c r="I5" s="50">
        <f t="shared" si="0"/>
        <v>4273</v>
      </c>
    </row>
    <row r="6" spans="1:9" x14ac:dyDescent="0.25">
      <c r="A6" s="135">
        <f>'Fechamento fiscal'!B9</f>
        <v>44351</v>
      </c>
      <c r="B6" s="163">
        <v>4629</v>
      </c>
      <c r="C6" s="163">
        <v>500</v>
      </c>
      <c r="D6" s="163">
        <v>400</v>
      </c>
      <c r="E6" s="163">
        <v>0</v>
      </c>
      <c r="F6" s="160">
        <f t="shared" si="1"/>
        <v>3729</v>
      </c>
      <c r="G6" s="159">
        <f t="shared" si="2"/>
        <v>4129</v>
      </c>
      <c r="H6" s="53">
        <f t="shared" si="3"/>
        <v>4629</v>
      </c>
      <c r="I6" s="50">
        <f t="shared" si="0"/>
        <v>4129</v>
      </c>
    </row>
    <row r="7" spans="1:9" x14ac:dyDescent="0.25">
      <c r="A7" s="135">
        <f>'Fechamento fiscal'!B10</f>
        <v>44352</v>
      </c>
      <c r="B7" s="163">
        <v>4538</v>
      </c>
      <c r="C7" s="163">
        <v>500</v>
      </c>
      <c r="D7" s="163">
        <v>400</v>
      </c>
      <c r="E7" s="163">
        <v>0</v>
      </c>
      <c r="F7" s="160">
        <f t="shared" si="1"/>
        <v>3638</v>
      </c>
      <c r="G7" s="159">
        <f t="shared" si="2"/>
        <v>4038</v>
      </c>
      <c r="H7" s="159">
        <f t="shared" si="3"/>
        <v>4538</v>
      </c>
      <c r="I7" s="50">
        <f t="shared" si="0"/>
        <v>4038</v>
      </c>
    </row>
    <row r="8" spans="1:9" x14ac:dyDescent="0.25">
      <c r="A8" s="135">
        <f>'Fechamento fiscal'!B11</f>
        <v>44353</v>
      </c>
      <c r="B8" s="163">
        <v>4634</v>
      </c>
      <c r="C8" s="163">
        <v>500</v>
      </c>
      <c r="D8" s="163">
        <v>400</v>
      </c>
      <c r="E8" s="163">
        <v>0</v>
      </c>
      <c r="F8" s="160">
        <f t="shared" si="1"/>
        <v>3734</v>
      </c>
      <c r="G8" s="159">
        <f t="shared" si="2"/>
        <v>4134</v>
      </c>
      <c r="H8" s="53">
        <f t="shared" si="3"/>
        <v>4634</v>
      </c>
      <c r="I8" s="50">
        <f t="shared" si="0"/>
        <v>4134</v>
      </c>
    </row>
    <row r="9" spans="1:9" x14ac:dyDescent="0.25">
      <c r="A9" s="135">
        <f>'Fechamento fiscal'!B12</f>
        <v>44354</v>
      </c>
      <c r="B9" s="163">
        <v>4682</v>
      </c>
      <c r="C9" s="163">
        <v>500</v>
      </c>
      <c r="D9" s="163">
        <v>400</v>
      </c>
      <c r="E9" s="163">
        <v>0</v>
      </c>
      <c r="F9" s="160">
        <f t="shared" si="1"/>
        <v>3782</v>
      </c>
      <c r="G9" s="159">
        <f t="shared" si="2"/>
        <v>4182</v>
      </c>
      <c r="H9" s="159">
        <f t="shared" si="3"/>
        <v>4682</v>
      </c>
      <c r="I9" s="50">
        <f t="shared" si="0"/>
        <v>4182</v>
      </c>
    </row>
    <row r="10" spans="1:9" x14ac:dyDescent="0.25">
      <c r="A10" s="135">
        <f>'Fechamento fiscal'!B13</f>
        <v>44355</v>
      </c>
      <c r="B10" s="163">
        <v>4650</v>
      </c>
      <c r="C10" s="163">
        <v>500</v>
      </c>
      <c r="D10" s="163">
        <v>400</v>
      </c>
      <c r="E10" s="163">
        <v>0</v>
      </c>
      <c r="F10" s="160">
        <f t="shared" si="1"/>
        <v>3750</v>
      </c>
      <c r="G10" s="159">
        <f t="shared" si="2"/>
        <v>4150</v>
      </c>
      <c r="H10" s="53">
        <f t="shared" si="3"/>
        <v>4650</v>
      </c>
      <c r="I10" s="50">
        <f t="shared" si="0"/>
        <v>4150</v>
      </c>
    </row>
    <row r="11" spans="1:9" x14ac:dyDescent="0.25">
      <c r="A11" s="135">
        <f>'Fechamento fiscal'!B14</f>
        <v>44356</v>
      </c>
      <c r="B11" s="163">
        <v>4214</v>
      </c>
      <c r="C11" s="163">
        <v>500</v>
      </c>
      <c r="D11" s="163">
        <v>400</v>
      </c>
      <c r="E11" s="163">
        <v>0</v>
      </c>
      <c r="F11" s="160">
        <f t="shared" si="1"/>
        <v>3314</v>
      </c>
      <c r="G11" s="159">
        <f t="shared" si="2"/>
        <v>3714</v>
      </c>
      <c r="H11" s="159">
        <f t="shared" si="3"/>
        <v>4214</v>
      </c>
      <c r="I11" s="50">
        <f t="shared" si="0"/>
        <v>3714</v>
      </c>
    </row>
    <row r="12" spans="1:9" x14ac:dyDescent="0.25">
      <c r="A12" s="135">
        <f>'Fechamento fiscal'!B15</f>
        <v>44357</v>
      </c>
      <c r="B12" s="163">
        <v>3928</v>
      </c>
      <c r="C12" s="163">
        <v>500</v>
      </c>
      <c r="D12" s="163">
        <v>400</v>
      </c>
      <c r="E12" s="163">
        <v>0</v>
      </c>
      <c r="F12" s="160">
        <f t="shared" si="1"/>
        <v>3028</v>
      </c>
      <c r="G12" s="159">
        <f t="shared" si="2"/>
        <v>3428</v>
      </c>
      <c r="H12" s="53">
        <f t="shared" si="3"/>
        <v>3928</v>
      </c>
      <c r="I12" s="50">
        <f t="shared" si="0"/>
        <v>3428</v>
      </c>
    </row>
    <row r="13" spans="1:9" x14ac:dyDescent="0.25">
      <c r="A13" s="135">
        <f>'Fechamento fiscal'!B16</f>
        <v>44358</v>
      </c>
      <c r="B13" s="163">
        <v>4034</v>
      </c>
      <c r="C13" s="163">
        <v>500</v>
      </c>
      <c r="D13" s="163">
        <v>400</v>
      </c>
      <c r="E13" s="163">
        <v>0</v>
      </c>
      <c r="F13" s="160">
        <f t="shared" si="1"/>
        <v>3134</v>
      </c>
      <c r="G13" s="159">
        <f t="shared" si="2"/>
        <v>3534</v>
      </c>
      <c r="H13" s="159">
        <f t="shared" si="3"/>
        <v>4034</v>
      </c>
      <c r="I13" s="50">
        <f t="shared" si="0"/>
        <v>3534</v>
      </c>
    </row>
    <row r="14" spans="1:9" x14ac:dyDescent="0.25">
      <c r="A14" s="135">
        <f>'Fechamento fiscal'!B17</f>
        <v>44359</v>
      </c>
      <c r="B14" s="163">
        <v>4765</v>
      </c>
      <c r="C14" s="163">
        <v>500</v>
      </c>
      <c r="D14" s="163">
        <v>400</v>
      </c>
      <c r="E14" s="163">
        <v>0</v>
      </c>
      <c r="F14" s="160">
        <f t="shared" si="1"/>
        <v>3865</v>
      </c>
      <c r="G14" s="159">
        <f t="shared" si="2"/>
        <v>4265</v>
      </c>
      <c r="H14" s="53">
        <f t="shared" si="3"/>
        <v>4765</v>
      </c>
      <c r="I14" s="50">
        <f t="shared" si="0"/>
        <v>4265</v>
      </c>
    </row>
    <row r="15" spans="1:9" x14ac:dyDescent="0.25">
      <c r="A15" s="135">
        <f>'Fechamento fiscal'!B18</f>
        <v>44360</v>
      </c>
      <c r="B15" s="163">
        <v>4263</v>
      </c>
      <c r="C15" s="163">
        <v>500</v>
      </c>
      <c r="D15" s="163">
        <v>400</v>
      </c>
      <c r="E15" s="163">
        <v>0</v>
      </c>
      <c r="F15" s="160">
        <f t="shared" si="1"/>
        <v>3363</v>
      </c>
      <c r="G15" s="159">
        <f t="shared" si="2"/>
        <v>3763</v>
      </c>
      <c r="H15" s="159">
        <f t="shared" si="3"/>
        <v>4263</v>
      </c>
      <c r="I15" s="50">
        <f t="shared" si="0"/>
        <v>3763</v>
      </c>
    </row>
    <row r="16" spans="1:9" x14ac:dyDescent="0.25">
      <c r="A16" s="135">
        <f>'Fechamento fiscal'!B19</f>
        <v>44361</v>
      </c>
      <c r="B16" s="163">
        <v>4662</v>
      </c>
      <c r="C16" s="163">
        <v>500</v>
      </c>
      <c r="D16" s="163">
        <v>400</v>
      </c>
      <c r="E16" s="163">
        <v>0</v>
      </c>
      <c r="F16" s="160">
        <f t="shared" si="1"/>
        <v>3762</v>
      </c>
      <c r="G16" s="159">
        <f t="shared" si="2"/>
        <v>4162</v>
      </c>
      <c r="H16" s="53">
        <f t="shared" si="3"/>
        <v>4662</v>
      </c>
      <c r="I16" s="50">
        <f t="shared" si="0"/>
        <v>4162</v>
      </c>
    </row>
    <row r="17" spans="1:9" x14ac:dyDescent="0.25">
      <c r="A17" s="135">
        <f>'Fechamento fiscal'!B20</f>
        <v>44362</v>
      </c>
      <c r="B17" s="163">
        <v>4756</v>
      </c>
      <c r="C17" s="163">
        <v>500</v>
      </c>
      <c r="D17" s="163">
        <v>400</v>
      </c>
      <c r="E17" s="163">
        <v>0</v>
      </c>
      <c r="F17" s="160">
        <f t="shared" si="1"/>
        <v>3856</v>
      </c>
      <c r="G17" s="159">
        <f t="shared" si="2"/>
        <v>4256</v>
      </c>
      <c r="H17" s="159">
        <f t="shared" si="3"/>
        <v>4756</v>
      </c>
      <c r="I17" s="50">
        <f t="shared" si="0"/>
        <v>4256</v>
      </c>
    </row>
    <row r="18" spans="1:9" x14ac:dyDescent="0.25">
      <c r="A18" s="135">
        <f>'Fechamento fiscal'!B21</f>
        <v>44363</v>
      </c>
      <c r="B18" s="163">
        <v>4598</v>
      </c>
      <c r="C18" s="163">
        <v>500</v>
      </c>
      <c r="D18" s="163">
        <v>400</v>
      </c>
      <c r="E18" s="163">
        <v>0</v>
      </c>
      <c r="F18" s="160">
        <f t="shared" si="1"/>
        <v>3698</v>
      </c>
      <c r="G18" s="159">
        <f t="shared" si="2"/>
        <v>4098</v>
      </c>
      <c r="H18" s="53">
        <f t="shared" si="3"/>
        <v>4598</v>
      </c>
      <c r="I18" s="50">
        <f t="shared" si="0"/>
        <v>4098</v>
      </c>
    </row>
    <row r="19" spans="1:9" x14ac:dyDescent="0.25">
      <c r="A19" s="135">
        <f>'Fechamento fiscal'!B22</f>
        <v>44364</v>
      </c>
      <c r="B19" s="163">
        <v>4736</v>
      </c>
      <c r="C19" s="163">
        <v>500</v>
      </c>
      <c r="D19" s="163">
        <v>400</v>
      </c>
      <c r="E19" s="163">
        <v>0</v>
      </c>
      <c r="F19" s="160">
        <f t="shared" si="1"/>
        <v>3836</v>
      </c>
      <c r="G19" s="159">
        <f t="shared" si="2"/>
        <v>4236</v>
      </c>
      <c r="H19" s="159">
        <f t="shared" si="3"/>
        <v>4736</v>
      </c>
      <c r="I19" s="50">
        <f t="shared" si="0"/>
        <v>4236</v>
      </c>
    </row>
    <row r="20" spans="1:9" x14ac:dyDescent="0.25">
      <c r="A20" s="135">
        <f>'Fechamento fiscal'!B23</f>
        <v>44365</v>
      </c>
      <c r="B20" s="163">
        <v>4750</v>
      </c>
      <c r="C20" s="163">
        <v>500</v>
      </c>
      <c r="D20" s="163">
        <v>400</v>
      </c>
      <c r="E20" s="163">
        <v>0</v>
      </c>
      <c r="F20" s="160">
        <f t="shared" si="1"/>
        <v>3850</v>
      </c>
      <c r="G20" s="159">
        <f t="shared" si="2"/>
        <v>4250</v>
      </c>
      <c r="H20" s="53">
        <f t="shared" si="3"/>
        <v>4750</v>
      </c>
      <c r="I20" s="50">
        <f t="shared" si="0"/>
        <v>4250</v>
      </c>
    </row>
    <row r="21" spans="1:9" x14ac:dyDescent="0.25">
      <c r="A21" s="135">
        <f>'Fechamento fiscal'!B24</f>
        <v>44366</v>
      </c>
      <c r="B21" s="163">
        <v>4513</v>
      </c>
      <c r="C21" s="163">
        <v>500</v>
      </c>
      <c r="D21" s="163">
        <v>400</v>
      </c>
      <c r="E21" s="163">
        <v>0</v>
      </c>
      <c r="F21" s="160">
        <f t="shared" si="1"/>
        <v>3613</v>
      </c>
      <c r="G21" s="159">
        <f t="shared" si="2"/>
        <v>4013</v>
      </c>
      <c r="H21" s="159">
        <f t="shared" si="3"/>
        <v>4513</v>
      </c>
      <c r="I21" s="50">
        <f t="shared" si="0"/>
        <v>4013</v>
      </c>
    </row>
    <row r="22" spans="1:9" x14ac:dyDescent="0.25">
      <c r="A22" s="135">
        <f>'Fechamento fiscal'!B25</f>
        <v>44367</v>
      </c>
      <c r="B22" s="163">
        <v>4442</v>
      </c>
      <c r="C22" s="163">
        <v>500</v>
      </c>
      <c r="D22" s="163">
        <v>400</v>
      </c>
      <c r="E22" s="163">
        <v>0</v>
      </c>
      <c r="F22" s="160">
        <f t="shared" si="1"/>
        <v>3542</v>
      </c>
      <c r="G22" s="159">
        <f t="shared" si="2"/>
        <v>3942</v>
      </c>
      <c r="H22" s="53">
        <f t="shared" si="3"/>
        <v>4442</v>
      </c>
      <c r="I22" s="50">
        <f t="shared" si="0"/>
        <v>3942</v>
      </c>
    </row>
    <row r="23" spans="1:9" x14ac:dyDescent="0.25">
      <c r="A23" s="135">
        <f>'Fechamento fiscal'!B26</f>
        <v>44368</v>
      </c>
      <c r="B23" s="163">
        <v>4180</v>
      </c>
      <c r="C23" s="163">
        <v>500</v>
      </c>
      <c r="D23" s="163">
        <v>400</v>
      </c>
      <c r="E23" s="163">
        <v>0</v>
      </c>
      <c r="F23" s="160">
        <f t="shared" si="1"/>
        <v>3280</v>
      </c>
      <c r="G23" s="159">
        <f t="shared" si="2"/>
        <v>3680</v>
      </c>
      <c r="H23" s="159">
        <f t="shared" si="3"/>
        <v>4180</v>
      </c>
      <c r="I23" s="50">
        <f t="shared" si="0"/>
        <v>3680</v>
      </c>
    </row>
    <row r="24" spans="1:9" x14ac:dyDescent="0.25">
      <c r="A24" s="135">
        <f>'Fechamento fiscal'!B27</f>
        <v>44369</v>
      </c>
      <c r="B24" s="163">
        <v>4707</v>
      </c>
      <c r="C24" s="163">
        <v>500</v>
      </c>
      <c r="D24" s="163">
        <v>400</v>
      </c>
      <c r="E24" s="163">
        <v>0</v>
      </c>
      <c r="F24" s="160">
        <f t="shared" si="1"/>
        <v>3807</v>
      </c>
      <c r="G24" s="159">
        <f t="shared" si="2"/>
        <v>4207</v>
      </c>
      <c r="H24" s="53">
        <f t="shared" si="3"/>
        <v>4707</v>
      </c>
      <c r="I24" s="50">
        <f t="shared" si="0"/>
        <v>4207</v>
      </c>
    </row>
    <row r="25" spans="1:9" x14ac:dyDescent="0.25">
      <c r="A25" s="135">
        <f>'Fechamento fiscal'!B28</f>
        <v>44370</v>
      </c>
      <c r="B25" s="163">
        <v>2112</v>
      </c>
      <c r="C25" s="163">
        <v>500</v>
      </c>
      <c r="D25" s="163">
        <v>400</v>
      </c>
      <c r="E25" s="163">
        <v>0</v>
      </c>
      <c r="F25" s="160">
        <f t="shared" si="1"/>
        <v>1212</v>
      </c>
      <c r="G25" s="159">
        <f t="shared" si="2"/>
        <v>1612</v>
      </c>
      <c r="H25" s="159">
        <f t="shared" si="3"/>
        <v>2112</v>
      </c>
      <c r="I25" s="50">
        <f t="shared" si="0"/>
        <v>1612</v>
      </c>
    </row>
    <row r="26" spans="1:9" x14ac:dyDescent="0.25">
      <c r="A26" s="135">
        <f>'Fechamento fiscal'!B29</f>
        <v>44371</v>
      </c>
      <c r="B26" s="163">
        <v>2376</v>
      </c>
      <c r="C26" s="163">
        <v>500</v>
      </c>
      <c r="D26" s="163">
        <v>400</v>
      </c>
      <c r="E26" s="163">
        <v>0</v>
      </c>
      <c r="F26" s="160">
        <f t="shared" si="1"/>
        <v>1476</v>
      </c>
      <c r="G26" s="159">
        <f t="shared" si="2"/>
        <v>1876</v>
      </c>
      <c r="H26" s="53">
        <f t="shared" si="3"/>
        <v>2376</v>
      </c>
      <c r="I26" s="50">
        <f t="shared" si="0"/>
        <v>1876</v>
      </c>
    </row>
    <row r="27" spans="1:9" x14ac:dyDescent="0.25">
      <c r="A27" s="135">
        <f>'Fechamento fiscal'!B30</f>
        <v>44372</v>
      </c>
      <c r="B27" s="163">
        <v>4757</v>
      </c>
      <c r="C27" s="163">
        <v>500</v>
      </c>
      <c r="D27" s="163">
        <v>400</v>
      </c>
      <c r="E27" s="163">
        <v>0</v>
      </c>
      <c r="F27" s="160">
        <f t="shared" si="1"/>
        <v>3857</v>
      </c>
      <c r="G27" s="159">
        <f t="shared" si="2"/>
        <v>4257</v>
      </c>
      <c r="H27" s="159">
        <f t="shared" si="3"/>
        <v>4757</v>
      </c>
      <c r="I27" s="50">
        <f t="shared" si="0"/>
        <v>4257</v>
      </c>
    </row>
    <row r="28" spans="1:9" x14ac:dyDescent="0.25">
      <c r="A28" s="135">
        <f>'Fechamento fiscal'!B31</f>
        <v>44373</v>
      </c>
      <c r="B28" s="163">
        <v>4698</v>
      </c>
      <c r="C28" s="163">
        <v>500</v>
      </c>
      <c r="D28" s="163">
        <v>400</v>
      </c>
      <c r="E28" s="163">
        <v>0</v>
      </c>
      <c r="F28" s="160">
        <f t="shared" si="1"/>
        <v>3798</v>
      </c>
      <c r="G28" s="159">
        <f t="shared" si="2"/>
        <v>4198</v>
      </c>
      <c r="H28" s="53">
        <f t="shared" si="3"/>
        <v>4698</v>
      </c>
      <c r="I28" s="50">
        <f t="shared" si="0"/>
        <v>4198</v>
      </c>
    </row>
    <row r="29" spans="1:9" x14ac:dyDescent="0.25">
      <c r="A29" s="135">
        <f>'Fechamento fiscal'!B32</f>
        <v>44374</v>
      </c>
      <c r="B29" s="163">
        <v>4776</v>
      </c>
      <c r="C29" s="163">
        <v>500</v>
      </c>
      <c r="D29" s="163">
        <v>400</v>
      </c>
      <c r="E29" s="163">
        <v>0</v>
      </c>
      <c r="F29" s="160">
        <f t="shared" si="1"/>
        <v>3876</v>
      </c>
      <c r="G29" s="159">
        <f t="shared" si="2"/>
        <v>4276</v>
      </c>
      <c r="H29" s="159">
        <f t="shared" si="3"/>
        <v>4776</v>
      </c>
      <c r="I29" s="50">
        <f t="shared" si="0"/>
        <v>4276</v>
      </c>
    </row>
    <row r="30" spans="1:9" x14ac:dyDescent="0.25">
      <c r="A30" s="135">
        <f>'Fechamento fiscal'!B33</f>
        <v>44375</v>
      </c>
      <c r="B30" s="163">
        <v>4210</v>
      </c>
      <c r="C30" s="163">
        <v>500</v>
      </c>
      <c r="D30" s="163">
        <v>400</v>
      </c>
      <c r="E30" s="163">
        <v>0</v>
      </c>
      <c r="F30" s="160">
        <f t="shared" si="1"/>
        <v>3310</v>
      </c>
      <c r="G30" s="159">
        <f t="shared" si="2"/>
        <v>3710</v>
      </c>
      <c r="H30" s="53">
        <f t="shared" si="3"/>
        <v>4210</v>
      </c>
      <c r="I30" s="50">
        <f t="shared" si="0"/>
        <v>3710</v>
      </c>
    </row>
    <row r="31" spans="1:9" x14ac:dyDescent="0.25">
      <c r="A31" s="135">
        <f>'Fechamento fiscal'!B34</f>
        <v>44376</v>
      </c>
      <c r="B31" s="163">
        <v>4637</v>
      </c>
      <c r="C31" s="163">
        <v>500</v>
      </c>
      <c r="D31" s="163">
        <v>400</v>
      </c>
      <c r="E31" s="163">
        <v>0</v>
      </c>
      <c r="F31" s="160">
        <f t="shared" si="1"/>
        <v>3737</v>
      </c>
      <c r="G31" s="159">
        <f t="shared" si="2"/>
        <v>4137</v>
      </c>
      <c r="H31" s="159">
        <f t="shared" si="3"/>
        <v>4637</v>
      </c>
      <c r="I31" s="50">
        <f t="shared" si="0"/>
        <v>4137</v>
      </c>
    </row>
    <row r="32" spans="1:9" x14ac:dyDescent="0.25">
      <c r="A32" s="135">
        <f>'Fechamento fiscal'!B35</f>
        <v>44377</v>
      </c>
      <c r="B32" s="163">
        <v>4557</v>
      </c>
      <c r="C32" s="163">
        <v>500</v>
      </c>
      <c r="D32" s="163">
        <v>400</v>
      </c>
      <c r="E32" s="163">
        <v>0</v>
      </c>
      <c r="F32" s="160">
        <f t="shared" si="1"/>
        <v>3657</v>
      </c>
      <c r="G32" s="159">
        <f t="shared" si="2"/>
        <v>4057</v>
      </c>
      <c r="H32" s="53">
        <f t="shared" si="3"/>
        <v>4557</v>
      </c>
      <c r="I32" s="50">
        <f t="shared" si="0"/>
        <v>4057</v>
      </c>
    </row>
    <row r="33" spans="1:9" x14ac:dyDescent="0.25">
      <c r="A33" s="135"/>
      <c r="B33" s="163"/>
      <c r="C33" s="163"/>
      <c r="D33" s="163"/>
      <c r="E33" s="163"/>
      <c r="F33" s="160">
        <f t="shared" si="1"/>
        <v>0</v>
      </c>
      <c r="G33" s="159" t="str">
        <f t="shared" si="2"/>
        <v/>
      </c>
      <c r="H33" s="159">
        <f t="shared" si="3"/>
        <v>0</v>
      </c>
      <c r="I33" s="50">
        <f t="shared" si="0"/>
        <v>0</v>
      </c>
    </row>
    <row r="34" spans="1:9" x14ac:dyDescent="0.25">
      <c r="A34" s="162" t="s">
        <v>143</v>
      </c>
      <c r="B34" s="161">
        <f>SUM(B3:B33)</f>
        <v>130143</v>
      </c>
      <c r="C34" s="161">
        <f>SUM(C3:C33)</f>
        <v>15000</v>
      </c>
      <c r="D34" s="161">
        <f t="shared" ref="D34:H34" si="4">SUM(D3:D33)</f>
        <v>12000</v>
      </c>
      <c r="E34" s="161">
        <f t="shared" si="4"/>
        <v>0</v>
      </c>
      <c r="F34" s="161">
        <f t="shared" si="4"/>
        <v>103143</v>
      </c>
      <c r="G34" s="161">
        <f t="shared" si="4"/>
        <v>115143</v>
      </c>
      <c r="H34" s="161">
        <f t="shared" si="4"/>
        <v>130143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2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B2:D65"/>
  <sheetViews>
    <sheetView workbookViewId="0">
      <selection activeCell="H10" sqref="H10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44347</v>
      </c>
      <c r="C3" s="3">
        <f>'Fechamento fiscal'!AE5</f>
        <v>26</v>
      </c>
      <c r="D3" s="2">
        <f>'Fechamento fiscal'!U5</f>
        <v>0.88800000000000001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44348</v>
      </c>
      <c r="C5" s="3">
        <f>'Fechamento fiscal'!AE6</f>
        <v>25.5</v>
      </c>
      <c r="D5" s="2">
        <f>'Fechamento fiscal'!U6</f>
        <v>0.88600000000000001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44349</v>
      </c>
      <c r="C7" s="3">
        <f>'Fechamento fiscal'!AE7</f>
        <v>25.5</v>
      </c>
      <c r="D7" s="2">
        <f>'Fechamento fiscal'!U7</f>
        <v>0.88600000000000001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44350</v>
      </c>
      <c r="C9" s="3">
        <f>'Fechamento fiscal'!AE8</f>
        <v>25</v>
      </c>
      <c r="D9" s="2">
        <f>'Fechamento fiscal'!U8</f>
        <v>0.88500000000000001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44351</v>
      </c>
      <c r="C11" s="3">
        <f>'Fechamento fiscal'!AE9</f>
        <v>25</v>
      </c>
      <c r="D11" s="2">
        <f>'Fechamento fiscal'!U9</f>
        <v>0.88600000000000001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44352</v>
      </c>
      <c r="C13" s="3">
        <f>'Fechamento fiscal'!AE10</f>
        <v>25</v>
      </c>
      <c r="D13" s="2">
        <f>'Fechamento fiscal'!U10</f>
        <v>0.88600000000000001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44353</v>
      </c>
      <c r="C15" s="3">
        <f>'Fechamento fiscal'!AE11</f>
        <v>25</v>
      </c>
      <c r="D15" s="2">
        <f>'Fechamento fiscal'!U11</f>
        <v>0.88400000000000001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44354</v>
      </c>
      <c r="C17" s="3">
        <f>'Fechamento fiscal'!AE12</f>
        <v>25</v>
      </c>
      <c r="D17" s="2">
        <f>'Fechamento fiscal'!U12</f>
        <v>0.88400000000000001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44355</v>
      </c>
      <c r="C19" s="3">
        <f>'Fechamento fiscal'!AE13</f>
        <v>25</v>
      </c>
      <c r="D19" s="2">
        <f>'Fechamento fiscal'!U13</f>
        <v>0.88400000000000001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44356</v>
      </c>
      <c r="C21" s="3">
        <f>'Fechamento fiscal'!AE14</f>
        <v>25</v>
      </c>
      <c r="D21" s="2">
        <f>'Fechamento fiscal'!U14</f>
        <v>0.88600000000000001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44357</v>
      </c>
      <c r="C23" s="3">
        <f>'Fechamento fiscal'!AE15</f>
        <v>25</v>
      </c>
      <c r="D23" s="2">
        <f>'Fechamento fiscal'!U15</f>
        <v>0.89100000000000001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44358</v>
      </c>
      <c r="C25" s="3">
        <f>'Fechamento fiscal'!AE16</f>
        <v>25</v>
      </c>
      <c r="D25" s="2">
        <f>'Fechamento fiscal'!U16</f>
        <v>0.89200000000000002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44359</v>
      </c>
      <c r="C27" s="3">
        <f>'Fechamento fiscal'!AE17</f>
        <v>25</v>
      </c>
      <c r="D27" s="2">
        <f>'Fechamento fiscal'!U17</f>
        <v>0.89100000000000001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44360</v>
      </c>
      <c r="C29" s="3">
        <f>'Fechamento fiscal'!AE18</f>
        <v>25</v>
      </c>
      <c r="D29" s="2">
        <f>'Fechamento fiscal'!U18</f>
        <v>0.89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44361</v>
      </c>
      <c r="C31" s="3">
        <f>'Fechamento fiscal'!AE19</f>
        <v>25</v>
      </c>
      <c r="D31" s="2">
        <f>'Fechamento fiscal'!U19</f>
        <v>0.89100000000000001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44362</v>
      </c>
      <c r="C33" s="3">
        <f>'Fechamento fiscal'!AE20</f>
        <v>25</v>
      </c>
      <c r="D33" s="2">
        <f>'Fechamento fiscal'!U20</f>
        <v>0.89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44363</v>
      </c>
      <c r="C35" s="3">
        <f>'Fechamento fiscal'!AE21</f>
        <v>25</v>
      </c>
      <c r="D35" s="2">
        <f>'Fechamento fiscal'!U21</f>
        <v>0.88800000000000001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44364</v>
      </c>
      <c r="C37" s="3">
        <f>'Fechamento fiscal'!AE22</f>
        <v>25</v>
      </c>
      <c r="D37" s="2">
        <f>'Fechamento fiscal'!U22</f>
        <v>0.88800000000000001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44365</v>
      </c>
      <c r="C39" s="3">
        <f>'Fechamento fiscal'!AE23</f>
        <v>25</v>
      </c>
      <c r="D39" s="2">
        <f>'Fechamento fiscal'!U23</f>
        <v>0.88800000000000001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44366</v>
      </c>
      <c r="C41" s="3">
        <f>'Fechamento fiscal'!AE24</f>
        <v>25</v>
      </c>
      <c r="D41" s="2">
        <f>'Fechamento fiscal'!U24</f>
        <v>0.876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44367</v>
      </c>
      <c r="C43" s="3">
        <f>'Fechamento fiscal'!AE25</f>
        <v>25</v>
      </c>
      <c r="D43" s="2">
        <f>'Fechamento fiscal'!U25</f>
        <v>0.877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44368</v>
      </c>
      <c r="C45" s="3">
        <f>'Fechamento fiscal'!AE26</f>
        <v>25</v>
      </c>
      <c r="D45" s="2">
        <f>'Fechamento fiscal'!U26</f>
        <v>0.877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44369</v>
      </c>
      <c r="C47" s="3">
        <f>'Fechamento fiscal'!AE27</f>
        <v>25</v>
      </c>
      <c r="D47" s="2">
        <f>'Fechamento fiscal'!U27</f>
        <v>0.877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44370</v>
      </c>
      <c r="C49" s="3">
        <f>'Fechamento fiscal'!AE28</f>
        <v>25</v>
      </c>
      <c r="D49" s="2">
        <f>'Fechamento fiscal'!U28</f>
        <v>0.877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44371</v>
      </c>
      <c r="C51" s="3">
        <f>'Fechamento fiscal'!AE29</f>
        <v>25</v>
      </c>
      <c r="D51" s="2">
        <f>'Fechamento fiscal'!U29</f>
        <v>0.877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44372</v>
      </c>
      <c r="C53" s="3">
        <f>'Fechamento fiscal'!AE30</f>
        <v>25</v>
      </c>
      <c r="D53" s="2">
        <f>'Fechamento fiscal'!U30</f>
        <v>0.877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44373</v>
      </c>
      <c r="C55" s="3">
        <f>'Fechamento fiscal'!AE31</f>
        <v>25</v>
      </c>
      <c r="D55" s="2">
        <f>'Fechamento fiscal'!U31</f>
        <v>0.877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44374</v>
      </c>
      <c r="C57" s="3">
        <f>'Fechamento fiscal'!AE32</f>
        <v>25</v>
      </c>
      <c r="D57" s="2">
        <f>'Fechamento fiscal'!U32</f>
        <v>0.878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44375</v>
      </c>
      <c r="C59" s="3">
        <f>'Fechamento fiscal'!AE33</f>
        <v>25</v>
      </c>
      <c r="D59" s="2">
        <f>'Fechamento fiscal'!U33</f>
        <v>0.878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44376</v>
      </c>
      <c r="C61" s="3">
        <f>'Fechamento fiscal'!AE34</f>
        <v>25</v>
      </c>
      <c r="D61" s="2">
        <f>'Fechamento fiscal'!U34</f>
        <v>0.878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44377</v>
      </c>
      <c r="C63" s="3">
        <f>'Fechamento fiscal'!AE35</f>
        <v>25</v>
      </c>
      <c r="D63" s="2">
        <f>'Fechamento fiscal'!U35</f>
        <v>0.88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44378</v>
      </c>
      <c r="C65" s="3" t="str">
        <f>'Fechamento fiscal'!AE36</f>
        <v/>
      </c>
      <c r="D65" s="2">
        <f>'Fechamento fiscal'!U36</f>
        <v>1.054</v>
      </c>
    </row>
  </sheetData>
  <sheetProtection algorithmName="SHA-512" hashValue="lND4KKyFbhvEsA9fbZfMRsnLwfZjQPA/iUKo68n7oZjFndCv/Uf5AJrBvf+3xEUZm5w6NWn7R/4M3Z2rpy4w8A==" saltValue="ksEBvtKpa/7fc0uADI/Id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88" t="s">
        <v>132</v>
      </c>
      <c r="C2" s="188"/>
      <c r="F2" s="189" t="s">
        <v>132</v>
      </c>
      <c r="G2" s="189"/>
      <c r="H2" s="189"/>
      <c r="I2" s="189"/>
      <c r="J2" s="189" t="s">
        <v>23</v>
      </c>
      <c r="K2" s="189"/>
      <c r="L2" s="189"/>
    </row>
    <row r="3" spans="2:30" ht="15.75" thickBot="1" x14ac:dyDescent="0.3">
      <c r="B3" s="6" t="s">
        <v>2</v>
      </c>
      <c r="C3" t="s">
        <v>3</v>
      </c>
      <c r="D3" s="188" t="s">
        <v>101</v>
      </c>
      <c r="E3" s="188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7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7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7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7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7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7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7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7"/>
      <c r="E13" s="167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7"/>
      <c r="E14" s="167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7"/>
      <c r="E15" s="167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7"/>
      <c r="E16" s="167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7"/>
      <c r="E17" s="167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7"/>
      <c r="E18" s="167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7"/>
      <c r="E19" s="167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7"/>
      <c r="E20" s="167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7"/>
      <c r="E21" s="167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7"/>
      <c r="E22" s="167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7"/>
      <c r="E23" s="167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7"/>
      <c r="E24" s="167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7"/>
      <c r="E25" s="167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7"/>
      <c r="E26" s="167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7"/>
      <c r="E27" s="167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7"/>
      <c r="E28" s="167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7"/>
      <c r="E29" s="167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7"/>
      <c r="E30" s="167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7"/>
      <c r="E31" s="167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7"/>
      <c r="E32" s="167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7"/>
      <c r="E33" s="167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7"/>
      <c r="E34" s="167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7"/>
      <c r="E35" s="167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7"/>
      <c r="E36" s="167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7"/>
      <c r="E37" s="167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7"/>
      <c r="E38" s="167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7"/>
      <c r="E39" s="167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7"/>
      <c r="E40" s="167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7"/>
      <c r="E41" s="167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7"/>
      <c r="E42" s="167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7"/>
      <c r="E43" s="167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7"/>
      <c r="E44" s="167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7"/>
      <c r="E45" s="167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7"/>
      <c r="E46" s="167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7"/>
      <c r="E47" s="167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7"/>
      <c r="E48" s="167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7"/>
      <c r="E49" s="167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7"/>
      <c r="E50" s="167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7"/>
      <c r="E51" s="167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7"/>
      <c r="E52" s="167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7"/>
      <c r="E53" s="167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7"/>
      <c r="E54" s="167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7"/>
      <c r="E55" s="167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7"/>
      <c r="E56" s="167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7"/>
      <c r="E57" s="167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7"/>
      <c r="E58" s="167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7"/>
      <c r="E59" s="167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7"/>
      <c r="E60" s="167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7"/>
      <c r="E61" s="167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7"/>
      <c r="E62" s="167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7"/>
      <c r="E63" s="167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7"/>
      <c r="E64" s="167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7"/>
      <c r="E65" s="167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7"/>
      <c r="E66" s="167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7"/>
      <c r="E67" s="167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7"/>
      <c r="E68" s="167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7"/>
      <c r="E69" s="167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7"/>
      <c r="E70" s="167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7"/>
      <c r="E71" s="167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7"/>
      <c r="E72" s="167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7"/>
      <c r="E73" s="167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7"/>
      <c r="E74" s="167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7"/>
      <c r="E75" s="167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7"/>
      <c r="E76" s="167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7"/>
      <c r="E77" s="167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7"/>
      <c r="E78" s="167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7"/>
      <c r="E79" s="167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7"/>
      <c r="E80" s="167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7"/>
      <c r="E81" s="167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7"/>
      <c r="E82" s="167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7"/>
      <c r="E83" s="167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7"/>
      <c r="E84" s="167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7"/>
      <c r="E85" s="167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7"/>
      <c r="E86" s="167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7"/>
      <c r="E87" s="167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7"/>
      <c r="E88" s="167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7"/>
      <c r="E89" s="167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7"/>
      <c r="E90" s="167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7"/>
      <c r="E91" s="167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7"/>
      <c r="E92" s="167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7"/>
      <c r="E93" s="167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7"/>
      <c r="E94" s="167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7"/>
      <c r="E95" s="167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7"/>
      <c r="E96" s="167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7"/>
      <c r="E97" s="167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7"/>
      <c r="E98" s="167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7"/>
      <c r="E99" s="167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7"/>
      <c r="E100" s="167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7"/>
      <c r="E101" s="167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7"/>
      <c r="E102" s="167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7"/>
      <c r="E103" s="167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7"/>
      <c r="E104" s="167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7"/>
      <c r="E105" s="167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7"/>
      <c r="E106" s="167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7"/>
      <c r="E107" s="167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7"/>
      <c r="E108" s="167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7"/>
      <c r="E109" s="167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7"/>
      <c r="E110" s="167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7"/>
      <c r="E111" s="167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7"/>
      <c r="E112" s="167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7"/>
      <c r="E113" s="167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7"/>
      <c r="E114" s="167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7"/>
      <c r="E115" s="167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7"/>
      <c r="E116" s="167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7"/>
      <c r="E117" s="167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7"/>
      <c r="E118" s="167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7"/>
      <c r="E119" s="167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7"/>
      <c r="E120" s="167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7"/>
      <c r="E121" s="167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7"/>
      <c r="E122" s="167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7"/>
      <c r="E123" s="167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7"/>
      <c r="E124" s="167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7"/>
      <c r="E125" s="167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7"/>
      <c r="E126" s="167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7"/>
      <c r="E127" s="167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7"/>
      <c r="E128" s="167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7"/>
      <c r="E129" s="167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7"/>
      <c r="E130" s="167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7"/>
      <c r="E131" s="167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7"/>
      <c r="E132" s="167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7"/>
      <c r="E133" s="167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7"/>
      <c r="E134" s="167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7"/>
      <c r="E135" s="167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7"/>
      <c r="E136" s="167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7"/>
      <c r="E137" s="167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7"/>
      <c r="E138" s="167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7"/>
      <c r="E139" s="167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7"/>
      <c r="E140" s="167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7"/>
      <c r="E141" s="167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7"/>
      <c r="E142" s="167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7"/>
      <c r="E143" s="167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7"/>
      <c r="E144" s="167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7"/>
      <c r="E145" s="167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7"/>
      <c r="E146" s="167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7"/>
      <c r="E147" s="167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7"/>
      <c r="E148" s="167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7"/>
      <c r="E149" s="167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7"/>
      <c r="E150" s="167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7"/>
      <c r="E151" s="167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7"/>
      <c r="E152" s="167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7"/>
      <c r="E153" s="167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7"/>
      <c r="E154" s="167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7"/>
      <c r="E155" s="167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7"/>
      <c r="E156" s="167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7"/>
      <c r="E157" s="167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7"/>
      <c r="E158" s="167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7"/>
      <c r="E159" s="167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7"/>
      <c r="E160" s="167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7"/>
      <c r="E161" s="167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7"/>
      <c r="E162" s="167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7"/>
      <c r="E163" s="167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7"/>
      <c r="E164" s="167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7"/>
      <c r="E165" s="167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7"/>
      <c r="E166" s="167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7"/>
      <c r="E167" s="167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7"/>
      <c r="E168" s="167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7"/>
      <c r="E169" s="167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7"/>
      <c r="E170" s="167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7"/>
      <c r="E171" s="167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7"/>
      <c r="E172" s="167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7"/>
      <c r="E173" s="167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7"/>
      <c r="E174" s="167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7"/>
      <c r="E175" s="167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7"/>
      <c r="E176" s="167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7"/>
      <c r="E177" s="167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7"/>
      <c r="E178" s="167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7"/>
      <c r="E179" s="167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7"/>
      <c r="E180" s="167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7"/>
      <c r="E181" s="167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7"/>
      <c r="E182" s="167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7"/>
      <c r="E183" s="167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7"/>
      <c r="E184" s="167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7"/>
      <c r="E185" s="167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7"/>
      <c r="E186" s="167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7"/>
      <c r="E187" s="167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7"/>
      <c r="E188" s="167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7"/>
      <c r="E189" s="167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7"/>
      <c r="E190" s="167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7"/>
      <c r="E191" s="167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7"/>
      <c r="E192" s="167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7"/>
      <c r="E193" s="167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7"/>
      <c r="E194" s="167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7"/>
      <c r="E195" s="167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7"/>
      <c r="E196" s="167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7"/>
      <c r="E197" s="167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7"/>
      <c r="E198" s="167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7"/>
      <c r="E199" s="167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7"/>
      <c r="E200" s="167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7"/>
      <c r="E201" s="167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7"/>
      <c r="E202" s="167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7"/>
      <c r="E203" s="167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7"/>
      <c r="E204" s="167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7"/>
      <c r="E205" s="167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7"/>
      <c r="E206" s="167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7"/>
      <c r="E207" s="167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7"/>
      <c r="E208" s="167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7"/>
      <c r="E209" s="167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7"/>
      <c r="E210" s="167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7"/>
      <c r="E211" s="167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7"/>
      <c r="E212" s="167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7"/>
      <c r="E213" s="167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7"/>
      <c r="E214" s="167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7"/>
      <c r="E215" s="167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7"/>
      <c r="E216" s="167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7"/>
      <c r="E217" s="167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7"/>
      <c r="E218" s="167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7"/>
      <c r="E219" s="167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7"/>
      <c r="E220" s="167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7"/>
      <c r="E221" s="167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7"/>
      <c r="E222" s="167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7"/>
      <c r="E223" s="167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7"/>
      <c r="E224" s="167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7"/>
      <c r="E225" s="167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7"/>
      <c r="E226" s="167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7"/>
      <c r="E227" s="167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7"/>
      <c r="E228" s="167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7"/>
      <c r="E229" s="167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7"/>
      <c r="E230" s="167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7"/>
      <c r="E231" s="167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7"/>
      <c r="E232" s="167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7"/>
      <c r="E233" s="167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7"/>
      <c r="E234" s="167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7"/>
      <c r="E235" s="167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7"/>
      <c r="E236" s="167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7"/>
      <c r="E237" s="167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7"/>
      <c r="E238" s="167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7"/>
      <c r="E239" s="167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7"/>
      <c r="E240" s="167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7"/>
      <c r="E241" s="167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7"/>
      <c r="E242" s="167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7"/>
      <c r="E243" s="167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7"/>
      <c r="E244" s="167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7"/>
      <c r="E245" s="167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7"/>
      <c r="E246" s="167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7"/>
      <c r="E247" s="167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7"/>
      <c r="E248" s="167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7"/>
      <c r="E249" s="167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7"/>
      <c r="E250" s="167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7"/>
      <c r="E251" s="167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7"/>
      <c r="E252" s="167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7"/>
      <c r="E253" s="167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7"/>
      <c r="E254" s="167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7"/>
      <c r="E255" s="167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7"/>
      <c r="E256" s="167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7"/>
      <c r="E257" s="167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7"/>
      <c r="E258" s="167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7"/>
      <c r="E259" s="167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7"/>
      <c r="E260" s="167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7"/>
      <c r="E261" s="167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7"/>
      <c r="E262" s="167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7"/>
      <c r="E263" s="167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7"/>
      <c r="E264" s="167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7"/>
      <c r="E265" s="167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7"/>
      <c r="E266" s="167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7"/>
      <c r="E267" s="167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7"/>
      <c r="E268" s="167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7"/>
      <c r="E269" s="167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7"/>
      <c r="E270" s="167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7"/>
      <c r="E271" s="167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7"/>
      <c r="E272" s="167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7"/>
      <c r="E273" s="167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7"/>
      <c r="E274" s="167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7"/>
      <c r="E275" s="167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7"/>
      <c r="E276" s="167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7"/>
      <c r="E277" s="167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7"/>
      <c r="E278" s="167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7"/>
      <c r="E279" s="167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7"/>
      <c r="E280" s="167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7"/>
      <c r="E281" s="167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7"/>
      <c r="E282" s="167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7"/>
      <c r="E283" s="167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7"/>
      <c r="E284" s="167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7"/>
      <c r="E285" s="167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7"/>
      <c r="E286" s="167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7"/>
      <c r="E287" s="167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7"/>
      <c r="E288" s="167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7"/>
      <c r="E289" s="167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7"/>
      <c r="E290" s="167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7"/>
      <c r="E291" s="167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7"/>
      <c r="E292" s="167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7"/>
      <c r="E293" s="167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7"/>
      <c r="E294" s="167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7"/>
      <c r="E295" s="167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7"/>
      <c r="E296" s="167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7"/>
      <c r="E297" s="167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7"/>
      <c r="E298" s="167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7"/>
      <c r="E299" s="167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7"/>
      <c r="E300" s="167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7"/>
      <c r="E301" s="167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7"/>
      <c r="E302" s="167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7"/>
      <c r="E303" s="167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7"/>
      <c r="E304" s="167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7"/>
      <c r="E305" s="167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7"/>
      <c r="E306" s="167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7"/>
      <c r="E307" s="167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7"/>
      <c r="E308" s="167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7"/>
      <c r="E309" s="167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7"/>
      <c r="E310" s="167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7"/>
      <c r="E311" s="167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7"/>
      <c r="E312" s="167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7"/>
      <c r="E313" s="167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7"/>
      <c r="E314" s="167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7"/>
      <c r="E315" s="167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7"/>
      <c r="E316" s="167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7"/>
      <c r="E317" s="167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7"/>
      <c r="E318" s="167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7"/>
      <c r="E319" s="167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7"/>
      <c r="E320" s="167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7"/>
      <c r="E321" s="167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7"/>
      <c r="E322" s="167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7"/>
      <c r="E323" s="167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7"/>
      <c r="E324" s="167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7"/>
      <c r="E325" s="167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7"/>
      <c r="E326" s="167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7"/>
      <c r="E327" s="167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7"/>
      <c r="E328" s="167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7"/>
      <c r="E329" s="167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7"/>
      <c r="E330" s="167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7"/>
      <c r="E331" s="167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7"/>
      <c r="E332" s="167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7"/>
      <c r="E333" s="167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7"/>
      <c r="E334" s="167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7"/>
      <c r="E335" s="167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7"/>
      <c r="E336" s="167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7"/>
      <c r="E337" s="167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7"/>
      <c r="E338" s="167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7"/>
      <c r="E339" s="167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7"/>
      <c r="E340" s="167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7"/>
      <c r="E341" s="167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7"/>
      <c r="E342" s="167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7"/>
      <c r="E343" s="167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7"/>
      <c r="E344" s="167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7"/>
      <c r="E345" s="167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7"/>
      <c r="E346" s="167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7"/>
      <c r="E347" s="167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7"/>
      <c r="E348" s="167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7"/>
      <c r="E349" s="167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7"/>
      <c r="E350" s="167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7"/>
      <c r="E351" s="167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7"/>
      <c r="E352" s="167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7"/>
      <c r="E353" s="167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7"/>
      <c r="E354" s="167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7"/>
      <c r="E355" s="167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7"/>
      <c r="E356" s="167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7"/>
      <c r="E357" s="167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7"/>
      <c r="E358" s="167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7"/>
      <c r="E359" s="167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7"/>
      <c r="E360" s="167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7"/>
      <c r="E361" s="167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7"/>
      <c r="E362" s="167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7"/>
      <c r="E363" s="167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7"/>
      <c r="E364" s="167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7"/>
      <c r="E365" s="167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7"/>
      <c r="E366" s="167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7"/>
      <c r="E367" s="167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7"/>
      <c r="E368" s="167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7"/>
      <c r="E369" s="167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7"/>
      <c r="E370" s="167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7"/>
      <c r="E371" s="167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7"/>
      <c r="E372" s="167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7"/>
      <c r="E373" s="167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7"/>
      <c r="E374" s="167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7"/>
      <c r="E375" s="167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7"/>
      <c r="E376" s="167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7"/>
      <c r="E377" s="167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7"/>
      <c r="E378" s="167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7"/>
      <c r="E379" s="167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7"/>
      <c r="E380" s="167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7"/>
      <c r="E381" s="167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7"/>
      <c r="E382" s="167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7"/>
      <c r="E383" s="167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7"/>
      <c r="E384" s="167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7"/>
      <c r="E385" s="167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7"/>
      <c r="E386" s="167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7"/>
      <c r="E387" s="167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7"/>
      <c r="E388" s="167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7"/>
      <c r="E389" s="167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7"/>
      <c r="E390" s="167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7"/>
      <c r="E391" s="167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7"/>
      <c r="E392" s="167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7"/>
      <c r="E393" s="167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7"/>
      <c r="E394" s="167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7"/>
      <c r="E395" s="167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7"/>
      <c r="E396" s="167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7"/>
      <c r="E397" s="167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7"/>
      <c r="E398" s="167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7"/>
      <c r="E399" s="167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7"/>
      <c r="E400" s="167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7"/>
      <c r="E401" s="167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7"/>
      <c r="E402" s="167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7"/>
      <c r="E403" s="167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7"/>
      <c r="E404" s="167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7"/>
      <c r="E405" s="167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7"/>
      <c r="E406" s="167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7"/>
      <c r="E407" s="167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7"/>
      <c r="E408" s="167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7"/>
      <c r="E409" s="167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7"/>
      <c r="E410" s="167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7"/>
      <c r="E411" s="167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7"/>
      <c r="E412" s="167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7"/>
      <c r="E413" s="167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7"/>
      <c r="E414" s="167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7"/>
      <c r="E415" s="167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7"/>
      <c r="E416" s="167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7"/>
      <c r="E417" s="167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7"/>
      <c r="E418" s="167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7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7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7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7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7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7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7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7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7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7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7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7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7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7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7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7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7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7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7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7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7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7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7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7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7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7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7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7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7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7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7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7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7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7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7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7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7"/>
      <c r="U455" s="32"/>
    </row>
    <row r="456" spans="2:21" x14ac:dyDescent="0.25">
      <c r="B456">
        <v>452</v>
      </c>
      <c r="C456" s="103">
        <v>303.77</v>
      </c>
      <c r="D456" s="167"/>
      <c r="U456" s="32"/>
    </row>
    <row r="457" spans="2:21" x14ac:dyDescent="0.25">
      <c r="B457">
        <v>453</v>
      </c>
      <c r="C457" s="103">
        <v>304.428</v>
      </c>
      <c r="D457" s="167"/>
      <c r="U457" s="32"/>
    </row>
    <row r="458" spans="2:21" x14ac:dyDescent="0.25">
      <c r="B458">
        <v>454</v>
      </c>
      <c r="C458" s="103">
        <v>305.08699999999999</v>
      </c>
      <c r="D458" s="167"/>
      <c r="U458" s="32"/>
    </row>
    <row r="459" spans="2:21" x14ac:dyDescent="0.25">
      <c r="B459">
        <v>455</v>
      </c>
      <c r="C459" s="103">
        <v>305.745</v>
      </c>
      <c r="D459" s="167"/>
      <c r="U459" s="32"/>
    </row>
    <row r="460" spans="2:21" x14ac:dyDescent="0.25">
      <c r="B460">
        <v>456</v>
      </c>
      <c r="C460" s="103">
        <v>306.40300000000002</v>
      </c>
      <c r="D460" s="167"/>
      <c r="U460" s="32"/>
    </row>
    <row r="461" spans="2:21" x14ac:dyDescent="0.25">
      <c r="B461">
        <v>457</v>
      </c>
      <c r="C461" s="103">
        <v>307.06099999999998</v>
      </c>
      <c r="D461" s="167"/>
      <c r="U461" s="32"/>
    </row>
    <row r="462" spans="2:21" x14ac:dyDescent="0.25">
      <c r="B462">
        <v>458</v>
      </c>
      <c r="C462" s="103">
        <v>307.71899999999999</v>
      </c>
      <c r="D462" s="167"/>
      <c r="U462" s="32"/>
    </row>
    <row r="463" spans="2:21" x14ac:dyDescent="0.25">
      <c r="B463">
        <v>459</v>
      </c>
      <c r="C463" s="103">
        <v>308.37700000000001</v>
      </c>
      <c r="D463" s="167"/>
    </row>
    <row r="464" spans="2:21" x14ac:dyDescent="0.25">
      <c r="B464">
        <v>460</v>
      </c>
      <c r="C464" s="103">
        <v>309.036</v>
      </c>
      <c r="D464" s="167"/>
    </row>
    <row r="465" spans="2:4" x14ac:dyDescent="0.25">
      <c r="B465">
        <v>461</v>
      </c>
      <c r="C465" s="103">
        <v>309.69400000000002</v>
      </c>
      <c r="D465" s="167"/>
    </row>
    <row r="466" spans="2:4" x14ac:dyDescent="0.25">
      <c r="B466">
        <v>462</v>
      </c>
      <c r="C466" s="103">
        <v>310.35199999999998</v>
      </c>
      <c r="D466" s="167"/>
    </row>
    <row r="467" spans="2:4" x14ac:dyDescent="0.25">
      <c r="B467">
        <v>463</v>
      </c>
      <c r="C467" s="103">
        <v>311.01100000000002</v>
      </c>
      <c r="D467" s="167"/>
    </row>
    <row r="468" spans="2:4" x14ac:dyDescent="0.25">
      <c r="B468">
        <v>464</v>
      </c>
      <c r="C468" s="103">
        <v>311.66899999999998</v>
      </c>
      <c r="D468" s="167"/>
    </row>
    <row r="469" spans="2:4" x14ac:dyDescent="0.25">
      <c r="B469">
        <v>465</v>
      </c>
      <c r="C469" s="103">
        <v>312.32799999999997</v>
      </c>
      <c r="D469" s="167"/>
    </row>
    <row r="470" spans="2:4" x14ac:dyDescent="0.25">
      <c r="B470">
        <v>466</v>
      </c>
      <c r="C470" s="103">
        <v>312.98599999999999</v>
      </c>
      <c r="D470" s="167"/>
    </row>
    <row r="471" spans="2:4" x14ac:dyDescent="0.25">
      <c r="B471">
        <v>467</v>
      </c>
      <c r="C471" s="103">
        <v>313.64400000000001</v>
      </c>
      <c r="D471" s="167"/>
    </row>
    <row r="472" spans="2:4" x14ac:dyDescent="0.25">
      <c r="B472">
        <v>468</v>
      </c>
      <c r="C472" s="103">
        <v>314.303</v>
      </c>
      <c r="D472" s="167"/>
    </row>
    <row r="473" spans="2:4" x14ac:dyDescent="0.25">
      <c r="B473">
        <v>469</v>
      </c>
      <c r="C473" s="103">
        <v>314.96100000000001</v>
      </c>
      <c r="D473" s="167"/>
    </row>
    <row r="474" spans="2:4" x14ac:dyDescent="0.25">
      <c r="B474">
        <v>470</v>
      </c>
      <c r="C474" s="103">
        <v>315.61900000000003</v>
      </c>
      <c r="D474" s="167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44347</v>
      </c>
      <c r="B3" s="49">
        <f>'Fechamento fiscal'!AD5</f>
        <v>28</v>
      </c>
      <c r="C3" s="48">
        <f>'Fechamento fiscal'!AF5</f>
        <v>38.5</v>
      </c>
      <c r="D3" s="48">
        <f>'Fechamento fiscal'!AG5</f>
        <v>0.89200000000000002</v>
      </c>
      <c r="E3" s="29">
        <f>'Fechamento fiscal'!AH5</f>
        <v>0.98629999999999995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44348</v>
      </c>
      <c r="B5" s="60">
        <f>'Fechamento fiscal'!AD6</f>
        <v>28</v>
      </c>
      <c r="C5" s="60">
        <f>'Fechamento fiscal'!AF6</f>
        <v>35</v>
      </c>
      <c r="D5" s="60">
        <f>'Fechamento fiscal'!AG6</f>
        <v>0.89</v>
      </c>
      <c r="E5" s="60">
        <f>'Fechamento fiscal'!AH6</f>
        <v>0.9889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44349</v>
      </c>
      <c r="B7" s="60">
        <f>'Fechamento fiscal'!AD7</f>
        <v>28</v>
      </c>
      <c r="C7" s="60">
        <f>'Fechamento fiscal'!AF7</f>
        <v>47.5</v>
      </c>
      <c r="D7" s="60">
        <f>'Fechamento fiscal'!AG7</f>
        <v>0.89</v>
      </c>
      <c r="E7" s="60">
        <f>'Fechamento fiscal'!AH7</f>
        <v>0.97970000000000002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44350</v>
      </c>
      <c r="B9" s="60">
        <f>'Fechamento fiscal'!AD8</f>
        <v>28</v>
      </c>
      <c r="C9" s="60">
        <f>'Fechamento fiscal'!AF8</f>
        <v>45</v>
      </c>
      <c r="D9" s="60">
        <f>'Fechamento fiscal'!AG8</f>
        <v>0.88800000000000001</v>
      </c>
      <c r="E9" s="60">
        <f>'Fechamento fiscal'!AH8</f>
        <v>0.98140000000000005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44351</v>
      </c>
      <c r="B11" s="60">
        <f>'Fechamento fiscal'!AD9</f>
        <v>28</v>
      </c>
      <c r="C11" s="60">
        <f>'Fechamento fiscal'!AF9</f>
        <v>41.5</v>
      </c>
      <c r="D11" s="60">
        <f>'Fechamento fiscal'!AG9</f>
        <v>0.88900000000000001</v>
      </c>
      <c r="E11" s="60">
        <f>'Fechamento fiscal'!AH9</f>
        <v>0.98399999999999999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44352</v>
      </c>
      <c r="B13" s="60">
        <f>'Fechamento fiscal'!AD10</f>
        <v>28</v>
      </c>
      <c r="C13" s="60">
        <f>'Fechamento fiscal'!AF10</f>
        <v>39</v>
      </c>
      <c r="D13" s="60">
        <f>'Fechamento fiscal'!AG10</f>
        <v>0.88900000000000001</v>
      </c>
      <c r="E13" s="60">
        <f>'Fechamento fiscal'!AH10</f>
        <v>0.9859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44353</v>
      </c>
      <c r="B15" s="60">
        <f>'Fechamento fiscal'!AD11</f>
        <v>29</v>
      </c>
      <c r="C15" s="60">
        <f>'Fechamento fiscal'!AF11</f>
        <v>38</v>
      </c>
      <c r="D15" s="60">
        <f>'Fechamento fiscal'!AG11</f>
        <v>0.88700000000000001</v>
      </c>
      <c r="E15" s="60">
        <f>'Fechamento fiscal'!AH11</f>
        <v>0.98660000000000003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44354</v>
      </c>
      <c r="B17" s="60">
        <f>'Fechamento fiscal'!AD12</f>
        <v>29</v>
      </c>
      <c r="C17" s="60">
        <f>'Fechamento fiscal'!AF12</f>
        <v>37</v>
      </c>
      <c r="D17" s="60">
        <f>'Fechamento fiscal'!AG12</f>
        <v>0.88700000000000001</v>
      </c>
      <c r="E17" s="60">
        <f>'Fechamento fiscal'!AH12</f>
        <v>0.98729999999999996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44355</v>
      </c>
      <c r="B19" s="60">
        <f>'Fechamento fiscal'!AD13</f>
        <v>29</v>
      </c>
      <c r="C19" s="60">
        <f>'Fechamento fiscal'!AF13</f>
        <v>35.5</v>
      </c>
      <c r="D19" s="60">
        <f>'Fechamento fiscal'!AG13</f>
        <v>0.88700000000000001</v>
      </c>
      <c r="E19" s="60">
        <f>'Fechamento fiscal'!AH13</f>
        <v>0.98839999999999995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44356</v>
      </c>
      <c r="B21" s="60">
        <f>'Fechamento fiscal'!AD14</f>
        <v>28</v>
      </c>
      <c r="C21" s="60">
        <f>'Fechamento fiscal'!AF14</f>
        <v>35</v>
      </c>
      <c r="D21" s="60">
        <f>'Fechamento fiscal'!AG14</f>
        <v>0.88900000000000001</v>
      </c>
      <c r="E21" s="60">
        <f>'Fechamento fiscal'!AH14</f>
        <v>0.98880000000000001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44357</v>
      </c>
      <c r="B23" s="60">
        <f>'Fechamento fiscal'!AD15</f>
        <v>27</v>
      </c>
      <c r="C23" s="60">
        <f>'Fechamento fiscal'!AF15</f>
        <v>35.5</v>
      </c>
      <c r="D23" s="60">
        <f>'Fechamento fiscal'!AG15</f>
        <v>0.89400000000000002</v>
      </c>
      <c r="E23" s="60">
        <f>'Fechamento fiscal'!AH15</f>
        <v>0.98860000000000003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44358</v>
      </c>
      <c r="B25" s="60">
        <f>'Fechamento fiscal'!AD16</f>
        <v>27</v>
      </c>
      <c r="C25" s="60">
        <f>'Fechamento fiscal'!AF16</f>
        <v>33</v>
      </c>
      <c r="D25" s="60">
        <f>'Fechamento fiscal'!AG16</f>
        <v>0.89500000000000002</v>
      </c>
      <c r="E25" s="60">
        <f>'Fechamento fiscal'!AH16</f>
        <v>0.99039999999999995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44359</v>
      </c>
      <c r="B27" s="60">
        <f>'Fechamento fiscal'!AD17</f>
        <v>27</v>
      </c>
      <c r="C27" s="60">
        <f>'Fechamento fiscal'!AF17</f>
        <v>32</v>
      </c>
      <c r="D27" s="60">
        <f>'Fechamento fiscal'!AG17</f>
        <v>0.89400000000000002</v>
      </c>
      <c r="E27" s="60">
        <f>'Fechamento fiscal'!AH17</f>
        <v>0.99119999999999997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44360</v>
      </c>
      <c r="B29" s="60">
        <f>'Fechamento fiscal'!AD18</f>
        <v>27</v>
      </c>
      <c r="C29" s="60">
        <f>'Fechamento fiscal'!AF18</f>
        <v>32</v>
      </c>
      <c r="D29" s="60">
        <f>'Fechamento fiscal'!AG18</f>
        <v>0.89300000000000002</v>
      </c>
      <c r="E29" s="60">
        <f>'Fechamento fiscal'!AH18</f>
        <v>0.99109999999999998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44361</v>
      </c>
      <c r="B31" s="60">
        <f>'Fechamento fiscal'!AD19</f>
        <v>27</v>
      </c>
      <c r="C31" s="60">
        <f>'Fechamento fiscal'!AF19</f>
        <v>36.5</v>
      </c>
      <c r="D31" s="60">
        <f>'Fechamento fiscal'!AG19</f>
        <v>0.89400000000000002</v>
      </c>
      <c r="E31" s="60">
        <f>'Fechamento fiscal'!AH19</f>
        <v>0.98780000000000001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44362</v>
      </c>
      <c r="B33" s="60">
        <f>'Fechamento fiscal'!AD20</f>
        <v>28</v>
      </c>
      <c r="C33" s="60">
        <f>'Fechamento fiscal'!AF20</f>
        <v>35.5</v>
      </c>
      <c r="D33" s="60">
        <f>'Fechamento fiscal'!AG20</f>
        <v>0.89300000000000002</v>
      </c>
      <c r="E33" s="60">
        <f>'Fechamento fiscal'!AH20</f>
        <v>0.98850000000000005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44363</v>
      </c>
      <c r="B35" s="60">
        <f>'Fechamento fiscal'!AD21</f>
        <v>28</v>
      </c>
      <c r="C35" s="60">
        <f>'Fechamento fiscal'!AF21</f>
        <v>34.5</v>
      </c>
      <c r="D35" s="60">
        <f>'Fechamento fiscal'!AG21</f>
        <v>0.89100000000000001</v>
      </c>
      <c r="E35" s="60">
        <f>'Fechamento fiscal'!AH21</f>
        <v>0.98919999999999997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44364</v>
      </c>
      <c r="B37" s="60">
        <f>'Fechamento fiscal'!AD22</f>
        <v>28</v>
      </c>
      <c r="C37" s="60">
        <f>'Fechamento fiscal'!AF22</f>
        <v>37.5</v>
      </c>
      <c r="D37" s="60">
        <f>'Fechamento fiscal'!AG22</f>
        <v>0.89100000000000001</v>
      </c>
      <c r="E37" s="60">
        <f>'Fechamento fiscal'!AH22</f>
        <v>0.98699999999999999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44365</v>
      </c>
      <c r="B39" s="60">
        <f>'Fechamento fiscal'!AD23</f>
        <v>28</v>
      </c>
      <c r="C39" s="60">
        <f>'Fechamento fiscal'!AF23</f>
        <v>35.5</v>
      </c>
      <c r="D39" s="60">
        <f>'Fechamento fiscal'!AG23</f>
        <v>0.89100000000000001</v>
      </c>
      <c r="E39" s="60">
        <f>'Fechamento fiscal'!AH23</f>
        <v>0.98850000000000005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44366</v>
      </c>
      <c r="B41" s="60">
        <f>'Fechamento fiscal'!AD24</f>
        <v>30</v>
      </c>
      <c r="C41" s="60">
        <f>'Fechamento fiscal'!AF24</f>
        <v>45</v>
      </c>
      <c r="D41" s="60">
        <f>'Fechamento fiscal'!AG24</f>
        <v>0.879</v>
      </c>
      <c r="E41" s="60">
        <f>'Fechamento fiscal'!AH24</f>
        <v>0.98109999999999997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44367</v>
      </c>
      <c r="B43" s="60">
        <f>'Fechamento fiscal'!AD25</f>
        <v>30</v>
      </c>
      <c r="C43" s="60">
        <f>'Fechamento fiscal'!AF25</f>
        <v>43</v>
      </c>
      <c r="D43" s="60">
        <f>'Fechamento fiscal'!AG25</f>
        <v>0.88</v>
      </c>
      <c r="E43" s="60">
        <f>'Fechamento fiscal'!AH25</f>
        <v>0.98270000000000002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44368</v>
      </c>
      <c r="B45" s="60">
        <f>'Fechamento fiscal'!AD26</f>
        <v>30</v>
      </c>
      <c r="C45" s="60">
        <f>'Fechamento fiscal'!AF26</f>
        <v>39.5</v>
      </c>
      <c r="D45" s="60">
        <f>'Fechamento fiscal'!AG26</f>
        <v>0.88</v>
      </c>
      <c r="E45" s="60">
        <f>'Fechamento fiscal'!AH26</f>
        <v>0.98529999999999995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44369</v>
      </c>
      <c r="B47" s="60">
        <f>'Fechamento fiscal'!AD27</f>
        <v>30</v>
      </c>
      <c r="C47" s="60">
        <f>'Fechamento fiscal'!AF27</f>
        <v>38.5</v>
      </c>
      <c r="D47" s="60">
        <f>'Fechamento fiscal'!AG27</f>
        <v>0.88</v>
      </c>
      <c r="E47" s="60">
        <f>'Fechamento fiscal'!AH27</f>
        <v>0.98609999999999998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44370</v>
      </c>
      <c r="B49" s="60">
        <f>'Fechamento fiscal'!AD28</f>
        <v>30</v>
      </c>
      <c r="C49" s="60">
        <f>'Fechamento fiscal'!AF28</f>
        <v>35</v>
      </c>
      <c r="D49" s="60">
        <f>'Fechamento fiscal'!AG28</f>
        <v>0.88</v>
      </c>
      <c r="E49" s="60">
        <f>'Fechamento fiscal'!AH28</f>
        <v>0.98870000000000002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44371</v>
      </c>
      <c r="B51" s="60">
        <f>'Fechamento fiscal'!AD29</f>
        <v>30</v>
      </c>
      <c r="C51" s="60">
        <f>'Fechamento fiscal'!AF29</f>
        <v>25</v>
      </c>
      <c r="D51" s="60">
        <f>'Fechamento fiscal'!AG29</f>
        <v>0.88</v>
      </c>
      <c r="E51" s="60">
        <f>'Fechamento fiscal'!AH29</f>
        <v>0.99619999999999997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44372</v>
      </c>
      <c r="B53" s="60">
        <f>'Fechamento fiscal'!AD30</f>
        <v>30</v>
      </c>
      <c r="C53" s="60">
        <f>'Fechamento fiscal'!AF30</f>
        <v>30.5</v>
      </c>
      <c r="D53" s="60">
        <f>'Fechamento fiscal'!AG30</f>
        <v>0.88</v>
      </c>
      <c r="E53" s="60">
        <f>'Fechamento fiscal'!AH30</f>
        <v>0.99209999999999998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44373</v>
      </c>
      <c r="B55" s="60">
        <f>'Fechamento fiscal'!AD31</f>
        <v>30</v>
      </c>
      <c r="C55" s="60">
        <f>'Fechamento fiscal'!AF31</f>
        <v>44</v>
      </c>
      <c r="D55" s="60">
        <f>'Fechamento fiscal'!AG31</f>
        <v>0.88</v>
      </c>
      <c r="E55" s="60">
        <f>'Fechamento fiscal'!AH31</f>
        <v>0.9819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44374</v>
      </c>
      <c r="B57" s="60">
        <f>'Fechamento fiscal'!AD32</f>
        <v>30</v>
      </c>
      <c r="C57" s="60">
        <f>'Fechamento fiscal'!AF32</f>
        <v>36.5</v>
      </c>
      <c r="D57" s="60">
        <f>'Fechamento fiscal'!AG32</f>
        <v>0.88100000000000001</v>
      </c>
      <c r="E57" s="60">
        <f>'Fechamento fiscal'!AH32</f>
        <v>0.98760000000000003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44375</v>
      </c>
      <c r="B59" s="60">
        <f>'Fechamento fiscal'!AD33</f>
        <v>30</v>
      </c>
      <c r="C59" s="60">
        <f>'Fechamento fiscal'!AF33</f>
        <v>25</v>
      </c>
      <c r="D59" s="60">
        <f>'Fechamento fiscal'!AG33</f>
        <v>0.88100000000000001</v>
      </c>
      <c r="E59" s="60">
        <f>'Fechamento fiscal'!AH33</f>
        <v>0.99619999999999997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44376</v>
      </c>
      <c r="B61" s="60">
        <f>'Fechamento fiscal'!AD34</f>
        <v>30</v>
      </c>
      <c r="C61" s="60">
        <f>'Fechamento fiscal'!AF34</f>
        <v>31.5</v>
      </c>
      <c r="D61" s="60">
        <f>'Fechamento fiscal'!AG34</f>
        <v>0.88100000000000001</v>
      </c>
      <c r="E61" s="60">
        <f>'Fechamento fiscal'!AH34</f>
        <v>0.99129999999999996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44377</v>
      </c>
      <c r="B63" s="60">
        <f>'Fechamento fiscal'!AD35</f>
        <v>29</v>
      </c>
      <c r="C63" s="60">
        <f>'Fechamento fiscal'!AF35</f>
        <v>25.5</v>
      </c>
      <c r="D63" s="60">
        <f>'Fechamento fiscal'!AG35</f>
        <v>0.88300000000000001</v>
      </c>
      <c r="E63" s="60">
        <f>'Fechamento fiscal'!AH35</f>
        <v>0.99590000000000001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44378</v>
      </c>
      <c r="B65" s="60">
        <f>'Fechamento fiscal'!AD36</f>
        <v>3</v>
      </c>
      <c r="C65" s="60" t="str">
        <f>'Fechamento fiscal'!AF36</f>
        <v/>
      </c>
      <c r="D65" s="60" t="str">
        <f>'Fechamento fiscal'!AG36</f>
        <v/>
      </c>
      <c r="E65" s="60" t="e">
        <f>'Fechamento fiscal'!AH36</f>
        <v>#VALUE!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90" t="s">
        <v>56</v>
      </c>
      <c r="R1" s="190"/>
      <c r="S1" s="190"/>
      <c r="T1" s="190"/>
    </row>
    <row r="2" spans="4:20" x14ac:dyDescent="0.25">
      <c r="N2" s="45" t="s">
        <v>55</v>
      </c>
      <c r="Q2" s="190"/>
      <c r="R2" s="190"/>
      <c r="S2" s="190"/>
      <c r="T2" s="190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>
      <selection activeCell="I11" sqref="I11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Carregamento!B5</f>
        <v>44348.343055555553</v>
      </c>
      <c r="B3" s="49">
        <f>Carregamento!AL5</f>
        <v>28</v>
      </c>
      <c r="C3" s="48">
        <f>Carregamento!AN5</f>
        <v>37</v>
      </c>
      <c r="D3" s="48">
        <f>Carregamento!AO5</f>
        <v>0.89200000000000002</v>
      </c>
      <c r="E3" s="29">
        <f>Carregamento!AP5</f>
        <v>0.98740000000000006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Carregamento!B6</f>
        <v>44348.470138888886</v>
      </c>
      <c r="B5" s="60">
        <f>Carregamento!AL6</f>
        <v>28</v>
      </c>
      <c r="C5" s="60">
        <f>Carregamento!AN6</f>
        <v>37.5</v>
      </c>
      <c r="D5" s="60">
        <f>Carregamento!AO6</f>
        <v>0.89200000000000002</v>
      </c>
      <c r="E5" s="60">
        <f>Carregamento!AP6</f>
        <v>0.98709999999999998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Carregamento!B7</f>
        <v>44349.450694444444</v>
      </c>
      <c r="B7" s="60">
        <f>Carregamento!AL7</f>
        <v>28</v>
      </c>
      <c r="C7" s="60">
        <f>Carregamento!AN7</f>
        <v>35</v>
      </c>
      <c r="D7" s="60">
        <f>Carregamento!AO7</f>
        <v>0.89200000000000002</v>
      </c>
      <c r="E7" s="60">
        <f>Carregamento!AP7</f>
        <v>0.98889000000000005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Carregamento!B8</f>
        <v>44349.630555555559</v>
      </c>
      <c r="B9" s="60">
        <f>Carregamento!AL8</f>
        <v>28</v>
      </c>
      <c r="C9" s="60">
        <f>Carregamento!AN8</f>
        <v>39</v>
      </c>
      <c r="D9" s="60">
        <f>Carregamento!AO8</f>
        <v>0.89200000000000002</v>
      </c>
      <c r="E9" s="60">
        <f>Carregamento!AP8</f>
        <v>0.98599999999999999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Carregamento!B9</f>
        <v>44354.222222222219</v>
      </c>
      <c r="B11" s="60">
        <f>Carregamento!AL9</f>
        <v>28</v>
      </c>
      <c r="C11" s="60">
        <f>Carregamento!AN9</f>
        <v>38</v>
      </c>
      <c r="D11" s="60">
        <f>Carregamento!AO9</f>
        <v>0.88800000000000001</v>
      </c>
      <c r="E11" s="60">
        <f>Carregamento!AP9</f>
        <v>0.98660000000000003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Carregamento!B10</f>
        <v>44356.041666666664</v>
      </c>
      <c r="B13" s="60">
        <f>Carregamento!AL10</f>
        <v>28</v>
      </c>
      <c r="C13" s="60">
        <f>Carregamento!AN10</f>
        <v>36</v>
      </c>
      <c r="D13" s="60">
        <f>Carregamento!AO10</f>
        <v>0.88900000000000001</v>
      </c>
      <c r="E13" s="60">
        <f>Carregamento!AP10</f>
        <v>0.98809999999999998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Carregamento!B11</f>
        <v>44356.621527777781</v>
      </c>
      <c r="B15" s="60">
        <f>Carregamento!AL11</f>
        <v>28</v>
      </c>
      <c r="C15" s="60">
        <f>Carregamento!AN11</f>
        <v>35.5</v>
      </c>
      <c r="D15" s="60">
        <f>Carregamento!AO11</f>
        <v>0.88900000000000001</v>
      </c>
      <c r="E15" s="60">
        <f>Carregamento!AP11</f>
        <v>0.98850000000000005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Carregamento!B12</f>
        <v>44359.369444444441</v>
      </c>
      <c r="B17" s="60">
        <f>Carregamento!AL12</f>
        <v>27</v>
      </c>
      <c r="C17" s="60">
        <f>Carregamento!AN12</f>
        <v>32.5</v>
      </c>
      <c r="D17" s="60">
        <f>Carregamento!AO12</f>
        <v>0.89500000000000002</v>
      </c>
      <c r="E17" s="60">
        <f>Carregamento!AP12</f>
        <v>0.99080000000000001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Carregamento!B13</f>
        <v>44360.397916666669</v>
      </c>
      <c r="B19" s="60">
        <f>Carregamento!AL13</f>
        <v>27</v>
      </c>
      <c r="C19" s="60">
        <f>Carregamento!AN13</f>
        <v>31.5</v>
      </c>
      <c r="D19" s="60">
        <f>Carregamento!AO13</f>
        <v>0.89400000000000002</v>
      </c>
      <c r="E19" s="60">
        <f>Carregamento!AP13</f>
        <v>0.99150000000000005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Carregamento!B14</f>
        <v>44361.71597222222</v>
      </c>
      <c r="B21" s="60">
        <f>Carregamento!AL14</f>
        <v>27</v>
      </c>
      <c r="C21" s="60">
        <f>Carregamento!AN14</f>
        <v>31</v>
      </c>
      <c r="D21" s="60">
        <f>Carregamento!AO14</f>
        <v>0.89300000000000002</v>
      </c>
      <c r="E21" s="60">
        <f>Carregamento!AP14</f>
        <v>0.9919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Carregamento!B15</f>
        <v>44364.375</v>
      </c>
      <c r="B23" s="60">
        <f>Carregamento!AL15</f>
        <v>29</v>
      </c>
      <c r="C23" s="60">
        <f>Carregamento!AN15</f>
        <v>33.5</v>
      </c>
      <c r="D23" s="60">
        <f>Carregamento!AO15</f>
        <v>0.88400000000000001</v>
      </c>
      <c r="E23" s="60">
        <f>Carregamento!AP15</f>
        <v>0.9899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Carregamento!B16</f>
        <v>44364.427083333336</v>
      </c>
      <c r="B25" s="60">
        <f>Carregamento!AL16</f>
        <v>29</v>
      </c>
      <c r="C25" s="60">
        <f>Carregamento!AN16</f>
        <v>34.5</v>
      </c>
      <c r="D25" s="60">
        <f>Carregamento!AO16</f>
        <v>0.88500000000000001</v>
      </c>
      <c r="E25" s="60">
        <f>Carregamento!AP16</f>
        <v>0.98909999999999998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Carregamento!B17</f>
        <v>44364.541666666664</v>
      </c>
      <c r="B27" s="60">
        <f>Carregamento!AL17</f>
        <v>29</v>
      </c>
      <c r="C27" s="60">
        <f>Carregamento!AN17</f>
        <v>35.5</v>
      </c>
      <c r="D27" s="60">
        <f>Carregamento!AO17</f>
        <v>0.88700000000000001</v>
      </c>
      <c r="E27" s="60">
        <f>Carregamento!AP17</f>
        <v>0.98839999999999995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Carregamento!B18</f>
        <v>44365.618055555555</v>
      </c>
      <c r="B29" s="60">
        <f>Carregamento!AL18</f>
        <v>30</v>
      </c>
      <c r="C29" s="60">
        <f>Carregamento!AN18</f>
        <v>35</v>
      </c>
      <c r="D29" s="60">
        <f>Carregamento!AO18</f>
        <v>0.88100000000000001</v>
      </c>
      <c r="E29" s="60">
        <f>Carregamento!AP18</f>
        <v>0.98870000000000002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Carregamento!B19</f>
        <v>44365.6875</v>
      </c>
      <c r="B31" s="60">
        <f>Carregamento!AL19</f>
        <v>30</v>
      </c>
      <c r="C31" s="60">
        <f>Carregamento!AN19</f>
        <v>34.5</v>
      </c>
      <c r="D31" s="60">
        <f>Carregamento!AO19</f>
        <v>0.88100000000000001</v>
      </c>
      <c r="E31" s="60">
        <f>Carregamento!AP19</f>
        <v>0.98909999999999998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Carregamento!B20</f>
        <v>44370.388888888891</v>
      </c>
      <c r="B33" s="60">
        <f>Carregamento!AL20</f>
        <v>27</v>
      </c>
      <c r="C33" s="60">
        <f>Carregamento!AN20</f>
        <v>37.5</v>
      </c>
      <c r="D33" s="60">
        <f>Carregamento!AO20</f>
        <v>0.89400000000000002</v>
      </c>
      <c r="E33" s="60">
        <f>Carregamento!AP20</f>
        <v>0.98709999999999998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Carregamento!B21</f>
        <v>44370.615277777775</v>
      </c>
      <c r="B35" s="60">
        <f>Carregamento!AL21</f>
        <v>27</v>
      </c>
      <c r="C35" s="60">
        <f>Carregamento!AN21</f>
        <v>36</v>
      </c>
      <c r="D35" s="60">
        <f>Carregamento!AO21</f>
        <v>0.89500000000000002</v>
      </c>
      <c r="E35" s="60">
        <f>Carregamento!AP21</f>
        <v>0.98819999999999997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Carregamento!B22</f>
        <v>44370.65625</v>
      </c>
      <c r="B37" s="60">
        <f>Carregamento!AL22</f>
        <v>27</v>
      </c>
      <c r="C37" s="60">
        <f>Carregamento!AN22</f>
        <v>39</v>
      </c>
      <c r="D37" s="60">
        <f>Carregamento!AO22</f>
        <v>0.89500000000000002</v>
      </c>
      <c r="E37" s="60">
        <f>Carregamento!AP22</f>
        <v>0.98599999999999999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Carregamento!B23</f>
        <v>44370.729166666664</v>
      </c>
      <c r="B39" s="60">
        <f>Carregamento!AL23</f>
        <v>28</v>
      </c>
      <c r="C39" s="60">
        <f>Carregamento!AN23</f>
        <v>37</v>
      </c>
      <c r="D39" s="60">
        <f>Carregamento!AO23</f>
        <v>0.89200000000000002</v>
      </c>
      <c r="E39" s="60">
        <f>Carregamento!AP23</f>
        <v>0.98740000000000006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Carregamento!B24</f>
        <v>44371.431250000001</v>
      </c>
      <c r="B41" s="60">
        <f>Carregamento!AL24</f>
        <v>28</v>
      </c>
      <c r="C41" s="60">
        <f>Carregamento!AN24</f>
        <v>33.5</v>
      </c>
      <c r="D41" s="60">
        <f>Carregamento!AO24</f>
        <v>0.89100000000000001</v>
      </c>
      <c r="E41" s="60">
        <f>Carregamento!AP24</f>
        <v>0.99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Carregamento!B25</f>
        <v>44371.553472222222</v>
      </c>
      <c r="B43" s="60">
        <f>Carregamento!AL25</f>
        <v>28</v>
      </c>
      <c r="C43" s="60">
        <f>Carregamento!AN25</f>
        <v>34</v>
      </c>
      <c r="D43" s="60">
        <f>Carregamento!AO25</f>
        <v>0.89100000000000001</v>
      </c>
      <c r="E43" s="60">
        <f>Carregamento!AP25</f>
        <v>0.98960000000000004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Carregamento!B26</f>
        <v>44371.64166666667</v>
      </c>
      <c r="B45" s="60">
        <f>Carregamento!AL26</f>
        <v>28</v>
      </c>
      <c r="C45" s="60">
        <f>Carregamento!AN26</f>
        <v>33.5</v>
      </c>
      <c r="D45" s="60">
        <f>Carregamento!AO26</f>
        <v>0.89100000000000001</v>
      </c>
      <c r="E45" s="60">
        <f>Carregamento!AP26</f>
        <v>0.99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Carregamento!B27</f>
        <v>44371.824305555558</v>
      </c>
      <c r="B47" s="60">
        <f>Carregamento!AL27</f>
        <v>28</v>
      </c>
      <c r="C47" s="60">
        <f>Carregamento!AN27</f>
        <v>25</v>
      </c>
      <c r="D47" s="60">
        <f>Carregamento!AO27</f>
        <v>0.89100000000000001</v>
      </c>
      <c r="E47" s="60">
        <f>Carregamento!AP27</f>
        <v>0.99629999999999996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Carregamento!B28</f>
        <v>44374.32708333333</v>
      </c>
      <c r="B49" s="60">
        <f>Carregamento!AL28</f>
        <v>30</v>
      </c>
      <c r="C49" s="60">
        <f>Carregamento!AN28</f>
        <v>41</v>
      </c>
      <c r="D49" s="60">
        <f>Carregamento!AO28</f>
        <v>0.88100000000000001</v>
      </c>
      <c r="E49" s="60">
        <f>Carregamento!AP28</f>
        <v>0.98419999999999996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Carregamento!B29</f>
        <v>44375.658333333333</v>
      </c>
      <c r="B51" s="60">
        <f>Carregamento!AL29</f>
        <v>30</v>
      </c>
      <c r="C51" s="60">
        <f>Carregamento!AN29</f>
        <v>37</v>
      </c>
      <c r="D51" s="60">
        <f>Carregamento!AO29</f>
        <v>0.88100000000000001</v>
      </c>
      <c r="E51" s="60">
        <f>Carregamento!AP29</f>
        <v>0.98719999999999997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Carregamento!B30</f>
        <v>44375.972916666666</v>
      </c>
      <c r="B53" s="60">
        <f>Carregamento!AL30</f>
        <v>30</v>
      </c>
      <c r="C53" s="60">
        <f>Carregamento!AN30</f>
        <v>25</v>
      </c>
      <c r="D53" s="60">
        <f>Carregamento!AO30</f>
        <v>0.88100000000000001</v>
      </c>
      <c r="E53" s="60">
        <f>Carregamento!AP30</f>
        <v>0.99619999999999997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Carregamento!B31</f>
        <v>44377.890972222223</v>
      </c>
      <c r="B55" s="60">
        <f>Carregamento!AL31</f>
        <v>29</v>
      </c>
      <c r="C55" s="60">
        <f>Carregamento!AN31</f>
        <v>35.5</v>
      </c>
      <c r="D55" s="60">
        <f>Carregamento!AO31</f>
        <v>0.88300000000000001</v>
      </c>
      <c r="E55" s="60">
        <f>Carregamento!AP31</f>
        <v>0.98839999999999995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Carregamento!B32</f>
        <v>44377.956944444442</v>
      </c>
      <c r="B57" s="60">
        <f>Carregamento!AL32</f>
        <v>29</v>
      </c>
      <c r="C57" s="60">
        <f>Carregamento!AN32</f>
        <v>26.5</v>
      </c>
      <c r="D57" s="60">
        <f>Carregamento!AO32</f>
        <v>0.88300000000000001</v>
      </c>
      <c r="E57" s="60">
        <f>Carregamento!AP32</f>
        <v>0.99509999999999998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Carregamento!B33</f>
        <v>0</v>
      </c>
      <c r="B59" s="60">
        <f>Carregamento!AL33</f>
        <v>3</v>
      </c>
      <c r="C59" s="60" t="str">
        <f>Carregamento!AN33</f>
        <v/>
      </c>
      <c r="D59" s="60" t="e">
        <f>Carregamento!AO33</f>
        <v>#VALUE!</v>
      </c>
      <c r="E59" s="60" t="e">
        <f>Carregamento!AP33</f>
        <v>#VALUE!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Carregamento!B34</f>
        <v>0</v>
      </c>
      <c r="B61" s="60">
        <f>Carregamento!AL34</f>
        <v>3</v>
      </c>
      <c r="C61" s="60" t="str">
        <f>Carregamento!AN34</f>
        <v/>
      </c>
      <c r="D61" s="60" t="e">
        <f>Carregamento!AO34</f>
        <v>#VALUE!</v>
      </c>
      <c r="E61" s="60" t="e">
        <f>Carregamento!AP34</f>
        <v>#VALUE!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Carregamento!B35</f>
        <v>0</v>
      </c>
      <c r="B63" s="60">
        <f>Carregamento!AL35</f>
        <v>3</v>
      </c>
      <c r="C63" s="60" t="str">
        <f>Carregamento!AN35</f>
        <v/>
      </c>
      <c r="D63" s="60" t="e">
        <f>Carregamento!AO35</f>
        <v>#VALUE!</v>
      </c>
      <c r="E63" s="60" t="e">
        <f>Carregamento!AP35</f>
        <v>#VALUE!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Carregamento!B36</f>
        <v>0</v>
      </c>
      <c r="B65" s="60">
        <f>Carregamento!AL36</f>
        <v>3</v>
      </c>
      <c r="C65" s="60" t="str">
        <f>Carregamento!AN36</f>
        <v/>
      </c>
      <c r="D65" s="60" t="e">
        <f>Carregamento!AO36</f>
        <v>#VALUE!</v>
      </c>
      <c r="E65" s="60" t="e">
        <f>Carregamento!AP36</f>
        <v>#VALUE!</v>
      </c>
    </row>
  </sheetData>
  <sheetProtection algorithmName="SHA-512" hashValue="RL15YNbwFaXtru3jQE+1PbePPz1hkMNBdle7ykEWjmh6LMeqpCSnOMa+e3yvm/S/5rvI+NYC1HrTtJ7+OrAJlQ==" saltValue="5ksaWzhiR/tkkL1RXY0+v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FCV - Carregamento</vt:lpstr>
      <vt:lpstr>Densidade corrigida - Carregame</vt:lpstr>
      <vt:lpstr>Volumes de água</vt:lpstr>
      <vt:lpstr>Apropriação diária</vt:lpstr>
      <vt:lpstr>Relatório fiscal</vt:lpstr>
      <vt:lpstr>Relatório fiscal LP</vt:lpstr>
      <vt:lpstr>Relatório fiscal LPB</vt:lpstr>
      <vt:lpstr>Índices de Produção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Lanna Lacerda Rizzo</cp:lastModifiedBy>
  <cp:lastPrinted>2020-11-09T14:06:10Z</cp:lastPrinted>
  <dcterms:created xsi:type="dcterms:W3CDTF">2019-02-27T13:32:22Z</dcterms:created>
  <dcterms:modified xsi:type="dcterms:W3CDTF">2021-07-12T17:31:12Z</dcterms:modified>
</cp:coreProperties>
</file>