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1" sheetId="1" r:id="rId4"/>
    <sheet state="visible" name="Case 1.1" sheetId="2" r:id="rId5"/>
    <sheet state="visible" name="Case 1.2" sheetId="3" r:id="rId6"/>
  </sheets>
  <definedNames>
    <definedName hidden="1" localSheetId="0" name="_xlnm._FilterDatabase">'Case 1'!$A$1:$W$552</definedName>
  </definedNames>
  <calcPr/>
</workbook>
</file>

<file path=xl/sharedStrings.xml><?xml version="1.0" encoding="utf-8"?>
<sst xmlns="http://schemas.openxmlformats.org/spreadsheetml/2006/main" count="4754" uniqueCount="2346">
  <si>
    <t>id</t>
  </si>
  <si>
    <t>enabled</t>
  </si>
  <si>
    <t>venue_name</t>
  </si>
  <si>
    <t>company_name</t>
  </si>
  <si>
    <t>latitude</t>
  </si>
  <si>
    <t>longitude</t>
  </si>
  <si>
    <t>town</t>
  </si>
  <si>
    <t>formatted_address</t>
  </si>
  <si>
    <t>created_at</t>
  </si>
  <si>
    <t>phone</t>
  </si>
  <si>
    <t>reviews_count</t>
  </si>
  <si>
    <t>average_rating</t>
  </si>
  <si>
    <t>vat_number</t>
  </si>
  <si>
    <t>customers_count</t>
  </si>
  <si>
    <t>staff_members_count</t>
  </si>
  <si>
    <t>plan</t>
  </si>
  <si>
    <t>purchasable_online</t>
  </si>
  <si>
    <t>accepts_online_payments</t>
  </si>
  <si>
    <t>online_payment_only</t>
  </si>
  <si>
    <t>average_time_day_appointment_per_customer</t>
  </si>
  <si>
    <t>daily_booking_only</t>
  </si>
  <si>
    <t>last_online_appointment</t>
  </si>
  <si>
    <t>last_salon_appointement</t>
  </si>
  <si>
    <t>Beauty Salon 1354</t>
  </si>
  <si>
    <t>Company Beauty SL1354</t>
  </si>
  <si>
    <t>Roma</t>
  </si>
  <si>
    <t>Via Lione, 24, 00144 Roma, Italia</t>
  </si>
  <si>
    <t>4,3</t>
  </si>
  <si>
    <t>Premium</t>
  </si>
  <si>
    <t>44,46</t>
  </si>
  <si>
    <t>Beauty Salon 1770</t>
  </si>
  <si>
    <t>Company Beauty SL1770</t>
  </si>
  <si>
    <t>Via Angelo Brofferio, 12, 00195 Roma, Italia</t>
  </si>
  <si>
    <t>Advanced</t>
  </si>
  <si>
    <t>0,44</t>
  </si>
  <si>
    <t>Beauty Salon 4875</t>
  </si>
  <si>
    <t>Company Beauty SL4875</t>
  </si>
  <si>
    <t>Milano</t>
  </si>
  <si>
    <t>Via Cesare Cesariano, 6, 20154 Milano, Italia</t>
  </si>
  <si>
    <t>Starter</t>
  </si>
  <si>
    <t>0,42</t>
  </si>
  <si>
    <t>Beauty Salon 4913</t>
  </si>
  <si>
    <t>Company Beauty SL4913</t>
  </si>
  <si>
    <t>Via di Gesù e Maria, 11, 00187 Roma, Italia</t>
  </si>
  <si>
    <t>43,19</t>
  </si>
  <si>
    <t>Beauty Salon 4323</t>
  </si>
  <si>
    <t>Company Beauty SL4323</t>
  </si>
  <si>
    <t>Via del Pianeta Venere, 37, 00144 Roma, Italia</t>
  </si>
  <si>
    <t>Beauty Salon 1083</t>
  </si>
  <si>
    <t>Company Beauty SL1083</t>
  </si>
  <si>
    <t>Bettolle</t>
  </si>
  <si>
    <t>Via Giuseppe di Vittorio, 99, 53048 Bettolle SI, Italia</t>
  </si>
  <si>
    <t>Beauty Salon 3374</t>
  </si>
  <si>
    <t>Company Beauty SL3374</t>
  </si>
  <si>
    <t>Αθήνα</t>
  </si>
  <si>
    <t>Παναγιώτου Αναγνωστοπούλου 41, Αθήνα 106 73, Ελλάδα</t>
  </si>
  <si>
    <t>Beauty Salon 1905</t>
  </si>
  <si>
    <t>Company Beauty SL1905</t>
  </si>
  <si>
    <t>Εύοσμος</t>
  </si>
  <si>
    <t>Στρατάρχου Αλεξάνδρου Παπάγου 45, Εύοσμος 562 24, Ελλάδα</t>
  </si>
  <si>
    <t>27,32</t>
  </si>
  <si>
    <t>Beauty Salon 1866</t>
  </si>
  <si>
    <t>Company Beauty SL1866</t>
  </si>
  <si>
    <t>Via Bergamo, 14, 20135 Milano MI, Italia</t>
  </si>
  <si>
    <t>43,48</t>
  </si>
  <si>
    <t>Beauty Salon 3908</t>
  </si>
  <si>
    <t>Company Beauty SL3908</t>
  </si>
  <si>
    <t>Pozzomaggiore</t>
  </si>
  <si>
    <t>Via Trifoglio, 3, 07018 Pozzomaggiore SS, Italia</t>
  </si>
  <si>
    <t>Beauty Salon 215</t>
  </si>
  <si>
    <t>Company Beauty SL215</t>
  </si>
  <si>
    <t>Augusta</t>
  </si>
  <si>
    <t>Via Papa Giovanni XXIII, 15, 96011 Augusta SR, Italia</t>
  </si>
  <si>
    <t>0,01</t>
  </si>
  <si>
    <t>Beauty Salon 4687</t>
  </si>
  <si>
    <t>Company Beauty SL4687</t>
  </si>
  <si>
    <t>Verona</t>
  </si>
  <si>
    <t>Via Agrigento, 10a, 37138 Verona VR, Italia</t>
  </si>
  <si>
    <t>37,48</t>
  </si>
  <si>
    <t>Beauty Salon 1708</t>
  </si>
  <si>
    <t>Company Beauty SL1708</t>
  </si>
  <si>
    <t>Trento</t>
  </si>
  <si>
    <t>Via Fratelli Fontana, 1, 38121 Trento, Italia</t>
  </si>
  <si>
    <t>4,2</t>
  </si>
  <si>
    <t>Beauty Salon 3331</t>
  </si>
  <si>
    <t>Company Beauty SL3331</t>
  </si>
  <si>
    <t>Reggio Emilia</t>
  </si>
  <si>
    <t>Via Emilia S. Pietro, 48, 42121 Reggio Emilia RE, Italia</t>
  </si>
  <si>
    <t>0588 538305</t>
  </si>
  <si>
    <t>Beauty Salon 1553</t>
  </si>
  <si>
    <t>Company Beauty SL1553</t>
  </si>
  <si>
    <t>Viale Ippocrate, 35, 00161 Roma RM, Italia</t>
  </si>
  <si>
    <t>Beauty Salon 2981</t>
  </si>
  <si>
    <t>Company Beauty SL2981</t>
  </si>
  <si>
    <t>Martignacco</t>
  </si>
  <si>
    <t>Via Antonio Bardelli, 4, 33035 Martignacco UD, Italia</t>
  </si>
  <si>
    <t>0538 508553</t>
  </si>
  <si>
    <t>4,4</t>
  </si>
  <si>
    <t>Beauty Salon 536</t>
  </si>
  <si>
    <t>Company Beauty SL536</t>
  </si>
  <si>
    <t>Ravenna</t>
  </si>
  <si>
    <t>Via Portorose, 37, 48122 Ravenna RA, Italia</t>
  </si>
  <si>
    <t>0555 595559</t>
  </si>
  <si>
    <t>Beauty Salon 2499</t>
  </si>
  <si>
    <t>Company Beauty SL2499</t>
  </si>
  <si>
    <t>Galleria Pellicciai, 16, 37121 Verona VR, Italia</t>
  </si>
  <si>
    <t>055 5008939</t>
  </si>
  <si>
    <t>Beauty Salon 244</t>
  </si>
  <si>
    <t>Company Beauty SL244</t>
  </si>
  <si>
    <t>La Spezia</t>
  </si>
  <si>
    <t>Corso Nazionale, 156, 19126 La Spezia SP, Italia</t>
  </si>
  <si>
    <t>0355 505553</t>
  </si>
  <si>
    <t>4,7</t>
  </si>
  <si>
    <t>Beauty Salon 1751</t>
  </si>
  <si>
    <t>Company Beauty SL1751</t>
  </si>
  <si>
    <t>Asti</t>
  </si>
  <si>
    <t>Piazza Vittorio Alfieri, 26, 14100 Asti AT, Italia</t>
  </si>
  <si>
    <t>0353 595300</t>
  </si>
  <si>
    <t>4,6</t>
  </si>
  <si>
    <t>Beauty Salon 4734</t>
  </si>
  <si>
    <t>Company Beauty SL4734</t>
  </si>
  <si>
    <t>Foggia</t>
  </si>
  <si>
    <t>Via Carlo Ciampitti, 38, 71121 Foggia FG, Italia</t>
  </si>
  <si>
    <t>0553 558355</t>
  </si>
  <si>
    <t>4,9</t>
  </si>
  <si>
    <t>Beauty Salon 606</t>
  </si>
  <si>
    <t>Company Beauty SL606</t>
  </si>
  <si>
    <t>Ancona</t>
  </si>
  <si>
    <t>Via Duilio Scandali, 69, 60122 Ancona, Italia</t>
  </si>
  <si>
    <t>053 803583</t>
  </si>
  <si>
    <t>4,5</t>
  </si>
  <si>
    <t>Beauty Salon 3741</t>
  </si>
  <si>
    <t>Company Beauty SL3741</t>
  </si>
  <si>
    <t>Collestrada</t>
  </si>
  <si>
    <t>Str. Centrale Umbra, 28, 06135 Collestrada PG, Italia</t>
  </si>
  <si>
    <t>055 3588939</t>
  </si>
  <si>
    <t>4,1</t>
  </si>
  <si>
    <t>Beauty Salon 3566</t>
  </si>
  <si>
    <t>Company Beauty SL3566</t>
  </si>
  <si>
    <t>Borgomanero</t>
  </si>
  <si>
    <t>Via Gozzano, 78, 28021 Borgomanero NO, Italia</t>
  </si>
  <si>
    <t>Beauty Salon 269</t>
  </si>
  <si>
    <t>Company Beauty SL269</t>
  </si>
  <si>
    <t>Napoli</t>
  </si>
  <si>
    <t>Via Eduardo Suarez, 32, 80129 Napoli, Italia</t>
  </si>
  <si>
    <t>39,77</t>
  </si>
  <si>
    <t>Beauty Salon 3052</t>
  </si>
  <si>
    <t>Company Beauty SL3052</t>
  </si>
  <si>
    <t>Via Enrico Tellini, 14, 20155 Milano, Italia</t>
  </si>
  <si>
    <t>0,39</t>
  </si>
  <si>
    <t>Beauty Salon 1774</t>
  </si>
  <si>
    <t>Company Beauty SL1774</t>
  </si>
  <si>
    <t>Vercelli</t>
  </si>
  <si>
    <t>Via Aravecchia, 12, 13100 Vercelli VC, Italia</t>
  </si>
  <si>
    <t>0393 503098</t>
  </si>
  <si>
    <t>Beauty Salon 4787</t>
  </si>
  <si>
    <t>Company Beauty SL4787</t>
  </si>
  <si>
    <t>Livorno</t>
  </si>
  <si>
    <t>Corso Amedeo, 269, 57125 Livorno LI, Italia</t>
  </si>
  <si>
    <t>30,51</t>
  </si>
  <si>
    <t>Beauty Salon 3028</t>
  </si>
  <si>
    <t>Company Beauty SL3028</t>
  </si>
  <si>
    <t>Sant Cugat del Vallès</t>
  </si>
  <si>
    <t>Passeig de Francesc Macià, 67, 08173 Sant Cugat del Vallès, Barcelona, Spagna</t>
  </si>
  <si>
    <t>B63333333</t>
  </si>
  <si>
    <t>35,29</t>
  </si>
  <si>
    <t>Beauty Salon 2853</t>
  </si>
  <si>
    <t>Company Beauty SL2853</t>
  </si>
  <si>
    <t>Casalecchio di Reno</t>
  </si>
  <si>
    <t>Via Francesco Petrarca, 11, 40033 Casalecchio di Reno BO, Italia</t>
  </si>
  <si>
    <t>0,43</t>
  </si>
  <si>
    <t>Beauty Salon 1730</t>
  </si>
  <si>
    <t>Company Beauty SL1730</t>
  </si>
  <si>
    <t>Via Lucio Elio Seiano, 105, 00174 Roma RM, Italia</t>
  </si>
  <si>
    <t>0,35</t>
  </si>
  <si>
    <t>Beauty Salon 3710</t>
  </si>
  <si>
    <t>Company Beauty SL3710</t>
  </si>
  <si>
    <t>Ferrara</t>
  </si>
  <si>
    <t>Via Giuoco del Pallone, 10, 44121 Ferrara FE, Italia</t>
  </si>
  <si>
    <t>39,95</t>
  </si>
  <si>
    <t>Beauty Salon 165</t>
  </si>
  <si>
    <t>Company Beauty SL165</t>
  </si>
  <si>
    <t>Barcelona</t>
  </si>
  <si>
    <t>Carrer de Manuel de Falla, 13, 08034 Barcelona, España</t>
  </si>
  <si>
    <t>4,75</t>
  </si>
  <si>
    <t>B66636733</t>
  </si>
  <si>
    <t>28,05</t>
  </si>
  <si>
    <t>Beauty Salon 4341</t>
  </si>
  <si>
    <t>Company Beauty SL4341</t>
  </si>
  <si>
    <t>A Coruña</t>
  </si>
  <si>
    <t>Rúa Monasterio de Caaveiro, 30, 15010 A Coruña, España</t>
  </si>
  <si>
    <t>73737677R</t>
  </si>
  <si>
    <t>10,97</t>
  </si>
  <si>
    <t>Beauty Salon 2617</t>
  </si>
  <si>
    <t>Company Beauty SL2617</t>
  </si>
  <si>
    <t>Madrid</t>
  </si>
  <si>
    <t>C. de Costanilla del Calero, 32, 28027 Madrid</t>
  </si>
  <si>
    <t>33373377A</t>
  </si>
  <si>
    <t>27,61</t>
  </si>
  <si>
    <t>Beauty Salon 2541</t>
  </si>
  <si>
    <t>Company Beauty SL2541</t>
  </si>
  <si>
    <t>Calle de Velázquez, 69, 28006 Madrid, España</t>
  </si>
  <si>
    <t>36733773M</t>
  </si>
  <si>
    <t>Beauty Salon 3621</t>
  </si>
  <si>
    <t>Company Beauty SL3621</t>
  </si>
  <si>
    <t>Arbo</t>
  </si>
  <si>
    <t>Rúa Antonia Tovar, 34, 36430 Arbo, Pontevedra, España</t>
  </si>
  <si>
    <t>76733333C</t>
  </si>
  <si>
    <t>Beauty Salon 2395</t>
  </si>
  <si>
    <t>Company Beauty SL2395</t>
  </si>
  <si>
    <t>Villena</t>
  </si>
  <si>
    <t>C. Joaquín M López, 24, 03400 Villena, Alicante, España</t>
  </si>
  <si>
    <t>77773333K</t>
  </si>
  <si>
    <t>30,52</t>
  </si>
  <si>
    <t>Beauty Salon 634</t>
  </si>
  <si>
    <t>Company Beauty SL634</t>
  </si>
  <si>
    <t>C/ de València, 306, 08009 Barcelona, España</t>
  </si>
  <si>
    <t>B67377337</t>
  </si>
  <si>
    <t>Beauty Salon 4071</t>
  </si>
  <si>
    <t>Company Beauty SL4071</t>
  </si>
  <si>
    <t>Spinea</t>
  </si>
  <si>
    <t>Via della Costituzione, 129, 30038 Spinea VE, Italia</t>
  </si>
  <si>
    <t>Beauty Salon 2483</t>
  </si>
  <si>
    <t>Company Beauty SL2483</t>
  </si>
  <si>
    <t>Via Lago di Lesina, 45, 00199 Roma RM, Italia</t>
  </si>
  <si>
    <t>38,75</t>
  </si>
  <si>
    <t>Beauty Salon 2731</t>
  </si>
  <si>
    <t>Company Beauty SL2731</t>
  </si>
  <si>
    <t>Ζωγράφου</t>
  </si>
  <si>
    <t>Γεωρ. Ζωγράφου 35, Ζωγράφου 157 72, Ελλάδα</t>
  </si>
  <si>
    <t>Beauty Salon 2540</t>
  </si>
  <si>
    <t>Company Beauty SL2540</t>
  </si>
  <si>
    <t>Κηφισιά</t>
  </si>
  <si>
    <t>Λεωφ. Κηφισίας 238, Κηφισιά 145 62, Ελλάδα</t>
  </si>
  <si>
    <t>Beauty Salon 4779</t>
  </si>
  <si>
    <t>Company Beauty SL4779</t>
  </si>
  <si>
    <t>Subiaco</t>
  </si>
  <si>
    <t>Via Papa Braschi, 10, 00028 Subiaco RM, Italia</t>
  </si>
  <si>
    <t>Beauty Salon 1646</t>
  </si>
  <si>
    <t>Company Beauty SL1646</t>
  </si>
  <si>
    <t>Via Alessandro Tadino, 29, 20124 Milano MI, Italia</t>
  </si>
  <si>
    <t>28,68</t>
  </si>
  <si>
    <t>Beauty Salon 631</t>
  </si>
  <si>
    <t>Company Beauty SL631</t>
  </si>
  <si>
    <t>Ceuta</t>
  </si>
  <si>
    <t>Calle Méndez Núñez, 8, 51001 Ceuta, España</t>
  </si>
  <si>
    <t>33333376F</t>
  </si>
  <si>
    <t>Beauty Salon 2429</t>
  </si>
  <si>
    <t>Company Beauty SL2429</t>
  </si>
  <si>
    <t>Alicante (Alacant)</t>
  </si>
  <si>
    <t>Calle Susana Llaneras, 39, 03001 Alicante (Alacant), Alicante, España</t>
  </si>
  <si>
    <t>37333667R</t>
  </si>
  <si>
    <t>40,33</t>
  </si>
  <si>
    <t>Beauty Salon 328</t>
  </si>
  <si>
    <t>Company Beauty SL328</t>
  </si>
  <si>
    <t>Via Accademia, 53, 20131 Milano MI, Italia</t>
  </si>
  <si>
    <t>Beauty Salon 1009</t>
  </si>
  <si>
    <t>Company Beauty SL1009</t>
  </si>
  <si>
    <t>Burela</t>
  </si>
  <si>
    <t>Rúa de Eijo Garay, 12, 27880 Burela, Lugo</t>
  </si>
  <si>
    <t>77776337F</t>
  </si>
  <si>
    <t>38,59</t>
  </si>
  <si>
    <t>Beauty Salon 106</t>
  </si>
  <si>
    <t>Company Beauty SL106</t>
  </si>
  <si>
    <t>Viale Jonio, 187, 00141 Roma RM, Italia</t>
  </si>
  <si>
    <t>4,8</t>
  </si>
  <si>
    <t>0,36</t>
  </si>
  <si>
    <t>Beauty Salon 4903</t>
  </si>
  <si>
    <t>Company Beauty SL4903</t>
  </si>
  <si>
    <t>Reggio Calabria</t>
  </si>
  <si>
    <t>Via Casa Savoia, 204d, 89135 Reggio Calabria RC, Italia</t>
  </si>
  <si>
    <t>39,9</t>
  </si>
  <si>
    <t>Beauty Salon 3522</t>
  </si>
  <si>
    <t>Company Beauty SL3522</t>
  </si>
  <si>
    <t>Jerez de la Frontera</t>
  </si>
  <si>
    <t>Av. los Frutos, 3, 11406 Jerez de la Frontera, Cádiz, España</t>
  </si>
  <si>
    <t>73673773Z</t>
  </si>
  <si>
    <t>43,55</t>
  </si>
  <si>
    <t>Beauty Salon 1315</t>
  </si>
  <si>
    <t>Company Beauty SL1315</t>
  </si>
  <si>
    <t>Battipaglia</t>
  </si>
  <si>
    <t>Via IV Novembre, 25, 84091 Battipaglia SA, Italia</t>
  </si>
  <si>
    <t>40,56</t>
  </si>
  <si>
    <t>Beauty Salon 2580</t>
  </si>
  <si>
    <t>Company Beauty SL2580</t>
  </si>
  <si>
    <t>Parma</t>
  </si>
  <si>
    <t>Via Vincenzo Re, 47, 43125 Parma PR, Italia</t>
  </si>
  <si>
    <t>0,4</t>
  </si>
  <si>
    <t>Beauty Salon 2339</t>
  </si>
  <si>
    <t>Company Beauty SL2339</t>
  </si>
  <si>
    <t>Calle del General Díaz Porlier, 50, 28001 Madrid, España</t>
  </si>
  <si>
    <t>X3336333G</t>
  </si>
  <si>
    <t>34,8</t>
  </si>
  <si>
    <t>Beauty Salon 2351</t>
  </si>
  <si>
    <t>Company Beauty SL2351</t>
  </si>
  <si>
    <t>Brescia</t>
  </si>
  <si>
    <t>Via Guglielmo Marconi, 2, 25128 Brescia BS, Italia</t>
  </si>
  <si>
    <t>41,46</t>
  </si>
  <si>
    <t>Beauty Salon 3213</t>
  </si>
  <si>
    <t>Company Beauty SL3213</t>
  </si>
  <si>
    <t>Montefino</t>
  </si>
  <si>
    <t>Via Rasetti, 64030 Montefino TE, Italia</t>
  </si>
  <si>
    <t>35,88</t>
  </si>
  <si>
    <t>Beauty Salon 771</t>
  </si>
  <si>
    <t>Company Beauty SL771</t>
  </si>
  <si>
    <t>L'Ametlla del Vallès</t>
  </si>
  <si>
    <t>Carrer Francesc Macià, 3, 08480 L'Ametlla del Vallès, Barcelona, España</t>
  </si>
  <si>
    <t>77367777K</t>
  </si>
  <si>
    <t>38,89</t>
  </si>
  <si>
    <t>Beauty Salon 3828</t>
  </si>
  <si>
    <t>Company Beauty SL3828</t>
  </si>
  <si>
    <t>Porta a Mare (Zona Industriale)</t>
  </si>
  <si>
    <t>Via Chiassatello, 3, 56121 Porta a Mare (Zona Industriale) PI, Italia</t>
  </si>
  <si>
    <t>Beauty Salon 4050</t>
  </si>
  <si>
    <t>Company Beauty SL4050</t>
  </si>
  <si>
    <t>Alhama de Murcia</t>
  </si>
  <si>
    <t>C. Alfonso X el Sabio, 9, 30840 Alhama de Murcia, Murcia, España</t>
  </si>
  <si>
    <t>37337773N</t>
  </si>
  <si>
    <t>36,41</t>
  </si>
  <si>
    <t>Beauty Salon 1557</t>
  </si>
  <si>
    <t>Company Beauty SL1557</t>
  </si>
  <si>
    <t>Lisboa</t>
  </si>
  <si>
    <t>Praça do Município 38, 1200-005 Lisboa, Portugal</t>
  </si>
  <si>
    <t>0,11</t>
  </si>
  <si>
    <t>Beauty Salon 2793</t>
  </si>
  <si>
    <t>Company Beauty SL2793</t>
  </si>
  <si>
    <t>Torino</t>
  </si>
  <si>
    <t>Via Valprato, 68, 10155 Torino TO, Italia</t>
  </si>
  <si>
    <t>Beauty Salon 1466</t>
  </si>
  <si>
    <t>Company Beauty SL1466</t>
  </si>
  <si>
    <t>Vergato</t>
  </si>
  <si>
    <t>Via Garibaldi, 23, 40038 Vergato BO, Italia</t>
  </si>
  <si>
    <t>Beauty Salon 1610</t>
  </si>
  <si>
    <t>Company Beauty SL1610</t>
  </si>
  <si>
    <t>San Giorgio a Cremano</t>
  </si>
  <si>
    <t>Via Botteghelle, 22, 80046 San Giorgio a Cremano NA, Italia</t>
  </si>
  <si>
    <t>27,24</t>
  </si>
  <si>
    <t>Beauty Salon 2785</t>
  </si>
  <si>
    <t>Company Beauty SL2785</t>
  </si>
  <si>
    <t>Casarano</t>
  </si>
  <si>
    <t>Via Matino, 63, 73042 Casarano LE, Italia</t>
  </si>
  <si>
    <t>Beauty Salon 668</t>
  </si>
  <si>
    <t>Company Beauty SL668</t>
  </si>
  <si>
    <t>Merano</t>
  </si>
  <si>
    <t>Via Otto Huber, 10, 39012 Merano BZ, Italia</t>
  </si>
  <si>
    <t>29,25</t>
  </si>
  <si>
    <t>Beauty Salon 2061</t>
  </si>
  <si>
    <t>Company Beauty SL2061</t>
  </si>
  <si>
    <t>Spotorno</t>
  </si>
  <si>
    <t>Via G. Garibaldi, 7, 17028 Spotorno SV, Italia</t>
  </si>
  <si>
    <t>Beauty Salon 2462</t>
  </si>
  <si>
    <t>Company Beauty SL2462</t>
  </si>
  <si>
    <t>San Severo</t>
  </si>
  <si>
    <t>Via Torquato Tasso, 25/27, 71016 San Severo FG, Italia</t>
  </si>
  <si>
    <t>20,16</t>
  </si>
  <si>
    <t>Beauty Salon 546</t>
  </si>
  <si>
    <t>Company Beauty SL546</t>
  </si>
  <si>
    <t>Str. della Repubblica, 100, 43121 Parma PR, Italia</t>
  </si>
  <si>
    <t>0,33</t>
  </si>
  <si>
    <t>Beauty Salon 1611</t>
  </si>
  <si>
    <t>Company Beauty SL1611</t>
  </si>
  <si>
    <t>Ευαλκίδου 10, Αθήνα 104 45, Ελλάδα</t>
  </si>
  <si>
    <t>42,04</t>
  </si>
  <si>
    <t>Beauty Salon 3971</t>
  </si>
  <si>
    <t>Company Beauty SL3971</t>
  </si>
  <si>
    <t>Paris</t>
  </si>
  <si>
    <t>36 Rue de Montholon, 75009 Paris, Francia</t>
  </si>
  <si>
    <t>32,8</t>
  </si>
  <si>
    <t>Beauty Salon 744</t>
  </si>
  <si>
    <t>Company Beauty SL744</t>
  </si>
  <si>
    <t>Rueil-Malmaison</t>
  </si>
  <si>
    <t>65 Rue Gallieni, 92500 Rueil-Malmaison, Francia</t>
  </si>
  <si>
    <t>Beauty Salon 1559</t>
  </si>
  <si>
    <t>Company Beauty SL1559</t>
  </si>
  <si>
    <t>Corso Lodi, 9, 20135 Milano MI, Italia</t>
  </si>
  <si>
    <t>34,27</t>
  </si>
  <si>
    <t>Beauty Salon 4751</t>
  </si>
  <si>
    <t>Company Beauty SL4751</t>
  </si>
  <si>
    <t>Barletta</t>
  </si>
  <si>
    <t>Via Enrico Fermi, 51, 76121 Barletta BT, Italy</t>
  </si>
  <si>
    <t>0,41</t>
  </si>
  <si>
    <t>Beauty Salon 4902</t>
  </si>
  <si>
    <t>Company Beauty SL4902</t>
  </si>
  <si>
    <t>Lyon</t>
  </si>
  <si>
    <t>78 Rue Ney, 69006 Lyon, France</t>
  </si>
  <si>
    <t>41,75</t>
  </si>
  <si>
    <t>Beauty Salon 1035</t>
  </si>
  <si>
    <t>Company Beauty SL1035</t>
  </si>
  <si>
    <t>39 Route de Vienne, 69007 Lyon, Francia</t>
  </si>
  <si>
    <t>39,07</t>
  </si>
  <si>
    <t>Beauty Salon 840</t>
  </si>
  <si>
    <t>Company Beauty SL840</t>
  </si>
  <si>
    <t>Nice</t>
  </si>
  <si>
    <t>3 Rue Chauvain, 06000 Nice, France</t>
  </si>
  <si>
    <t>FR33333337337</t>
  </si>
  <si>
    <t>42,68</t>
  </si>
  <si>
    <t>Beauty Salon 3548</t>
  </si>
  <si>
    <t>Company Beauty SL3548</t>
  </si>
  <si>
    <t>Benifairó de los Valles</t>
  </si>
  <si>
    <t>Carrer de Valencia, 52, 46511 Benifairó de los Valles, Valencia, España</t>
  </si>
  <si>
    <t>33777737Z</t>
  </si>
  <si>
    <t>Beauty Salon 3960</t>
  </si>
  <si>
    <t>Company Beauty SL3960</t>
  </si>
  <si>
    <t>San Mauro Torinese</t>
  </si>
  <si>
    <t>Via Martiri della Libertà, 53, 10099 San Mauro Torinese TO, Italia</t>
  </si>
  <si>
    <t>43,13</t>
  </si>
  <si>
    <t>Beauty Salon 721</t>
  </si>
  <si>
    <t>Company Beauty SL721</t>
  </si>
  <si>
    <t>Selargius</t>
  </si>
  <si>
    <t>Via Antonio Gallus, 75, 09047 Selargius CA, Italia</t>
  </si>
  <si>
    <t>Beauty Salon 531</t>
  </si>
  <si>
    <t>Company Beauty SL531</t>
  </si>
  <si>
    <t>Badia Polesine</t>
  </si>
  <si>
    <t>Via Danieli, 40, 45021 Badia Polesine RO, Italia</t>
  </si>
  <si>
    <t>0,28</t>
  </si>
  <si>
    <t>Beauty Salon 4959</t>
  </si>
  <si>
    <t>Company Beauty SL4959</t>
  </si>
  <si>
    <t>València</t>
  </si>
  <si>
    <t>Av. de Burjassot, 29, 46009 València, Valencia, España</t>
  </si>
  <si>
    <t>77366337C</t>
  </si>
  <si>
    <t>43,31</t>
  </si>
  <si>
    <t>Beauty Salon 1938</t>
  </si>
  <si>
    <t>Company Beauty SL1938</t>
  </si>
  <si>
    <t>Firenze</t>
  </si>
  <si>
    <t>Viale Francesco Petrarca, 100, 50124 Firenze FI, Italia</t>
  </si>
  <si>
    <t>Beauty Salon 4667</t>
  </si>
  <si>
    <t>Company Beauty SL4667</t>
  </si>
  <si>
    <t>Nettuno</t>
  </si>
  <si>
    <t>Via Vittorio Veneto, 24, 00048 Nettuno RM, Italia</t>
  </si>
  <si>
    <t>42,88</t>
  </si>
  <si>
    <t>Beauty Salon 1452</t>
  </si>
  <si>
    <t>Company Beauty SL1452</t>
  </si>
  <si>
    <t>Porto</t>
  </si>
  <si>
    <t>Alameda Dr. António Macedo 115, 4250-053 Porto, Portugal</t>
  </si>
  <si>
    <t>Beauty Salon 3179</t>
  </si>
  <si>
    <t>Company Beauty SL3179</t>
  </si>
  <si>
    <t>Noto</t>
  </si>
  <si>
    <t>Via Camillo Benso Conte di Cavour, 102, 96017 Noto SR, Italia</t>
  </si>
  <si>
    <t>Beauty Salon 4380</t>
  </si>
  <si>
    <t>Company Beauty SL4380</t>
  </si>
  <si>
    <t>Via Giulia, 12, 89125 Reggio Calabria RC, Italia</t>
  </si>
  <si>
    <t>43,35</t>
  </si>
  <si>
    <t>Beauty Salon 1208</t>
  </si>
  <si>
    <t>Company Beauty SL1208</t>
  </si>
  <si>
    <t>Via Lorenzo Bartolini, 49, 20155 Milano MI, Italia</t>
  </si>
  <si>
    <t>Beauty Salon 4557</t>
  </si>
  <si>
    <t>Company Beauty SL4557</t>
  </si>
  <si>
    <t>Broni</t>
  </si>
  <si>
    <t>Via Roma, 8, 27043 Broni PV, Italia</t>
  </si>
  <si>
    <t>Beauty Salon 1428</t>
  </si>
  <si>
    <t>Company Beauty SL1428</t>
  </si>
  <si>
    <t>San Bonifacio</t>
  </si>
  <si>
    <t>Via Trento, 104A, 37047 San Bonifacio VR, Italia</t>
  </si>
  <si>
    <t>Beauty Salon 4266</t>
  </si>
  <si>
    <t>Company Beauty SL4266</t>
  </si>
  <si>
    <t>Altavilla Vicentina</t>
  </si>
  <si>
    <t>Via Sovizzo, 92, 36077 Altavilla Vicentina VI, Italia</t>
  </si>
  <si>
    <t>42,36</t>
  </si>
  <si>
    <t>Beauty Salon 2265</t>
  </si>
  <si>
    <t>Company Beauty SL2265</t>
  </si>
  <si>
    <t>Sansepolcro</t>
  </si>
  <si>
    <t>Via Silvio Zanchi, 2, 52037 Sansepolcro AR, Italia</t>
  </si>
  <si>
    <t>36,75</t>
  </si>
  <si>
    <t>Beauty Salon 1078</t>
  </si>
  <si>
    <t>Company Beauty SL1078</t>
  </si>
  <si>
    <t>Padova</t>
  </si>
  <si>
    <t>Viale Arcella, 3e, 35132 Padova PD, Italia</t>
  </si>
  <si>
    <t>43,37</t>
  </si>
  <si>
    <t>Via della Rondinella, 17, 50135 Firenze FI, Italia</t>
  </si>
  <si>
    <t>Beauty Salon 4145</t>
  </si>
  <si>
    <t>Company Beauty SL4145</t>
  </si>
  <si>
    <t>Riva del Garda</t>
  </si>
  <si>
    <t>Viale Trento, 41, 38066 Riva del Garda TN, Italia</t>
  </si>
  <si>
    <t>Sant Feliu de Llobregat</t>
  </si>
  <si>
    <t>Passatge Terrassa, 3, 08980 Sant Feliu de Llobregat, Barcelona, España</t>
  </si>
  <si>
    <t>37777376P</t>
  </si>
  <si>
    <t>43,1</t>
  </si>
  <si>
    <t>Beauty Salon 1434</t>
  </si>
  <si>
    <t>Company Beauty SL1434</t>
  </si>
  <si>
    <t>Cogoleto</t>
  </si>
  <si>
    <t>Via Giuseppe Mazzini, 9/11, 16016 Cogoleto GE, Italia</t>
  </si>
  <si>
    <t>Beauty Salon 2114</t>
  </si>
  <si>
    <t>Company Beauty SL2114</t>
  </si>
  <si>
    <t>Avigliana</t>
  </si>
  <si>
    <t>Corso Laghi, 15, 10051 Avigliana TO, Italia</t>
  </si>
  <si>
    <t>Beauty Salon 1458</t>
  </si>
  <si>
    <t>Company Beauty SL1458</t>
  </si>
  <si>
    <t>Via Giovanni Bartolena, 30, 57128 Livorno LI, Italia</t>
  </si>
  <si>
    <t>36,84</t>
  </si>
  <si>
    <t>Beauty Salon 186</t>
  </si>
  <si>
    <t>Company Beauty SL186</t>
  </si>
  <si>
    <t>Cessalto</t>
  </si>
  <si>
    <t>Piazza del Santo Volto, 8, 31040 Cessalto TV, Italia</t>
  </si>
  <si>
    <t>Beauty Salon 2226</t>
  </si>
  <si>
    <t>Company Beauty SL2226</t>
  </si>
  <si>
    <t>Córdoba</t>
  </si>
  <si>
    <t>Calle Málaga, 3, 14003 Córdoba, España</t>
  </si>
  <si>
    <t>B33777733</t>
  </si>
  <si>
    <t>38,71</t>
  </si>
  <si>
    <t>Beauty Salon 571</t>
  </si>
  <si>
    <t>Company Beauty SL571</t>
  </si>
  <si>
    <t>Tuenno</t>
  </si>
  <si>
    <t>Via Vincenzo Maistrelli, 7, 38019 Tuenno TN, Italia</t>
  </si>
  <si>
    <t>Beauty Salon 1375</t>
  </si>
  <si>
    <t>Company Beauty SL1375</t>
  </si>
  <si>
    <t>Avola</t>
  </si>
  <si>
    <t>Piazza Umberto I, 31, 96012 Avola SR, Italia</t>
  </si>
  <si>
    <t>43,32</t>
  </si>
  <si>
    <t>Beauty Salon 4032</t>
  </si>
  <si>
    <t>Company Beauty SL4032</t>
  </si>
  <si>
    <t>Camaiore</t>
  </si>
  <si>
    <t>Via del Fortino, 59, 55041 Camaiore LU, Italia</t>
  </si>
  <si>
    <t>0,37</t>
  </si>
  <si>
    <t>Beauty Salon 4470</t>
  </si>
  <si>
    <t>Company Beauty SL4470</t>
  </si>
  <si>
    <t>Vicolo della Serpe, 23, 00149 Roma RM, Italia</t>
  </si>
  <si>
    <t>40,45</t>
  </si>
  <si>
    <t>Beauty Salon 1822</t>
  </si>
  <si>
    <t>Company Beauty SL1822</t>
  </si>
  <si>
    <t>Pistoia</t>
  </si>
  <si>
    <t>Via Sebastiano Ciampi, 39, 51100 Pistoia PT, Italia</t>
  </si>
  <si>
    <t>43,22</t>
  </si>
  <si>
    <t>Beauty Salon 2633</t>
  </si>
  <si>
    <t>Company Beauty SL2633</t>
  </si>
  <si>
    <t>Pamplona</t>
  </si>
  <si>
    <t>Calle Emilio Arrieta, 25, 31002 Pamplona, Navarra, España</t>
  </si>
  <si>
    <t>B73333337</t>
  </si>
  <si>
    <t>43,33</t>
  </si>
  <si>
    <t>Beauty Salon 630</t>
  </si>
  <si>
    <t>Company Beauty SL630</t>
  </si>
  <si>
    <t>Biancavilla</t>
  </si>
  <si>
    <t>Via Monte Cervino, 9, 95033 Biancavilla CT, Italia</t>
  </si>
  <si>
    <t>Beauty Salon 805</t>
  </si>
  <si>
    <t>Company Beauty SL805</t>
  </si>
  <si>
    <t>Palma</t>
  </si>
  <si>
    <t>Carrer de Miquel Capllonch, 21, 07010 Palma, Illes Balears, España</t>
  </si>
  <si>
    <t>33737376Y</t>
  </si>
  <si>
    <t>Beauty Salon 1512</t>
  </si>
  <si>
    <t>Company Beauty SL1512</t>
  </si>
  <si>
    <t>Plaza Parque de Capuchinos, 3, 11405 Jerez de la Frontera, Cádiz</t>
  </si>
  <si>
    <t>B33733373</t>
  </si>
  <si>
    <t>41,93</t>
  </si>
  <si>
    <t>Beauty Salon 3043</t>
  </si>
  <si>
    <t>Company Beauty SL3043</t>
  </si>
  <si>
    <t>Figline e Incisa Valdarno</t>
  </si>
  <si>
    <t>Via Francesco Petrarca, 54/56, 50064 Figline e Incisa Valdarno FI, Italia</t>
  </si>
  <si>
    <t>Beauty Salon 3668</t>
  </si>
  <si>
    <t>Company Beauty SL3668</t>
  </si>
  <si>
    <t>Torrejón de Ardoz</t>
  </si>
  <si>
    <t>Centro Comercial Parque Corredor, Ctra. Ajalvir Centro Comerci, s/n, 28850 Torrejón de Ardoz, Madrid</t>
  </si>
  <si>
    <t>33366363V</t>
  </si>
  <si>
    <t>39,44</t>
  </si>
  <si>
    <t>Beauty Salon 594</t>
  </si>
  <si>
    <t>Company Beauty SL594</t>
  </si>
  <si>
    <t>Πειραιάς</t>
  </si>
  <si>
    <t>Αιτωλικού 45, Πειραιάς 185 45, Ελλάδα</t>
  </si>
  <si>
    <t>Beauty Salon 4192</t>
  </si>
  <si>
    <t>Company Beauty SL4192</t>
  </si>
  <si>
    <t>Patti</t>
  </si>
  <si>
    <t>Via Giuseppe Verdi, 3, 98066 Patti ME, Italia</t>
  </si>
  <si>
    <t>42,31</t>
  </si>
  <si>
    <t>Beauty Salon 1776</t>
  </si>
  <si>
    <t>Company Beauty SL1776</t>
  </si>
  <si>
    <t>centro storico di San Salvo</t>
  </si>
  <si>
    <t>Via Trignina, 58, 66050 centro storico di San Salvo CH, Italia</t>
  </si>
  <si>
    <t>Beauty Salon 184</t>
  </si>
  <si>
    <t>Company Beauty SL184</t>
  </si>
  <si>
    <t>Antequera</t>
  </si>
  <si>
    <t>Calle Comedias, 18, 29200 Antequera, Málaga, España</t>
  </si>
  <si>
    <t>B33673333</t>
  </si>
  <si>
    <t>42,91</t>
  </si>
  <si>
    <t>Beauty Salon 2747</t>
  </si>
  <si>
    <t>Company Beauty SL2747</t>
  </si>
  <si>
    <t>Monteggio</t>
  </si>
  <si>
    <t>Via Cantonale 103, 6996 Monteggio, Svizzera</t>
  </si>
  <si>
    <t>CHE-336333337</t>
  </si>
  <si>
    <t>31,64</t>
  </si>
  <si>
    <t>Beauty Salon 2989</t>
  </si>
  <si>
    <t>Company Beauty SL2989</t>
  </si>
  <si>
    <t>Via Gian Giacomo Mora, 5, 20123 Milano MI, Italia</t>
  </si>
  <si>
    <t>43,94</t>
  </si>
  <si>
    <t>Beauty Salon 1118</t>
  </si>
  <si>
    <t>Company Beauty SL1118</t>
  </si>
  <si>
    <t>Carrer de Cecili Metel, 1, 07003 Palma, Illes Balears, España</t>
  </si>
  <si>
    <t>Y3373333P</t>
  </si>
  <si>
    <t>38,62</t>
  </si>
  <si>
    <t>Beauty Salon 4123</t>
  </si>
  <si>
    <t>Company Beauty SL4123</t>
  </si>
  <si>
    <t>Via Giuseppe Orsi, 46, 80128 Napoli NA, Italia</t>
  </si>
  <si>
    <t>41,56</t>
  </si>
  <si>
    <t>Via Nizza, 142, 10126 Torino TO, Italia</t>
  </si>
  <si>
    <t>0,14</t>
  </si>
  <si>
    <t>Beauty Salon 817</t>
  </si>
  <si>
    <t>Company Beauty SL817</t>
  </si>
  <si>
    <t>Domodossola</t>
  </si>
  <si>
    <t>Via Luigi Cadorna, 38, 28845 Domodossola VB, Italia</t>
  </si>
  <si>
    <t>43,98</t>
  </si>
  <si>
    <t>Beauty Salon 113</t>
  </si>
  <si>
    <t>Company Beauty SL113</t>
  </si>
  <si>
    <t>Av. del Dr. Federico Rubio y Galí, 104, 28040 Madrid, España</t>
  </si>
  <si>
    <t>33376377K</t>
  </si>
  <si>
    <t>43,82</t>
  </si>
  <si>
    <t>Beauty Salon 3774</t>
  </si>
  <si>
    <t>Company Beauty SL3774</t>
  </si>
  <si>
    <t>Lecce</t>
  </si>
  <si>
    <t>Via Giuseppe Giusti, 47, 73100 Lecce LE, Italia</t>
  </si>
  <si>
    <t>40,46</t>
  </si>
  <si>
    <t>Beauty Salon 3832</t>
  </si>
  <si>
    <t>Company Beauty SL3832</t>
  </si>
  <si>
    <t>Savona</t>
  </si>
  <si>
    <t>Via Milano, 50r, 17100 Savona SV, Italia</t>
  </si>
  <si>
    <t>23,25</t>
  </si>
  <si>
    <t>Beauty Salon 549</t>
  </si>
  <si>
    <t>Company Beauty SL549</t>
  </si>
  <si>
    <t>Via Luigi Bodio, 49, 00191 Roma RM, Italia</t>
  </si>
  <si>
    <t>Beauty Salon 4593</t>
  </si>
  <si>
    <t>Company Beauty SL4593</t>
  </si>
  <si>
    <t>Formigine</t>
  </si>
  <si>
    <t>Via Battezzate, 27, 41043 Formigine MO, Italia</t>
  </si>
  <si>
    <t>Beauty Salon 3680</t>
  </si>
  <si>
    <t>Company Beauty SL3680</t>
  </si>
  <si>
    <t>Via Candido Viberti, 31, 10141 Torino TO, Italia</t>
  </si>
  <si>
    <t>41,55</t>
  </si>
  <si>
    <t>Beauty Salon 3690</t>
  </si>
  <si>
    <t>Company Beauty SL3690</t>
  </si>
  <si>
    <t>Murcia</t>
  </si>
  <si>
    <t>Av. Europa, 4, 30007 Murcia, España</t>
  </si>
  <si>
    <t>B73373333</t>
  </si>
  <si>
    <t>43,69</t>
  </si>
  <si>
    <t>Beauty Salon 2529</t>
  </si>
  <si>
    <t>Company Beauty SL2529</t>
  </si>
  <si>
    <t>Catanzaro</t>
  </si>
  <si>
    <t>Via Merante Vincenzo Padre, 11B, 88100 Catanzaro CZ, Italia</t>
  </si>
  <si>
    <t>41,83</t>
  </si>
  <si>
    <t>Beauty Salon 3292</t>
  </si>
  <si>
    <t>Company Beauty SL3292</t>
  </si>
  <si>
    <t>Elda</t>
  </si>
  <si>
    <t>Av. de Madrid, 3, 03610 Elda, Alicante, España</t>
  </si>
  <si>
    <t>B33776733</t>
  </si>
  <si>
    <t>44,08</t>
  </si>
  <si>
    <t>Beauty Salon 2822</t>
  </si>
  <si>
    <t>Company Beauty SL2822</t>
  </si>
  <si>
    <t>Bronte</t>
  </si>
  <si>
    <t>Via Scorpione, 5, 95034 Bronte CT, Italia</t>
  </si>
  <si>
    <t>Beauty Salon 3010</t>
  </si>
  <si>
    <t>Company Beauty SL3010</t>
  </si>
  <si>
    <t>Taranto</t>
  </si>
  <si>
    <t>Via Lago Trasimeno, 2, 74121 Taranto TA, Italia</t>
  </si>
  <si>
    <t>43,07</t>
  </si>
  <si>
    <t>Beauty Salon 1576</t>
  </si>
  <si>
    <t>Company Beauty SL1576</t>
  </si>
  <si>
    <t>Abbiategrasso</t>
  </si>
  <si>
    <t>Piazza Cinque Giornate, 23, 20081 Abbiategrasso MI, Italia</t>
  </si>
  <si>
    <t>36,47</t>
  </si>
  <si>
    <t>Beauty Salon 1771</t>
  </si>
  <si>
    <t>Company Beauty SL1771</t>
  </si>
  <si>
    <t>Calle de Serrano, 15, 28001 Madrid, España</t>
  </si>
  <si>
    <t>B37333337</t>
  </si>
  <si>
    <t>Beauty Salon 2678</t>
  </si>
  <si>
    <t>Company Beauty SL2678</t>
  </si>
  <si>
    <t>Cuneo</t>
  </si>
  <si>
    <t>Via XXXIII Reggimento Fanteria, 1, 12100 Cuneo CN, Italia</t>
  </si>
  <si>
    <t>Beauty Salon 925</t>
  </si>
  <si>
    <t>Company Beauty SL925</t>
  </si>
  <si>
    <t>Via Lucca, 31, 00161 Roma RM, Italia</t>
  </si>
  <si>
    <t>40,24</t>
  </si>
  <si>
    <t>Beauty Salon 4490</t>
  </si>
  <si>
    <t>Company Beauty SL4490</t>
  </si>
  <si>
    <t>Σητεία</t>
  </si>
  <si>
    <t>Βιτσέντζου Κορνάρου 11, Σητεία 723 00, Ελλάδα</t>
  </si>
  <si>
    <t>0,29</t>
  </si>
  <si>
    <t>Beauty Salon 2789</t>
  </si>
  <si>
    <t>Company Beauty SL2789</t>
  </si>
  <si>
    <t>Via della Riserva Nuova, 294, 00132 Roma RM, Italia</t>
  </si>
  <si>
    <t>Beauty Salon 1026</t>
  </si>
  <si>
    <t>Company Beauty SL1026</t>
  </si>
  <si>
    <t>Ispica</t>
  </si>
  <si>
    <t>Via Giuseppe Mazzini, 39, 97014 Ispica RG, Italia</t>
  </si>
  <si>
    <t>Beauty Salon 1336</t>
  </si>
  <si>
    <t>Company Beauty SL1336</t>
  </si>
  <si>
    <t>Giugliano in Campania</t>
  </si>
  <si>
    <t>Via Roma, 51, 80014 Giugliano in Campania NA, Italia</t>
  </si>
  <si>
    <t>Beauty Salon 3392</t>
  </si>
  <si>
    <t>Company Beauty SL3392</t>
  </si>
  <si>
    <t>Caserta</t>
  </si>
  <si>
    <t>Via Gianfrancesco Alois, 16, 81100 Caserta CE, Italia</t>
  </si>
  <si>
    <t>Beauty Salon 3527</t>
  </si>
  <si>
    <t>Company Beauty SL3527</t>
  </si>
  <si>
    <t>Via dell'Epomeo, 488/490, 80126 Napoli NA, Italia</t>
  </si>
  <si>
    <t>0,26</t>
  </si>
  <si>
    <t>Beauty Salon 4263</t>
  </si>
  <si>
    <t>Company Beauty SL4263</t>
  </si>
  <si>
    <t>Fidenza</t>
  </si>
  <si>
    <t>Via Benedetto Bacchini, 18, 43036 Fidenza PR, Italia</t>
  </si>
  <si>
    <t>Beauty Salon 2064</t>
  </si>
  <si>
    <t>Company Beauty SL2064</t>
  </si>
  <si>
    <t>Via delle Quattro Fontane, 111, 00184 Roma RM, Italia</t>
  </si>
  <si>
    <t>Calle de Melilla, 43, 28005 Madrid, España</t>
  </si>
  <si>
    <t>B33333733</t>
  </si>
  <si>
    <t>39,91</t>
  </si>
  <si>
    <t>Beauty Salon 4987</t>
  </si>
  <si>
    <t>Company Beauty SL4987</t>
  </si>
  <si>
    <t>Via Francesco de Sanctis, 33, 20141 Milano MI, Italia</t>
  </si>
  <si>
    <t>Beauty Salon 102</t>
  </si>
  <si>
    <t>Company Beauty SL102</t>
  </si>
  <si>
    <t>Pomigliano d'Arco</t>
  </si>
  <si>
    <t>Via Felice Terracciano, 100, 80038 Pomigliano d'Arco NA, Italia</t>
  </si>
  <si>
    <t>Beauty Salon 4693</t>
  </si>
  <si>
    <t>Company Beauty SL4693</t>
  </si>
  <si>
    <t>Calle de Coslada, 12, 28028 Madrid, España</t>
  </si>
  <si>
    <t>Y7337373P</t>
  </si>
  <si>
    <t>41,86</t>
  </si>
  <si>
    <t>Beauty Salon 4285</t>
  </si>
  <si>
    <t>Company Beauty SL4285</t>
  </si>
  <si>
    <t>Albissola Marina</t>
  </si>
  <si>
    <t>Corso Baldovino Bigliati, 112, 17012 Albissola Marina SV, Italia</t>
  </si>
  <si>
    <t>35,5</t>
  </si>
  <si>
    <t>Beauty Salon 4661</t>
  </si>
  <si>
    <t>Company Beauty SL4661</t>
  </si>
  <si>
    <t>C/ d'Almassora, 40, 46010 València, Valencia, España</t>
  </si>
  <si>
    <t>33373367L</t>
  </si>
  <si>
    <t>42,9</t>
  </si>
  <si>
    <t>Beauty Salon 2468</t>
  </si>
  <si>
    <t>Company Beauty SL2468</t>
  </si>
  <si>
    <t>Cingoli</t>
  </si>
  <si>
    <t>Via Amici della Marca, 1, 62011 Cingoli MC, Italia</t>
  </si>
  <si>
    <t>32,77</t>
  </si>
  <si>
    <t>Beauty Salon 1887</t>
  </si>
  <si>
    <t>Company Beauty SL1887</t>
  </si>
  <si>
    <t>Manziana</t>
  </si>
  <si>
    <t>Via S. Francesco D'Assisi, 16, 00066 Manziana RM, Italia</t>
  </si>
  <si>
    <t>Beauty Salon 3883</t>
  </si>
  <si>
    <t>Company Beauty SL3883</t>
  </si>
  <si>
    <t>San Felice Circeo</t>
  </si>
  <si>
    <t>Viale Regina Elena, 58, 04017 San Felice Circeo LT, Italia</t>
  </si>
  <si>
    <t>Beauty Salon 1137</t>
  </si>
  <si>
    <t>Company Beauty SL1137</t>
  </si>
  <si>
    <t>Via Aurelia, 430, 00165 Roma RM, Italia</t>
  </si>
  <si>
    <t>Beauty Salon 1191</t>
  </si>
  <si>
    <t>Company Beauty SL1191</t>
  </si>
  <si>
    <t>Albiano D'ivrea</t>
  </si>
  <si>
    <t>Corso Vittorio Emanuele, 22, 10010 Albiano D'ivrea TO, Italia</t>
  </si>
  <si>
    <t>Beauty Salon 1477</t>
  </si>
  <si>
    <t>Company Beauty SL1477</t>
  </si>
  <si>
    <t>Offanengo</t>
  </si>
  <si>
    <t>via A.de Gasperi, 48, 26010 Offanengo CR, Italia</t>
  </si>
  <si>
    <t>0,24</t>
  </si>
  <si>
    <t>Beauty Salon 730</t>
  </si>
  <si>
    <t>Company Beauty SL730</t>
  </si>
  <si>
    <t>Badalona</t>
  </si>
  <si>
    <t>Carrer del Canonge Baranera, 80, 08911 Badalona, Barcelona, España</t>
  </si>
  <si>
    <t>Y3336336V</t>
  </si>
  <si>
    <t>Beauty Salon 1526</t>
  </si>
  <si>
    <t>Company Beauty SL1526</t>
  </si>
  <si>
    <t>Calle Rodríguez Marín, 78, 28002 Madrid, España</t>
  </si>
  <si>
    <t>Y3336733J</t>
  </si>
  <si>
    <t>41,05</t>
  </si>
  <si>
    <t>Beauty Salon 2514</t>
  </si>
  <si>
    <t>Company Beauty SL2514</t>
  </si>
  <si>
    <t>Castellammare di Stabia</t>
  </si>
  <si>
    <t>Via del Pittore Ignoto, 3, 80053 Castellammare di Stabia NA, Italia</t>
  </si>
  <si>
    <t>Beauty Salon 519</t>
  </si>
  <si>
    <t>Company Beauty SL519</t>
  </si>
  <si>
    <t>Via Maurizio De Vito Piscicelli, 3, 80128 Napoli NA, Italia</t>
  </si>
  <si>
    <t>0,23</t>
  </si>
  <si>
    <t>Beauty Salon 760</t>
  </si>
  <si>
    <t>Company Beauty SL760</t>
  </si>
  <si>
    <t>Oviedo</t>
  </si>
  <si>
    <t>Calle Carreño, 7, 33012 Oviedo, Asturias, España</t>
  </si>
  <si>
    <t>73337363T</t>
  </si>
  <si>
    <t>Beauty Salon 2287</t>
  </si>
  <si>
    <t>Company Beauty SL2287</t>
  </si>
  <si>
    <t>Riccione</t>
  </si>
  <si>
    <t>Viale Portofino, 26, 47838 Riccione RN, Italia</t>
  </si>
  <si>
    <t>38,07</t>
  </si>
  <si>
    <t>Beauty Salon 4577</t>
  </si>
  <si>
    <t>Company Beauty SL4577</t>
  </si>
  <si>
    <t>Schiavonea</t>
  </si>
  <si>
    <t>Via dei Gladioli, 12, 87064 Schiavonea CS, Italia</t>
  </si>
  <si>
    <t>Beauty Salon 1800</t>
  </si>
  <si>
    <t>Company Beauty SL1800</t>
  </si>
  <si>
    <t>Via Tolosetto Farinati degli Uberti, 9b, 37126 Verona VR, Italia</t>
  </si>
  <si>
    <t>3,5</t>
  </si>
  <si>
    <t>14,4</t>
  </si>
  <si>
    <t>Beauty Salon 3521</t>
  </si>
  <si>
    <t>Company Beauty SL3521</t>
  </si>
  <si>
    <t>Novara</t>
  </si>
  <si>
    <t>Via Giancarlo Maggi, 2, 28100 Novara NO, Italia</t>
  </si>
  <si>
    <t>0,32</t>
  </si>
  <si>
    <t>Beauty Salon 1653</t>
  </si>
  <si>
    <t>Company Beauty SL1653</t>
  </si>
  <si>
    <t>Casamassima</t>
  </si>
  <si>
    <t>Via Pietà, 79D, 70010 Casamassima BA, Italia</t>
  </si>
  <si>
    <t>40,79</t>
  </si>
  <si>
    <t>Beauty Salon 273</t>
  </si>
  <si>
    <t>Company Beauty SL273</t>
  </si>
  <si>
    <t>Via Matteo Albertini, 1, 37131 Verona VR, Italia</t>
  </si>
  <si>
    <t>Beauty Salon 1707</t>
  </si>
  <si>
    <t>Company Beauty SL1707</t>
  </si>
  <si>
    <t>109 Boulevard de la Croix-Rousse, 69004 Lyon, France</t>
  </si>
  <si>
    <t>FR37377373337</t>
  </si>
  <si>
    <t>24,71</t>
  </si>
  <si>
    <t>Beauty Salon 3950</t>
  </si>
  <si>
    <t>Company Beauty SL3950</t>
  </si>
  <si>
    <t>Somma Vesuviana</t>
  </si>
  <si>
    <t>Via Mercato Vecchio, 61, 80049 Somma Vesuviana NA, Italia</t>
  </si>
  <si>
    <t>Beauty Salon 1257</t>
  </si>
  <si>
    <t>Company Beauty SL1257</t>
  </si>
  <si>
    <t>Saluzzo</t>
  </si>
  <si>
    <t>Via Cuneo, 4, 12037 Saluzzo CN, Italia</t>
  </si>
  <si>
    <t>Beauty Salon 1486</t>
  </si>
  <si>
    <t>Company Beauty SL1486</t>
  </si>
  <si>
    <t>Quiers</t>
  </si>
  <si>
    <t>30 Rue de Saint-Martin, 77720 Quiers, France</t>
  </si>
  <si>
    <t>4,95</t>
  </si>
  <si>
    <t>40,36</t>
  </si>
  <si>
    <t>Beauty Salon 2606</t>
  </si>
  <si>
    <t>Company Beauty SL2606</t>
  </si>
  <si>
    <t>75 Rue Claude Decaen, 75012 Paris, France</t>
  </si>
  <si>
    <t>Beauty Salon 3482</t>
  </si>
  <si>
    <t>Company Beauty SL3482</t>
  </si>
  <si>
    <t>5 Rue de La Jonquière, 75017 Paris, France</t>
  </si>
  <si>
    <t>FR33373337737</t>
  </si>
  <si>
    <t>0,15</t>
  </si>
  <si>
    <t>Beauty Salon 3928</t>
  </si>
  <si>
    <t>Company Beauty SL3928</t>
  </si>
  <si>
    <t>Borgo Ognissanti, 106R, 50123 Firenze FI, Italia</t>
  </si>
  <si>
    <t>Beauty Salon 1882</t>
  </si>
  <si>
    <t>Company Beauty SL1882</t>
  </si>
  <si>
    <t>Zaragoza</t>
  </si>
  <si>
    <t>Calle Tomas Breton, 40, 50005 Zaragoza, España</t>
  </si>
  <si>
    <t>333337377G</t>
  </si>
  <si>
    <t>44,07</t>
  </si>
  <si>
    <t>Beauty Salon 1714</t>
  </si>
  <si>
    <t>Company Beauty SL1714</t>
  </si>
  <si>
    <t>Via della Cava Aurelia, 147, 00165 Roma RM, Italia</t>
  </si>
  <si>
    <t>Beauty Salon 1416</t>
  </si>
  <si>
    <t>Company Beauty SL1416</t>
  </si>
  <si>
    <t>Les Essarts-le-Roi</t>
  </si>
  <si>
    <t>1 Rés Parc des Essarts, 78690 Les Essarts-le-Roi, France</t>
  </si>
  <si>
    <t>FR3377737737</t>
  </si>
  <si>
    <t>Beauty Salon 4347</t>
  </si>
  <si>
    <t>Company Beauty SL4347</t>
  </si>
  <si>
    <t>Vicenza</t>
  </si>
  <si>
    <t>Via Generale Carlo Alberto dalla Chiesa, 173, 36100 Vicenza VI, Italia</t>
  </si>
  <si>
    <t>Beauty Salon 4099</t>
  </si>
  <si>
    <t>Company Beauty SL4099</t>
  </si>
  <si>
    <t>Ozieri</t>
  </si>
  <si>
    <t>Via Umberto I, 62, 07014 Ozieri SS</t>
  </si>
  <si>
    <t>40,48</t>
  </si>
  <si>
    <t>Beauty Salon 2370</t>
  </si>
  <si>
    <t>Company Beauty SL2370</t>
  </si>
  <si>
    <t>Petrer</t>
  </si>
  <si>
    <t>Av. Reina Sofia, 13, 03610 Petrer, Alicante, España</t>
  </si>
  <si>
    <t>30,46</t>
  </si>
  <si>
    <t>Beauty Salon 3209</t>
  </si>
  <si>
    <t>Company Beauty SL3209</t>
  </si>
  <si>
    <t>Chieti</t>
  </si>
  <si>
    <t>Via Ortona, 9, 66100 Chieti CH, Italia</t>
  </si>
  <si>
    <t>Beauty Salon 2868</t>
  </si>
  <si>
    <t>Company Beauty SL2868</t>
  </si>
  <si>
    <t>Castelnuovo del Garda</t>
  </si>
  <si>
    <t>Via Trento, 46, 37014 Castelnuovo del Garda VR, Italia</t>
  </si>
  <si>
    <t>Beauty Salon 2566</t>
  </si>
  <si>
    <t>Company Beauty SL2566</t>
  </si>
  <si>
    <t>Borriana</t>
  </si>
  <si>
    <t>Carrer la Carrera, 36, 12530 Borriana, Castelló, España</t>
  </si>
  <si>
    <t>33737363R</t>
  </si>
  <si>
    <t>42,01</t>
  </si>
  <si>
    <t>Beauty Salon 2613</t>
  </si>
  <si>
    <t>Company Beauty SL2613</t>
  </si>
  <si>
    <t>Conflans-Sainte-Honorine</t>
  </si>
  <si>
    <t>18 Pl. de la Liberté, 78700 Conflans-Sainte-Honorine, France</t>
  </si>
  <si>
    <t>FR73377333773</t>
  </si>
  <si>
    <t>Beauty Salon 1172</t>
  </si>
  <si>
    <t>Company Beauty SL1172</t>
  </si>
  <si>
    <t>17ης Νοεμβρίου 6, Εύοσμος 562 24, Ελλάδα</t>
  </si>
  <si>
    <t>Beauty Salon 4437</t>
  </si>
  <si>
    <t>Company Beauty SL4437</t>
  </si>
  <si>
    <t>Via Lombardia, 00187 Roma RM, Italia</t>
  </si>
  <si>
    <t>Beauty Salon 3799</t>
  </si>
  <si>
    <t>Company Beauty SL3799</t>
  </si>
  <si>
    <t>Rúa Fuente Álamo, 15, 15010 A Coruña</t>
  </si>
  <si>
    <t>B36373376</t>
  </si>
  <si>
    <t>Beauty Salon 387</t>
  </si>
  <si>
    <t>Company Beauty SL387</t>
  </si>
  <si>
    <t>Carrer de Ricart, 32, 08004 Barcelona, España</t>
  </si>
  <si>
    <t>X7733333V</t>
  </si>
  <si>
    <t>Beauty Salon 2047</t>
  </si>
  <si>
    <t>Company Beauty SL2047</t>
  </si>
  <si>
    <t>Jaca</t>
  </si>
  <si>
    <t>Av. Zaragoza, 32, 22700 Jaca, Huesca, España</t>
  </si>
  <si>
    <t>73773737R</t>
  </si>
  <si>
    <t>Beauty Salon 1812</t>
  </si>
  <si>
    <t>Company Beauty SL1812</t>
  </si>
  <si>
    <t>Cagliari</t>
  </si>
  <si>
    <t>Via Enrico Pessina, 3, 09125 Cagliari CA, Italia</t>
  </si>
  <si>
    <t>Beauty Salon 4523</t>
  </si>
  <si>
    <t>Company Beauty SL4523</t>
  </si>
  <si>
    <t>Via Eduardo Nicolardi, 192, 80131 Napoli NA, Italia</t>
  </si>
  <si>
    <t>41,4</t>
  </si>
  <si>
    <t>Beauty Salon 4772</t>
  </si>
  <si>
    <t>Company Beauty SL4772</t>
  </si>
  <si>
    <t>Μαρούσι</t>
  </si>
  <si>
    <t>Μητροπόλεως 43, Μαρούσι 151 24, Ελλάδα</t>
  </si>
  <si>
    <t>Beauty Salon 4985</t>
  </si>
  <si>
    <t>Company Beauty SL4985</t>
  </si>
  <si>
    <t>Άγιος Δημήτριος Αττικής</t>
  </si>
  <si>
    <t>Μπουμπουλίνας 10, Αγ. Δημήτριος Αττικής 173 43, Ελλάδα</t>
  </si>
  <si>
    <t>41,34</t>
  </si>
  <si>
    <t>Beauty Salon 3353</t>
  </si>
  <si>
    <t>Company Beauty SL3353</t>
  </si>
  <si>
    <t>Sissa Trecasali</t>
  </si>
  <si>
    <t>Piazza G. Picelli, 11, 43018 Sissa Trecasali PR, Italia</t>
  </si>
  <si>
    <t>Beauty Salon 1546</t>
  </si>
  <si>
    <t>Company Beauty SL1546</t>
  </si>
  <si>
    <t>C. de Vinaroz, 6, 28002 Madrid, España</t>
  </si>
  <si>
    <t>2,5</t>
  </si>
  <si>
    <t>Y7737737N</t>
  </si>
  <si>
    <t>9,26</t>
  </si>
  <si>
    <t>Beauty Salon 4748</t>
  </si>
  <si>
    <t>Company Beauty SL4748</t>
  </si>
  <si>
    <t>Viale Col di Lana, 12, 20136 Milano MI, Italia</t>
  </si>
  <si>
    <t>41,17</t>
  </si>
  <si>
    <t>Beauty Salon 3472</t>
  </si>
  <si>
    <t>Company Beauty SL3472</t>
  </si>
  <si>
    <t>Siracusa</t>
  </si>
  <si>
    <t>Via Luigi Spagna, 81/83, 96100 Siracusa SR, Italia</t>
  </si>
  <si>
    <t>Beauty Salon 3716</t>
  </si>
  <si>
    <t>Company Beauty SL3716</t>
  </si>
  <si>
    <t>Via Prenestina, 394f, 00171 Roma RM, Italia</t>
  </si>
  <si>
    <t>38,7</t>
  </si>
  <si>
    <t>Beauty Salon 138</t>
  </si>
  <si>
    <t>Company Beauty SL138</t>
  </si>
  <si>
    <t>San Cristóbal de La Laguna</t>
  </si>
  <si>
    <t>C. Pablo Iglesias, 22, 38203 San Cristóbal de La Laguna, Santa Cruz de Tenerife, España</t>
  </si>
  <si>
    <t>73377377X</t>
  </si>
  <si>
    <t>Beauty Salon 558</t>
  </si>
  <si>
    <t>Company Beauty SL558</t>
  </si>
  <si>
    <t>Sant Antoni de Portmany</t>
  </si>
  <si>
    <t>Carrer de Cervantes, 38, 07820 Sant Antoni de Portmany, Illes Balears, España</t>
  </si>
  <si>
    <t>37333337T</t>
  </si>
  <si>
    <t>Beauty Salon 2866</t>
  </si>
  <si>
    <t>Company Beauty SL2866</t>
  </si>
  <si>
    <t>Via Luigi Settembrini, 2, 20124 Milano MI, Italia</t>
  </si>
  <si>
    <t>Beauty Salon 1056</t>
  </si>
  <si>
    <t>Company Beauty SL1056</t>
  </si>
  <si>
    <t>Casavatore</t>
  </si>
  <si>
    <t>Corso Europa, 130, 80020 Casavatore NA, Italy</t>
  </si>
  <si>
    <t>37,78</t>
  </si>
  <si>
    <t>Beauty Salon 2282</t>
  </si>
  <si>
    <t>Company Beauty SL2282</t>
  </si>
  <si>
    <t>Lliçà de Vall</t>
  </si>
  <si>
    <t>Plaça de la Vila, 2, 08150 Lliçà de Vall, Barcelona, España</t>
  </si>
  <si>
    <t>X7336633N</t>
  </si>
  <si>
    <t>39,87</t>
  </si>
  <si>
    <t>Beauty Salon 1971</t>
  </si>
  <si>
    <t>Company Beauty SL1971</t>
  </si>
  <si>
    <t>4 Rue Poirier de Narçay, 75014 Paris, France</t>
  </si>
  <si>
    <t>FR33373337337</t>
  </si>
  <si>
    <t>11,02</t>
  </si>
  <si>
    <t>Beauty Salon 741</t>
  </si>
  <si>
    <t>Company Beauty SL741</t>
  </si>
  <si>
    <t>La Coruña</t>
  </si>
  <si>
    <t>Rda. de Outeiro, 255, 15010 La Coruña, España</t>
  </si>
  <si>
    <t>73773333N</t>
  </si>
  <si>
    <t>39,47</t>
  </si>
  <si>
    <t>Beauty Salon 220</t>
  </si>
  <si>
    <t>Company Beauty SL220</t>
  </si>
  <si>
    <t>Calle del Gral Oraá, 59, 28006 Madrid, España</t>
  </si>
  <si>
    <t>Y3373337S</t>
  </si>
  <si>
    <t>37,94</t>
  </si>
  <si>
    <t>Beauty Salon 3399</t>
  </si>
  <si>
    <t>Company Beauty SL3399</t>
  </si>
  <si>
    <t>C. de Padilla, 5, 28006 Madrid, España</t>
  </si>
  <si>
    <t>B77337333</t>
  </si>
  <si>
    <t>40,88</t>
  </si>
  <si>
    <t>Beauty Salon 3280</t>
  </si>
  <si>
    <t>Company Beauty SL3280</t>
  </si>
  <si>
    <t>Oleiros</t>
  </si>
  <si>
    <t>Rúa do Peneireiro, 1, 15178 Oleiros, A Coruña, España</t>
  </si>
  <si>
    <t>Y7377373J</t>
  </si>
  <si>
    <t>Beauty Salon 4890</t>
  </si>
  <si>
    <t>Company Beauty SL4890</t>
  </si>
  <si>
    <t>Huesca</t>
  </si>
  <si>
    <t>C. Mesnaderos, 8, 22003 Huesca</t>
  </si>
  <si>
    <t>Y3377363T</t>
  </si>
  <si>
    <t>39,33</t>
  </si>
  <si>
    <t>Beauty Salon 698</t>
  </si>
  <si>
    <t>Company Beauty SL698</t>
  </si>
  <si>
    <t>Masquefa</t>
  </si>
  <si>
    <t>Carrer Serralet, 92, 08783 Masquefa, Barcelona, España</t>
  </si>
  <si>
    <t>37677336K</t>
  </si>
  <si>
    <t>16,12</t>
  </si>
  <si>
    <t>Beauty Salon 461</t>
  </si>
  <si>
    <t>Company Beauty SL461</t>
  </si>
  <si>
    <t>C. de San Millán, 5, 28012 Madrid, España</t>
  </si>
  <si>
    <t>B33733333</t>
  </si>
  <si>
    <t>34,15</t>
  </si>
  <si>
    <t>Beauty Salon 2150</t>
  </si>
  <si>
    <t>Company Beauty SL2150</t>
  </si>
  <si>
    <t>Logroño</t>
  </si>
  <si>
    <t>Av. Gonzalo de Berceo, 26, 26005 Logroño, La Rioja, España</t>
  </si>
  <si>
    <t>X3333333C</t>
  </si>
  <si>
    <t>29,8</t>
  </si>
  <si>
    <t>Beauty Salon 2506</t>
  </si>
  <si>
    <t>Company Beauty SL2506</t>
  </si>
  <si>
    <t>Badajoz</t>
  </si>
  <si>
    <t>Av. de Cristobal Colón, 18, 06005 Badajoz, España</t>
  </si>
  <si>
    <t>E67733367</t>
  </si>
  <si>
    <t>25,67</t>
  </si>
  <si>
    <t>Beauty Salon 122</t>
  </si>
  <si>
    <t>Company Beauty SL122</t>
  </si>
  <si>
    <t>C. de Mallorca, 277, 08037 Barcelona, España</t>
  </si>
  <si>
    <t>33336737T</t>
  </si>
  <si>
    <t>Beauty Salon 971</t>
  </si>
  <si>
    <t>Company Beauty SL971</t>
  </si>
  <si>
    <t>Sant Andreu Salou</t>
  </si>
  <si>
    <t>Can Mas Nou, 74, Veïnat de les Bosques, 17454 Sant Andreu Salou, Girona, España</t>
  </si>
  <si>
    <t>33377337K</t>
  </si>
  <si>
    <t>42,59</t>
  </si>
  <si>
    <t>Beauty Salon 1885</t>
  </si>
  <si>
    <t>Company Beauty SL1885</t>
  </si>
  <si>
    <t>C. de Mota del Cuervo, 8, 28043 Madrid, España</t>
  </si>
  <si>
    <t>B33773337</t>
  </si>
  <si>
    <t>34,5</t>
  </si>
  <si>
    <t>Beauty Salon 2836</t>
  </si>
  <si>
    <t>Company Beauty SL2836</t>
  </si>
  <si>
    <t>L'Hospitalet de Llobregat</t>
  </si>
  <si>
    <t>C. de la Ermita de Bellvitge, 21, 29, 08907 L'Hospitalet de Llobregat, Barcelona, España</t>
  </si>
  <si>
    <t>Y3333333Z</t>
  </si>
  <si>
    <t>Beauty Salon 3001</t>
  </si>
  <si>
    <t>Company Beauty SL3001</t>
  </si>
  <si>
    <t>Jaén</t>
  </si>
  <si>
    <t>C. San Francisco Javier, 23006 Jaén, España</t>
  </si>
  <si>
    <t>77777376Y</t>
  </si>
  <si>
    <t>36,33</t>
  </si>
  <si>
    <t>Beauty Salon 3185</t>
  </si>
  <si>
    <t>Company Beauty SL3185</t>
  </si>
  <si>
    <t>Móstoles</t>
  </si>
  <si>
    <t>C. Río Tormes, 17, 28935 Móstoles, Madrid, España</t>
  </si>
  <si>
    <t>33737777T</t>
  </si>
  <si>
    <t>Beauty Salon 2328</t>
  </si>
  <si>
    <t>Company Beauty SL2328</t>
  </si>
  <si>
    <t>Paterna</t>
  </si>
  <si>
    <t>Carrer de Sant Agustí, 2, 46980 Paterna, Valencia, España</t>
  </si>
  <si>
    <t>33733363F</t>
  </si>
  <si>
    <t>Beauty Salon 3359</t>
  </si>
  <si>
    <t>Company Beauty SL3359</t>
  </si>
  <si>
    <t>Granada</t>
  </si>
  <si>
    <t>C. Emperatriz Eugenia, 17, 18002 Granada, España</t>
  </si>
  <si>
    <t>B67733767</t>
  </si>
  <si>
    <t>36,85</t>
  </si>
  <si>
    <t>C/ d'Aragó, 458, 08013 Barcelona, España</t>
  </si>
  <si>
    <t>37733363D</t>
  </si>
  <si>
    <t>Beauty Salon 1829</t>
  </si>
  <si>
    <t>Company Beauty SL1829</t>
  </si>
  <si>
    <t>C. de Sierra Toledana, 19, 28038 Madrid, España</t>
  </si>
  <si>
    <t>36373333R</t>
  </si>
  <si>
    <t>Beauty Salon 4173</t>
  </si>
  <si>
    <t>Company Beauty SL4173</t>
  </si>
  <si>
    <t>Carrer de Vilamarí, 26, 08015 Barcelona, España</t>
  </si>
  <si>
    <t>37333337Y</t>
  </si>
  <si>
    <t>Beauty Salon 4725</t>
  </si>
  <si>
    <t>Company Beauty SL4725</t>
  </si>
  <si>
    <t>C. de Gabriel Lobo, 18, 28002 Madrid, España</t>
  </si>
  <si>
    <t>B67733337</t>
  </si>
  <si>
    <t>28,27</t>
  </si>
  <si>
    <t>Beauty Salon 4688</t>
  </si>
  <si>
    <t>Company Beauty SL4688</t>
  </si>
  <si>
    <t>C. de Mesena, 108, 28033 Madrid, España</t>
  </si>
  <si>
    <t>36333637N</t>
  </si>
  <si>
    <t>32,6</t>
  </si>
  <si>
    <t>Beauty Salon 1609</t>
  </si>
  <si>
    <t>Company Beauty SL1609</t>
  </si>
  <si>
    <t>Marbella</t>
  </si>
  <si>
    <t>C. Jacinto Benavente, 23, 29601 Marbella, Málaga, España</t>
  </si>
  <si>
    <t>Y7777373S</t>
  </si>
  <si>
    <t>Beauty Salon 174</t>
  </si>
  <si>
    <t>Company Beauty SL174</t>
  </si>
  <si>
    <t>C. Serrano, 217, 28016 Madrid, España</t>
  </si>
  <si>
    <t>33363333N</t>
  </si>
  <si>
    <t>Beauty Salon 3167</t>
  </si>
  <si>
    <t>Company Beauty SL3167</t>
  </si>
  <si>
    <t>Gran Via de les Corts Catalanes, 753, 08013 Barcelona, España</t>
  </si>
  <si>
    <t>Y6776733P</t>
  </si>
  <si>
    <t>41,69</t>
  </si>
  <si>
    <t>Beauty Salon 82</t>
  </si>
  <si>
    <t>Company Beauty SL82</t>
  </si>
  <si>
    <t>Avellino</t>
  </si>
  <si>
    <t>Piazza D'Armi, 10, 83100 Avellino AV, Italia</t>
  </si>
  <si>
    <t>Beauty Salon 602</t>
  </si>
  <si>
    <t>Company Beauty SL602</t>
  </si>
  <si>
    <t>Pl. d'Urquinaona, 6, 14c, 08010 Barcelona, España</t>
  </si>
  <si>
    <t>Y6677373D</t>
  </si>
  <si>
    <t>Beauty Salon 1901</t>
  </si>
  <si>
    <t>Company Beauty SL1901</t>
  </si>
  <si>
    <t>Settimo Torinese</t>
  </si>
  <si>
    <t>Via Italia, 53, 10036 Settimo Torinese TO, Italia</t>
  </si>
  <si>
    <t>Beauty Salon 1930</t>
  </si>
  <si>
    <t>Company Beauty SL1930</t>
  </si>
  <si>
    <t>Av. de Pío XII, 29, 31008 Pamplona, Navarra, España</t>
  </si>
  <si>
    <t>73337333L</t>
  </si>
  <si>
    <t>39,76</t>
  </si>
  <si>
    <t>Beauty Salon 4084</t>
  </si>
  <si>
    <t>Company Beauty SL4084</t>
  </si>
  <si>
    <t>Via Stanislao Manna, 76, 80126 Napoli NA, Italia</t>
  </si>
  <si>
    <t>38,13</t>
  </si>
  <si>
    <t>Beauty Salon 1310</t>
  </si>
  <si>
    <t>Company Beauty SL1310</t>
  </si>
  <si>
    <t>Seveso</t>
  </si>
  <si>
    <t>Corso Giuseppe Garibaldi, 35, 20822 Seveso MB, Italia</t>
  </si>
  <si>
    <t>Beauty Salon 2791</t>
  </si>
  <si>
    <t>Company Beauty SL2791</t>
  </si>
  <si>
    <t>Chiesa</t>
  </si>
  <si>
    <t>Via Guglielmo Marconi, 11, 25080 Chiesa BS, Italia</t>
  </si>
  <si>
    <t>Beauty Salon 1872</t>
  </si>
  <si>
    <t>Company Beauty SL1872</t>
  </si>
  <si>
    <t>Carrer del Palleter, 38, 46008 València, Valencia, España</t>
  </si>
  <si>
    <t>77373337D</t>
  </si>
  <si>
    <t>13,51</t>
  </si>
  <si>
    <t>Vincennes</t>
  </si>
  <si>
    <t>34 Av. Franklin Roosevelt, 94300 Vincennes, France</t>
  </si>
  <si>
    <t>FR36333673733</t>
  </si>
  <si>
    <t>39,5</t>
  </si>
  <si>
    <t>Beauty Salon 2333</t>
  </si>
  <si>
    <t>Company Beauty SL2333</t>
  </si>
  <si>
    <t>Viale Coni Zugna, 52, 20131 Milano MI, Italia</t>
  </si>
  <si>
    <t>Beauty Salon 2632</t>
  </si>
  <si>
    <t>Company Beauty SL2632</t>
  </si>
  <si>
    <t>Av. Pablo Neruda, 102, 28018 Madrid, España</t>
  </si>
  <si>
    <t>73767373L</t>
  </si>
  <si>
    <t>31,5</t>
  </si>
  <si>
    <t>Beauty Salon 2926</t>
  </si>
  <si>
    <t>Company Beauty SL2926</t>
  </si>
  <si>
    <t>La Alcayna</t>
  </si>
  <si>
    <t>C. Picos de Europa, 61, 30507 La Alcayna, Murcia, España</t>
  </si>
  <si>
    <t>33333336D</t>
  </si>
  <si>
    <t>Beauty Salon 4941</t>
  </si>
  <si>
    <t>Company Beauty SL4941</t>
  </si>
  <si>
    <t>Velilla de San Antonio</t>
  </si>
  <si>
    <t>C. San Sebastián, 6, 28891 Velilla de San Antonio, Madrid, España</t>
  </si>
  <si>
    <t>B33377333</t>
  </si>
  <si>
    <t>Beauty Salon 1624</t>
  </si>
  <si>
    <t>Company Beauty SL1624</t>
  </si>
  <si>
    <t>Terrassa</t>
  </si>
  <si>
    <t>Carrer de Sierra Nevada, 11, 08227 Terrassa, Barcelona, España</t>
  </si>
  <si>
    <t>33633633Y</t>
  </si>
  <si>
    <t>33,43</t>
  </si>
  <si>
    <t>Beauty Salon 2264</t>
  </si>
  <si>
    <t>Company Beauty SL2264</t>
  </si>
  <si>
    <t>Largo Baluardo, 11, 96012 Avola SR, Italia</t>
  </si>
  <si>
    <t>Beauty Salon 3091</t>
  </si>
  <si>
    <t>Company Beauty SL3091</t>
  </si>
  <si>
    <t>Portici</t>
  </si>
  <si>
    <t>Via Emanuele Gianturco, 34, 80055 Portici NA, Italia</t>
  </si>
  <si>
    <t>Beauty Salon 2810</t>
  </si>
  <si>
    <t>Company Beauty SL2810</t>
  </si>
  <si>
    <t>58 Rue St Sabin, 75011 Paris, France</t>
  </si>
  <si>
    <t>0,34</t>
  </si>
  <si>
    <t>Beauty Salon 2912</t>
  </si>
  <si>
    <t>Company Beauty SL2912</t>
  </si>
  <si>
    <t>Via Padre Eusebio Iori, 11, 38123 Trento TN, Italia</t>
  </si>
  <si>
    <t>Beauty Salon 3920</t>
  </si>
  <si>
    <t>Company Beauty SL3920</t>
  </si>
  <si>
    <t>Hostalric</t>
  </si>
  <si>
    <t>Carrer Poeta Ruyra, 18, 17450 Hostalric, Girona, España</t>
  </si>
  <si>
    <t>B67737377</t>
  </si>
  <si>
    <t>42,02</t>
  </si>
  <si>
    <t>Beauty Salon 2227</t>
  </si>
  <si>
    <t>Company Beauty SL2227</t>
  </si>
  <si>
    <t>Av. de la Mare de Déu de Montserrat, 170, 08041 Barcelona, España</t>
  </si>
  <si>
    <t>Y7737733S</t>
  </si>
  <si>
    <t>41,91</t>
  </si>
  <si>
    <t>Beauty Salon 3820</t>
  </si>
  <si>
    <t>Company Beauty SL3820</t>
  </si>
  <si>
    <t>Correggio</t>
  </si>
  <si>
    <t>Via Luciano Tondelli, 42015 Correggio RE, Italia</t>
  </si>
  <si>
    <t>Beauty Salon 1690</t>
  </si>
  <si>
    <t>Company Beauty SL1690</t>
  </si>
  <si>
    <t>Via Lodovico Settala, 3, 20124 Milano MI, Italia</t>
  </si>
  <si>
    <t>Beauty Salon 1750</t>
  </si>
  <si>
    <t>Company Beauty SL1750</t>
  </si>
  <si>
    <t>Κόρινθος</t>
  </si>
  <si>
    <t>Γεωρ. Παπανδρέου 41, Κόρινθος 201 00, Ελλάδα</t>
  </si>
  <si>
    <t>Beauty Salon 3951</t>
  </si>
  <si>
    <t>Company Beauty SL3951</t>
  </si>
  <si>
    <t>216 Rue de la Croix Nivert, 75015 Paris, France</t>
  </si>
  <si>
    <t>FR33737373767</t>
  </si>
  <si>
    <t>Beauty Salon 491</t>
  </si>
  <si>
    <t>Company Beauty SL491</t>
  </si>
  <si>
    <t>Via Giovanni Battista Tuveri, 16, 09129 Cagliari CA, Italia</t>
  </si>
  <si>
    <t>35,37</t>
  </si>
  <si>
    <t>Beauty Salon 2005</t>
  </si>
  <si>
    <t>Company Beauty SL2005</t>
  </si>
  <si>
    <t>Corso di Porta Vittoria, 8,20122 Milano MI</t>
  </si>
  <si>
    <t>Beauty Salon 3641</t>
  </si>
  <si>
    <t>Company Beauty SL3641</t>
  </si>
  <si>
    <t>Manduria</t>
  </si>
  <si>
    <t>Viale Mancini, 7, 74024 Manduria TA, Italia</t>
  </si>
  <si>
    <t>Beauty Salon 264</t>
  </si>
  <si>
    <t>Company Beauty SL264</t>
  </si>
  <si>
    <t>Utrera</t>
  </si>
  <si>
    <t>C. Rubén Darío, 16, 41710 Utrera, Sevilla, España</t>
  </si>
  <si>
    <t>37333333F</t>
  </si>
  <si>
    <t>Beauty Salon 4717</t>
  </si>
  <si>
    <t>Company Beauty SL4717</t>
  </si>
  <si>
    <t>Via Asiago, 59, 20128 Milano MI, Italia</t>
  </si>
  <si>
    <t>Beauty Salon 2438</t>
  </si>
  <si>
    <t>Company Beauty SL2438</t>
  </si>
  <si>
    <t>Santa Marta de Tormes</t>
  </si>
  <si>
    <t>Calle Dr. Torres de Villarroel, 4, 37900 Santa Marta de Tormes, Salamanca, España</t>
  </si>
  <si>
    <t>73733737G</t>
  </si>
  <si>
    <t>Beauty Salon 1329</t>
  </si>
  <si>
    <t>Company Beauty SL1329</t>
  </si>
  <si>
    <t>Toulouse</t>
  </si>
  <si>
    <t>101 Rue Bonnat, 31400 Toulouse, France</t>
  </si>
  <si>
    <t>FR36337333373</t>
  </si>
  <si>
    <t>Beauty Salon 480</t>
  </si>
  <si>
    <t>Company Beauty SL480</t>
  </si>
  <si>
    <t>Almada</t>
  </si>
  <si>
    <t>R. da Liberdade 2B, 2800-149 Almada, Portugal</t>
  </si>
  <si>
    <t>Beauty Salon 751</t>
  </si>
  <si>
    <t>Company Beauty SL751</t>
  </si>
  <si>
    <t>Coria</t>
  </si>
  <si>
    <t>C. Viriato, 13, 10800 Coria, Cáceres, España</t>
  </si>
  <si>
    <t>76337777F</t>
  </si>
  <si>
    <t>39,45</t>
  </si>
  <si>
    <t>Beauty Salon 3062</t>
  </si>
  <si>
    <t>Company Beauty SL3062</t>
  </si>
  <si>
    <t>75 Av. Ledru Rollin, 75012 Paris, France</t>
  </si>
  <si>
    <t>FR73733763337</t>
  </si>
  <si>
    <t>38,32</t>
  </si>
  <si>
    <t>Beauty Salon 1219</t>
  </si>
  <si>
    <t>Company Beauty SL1219</t>
  </si>
  <si>
    <t>Boadilla del Monte</t>
  </si>
  <si>
    <t>Av. Infante Don Luis, 15, 28660 Boadilla del Monte, Madrid, España</t>
  </si>
  <si>
    <t>B67333363</t>
  </si>
  <si>
    <t>Beauty Salon 3009</t>
  </si>
  <si>
    <t>Company Beauty SL3009</t>
  </si>
  <si>
    <t>Palestrina</t>
  </si>
  <si>
    <t>Via Pedemontana, 135, 00036 Palestrina RM, Italia</t>
  </si>
  <si>
    <t>Beauty Salon 4031</t>
  </si>
  <si>
    <t>Company Beauty SL4031</t>
  </si>
  <si>
    <t>Castelló de la Plana</t>
  </si>
  <si>
    <t>Carrer de Lagasca, 8, 12003 Castelló de la Plana, Castelló, España</t>
  </si>
  <si>
    <t>33373376N</t>
  </si>
  <si>
    <t>33,19</t>
  </si>
  <si>
    <t>Beauty Salon 1828</t>
  </si>
  <si>
    <t>Company Beauty SL1828</t>
  </si>
  <si>
    <t>Via Giorgio Pullè, 35136 Padova PD, Italia</t>
  </si>
  <si>
    <t>Beauty Salon 2195</t>
  </si>
  <si>
    <t>Company Beauty SL2195</t>
  </si>
  <si>
    <t>Catania</t>
  </si>
  <si>
    <t>Via Grotte Bianche, 113a, 95100 Catania CT, Italia</t>
  </si>
  <si>
    <t>42,38</t>
  </si>
  <si>
    <t>Beauty Salon 2775</t>
  </si>
  <si>
    <t>Company Beauty SL2775</t>
  </si>
  <si>
    <t>Via dei Capraia, 10, 09131 Cagliari CA, Italia</t>
  </si>
  <si>
    <t>Beauty Salon 1019</t>
  </si>
  <si>
    <t>Company Beauty SL1019</t>
  </si>
  <si>
    <t>Av. Juan XXIII, 10, 28224 Madrid, España</t>
  </si>
  <si>
    <t>B37777333</t>
  </si>
  <si>
    <t>27,82</t>
  </si>
  <si>
    <t>Beauty Salon 1724</t>
  </si>
  <si>
    <t>Company Beauty SL1724</t>
  </si>
  <si>
    <t>La Orotava</t>
  </si>
  <si>
    <t>Callejon del Molino, 4, 38312 La Orotava, Santa Cruz de Tenerife, España</t>
  </si>
  <si>
    <t>73637333X</t>
  </si>
  <si>
    <t>Beauty Salon 2238</t>
  </si>
  <si>
    <t>Company Beauty SL2238</t>
  </si>
  <si>
    <t>Greater Manchester</t>
  </si>
  <si>
    <t>201 Eccles Old Rd, Salford M6 8HA, UK</t>
  </si>
  <si>
    <t>40,78</t>
  </si>
  <si>
    <t>Beauty Salon 4963</t>
  </si>
  <si>
    <t>Company Beauty SL4963</t>
  </si>
  <si>
    <t>29 Bd Pereire, 75017 Paris, France</t>
  </si>
  <si>
    <t>FR33733776337</t>
  </si>
  <si>
    <t>Beauty Salon 1560</t>
  </si>
  <si>
    <t>Company Beauty SL1560</t>
  </si>
  <si>
    <t>Santa Coloma de Gramenet</t>
  </si>
  <si>
    <t>Av. de la Generalitat, 82, 08922 Santa Coloma de Gramenet, Barcelona, España</t>
  </si>
  <si>
    <t>B37333367</t>
  </si>
  <si>
    <t>33,01</t>
  </si>
  <si>
    <t>Beauty Salon 2554</t>
  </si>
  <si>
    <t>Company Beauty SL2554</t>
  </si>
  <si>
    <t>Vigo</t>
  </si>
  <si>
    <t>Rúa da República Arxentina, 12, 36201 Vigo, Pontevedra, España</t>
  </si>
  <si>
    <t>77337333F</t>
  </si>
  <si>
    <t>Beauty Salon 4926</t>
  </si>
  <si>
    <t>Company Beauty SL4926</t>
  </si>
  <si>
    <t>Capoterra</t>
  </si>
  <si>
    <t>Via Dante Alighieri, 10, 09012 Capoterra CA, Italia</t>
  </si>
  <si>
    <t>43,03</t>
  </si>
  <si>
    <t>Beauty Salon 2167</t>
  </si>
  <si>
    <t>Company Beauty SL2167</t>
  </si>
  <si>
    <t>Bezons</t>
  </si>
  <si>
    <t>2 All. de la Fontaine 95870 Bezons, France</t>
  </si>
  <si>
    <t>Beauty Salon 4800</t>
  </si>
  <si>
    <t>Company Beauty SL4800</t>
  </si>
  <si>
    <t>Torrent</t>
  </si>
  <si>
    <t>Antic Carrer de Mossen Sicra, 9, 46900 Torrent, Valencia, España</t>
  </si>
  <si>
    <t>E33637333</t>
  </si>
  <si>
    <t>Beauty Salon 2939</t>
  </si>
  <si>
    <t>Company Beauty SL2939</t>
  </si>
  <si>
    <t>Via Eugenio Torelli Viollier, 23, 00157 Roma RM, Italia</t>
  </si>
  <si>
    <t>36,5</t>
  </si>
  <si>
    <t>Beauty Salon 2984</t>
  </si>
  <si>
    <t>Company Beauty SL2984</t>
  </si>
  <si>
    <t>Valencia</t>
  </si>
  <si>
    <t>Av. del Puerto, 106, 46023 Valencia, España</t>
  </si>
  <si>
    <t>33337733F</t>
  </si>
  <si>
    <t>41,24</t>
  </si>
  <si>
    <t>Beauty Salon 3268</t>
  </si>
  <si>
    <t>Company Beauty SL3268</t>
  </si>
  <si>
    <t>Azinhaga da Torre do Fato 7, 1600-451 Lisboa, Portugal</t>
  </si>
  <si>
    <t>Beauty Salon 1767</t>
  </si>
  <si>
    <t>Company Beauty SL1767</t>
  </si>
  <si>
    <t>34 Rue Montcalm, 75018 Paris, France</t>
  </si>
  <si>
    <t>FR36333333333</t>
  </si>
  <si>
    <t>Flero</t>
  </si>
  <si>
    <t>Via Francesco Petrarca, 42, 25020 Flero BS, Italia</t>
  </si>
  <si>
    <t>0,38</t>
  </si>
  <si>
    <t>Beauty Salon 4935</t>
  </si>
  <si>
    <t>Company Beauty SL4935</t>
  </si>
  <si>
    <t>Motril</t>
  </si>
  <si>
    <t>C. Romero Civantos, 3, 18600 Motril, Granada, España</t>
  </si>
  <si>
    <t>73737773K</t>
  </si>
  <si>
    <t>38,82</t>
  </si>
  <si>
    <t>Beauty Salon 1884</t>
  </si>
  <si>
    <t>Company Beauty SL1884</t>
  </si>
  <si>
    <t>Hamburg</t>
  </si>
  <si>
    <t>Edith-Stein-Platz 2, 21035 Hamburg, Deutschland</t>
  </si>
  <si>
    <t>Beauty Salon 1200</t>
  </si>
  <si>
    <t>Company Beauty SL1200</t>
  </si>
  <si>
    <t>Piamborno</t>
  </si>
  <si>
    <t>Via Nazionale, 208, 25052 Piamborno BS, Italia</t>
  </si>
  <si>
    <t>Beauty Salon 4648</t>
  </si>
  <si>
    <t>Company Beauty SL4648</t>
  </si>
  <si>
    <t>Alcoi</t>
  </si>
  <si>
    <t>Av. Hispanitat, 61, 03804 Alcoi, Alicante, España</t>
  </si>
  <si>
    <t>E33733333</t>
  </si>
  <si>
    <t>42,34</t>
  </si>
  <si>
    <t>Beauty Salon 1089</t>
  </si>
  <si>
    <t>Company Beauty SL1089</t>
  </si>
  <si>
    <t>Carrer Joan de Joanes, 17, 03802 Alcoi, Alicante, España</t>
  </si>
  <si>
    <t>38,37</t>
  </si>
  <si>
    <t>Beauty Salon 1138</t>
  </si>
  <si>
    <t>Company Beauty SL1138</t>
  </si>
  <si>
    <t>Sernaglia della Battaglia</t>
  </si>
  <si>
    <t>Via Emigranti, 38, 31020 Sernaglia della Battaglia TV, Italia</t>
  </si>
  <si>
    <t>FLPSF377B33C737D</t>
  </si>
  <si>
    <t>Beauty Salon 4777</t>
  </si>
  <si>
    <t>Company Beauty SL4777</t>
  </si>
  <si>
    <t>Busca</t>
  </si>
  <si>
    <t>Via Laghi di Avigliana, 6, 12022 Busca CN, Italia</t>
  </si>
  <si>
    <t>Beauty Salon 4849</t>
  </si>
  <si>
    <t>Company Beauty SL4849</t>
  </si>
  <si>
    <t>Vigevano</t>
  </si>
  <si>
    <t>Viale Montegrappa, 29, 27029 Vigevano PV, Italia</t>
  </si>
  <si>
    <t>Beauty Salon 2221</t>
  </si>
  <si>
    <t>Company Beauty SL2221</t>
  </si>
  <si>
    <t>Άρτεμις</t>
  </si>
  <si>
    <t>Λεωφ. Βραυρώνος 186, Άρτεμις 190 16, Ελλάδα</t>
  </si>
  <si>
    <t>29,34</t>
  </si>
  <si>
    <t>Beauty Salon 4230</t>
  </si>
  <si>
    <t>Company Beauty SL4230</t>
  </si>
  <si>
    <t>Greater London</t>
  </si>
  <si>
    <t>40 Liverpool St, London EC2M 7QN, UK</t>
  </si>
  <si>
    <t>Beauty Salon 3113</t>
  </si>
  <si>
    <t>Company Beauty SL3113</t>
  </si>
  <si>
    <t>Via Prenestina Antica, 220, 00036 Palestrina RM, Italia</t>
  </si>
  <si>
    <t>Beauty Salon 1395</t>
  </si>
  <si>
    <t>Company Beauty SL1395</t>
  </si>
  <si>
    <t>Tudela</t>
  </si>
  <si>
    <t>C. Muro, 43, 31500 Tudela, Navarra, España</t>
  </si>
  <si>
    <t>73737333N</t>
  </si>
  <si>
    <t>Beauty Salon 1288</t>
  </si>
  <si>
    <t>Company Beauty SL1288</t>
  </si>
  <si>
    <t>Carrer del Mestre Gozalbo, 12, 46005 València, Valencia, España</t>
  </si>
  <si>
    <t>37733377C</t>
  </si>
  <si>
    <t>37,12</t>
  </si>
  <si>
    <t>Beauty Salon 4971</t>
  </si>
  <si>
    <t>Company Beauty SL4971</t>
  </si>
  <si>
    <t>Dortmund</t>
  </si>
  <si>
    <t>Hörder Rathausstraße 9, 44263 Dortmund, Deutschland</t>
  </si>
  <si>
    <t>Beauty Salon 3308</t>
  </si>
  <si>
    <t>Company Beauty SL3308</t>
  </si>
  <si>
    <t>C. del Pelicano, 14, 28025 Madrid</t>
  </si>
  <si>
    <t>X7366737Y</t>
  </si>
  <si>
    <t>Beauty Salon 2777</t>
  </si>
  <si>
    <t>Company Beauty SL2777</t>
  </si>
  <si>
    <t>Via Palestro, 51, 00185 Roma RM, Italia</t>
  </si>
  <si>
    <t>Beauty Salon 4824</t>
  </si>
  <si>
    <t>Company Beauty SL4824</t>
  </si>
  <si>
    <t>Scafati</t>
  </si>
  <si>
    <t>Corso Nazionale, 231, 84018 Scafati SA, Italia</t>
  </si>
  <si>
    <t>Beauty Salon 3856</t>
  </si>
  <si>
    <t>Company Beauty SL3856</t>
  </si>
  <si>
    <t>Pula</t>
  </si>
  <si>
    <t>Via Nora, 114, 09010 Pula CA, Italia</t>
  </si>
  <si>
    <t>Beauty Salon 2727</t>
  </si>
  <si>
    <t>Company Beauty SL2727</t>
  </si>
  <si>
    <t>Estepona</t>
  </si>
  <si>
    <t>C. Alborán, 2, 29680 Estepona, Málaga, España</t>
  </si>
  <si>
    <t>J33737337</t>
  </si>
  <si>
    <t>Beauty Salon 394</t>
  </si>
  <si>
    <t>Company Beauty SL394</t>
  </si>
  <si>
    <t>Alzira</t>
  </si>
  <si>
    <t>Carrer del Prior Morera, 5, 46600 Alzira, Valencia, España</t>
  </si>
  <si>
    <t>X3773733N</t>
  </si>
  <si>
    <t>Beauty Salon 1997</t>
  </si>
  <si>
    <t>Company Beauty SL1997</t>
  </si>
  <si>
    <t>Málaga</t>
  </si>
  <si>
    <t>C. Cervantes, 12, 29016 Málaga, España</t>
  </si>
  <si>
    <t>B36333633</t>
  </si>
  <si>
    <t>Beauty Salon 903</t>
  </si>
  <si>
    <t>Company Beauty SL903</t>
  </si>
  <si>
    <t>Lleida</t>
  </si>
  <si>
    <t>Carrer Baró de Maials, 72, 25005 Lleida, España</t>
  </si>
  <si>
    <t>33336377C</t>
  </si>
  <si>
    <t>Beauty Salon 3964</t>
  </si>
  <si>
    <t>Company Beauty SL3964</t>
  </si>
  <si>
    <t>Horsforth</t>
  </si>
  <si>
    <t>203 Broadgate Ln, Horsforth, Leeds LS18 5BS, UK</t>
  </si>
  <si>
    <t>Beauty Salon 3402</t>
  </si>
  <si>
    <t>Company Beauty SL3402</t>
  </si>
  <si>
    <t>Sitges</t>
  </si>
  <si>
    <t>Carrer d'Angel Vidal, 29, 31, 08870 Sitges, Barcelona, España</t>
  </si>
  <si>
    <t>73733663H</t>
  </si>
  <si>
    <t>Beauty Salon 2315</t>
  </si>
  <si>
    <t>Company Beauty SL2315</t>
  </si>
  <si>
    <t>Carrer de Jorge Juan, 31, 46004 València, Valencia, España</t>
  </si>
  <si>
    <t>X7373633E</t>
  </si>
  <si>
    <t>Beauty Salon 4054</t>
  </si>
  <si>
    <t>Company Beauty SL4054</t>
  </si>
  <si>
    <t>Alcamo</t>
  </si>
  <si>
    <t>Via Monte Bonifato, 45, 91011 Alcamo TP, Italia</t>
  </si>
  <si>
    <t>Beauty Salon 2922</t>
  </si>
  <si>
    <t>Company Beauty SL2922</t>
  </si>
  <si>
    <t>Anderlecht</t>
  </si>
  <si>
    <t>Chau. de Ninove 621, 1070 Anderlecht, Belgique</t>
  </si>
  <si>
    <t>BE3377377737</t>
  </si>
  <si>
    <t>Beauty Salon 4172</t>
  </si>
  <si>
    <t>Company Beauty SL4172</t>
  </si>
  <si>
    <t>Gran Via de les Corts Catalanes, 855, 08018 Barcelona, España</t>
  </si>
  <si>
    <t>B67377333</t>
  </si>
  <si>
    <t>9,53</t>
  </si>
  <si>
    <t>Beauty Salon 3145</t>
  </si>
  <si>
    <t>Company Beauty SL3145</t>
  </si>
  <si>
    <t>Via Santa Lucia, 1, 17100 Savona SV, Italia</t>
  </si>
  <si>
    <t>Beauty Salon 115</t>
  </si>
  <si>
    <t>Company Beauty SL115</t>
  </si>
  <si>
    <t>6A Hertford St, London W1J 7RF, UK</t>
  </si>
  <si>
    <t>Beauty Salon 3008</t>
  </si>
  <si>
    <t>Company Beauty SL3008</t>
  </si>
  <si>
    <t>37 Rue du Rendez-Vous, 75012 Paris, France</t>
  </si>
  <si>
    <t>FR77733733373</t>
  </si>
  <si>
    <t>25,12</t>
  </si>
  <si>
    <t>Beauty Salon 710</t>
  </si>
  <si>
    <t>Company Beauty SL710</t>
  </si>
  <si>
    <t>Αλεξάνδρεια</t>
  </si>
  <si>
    <t>Νικ. Πλαστήρα 74, Αλεξάνδρεια 593 00, Ελλάδα</t>
  </si>
  <si>
    <t>Beauty Salon 562</t>
  </si>
  <si>
    <t>Company Beauty SL562</t>
  </si>
  <si>
    <t>Regents Park Rd, London N3 1DE, UK</t>
  </si>
  <si>
    <t>Beauty Salon 3015</t>
  </si>
  <si>
    <t>Company Beauty SL3015</t>
  </si>
  <si>
    <t>Livry-Gargan</t>
  </si>
  <si>
    <t>5 All. des Jonquilles, 93190 Livry-Gargan, France</t>
  </si>
  <si>
    <t>FR73337373733</t>
  </si>
  <si>
    <t>Beauty Salon 2871</t>
  </si>
  <si>
    <t>Company Beauty SL2871</t>
  </si>
  <si>
    <t>Évry-Courcouronnes</t>
  </si>
  <si>
    <t>28 Av. du Parc aux Biches, 91000 Évry-Courcouronnes, France</t>
  </si>
  <si>
    <t>4,25</t>
  </si>
  <si>
    <t>FR37337337637</t>
  </si>
  <si>
    <t>18,3</t>
  </si>
  <si>
    <t>Beauty Salon 2017</t>
  </si>
  <si>
    <t>Company Beauty SL2017</t>
  </si>
  <si>
    <t>San Sperate</t>
  </si>
  <si>
    <t>Via Bithia, 8, 09026 San Sperate SU, Italia</t>
  </si>
  <si>
    <t>Beauty Salon 1124</t>
  </si>
  <si>
    <t>Company Beauty SL1124</t>
  </si>
  <si>
    <t>Sant Celoni</t>
  </si>
  <si>
    <t>Carrer Sant Pere, 6, 08470 Sant Celoni, Barcelona, España</t>
  </si>
  <si>
    <t>A37337633</t>
  </si>
  <si>
    <t>9,96</t>
  </si>
  <si>
    <t>Beauty Salon 3895</t>
  </si>
  <si>
    <t>Company Beauty SL3895</t>
  </si>
  <si>
    <t>Dun-le-Palestel</t>
  </si>
  <si>
    <t>36 Grande Rue, 23800 Dun-le-Palestel, France</t>
  </si>
  <si>
    <t>FR33333377637</t>
  </si>
  <si>
    <t>Beauty Salon 4756</t>
  </si>
  <si>
    <t>Company Beauty SL4756</t>
  </si>
  <si>
    <t>Mapperley</t>
  </si>
  <si>
    <t>918 Woodborough Rd, Mapperley, Nottingham NG3 5QR, UK</t>
  </si>
  <si>
    <t>Beauty Salon 3151</t>
  </si>
  <si>
    <t>Company Beauty SL3151</t>
  </si>
  <si>
    <t>Bedminster</t>
  </si>
  <si>
    <t>3-5 North St, Bedminster, Bristol BS3 1EN, UK</t>
  </si>
  <si>
    <t>0,27</t>
  </si>
  <si>
    <t>Beauty Salon 1007</t>
  </si>
  <si>
    <t>Company Beauty SL1007</t>
  </si>
  <si>
    <t>Bollullos de la Mitación</t>
  </si>
  <si>
    <t>C. Larga, 74, 41110 Bollullos de la Mitación, Sevilla, España</t>
  </si>
  <si>
    <t>37733777C</t>
  </si>
  <si>
    <t>37,15</t>
  </si>
  <si>
    <t>Beauty Salon 4352</t>
  </si>
  <si>
    <t>Company Beauty SL4352</t>
  </si>
  <si>
    <t>C. Betsaida, 2, 29006 Málaga, España</t>
  </si>
  <si>
    <t>X7333337R</t>
  </si>
  <si>
    <t>Beauty Salon 2745</t>
  </si>
  <si>
    <t>Company Beauty SL2745</t>
  </si>
  <si>
    <t>La Garenne-Colombes</t>
  </si>
  <si>
    <t>7 All. Denis Papin, 92250 La Garenne-Colombes, France</t>
  </si>
  <si>
    <t>Beauty Salon 3640</t>
  </si>
  <si>
    <t>Company Beauty SL3640</t>
  </si>
  <si>
    <t>Amsterdam</t>
  </si>
  <si>
    <t>Roelof Hartstraat 17, 1071 VG Amsterdam, Netherlands</t>
  </si>
  <si>
    <t>NL733373337B33</t>
  </si>
  <si>
    <t>35,05</t>
  </si>
  <si>
    <t>Forlì</t>
  </si>
  <si>
    <t>Via Decio Raggi, 12, 47121 Forlì FC, Italia</t>
  </si>
  <si>
    <t>Berlin</t>
  </si>
  <si>
    <t>Sonnenallee 206, 12059 Berlin, Deutschland</t>
  </si>
  <si>
    <t>Beauty Salon 2593</t>
  </si>
  <si>
    <t>Company Beauty SL2593</t>
  </si>
  <si>
    <t>Πραξιτέλους 35, Πειραιάς 185 32, Ελλάδα</t>
  </si>
  <si>
    <t>Beauty Salon 2355</t>
  </si>
  <si>
    <t>Company Beauty SL2355</t>
  </si>
  <si>
    <t>Sarzana</t>
  </si>
  <si>
    <t>Via Lancillotto Cattani, 1, 19038 Sarzana SP, Italia</t>
  </si>
  <si>
    <t>Beauty Salon 2049</t>
  </si>
  <si>
    <t>Company Beauty SL2049</t>
  </si>
  <si>
    <t>Trani</t>
  </si>
  <si>
    <t>Via Giorgio Almirante, 25, 76125 Trani BT, Italia</t>
  </si>
  <si>
    <t>0,31</t>
  </si>
  <si>
    <t>Beauty Salon 3048</t>
  </si>
  <si>
    <t>Company Beauty SL3048</t>
  </si>
  <si>
    <t>San Marcellino</t>
  </si>
  <si>
    <t>Via Giacomo Leopardi, 8, 81030 San Marcellino CE, Italia</t>
  </si>
  <si>
    <t>Beauty Salon 3601</t>
  </si>
  <si>
    <t>Company Beauty SL3601</t>
  </si>
  <si>
    <t>Via Ajaccio, 4, 20133 Milano MI, Italia</t>
  </si>
  <si>
    <t>Beauty Salon 2109</t>
  </si>
  <si>
    <t>Company Beauty SL2109</t>
  </si>
  <si>
    <t>Via Monsignor Armando Fares, 88100 Catanzaro CZ, Italia</t>
  </si>
  <si>
    <t>Beauty Salon 3277</t>
  </si>
  <si>
    <t>Company Beauty SL3277</t>
  </si>
  <si>
    <t>Via Luigi Rizzo, 52, 00136 Roma RM, Italia</t>
  </si>
  <si>
    <t>Beauty Salon 4556</t>
  </si>
  <si>
    <t>Company Beauty SL4556</t>
  </si>
  <si>
    <t>Πέραμα</t>
  </si>
  <si>
    <t>25ης Μαρτίου 12, Πέραμα 188 63, Ελλάδα</t>
  </si>
  <si>
    <t>Beauty Salon 4311</t>
  </si>
  <si>
    <t>Company Beauty SL4311</t>
  </si>
  <si>
    <t>Ávila</t>
  </si>
  <si>
    <t>C. de Don Rufino Martín, 1, 05002 Ávila, España</t>
  </si>
  <si>
    <t>Y6333733D</t>
  </si>
  <si>
    <t>Beauty Salon 822</t>
  </si>
  <si>
    <t>Company Beauty SL822</t>
  </si>
  <si>
    <t>Marvan Court, 1A Waldegrave Rd, Teddington TW11 8LZ, UK</t>
  </si>
  <si>
    <t>Beauty Salon 2876</t>
  </si>
  <si>
    <t>Company Beauty SL2876</t>
  </si>
  <si>
    <t>North Mall, London N9 0EH, UK</t>
  </si>
  <si>
    <t>Beauty Salon 2254</t>
  </si>
  <si>
    <t>Company Beauty SL2254</t>
  </si>
  <si>
    <t>Zürich</t>
  </si>
  <si>
    <t>Ackerstrasse 21, 8005 Zürich, Schweiz</t>
  </si>
  <si>
    <t>Beauty Salon 3743</t>
  </si>
  <si>
    <t>Company Beauty SL3743</t>
  </si>
  <si>
    <t>73 Caledonian Rd, London N1 9BT, UK</t>
  </si>
  <si>
    <t>Beauty Salon 4690</t>
  </si>
  <si>
    <t>Company Beauty SL4690</t>
  </si>
  <si>
    <t>Bologna</t>
  </si>
  <si>
    <t>Via Giuseppe Dagnini, 38, 40137 Bologna BO, Italia</t>
  </si>
  <si>
    <t>Beauty Salon 3489</t>
  </si>
  <si>
    <t>Company Beauty SL3489</t>
  </si>
  <si>
    <t>Cittanova</t>
  </si>
  <si>
    <t>Via Grimaldi, 8, 89022 Cittanova RC, Italia</t>
  </si>
  <si>
    <t>Beauty Salon 3553</t>
  </si>
  <si>
    <t>Company Beauty SL3553</t>
  </si>
  <si>
    <t>Ourense</t>
  </si>
  <si>
    <t>Rúa Parque de San Lázaro, 5, 32003 Ourense, España</t>
  </si>
  <si>
    <t>33373777A</t>
  </si>
  <si>
    <t>Beauty Salon 402</t>
  </si>
  <si>
    <t>Company Beauty SL402</t>
  </si>
  <si>
    <t>Münster</t>
  </si>
  <si>
    <t>Von-Steuben-Straße 10-12, 2. Etage, 48143 Münster, Deutschland</t>
  </si>
  <si>
    <t>Beauty Salon 3438</t>
  </si>
  <si>
    <t>Company Beauty SL3438</t>
  </si>
  <si>
    <t>Tournefeuille</t>
  </si>
  <si>
    <t>29 Chemin St Pierre, 31170 Tournefeuille, France</t>
  </si>
  <si>
    <t>Martorell</t>
  </si>
  <si>
    <t>Av. Dr. Francesc Massana, 17, 08760 Martorell, Barcelona, España</t>
  </si>
  <si>
    <t>B33733773</t>
  </si>
  <si>
    <t>Beauty Salon 2753</t>
  </si>
  <si>
    <t>Company Beauty SL2753</t>
  </si>
  <si>
    <t>Wien</t>
  </si>
  <si>
    <t>Alserbachstraße 5/29, 1090 Wien, Österreich</t>
  </si>
  <si>
    <t>0,16</t>
  </si>
  <si>
    <t>Beauty Salon 1681</t>
  </si>
  <si>
    <t>Company Beauty SL1681</t>
  </si>
  <si>
    <t>Pontevedra</t>
  </si>
  <si>
    <t>Rúa da Virxe do Camiño, 25, 36001 Pontevedra, España</t>
  </si>
  <si>
    <t>76333336G</t>
  </si>
  <si>
    <t>Beauty Salon 1383</t>
  </si>
  <si>
    <t>Company Beauty SL1383</t>
  </si>
  <si>
    <t>Gallarate</t>
  </si>
  <si>
    <t>Via Egidio Checchi, 27, 21013 Gallarate VA, Italia</t>
  </si>
  <si>
    <t>32,4</t>
  </si>
  <si>
    <t>Beauty Salon 908</t>
  </si>
  <si>
    <t>Company Beauty SL908</t>
  </si>
  <si>
    <t>Via della Stazione di Ciampino, 18, 00118 Roma RM, Italia</t>
  </si>
  <si>
    <t>Beauty Salon 1043</t>
  </si>
  <si>
    <t>Company Beauty SL1043</t>
  </si>
  <si>
    <t>Baabe</t>
  </si>
  <si>
    <t>Dorfstraße 1-2, 18586 Baabe, Deutschland</t>
  </si>
  <si>
    <t>Beauty Salon 2093</t>
  </si>
  <si>
    <t>Company Beauty SL2093</t>
  </si>
  <si>
    <t>Olesa de Montserrat</t>
  </si>
  <si>
    <t>Carrer de Josep Anselm Clavé, 50, 08640 Olesa de Montserrat, Barcelona, España</t>
  </si>
  <si>
    <t>33377333V</t>
  </si>
  <si>
    <t>Beauty Salon 3838</t>
  </si>
  <si>
    <t>Company Beauty SL3838</t>
  </si>
  <si>
    <t>19 Chapel Market, London N1 9EZ, UK</t>
  </si>
  <si>
    <t>Beauty Salon 4085</t>
  </si>
  <si>
    <t>Company Beauty SL4085</t>
  </si>
  <si>
    <t>Givet</t>
  </si>
  <si>
    <t>36 Rue Notre Dame, 08600 Givet, France</t>
  </si>
  <si>
    <t>FR67333736333</t>
  </si>
  <si>
    <t>Beauty Salon 2844</t>
  </si>
  <si>
    <t>Company Beauty SL2844</t>
  </si>
  <si>
    <t>Bonn</t>
  </si>
  <si>
    <t>Wenzelgasse 18, 53111 Bonn, Deutschland</t>
  </si>
  <si>
    <t>Beauty Salon 1164</t>
  </si>
  <si>
    <t>Company Beauty SL1164</t>
  </si>
  <si>
    <t>Fürstenwalde/Spree</t>
  </si>
  <si>
    <t>Eisenbahnstraße 15, 15517 Fürstenwalde/Spree, Deutschland</t>
  </si>
  <si>
    <t>Beauty Salon 2916</t>
  </si>
  <si>
    <t>Company Beauty SL2916</t>
  </si>
  <si>
    <t>Le Kremlin-Bicêtre</t>
  </si>
  <si>
    <t>36 Av. de Fontainebleau, 94270 Le Kremlin-Bicêtre, France</t>
  </si>
  <si>
    <t>FR77373773373</t>
  </si>
  <si>
    <t>Beauty Salon 1197</t>
  </si>
  <si>
    <t>Company Beauty SL1197</t>
  </si>
  <si>
    <t>Carrer de Dolores Marqués, 17, 46020 València, Valencia, España</t>
  </si>
  <si>
    <t>Y3333333W</t>
  </si>
  <si>
    <t>Beauty Salon 1472</t>
  </si>
  <si>
    <t>Company Beauty SL1472</t>
  </si>
  <si>
    <t>Oberding</t>
  </si>
  <si>
    <t>Dorfstraße 15, 85445 Oberding, Deutschland</t>
  </si>
  <si>
    <t>Beauty Salon 4300</t>
  </si>
  <si>
    <t>Company Beauty SL4300</t>
  </si>
  <si>
    <t>Am Schilfpark 24, 21029 Hamburg, Deutschland</t>
  </si>
  <si>
    <t>Beauty Salon 3432</t>
  </si>
  <si>
    <t>Company Beauty SL3432</t>
  </si>
  <si>
    <t>Frankfurt am Main</t>
  </si>
  <si>
    <t>Borsigallee 26, 60388 Frankfurt am Main, Deutschland</t>
  </si>
  <si>
    <t>Beauty Salon 1431</t>
  </si>
  <si>
    <t>Company Beauty SL1431</t>
  </si>
  <si>
    <t>Glasgow</t>
  </si>
  <si>
    <t>419 Shields Road, Glasgow, G41 1NY</t>
  </si>
  <si>
    <t>Beauty Salon 3967</t>
  </si>
  <si>
    <t>Company Beauty SL3967</t>
  </si>
  <si>
    <t>Tweede Hugo de Grootstraat 5h, 1052 LA Amsterdam, Netherlands</t>
  </si>
  <si>
    <t>NL337673377B33</t>
  </si>
  <si>
    <t>Beauty Salon 1294</t>
  </si>
  <si>
    <t>Company Beauty SL1294</t>
  </si>
  <si>
    <t>Saint-Maur-des-Fossés</t>
  </si>
  <si>
    <t>69 Bd de Créteil, 94100 Saint-Maur-des-Fossés, France</t>
  </si>
  <si>
    <t>FR3737363336</t>
  </si>
  <si>
    <t>Beauty Salon 1503</t>
  </si>
  <si>
    <t>Company Beauty SL1503</t>
  </si>
  <si>
    <t>19 Rue Francis de Croisset, 75018 Paris, France</t>
  </si>
  <si>
    <t>Beauty Salon 3267</t>
  </si>
  <si>
    <t>Company Beauty SL3267</t>
  </si>
  <si>
    <t>58 Rue de Bourgogne, 75007 Paris, France</t>
  </si>
  <si>
    <t>FR37337373373</t>
  </si>
  <si>
    <t>Beauty Salon 2774</t>
  </si>
  <si>
    <t>Company Beauty SL2774</t>
  </si>
  <si>
    <t>Oberhausen</t>
  </si>
  <si>
    <t>Steinbrinkstraße 200, 46145 Oberhausen, Deutschland</t>
  </si>
  <si>
    <t>Beauty Salon 1734</t>
  </si>
  <si>
    <t>Company Beauty SL1734</t>
  </si>
  <si>
    <t>Aix-en-Provence</t>
  </si>
  <si>
    <t>90 Chem. du Pont Rout, 13090 Aix-en-Provence, France</t>
  </si>
  <si>
    <t>FR37337733337</t>
  </si>
  <si>
    <t>Beauty Salon 298</t>
  </si>
  <si>
    <t>Company Beauty SL298</t>
  </si>
  <si>
    <t>Opfikon</t>
  </si>
  <si>
    <t>8152 Opfikon, Schweiz</t>
  </si>
  <si>
    <t>Beauty Salon 4241</t>
  </si>
  <si>
    <t>Company Beauty SL4241</t>
  </si>
  <si>
    <t>Corso Piemonte, 63, 74121 Taranto TA, Italia</t>
  </si>
  <si>
    <t>Beauty Salon 4261</t>
  </si>
  <si>
    <t>Company Beauty SL4261</t>
  </si>
  <si>
    <t>Uznach</t>
  </si>
  <si>
    <t>Rickenstrasse 11, 8730 Uznach, Schweiz</t>
  </si>
  <si>
    <t>Beauty Salon 1899</t>
  </si>
  <si>
    <t>Company Beauty SL1899</t>
  </si>
  <si>
    <t>Marchwartstrasse 44, 8038 Zürich, Schweiz</t>
  </si>
  <si>
    <t>Beauty Salon 1123</t>
  </si>
  <si>
    <t>Company Beauty SL1123</t>
  </si>
  <si>
    <t>Schöneggstrasse 10, 8004 Zürich, Schweiz</t>
  </si>
  <si>
    <t>Beauty Salon 1507</t>
  </si>
  <si>
    <t>Company Beauty SL1507</t>
  </si>
  <si>
    <t>Ulmenstraße 23B, 22299 Hamburg, Deutschland</t>
  </si>
  <si>
    <t>Beauty Salon 172</t>
  </si>
  <si>
    <t>Company Beauty SL172</t>
  </si>
  <si>
    <t>Brétigny-sur-Orge</t>
  </si>
  <si>
    <t>16 Rue du Général Leclerc, 91220 Brétigny-sur-Orge, France</t>
  </si>
  <si>
    <t>Beauty Salon 4764</t>
  </si>
  <si>
    <t>Company Beauty SL4764</t>
  </si>
  <si>
    <t>L'Aquila</t>
  </si>
  <si>
    <t>Via Fontesecco, 16, 67100 L'Aquila AQ, Italia</t>
  </si>
  <si>
    <t>Beauty Salon 4410</t>
  </si>
  <si>
    <t>Company Beauty SL4410</t>
  </si>
  <si>
    <t>Campobasso</t>
  </si>
  <si>
    <t>Via Giambattista Vico, 37, 86100 Campobasso CB, Italia</t>
  </si>
  <si>
    <t>Beauty Salon 2821</t>
  </si>
  <si>
    <t>Company Beauty SL2821</t>
  </si>
  <si>
    <t>Castelfranco Veneto</t>
  </si>
  <si>
    <t>Piazza della Serenissima, 20, 31033 Castelfranco Veneto TV, Italia</t>
  </si>
  <si>
    <t>Beauty Salon 609</t>
  </si>
  <si>
    <t>Company Beauty SL609</t>
  </si>
  <si>
    <t>Via Alessandro Lamarmora, 316, 25124 Brescia BS, Italia</t>
  </si>
  <si>
    <t>Beauty Salon 2976</t>
  </si>
  <si>
    <t>Company Beauty SL2976</t>
  </si>
  <si>
    <t>Taverny</t>
  </si>
  <si>
    <t>257 Rue de Paris, 95150 Taverny, France</t>
  </si>
  <si>
    <t>FR33733733777</t>
  </si>
  <si>
    <t>Latina</t>
  </si>
  <si>
    <t>Via Sabaudia, 85, 04100 Latina LT, Italia</t>
  </si>
  <si>
    <t>Beauty Salon 852</t>
  </si>
  <si>
    <t>Company Beauty SL852</t>
  </si>
  <si>
    <t>Via dell'Aeroporto, 2a, 00175 Roma RM, Italia</t>
  </si>
  <si>
    <t>Beauty Salon 4720</t>
  </si>
  <si>
    <t>Company Beauty SL4720</t>
  </si>
  <si>
    <t>Rivoli</t>
  </si>
  <si>
    <t>Corso Francia, 224C, 10098 Rivoli TO, Italia</t>
  </si>
  <si>
    <t>Beauty Salon 2242</t>
  </si>
  <si>
    <t>Company Beauty SL2242</t>
  </si>
  <si>
    <t>Alcochete</t>
  </si>
  <si>
    <t>R. Carlos Manuel Rodrigues Francisco 11, 2890-096 Alcochete, Portugal</t>
  </si>
  <si>
    <t>Vilnius</t>
  </si>
  <si>
    <t>Ateities g. 11, Vilnius 08304, Lithuania</t>
  </si>
  <si>
    <t>0,21</t>
  </si>
  <si>
    <t>Beauty Salon 1129</t>
  </si>
  <si>
    <t>Company Beauty SL1129</t>
  </si>
  <si>
    <t>Woodford Bridge</t>
  </si>
  <si>
    <t>646A Chigwell Rd, Woodford Bridge, Woodford Green IG8 8AF, UK</t>
  </si>
  <si>
    <t>Beauty Salon 3562</t>
  </si>
  <si>
    <t>Company Beauty SL3562</t>
  </si>
  <si>
    <t>C. del Consell de Cent, 218, 08011 Barcelona, España</t>
  </si>
  <si>
    <t>B37373637</t>
  </si>
  <si>
    <t>Beauty Salon 3363</t>
  </si>
  <si>
    <t>Company Beauty SL3363</t>
  </si>
  <si>
    <t>Rambla de Francesc Macià, 61, 08226 Terrassa, Barcelona, España</t>
  </si>
  <si>
    <t>37777366G</t>
  </si>
  <si>
    <t>Beauty Salon 4370</t>
  </si>
  <si>
    <t>Company Beauty SL4370</t>
  </si>
  <si>
    <t>67 Chatsworth Rd, Lower Clapton, London E5 0LH, UK</t>
  </si>
  <si>
    <t>Beauty Salon 4986</t>
  </si>
  <si>
    <t>Company Beauty SL4986</t>
  </si>
  <si>
    <t>Liège</t>
  </si>
  <si>
    <t>Rue de l'Etuve 17, 4000 Liège, Belgique</t>
  </si>
  <si>
    <t>Beauty Salon 3884</t>
  </si>
  <si>
    <t>Company Beauty SL3884</t>
  </si>
  <si>
    <t>Via Jacopo Melani, 22, 00124 Roma RM, Italia</t>
  </si>
  <si>
    <t>PZZDNL67A63H333Z</t>
  </si>
  <si>
    <t>Beauty Salon 3876</t>
  </si>
  <si>
    <t>Company Beauty SL3876</t>
  </si>
  <si>
    <t>18 Soho Square, London W1D 3QH, UK</t>
  </si>
  <si>
    <t>Beauty Salon 2133</t>
  </si>
  <si>
    <t>Company Beauty SL2133</t>
  </si>
  <si>
    <t>West Midlands</t>
  </si>
  <si>
    <t>2a Bell Ln, Birmingham B31 1JZ, UK</t>
  </si>
  <si>
    <t>Beauty Salon 4895</t>
  </si>
  <si>
    <t>Company Beauty SL4895</t>
  </si>
  <si>
    <t>Partick</t>
  </si>
  <si>
    <t>within ClipJoint hairdressers, 8 Peel St, Partick, Glasgow G11 5LL, UK</t>
  </si>
  <si>
    <t>Beauty Salon 161</t>
  </si>
  <si>
    <t>Company Beauty SL161</t>
  </si>
  <si>
    <t>Brindisi</t>
  </si>
  <si>
    <t>Viale Francia, 33, 72100 Brindisi BR, Italia</t>
  </si>
  <si>
    <t>Unit P17, Gorton Retail Market, Manchester M18 8LD, UK</t>
  </si>
  <si>
    <t>Beauty Salon 752</t>
  </si>
  <si>
    <t>Company Beauty SL752</t>
  </si>
  <si>
    <t>Hertfordshire</t>
  </si>
  <si>
    <t>The Thrive, Battlers Green Farm, Common Ln, Radlett WD7 8PH, UK</t>
  </si>
  <si>
    <t>Beauty Salon 4310</t>
  </si>
  <si>
    <t>Company Beauty SL4310</t>
  </si>
  <si>
    <t>Θέμιδος 1, Μαρούσι 151 24, Ελλάδα</t>
  </si>
  <si>
    <t>Beauty Salon 4175</t>
  </si>
  <si>
    <t>Company Beauty SL4175</t>
  </si>
  <si>
    <t>Trieste</t>
  </si>
  <si>
    <t>Via della Ginnastica, 5/a, 34125 Trieste TS, Italia</t>
  </si>
  <si>
    <t>Marino</t>
  </si>
  <si>
    <t>Corso Trieste, 56, 00047 Marino RM, Italia</t>
  </si>
  <si>
    <t>Beauty Salon 4702</t>
  </si>
  <si>
    <t>Company Beauty SL4702</t>
  </si>
  <si>
    <t>Rue Saint-Didier, Paris, France</t>
  </si>
  <si>
    <t>FR73337673333</t>
  </si>
  <si>
    <t>Beauty Salon 2653</t>
  </si>
  <si>
    <t>Company Beauty SL2653</t>
  </si>
  <si>
    <t>484 Hornsey Rd, Finsbury Park, London N19 4EF, UK</t>
  </si>
  <si>
    <t>Beauty Salon 3769</t>
  </si>
  <si>
    <t>Company Beauty SL3769</t>
  </si>
  <si>
    <t>655 Fulham Rd., London SW6 5PY, UK</t>
  </si>
  <si>
    <t>Beauty Salon 267</t>
  </si>
  <si>
    <t>Company Beauty SL267</t>
  </si>
  <si>
    <t>Sheffield City Centre</t>
  </si>
  <si>
    <t>113-115 Pinstone St, Sheffield City Centre, Sheffield S1 2HL, UK</t>
  </si>
  <si>
    <t>Beauty Salon 2835</t>
  </si>
  <si>
    <t>Company Beauty SL2835</t>
  </si>
  <si>
    <t>C. de Jesús y María, 17, 28012 Madrid, España</t>
  </si>
  <si>
    <t>73737673X</t>
  </si>
  <si>
    <t>Beauty Salon 2923</t>
  </si>
  <si>
    <t>Company Beauty SL2923</t>
  </si>
  <si>
    <t>Av. Ricardo Soriano, 31, 1d, 29601 Marbella, Málaga, España</t>
  </si>
  <si>
    <t>X6333676A</t>
  </si>
  <si>
    <t>Beauty Salon 2172</t>
  </si>
  <si>
    <t>Company Beauty SL2172</t>
  </si>
  <si>
    <t>66/67 Aungier St, Dublin, D02 YR81, Ireland</t>
  </si>
  <si>
    <t>Beauty Salon 649</t>
  </si>
  <si>
    <t>Company Beauty SL649</t>
  </si>
  <si>
    <t>Chasse-sur-Rhône</t>
  </si>
  <si>
    <t>1515 Av. Frédéric Mistral, 38670 Chasse-sur-Rhône, France</t>
  </si>
  <si>
    <t>FR73733337337</t>
  </si>
  <si>
    <t>Beauty Salon 3370</t>
  </si>
  <si>
    <t>Company Beauty SL3370</t>
  </si>
  <si>
    <t>Calonne-Ricouart</t>
  </si>
  <si>
    <t>Rue de saint-nazaire, 62470 Calonne-Ricouart, France</t>
  </si>
  <si>
    <t>FR73337376773</t>
  </si>
  <si>
    <t>Beauty Salon 252</t>
  </si>
  <si>
    <t>Company Beauty SL252</t>
  </si>
  <si>
    <t>Via Chiana, 110a, 00198 Roma RM, Italia</t>
  </si>
  <si>
    <t>Beauty Salon 2023</t>
  </si>
  <si>
    <t>Company Beauty SL2023</t>
  </si>
  <si>
    <t>Duisburg</t>
  </si>
  <si>
    <t>Altenbrucher Damm 15, 47249 Duisburg, Deutschland</t>
  </si>
  <si>
    <t>Beauty Salon 1656</t>
  </si>
  <si>
    <t>Company Beauty SL1656</t>
  </si>
  <si>
    <t>Campos</t>
  </si>
  <si>
    <t>Carrer de sa Creu, 2, 07630 Campos, Illes Balears, España</t>
  </si>
  <si>
    <t>33737337E</t>
  </si>
  <si>
    <t>Beauty Salon 3035</t>
  </si>
  <si>
    <t>Company Beauty SL3035</t>
  </si>
  <si>
    <t>Modena</t>
  </si>
  <si>
    <t>Via Emilia Est, 1058, 41126 Modena MO, Italia</t>
  </si>
  <si>
    <t>Beauty Salon 3169</t>
  </si>
  <si>
    <t>Company Beauty SL3169</t>
  </si>
  <si>
    <t>Via Spirito Santo, 317, 89128 Reggio Calabria RC, Italia</t>
  </si>
  <si>
    <t>Beauty Salon 4701</t>
  </si>
  <si>
    <t>Company Beauty SL4701</t>
  </si>
  <si>
    <t>Majadahonda</t>
  </si>
  <si>
    <t>C. Las Norias, 25, 28220 Majadahonda, Madrid, España</t>
  </si>
  <si>
    <t>76373633K</t>
  </si>
  <si>
    <t>Beauty Salon 98</t>
  </si>
  <si>
    <t>Company Beauty SL98</t>
  </si>
  <si>
    <t>Αλκαμένους 37, Αθήνα 104 40, Ελλάδα</t>
  </si>
  <si>
    <t>Beauty Salon 2513</t>
  </si>
  <si>
    <t>Company Beauty SL2513</t>
  </si>
  <si>
    <t>Sarno</t>
  </si>
  <si>
    <t>Via S. Valentino, 6, 84087 Sarno SA, Italia</t>
  </si>
  <si>
    <t>Beauty Salon 247</t>
  </si>
  <si>
    <t>Company Beauty SL247</t>
  </si>
  <si>
    <t>Palermo</t>
  </si>
  <si>
    <t>Via Mater Dolorosa, 80, 90146 Palermo PA, Italia</t>
  </si>
  <si>
    <t>Βριλήσσια</t>
  </si>
  <si>
    <t>Γράμμου 24-26, Βριλήσσια 152 35, Ελλάδα</t>
  </si>
  <si>
    <t>Beauty Salon 3591</t>
  </si>
  <si>
    <t>Company Beauty SL3591</t>
  </si>
  <si>
    <t>Brain-sur-Allonnes</t>
  </si>
  <si>
    <t>2 Pl. du Commerce, 49650 Brain-sur-Allonnes, France</t>
  </si>
  <si>
    <t>FR33333337373</t>
  </si>
  <si>
    <t>Beauty Salon 617</t>
  </si>
  <si>
    <t>Company Beauty SL617</t>
  </si>
  <si>
    <t>Oggiona</t>
  </si>
  <si>
    <t>Via Giacomo Matteotti, 16, 21040 Oggiona VA, Italia</t>
  </si>
  <si>
    <t>Beauty Salon 4441</t>
  </si>
  <si>
    <t>Company Beauty SL4441</t>
  </si>
  <si>
    <t>Sambuceto</t>
  </si>
  <si>
    <t>Viale Sandro Pertini, 66020 Sambuceto CH, Italia</t>
  </si>
  <si>
    <t>Beauty Salon 4092</t>
  </si>
  <si>
    <t>Company Beauty SL4092</t>
  </si>
  <si>
    <t>Rotterdam</t>
  </si>
  <si>
    <t>Emmy van Leersumhof 24a, 3059 LT Rotterdam, Netherlands</t>
  </si>
  <si>
    <t>NL373333333B33</t>
  </si>
  <si>
    <t>Beauty Salon 944</t>
  </si>
  <si>
    <t>Company Beauty SL944</t>
  </si>
  <si>
    <t>Pinerolo</t>
  </si>
  <si>
    <t>Via Montebello, 19, 10064 Pinerolo TO, Italia</t>
  </si>
  <si>
    <t>Beauty Salon 4695</t>
  </si>
  <si>
    <t>Company Beauty SL4695</t>
  </si>
  <si>
    <t>25 Bd de Strasbourg, 75010 Paris, France</t>
  </si>
  <si>
    <t>Beauty Salon 1041</t>
  </si>
  <si>
    <t>Company Beauty SL1041</t>
  </si>
  <si>
    <t>Quincy-sous-Sénart</t>
  </si>
  <si>
    <t>19 Rue des 2 Communes, 91480 Quincy-sous-Sénart, France</t>
  </si>
  <si>
    <t>FR73737737736</t>
  </si>
  <si>
    <t>Beauty Salon 4600</t>
  </si>
  <si>
    <t>Company Beauty SL4600</t>
  </si>
  <si>
    <t>Carrer de la Torreta de Miramar, 25, 46020 València, Valencia, España</t>
  </si>
  <si>
    <t>Y7733336T</t>
  </si>
  <si>
    <t>Beauty Salon 909</t>
  </si>
  <si>
    <t>Company Beauty SL909</t>
  </si>
  <si>
    <t>C. de Ercilla, 3, 28005 Madrid, España</t>
  </si>
  <si>
    <t>33376776W</t>
  </si>
  <si>
    <t>Beauty Salon 4980</t>
  </si>
  <si>
    <t>Company Beauty SL4980</t>
  </si>
  <si>
    <t>Alphen aan den Rijn</t>
  </si>
  <si>
    <t>Lisdodde 106, 2408 LX Alphen aan den Rijn, Netherlands</t>
  </si>
  <si>
    <t>NL337336333B73</t>
  </si>
  <si>
    <t>Beauty Salon 227</t>
  </si>
  <si>
    <t>Company Beauty SL227</t>
  </si>
  <si>
    <t>Château-Renard</t>
  </si>
  <si>
    <t>2 Pl. de la République, 45220 Château-Renard, France</t>
  </si>
  <si>
    <t>FR63373733337</t>
  </si>
  <si>
    <t>Beauty Salon 2045</t>
  </si>
  <si>
    <t>Company Beauty SL2045</t>
  </si>
  <si>
    <t>Rambla Marquesa de Castellbell, 63, 08980 Sant Feliu de Llobregat, Barcelona, España</t>
  </si>
  <si>
    <t>j33333333</t>
  </si>
  <si>
    <t>Beauty Salon 1302</t>
  </si>
  <si>
    <t>Company Beauty SL1302</t>
  </si>
  <si>
    <t>Schillerstraße 46, 10627 Berlin, Deutschland</t>
  </si>
  <si>
    <t>Beauty Salon 1103</t>
  </si>
  <si>
    <t>Company Beauty SL1103</t>
  </si>
  <si>
    <t>4 Av. de la Prte de Villiers, 75017 Paris, France</t>
  </si>
  <si>
    <t>FR33737773333</t>
  </si>
  <si>
    <t>Beauty Salon 4945</t>
  </si>
  <si>
    <t>Company Beauty SL4945</t>
  </si>
  <si>
    <t>Villeneuve-la-Garenne</t>
  </si>
  <si>
    <t>10 Rue Paul Signac, 92390 Villeneuve-la-Garenne, France</t>
  </si>
  <si>
    <t>FR73333377367</t>
  </si>
  <si>
    <t>Beauty Salon 359</t>
  </si>
  <si>
    <t>Company Beauty SL359</t>
  </si>
  <si>
    <t>Melun</t>
  </si>
  <si>
    <t>7 Av. du Maréchal Juin, 77000 Melun, France</t>
  </si>
  <si>
    <t>FR36373733333</t>
  </si>
  <si>
    <t>Beauty Salon 734</t>
  </si>
  <si>
    <t>Company Beauty SL734</t>
  </si>
  <si>
    <t>Via Maggiore Pietro Toselli, 201, 90143 Palermo PA, Italia</t>
  </si>
  <si>
    <t>Beauty Salon 4168</t>
  </si>
  <si>
    <t>Company Beauty SL4168</t>
  </si>
  <si>
    <t>170A High Rd, London N2 9AS, UK</t>
  </si>
  <si>
    <t>Beauty Salon 4387</t>
  </si>
  <si>
    <t>Company Beauty SL4387</t>
  </si>
  <si>
    <t>Lacapelle-Marival</t>
  </si>
  <si>
    <t>1 Route de figeac, 46120, Lacapelle-Marival, France</t>
  </si>
  <si>
    <t>Beauty Salon 4091</t>
  </si>
  <si>
    <t>Company Beauty SL4091</t>
  </si>
  <si>
    <t>Via Marco Polo, 11, 20124 Milano MI, Italia</t>
  </si>
  <si>
    <t>Beauty Salon 2967</t>
  </si>
  <si>
    <t>Company Beauty SL2967</t>
  </si>
  <si>
    <t>4 Rue du Pélican, 75001 Paris, France</t>
  </si>
  <si>
    <t>FR33337367337</t>
  </si>
  <si>
    <t>Beauty Salon 2681</t>
  </si>
  <si>
    <t>Company Beauty SL2681</t>
  </si>
  <si>
    <t>C. Eloy Gonzalo, 26, 28010 Madrid, España</t>
  </si>
  <si>
    <t>37333367E</t>
  </si>
  <si>
    <t>Beauty Salon 2214</t>
  </si>
  <si>
    <t>Company Beauty SL2214</t>
  </si>
  <si>
    <t>Narbonne</t>
  </si>
  <si>
    <t>17 Av. Anatole France, 11100 Narbonne, France</t>
  </si>
  <si>
    <t>FR73733737333</t>
  </si>
  <si>
    <t>Beauty Salon 3765</t>
  </si>
  <si>
    <t>Company Beauty SL3765</t>
  </si>
  <si>
    <t>Saint-Gilles</t>
  </si>
  <si>
    <t>57 Rue Gambetta, 30800 Saint-Gilles, France</t>
  </si>
  <si>
    <t>Beauty Salon 1914</t>
  </si>
  <si>
    <t>Company Beauty SL1914</t>
  </si>
  <si>
    <t>Don Benito</t>
  </si>
  <si>
    <t>C. Maestro, 8, 06400 Don Benito, Badajoz, España</t>
  </si>
  <si>
    <t>37373736Q</t>
  </si>
  <si>
    <t>Beauty Salon 4549</t>
  </si>
  <si>
    <t>Company Beauty SL4549</t>
  </si>
  <si>
    <t>Άλιμος</t>
  </si>
  <si>
    <t>Λυσικράτους 26, Άλιμος 174 55, Ελλάδα</t>
  </si>
  <si>
    <t>Beauty Salon 4575</t>
  </si>
  <si>
    <t>Company Beauty SL4575</t>
  </si>
  <si>
    <t>Saint-Cloud</t>
  </si>
  <si>
    <t>23 Rue du Dr Desfossez, 92210 Saint-Cloud, France</t>
  </si>
  <si>
    <t>FR73373737737</t>
  </si>
  <si>
    <t>Beauty Salon 1612</t>
  </si>
  <si>
    <t>Company Beauty SL1612</t>
  </si>
  <si>
    <t>Mönchengladbach</t>
  </si>
  <si>
    <t>Zur Burgmühle 2, 41199 Mönchengladbach, Deutschland</t>
  </si>
  <si>
    <t>Beauty Salon 1986</t>
  </si>
  <si>
    <t>Company Beauty SL1986</t>
  </si>
  <si>
    <t>Carrer del Gravador Esteve, 6, 46004 València, Valencia, España</t>
  </si>
  <si>
    <t>B76373737</t>
  </si>
  <si>
    <t>Beauty Salon 4412</t>
  </si>
  <si>
    <t>Company Beauty SL4412</t>
  </si>
  <si>
    <t>Stampfenbachstrasse 151, 8006 Zürich, Schweiz</t>
  </si>
  <si>
    <t>Beauty Salon 2481</t>
  </si>
  <si>
    <t>Company Beauty SL2481</t>
  </si>
  <si>
    <t>127 Lee Rd, Blackheath, London SE3 9DS, UK</t>
  </si>
  <si>
    <t>Beauty Salon 2276</t>
  </si>
  <si>
    <t>Company Beauty SL2276</t>
  </si>
  <si>
    <t>Stuttgart</t>
  </si>
  <si>
    <t>Duisburger Str. 35, 70376 Stuttgart, Deutschland</t>
  </si>
  <si>
    <t>Árvore</t>
  </si>
  <si>
    <t>R. Ana Leite do Passo 93, 4480-093 Árvore, Portugal</t>
  </si>
  <si>
    <t>Beauty Salon 3567</t>
  </si>
  <si>
    <t>Company Beauty SL3567</t>
  </si>
  <si>
    <t>Eemnes</t>
  </si>
  <si>
    <t>Wezeboom 21, 3755 WT Eemnes, Netherlands</t>
  </si>
  <si>
    <t>NL337337337B33</t>
  </si>
  <si>
    <t>Beauty Salon 1036</t>
  </si>
  <si>
    <t>Company Beauty SL1036</t>
  </si>
  <si>
    <t>Carrer dels Paraires, 23, 07001 Palma, Illes Balears, España</t>
  </si>
  <si>
    <t>Y7373677B</t>
  </si>
  <si>
    <t>Beauty Salon 1786</t>
  </si>
  <si>
    <t>Company Beauty SL1786</t>
  </si>
  <si>
    <t>14 Rue Maurice Fonvieille, 31000 Toulouse, France</t>
  </si>
  <si>
    <t>FR33333333763</t>
  </si>
  <si>
    <t>Beauty Salon 4049</t>
  </si>
  <si>
    <t>Company Beauty SL4049</t>
  </si>
  <si>
    <t>Château-Chinon</t>
  </si>
  <si>
    <t>22 Pl. Gudin, 58120 Château-Chinon, France</t>
  </si>
  <si>
    <t>FR37737673337</t>
  </si>
  <si>
    <t>Beauty Salon 3216</t>
  </si>
  <si>
    <t>Company Beauty SL3216</t>
  </si>
  <si>
    <t>La Puebla</t>
  </si>
  <si>
    <t>Rda. Albufera, 56, 07420 La Puebla, Islas Baleares, España</t>
  </si>
  <si>
    <t>73337377V</t>
  </si>
  <si>
    <t>Beauty Salon 738</t>
  </si>
  <si>
    <t>Company Beauty SL738</t>
  </si>
  <si>
    <t>C/ del Dr. Manuel Candela, 52, 46021 València</t>
  </si>
  <si>
    <t>37337633C</t>
  </si>
  <si>
    <t>Beauty Salon 2376</t>
  </si>
  <si>
    <t>Company Beauty SL2376</t>
  </si>
  <si>
    <t>156 Essex Rd, London N1 8LY, UK</t>
  </si>
  <si>
    <t>Beauty Salon 1094</t>
  </si>
  <si>
    <t>Company Beauty SL1094</t>
  </si>
  <si>
    <t>Edinburgh</t>
  </si>
  <si>
    <t>140 Ferry Rd., Edinburgh EH6 4PQ, UK</t>
  </si>
  <si>
    <t>Beauty Salon 22</t>
  </si>
  <si>
    <t>Company Beauty SL22</t>
  </si>
  <si>
    <t>48 Bd Pasteur, 75015 Paris, France</t>
  </si>
  <si>
    <t>FR33337333333</t>
  </si>
  <si>
    <t>Beauty Salon 2316</t>
  </si>
  <si>
    <t>Company Beauty SL2316</t>
  </si>
  <si>
    <t>Lamone</t>
  </si>
  <si>
    <t>Via Girella 16, 6814 Lamone, Schweiz</t>
  </si>
  <si>
    <t>CHE-333.773.333 IVA</t>
  </si>
  <si>
    <t>Beauty Salon 1231</t>
  </si>
  <si>
    <t>Company Beauty SL1231</t>
  </si>
  <si>
    <t>Via Roma, 108, 80038 Pomigliano d'Arco NA, Italia</t>
  </si>
  <si>
    <t>Beauty Salon 861</t>
  </si>
  <si>
    <t>Company Beauty SL861</t>
  </si>
  <si>
    <t>Santander</t>
  </si>
  <si>
    <t>C. Castelar, 49, 39004 Santander, Cantabria, España</t>
  </si>
  <si>
    <t>X3733763S</t>
  </si>
  <si>
    <t>Beauty Salon 196</t>
  </si>
  <si>
    <t>Company Beauty SL196</t>
  </si>
  <si>
    <t>Ronda del Caballero de la Mancha, 71, 28034 Madrid, España</t>
  </si>
  <si>
    <t>33377633F</t>
  </si>
  <si>
    <t>Beauty Salon 3413</t>
  </si>
  <si>
    <t>Company Beauty SL3413</t>
  </si>
  <si>
    <t>Am Westheck 62, 44309 Dortmund, Deutschland</t>
  </si>
  <si>
    <t>Beauty Salon 619</t>
  </si>
  <si>
    <t>Company Beauty SL619</t>
  </si>
  <si>
    <t>C. de Costa Rica, 1, 28016 Madrid, España</t>
  </si>
  <si>
    <t>33373736S</t>
  </si>
  <si>
    <t>Beauty Salon 4846</t>
  </si>
  <si>
    <t>Company Beauty SL4846</t>
  </si>
  <si>
    <t>Düsseldorf</t>
  </si>
  <si>
    <t>Münsterstraße 331, 40470 Düsseldorf, Deutschland</t>
  </si>
  <si>
    <t>Beauty Salon 4487</t>
  </si>
  <si>
    <t>Company Beauty SL4487</t>
  </si>
  <si>
    <t>Essen</t>
  </si>
  <si>
    <t>Oberstraße 68, 45134 Essen, Deutschland</t>
  </si>
  <si>
    <t>Reus</t>
  </si>
  <si>
    <t>Carrer dels Recs, 21, 43201 Reus, Tarragona, España</t>
  </si>
  <si>
    <t>X6363733A</t>
  </si>
  <si>
    <t>Beauty Salon 2502</t>
  </si>
  <si>
    <t>Company Beauty SL2502</t>
  </si>
  <si>
    <t>9 Av. Fremiet, 75016 Paris, France</t>
  </si>
  <si>
    <t>FR33373673367</t>
  </si>
  <si>
    <t>Beauty Salon 1817</t>
  </si>
  <si>
    <t>Company Beauty SL1817</t>
  </si>
  <si>
    <t>Av. Afonso III 71B, 1900-185 Lisboa, Portugal</t>
  </si>
  <si>
    <t>Beauty Salon 3349</t>
  </si>
  <si>
    <t>Company Beauty SL3349</t>
  </si>
  <si>
    <t>Purchena</t>
  </si>
  <si>
    <t>Pl. Triana, 19, 04870 Purchena, Almería, España</t>
  </si>
  <si>
    <t>33637377C</t>
  </si>
  <si>
    <t>Beauty Salon 1637</t>
  </si>
  <si>
    <t>Company Beauty SL1637</t>
  </si>
  <si>
    <t>94 Rue Myrha, 75018 Paris, France</t>
  </si>
  <si>
    <t>FR33333333337</t>
  </si>
  <si>
    <t>Karlsfeld</t>
  </si>
  <si>
    <t>Münchner Str. 209, 85757 Karlsfeld, Deutschland</t>
  </si>
  <si>
    <t>Beauty Salon 4663</t>
  </si>
  <si>
    <t>Company Beauty SL4663</t>
  </si>
  <si>
    <t>Carrer de Sant Medir, 16, 08028 Barcelona, España</t>
  </si>
  <si>
    <t>77733773P</t>
  </si>
  <si>
    <t>Beauty Salon 4641</t>
  </si>
  <si>
    <t>Company Beauty SL4641</t>
  </si>
  <si>
    <t>224-226 York Rd, London SW11 3SD, UK</t>
  </si>
  <si>
    <t>Beauty Salon 4203</t>
  </si>
  <si>
    <t>Company Beauty SL4203</t>
  </si>
  <si>
    <t>14 Rue Ferdinand Flocon, 75018 Paris, France</t>
  </si>
  <si>
    <t>FR37337337336</t>
  </si>
  <si>
    <t>Beauty Salon 2217</t>
  </si>
  <si>
    <t>Company Beauty SL2217</t>
  </si>
  <si>
    <t>Calp</t>
  </si>
  <si>
    <t>Av. Valencia, 13, 03710 Calp, Alicante, España</t>
  </si>
  <si>
    <t>73337363A</t>
  </si>
  <si>
    <t>Beauty Salon 1430</t>
  </si>
  <si>
    <t>Company Beauty SL1430</t>
  </si>
  <si>
    <t>Embrach</t>
  </si>
  <si>
    <t>Schützenhausstrasse 111, 8424 Embrach, Schweiz</t>
  </si>
  <si>
    <t>Beauty Salon 370</t>
  </si>
  <si>
    <t>Company Beauty SL370</t>
  </si>
  <si>
    <t>C. de Andrés Borrego, 5, 28004 Madrid, España</t>
  </si>
  <si>
    <t>33333373Y</t>
  </si>
  <si>
    <t>Beauty Salon 1961</t>
  </si>
  <si>
    <t>Company Beauty SL1961</t>
  </si>
  <si>
    <t>Sevilla</t>
  </si>
  <si>
    <t>C. Eva Cervantes, 18, 41006 Sevilla, España</t>
  </si>
  <si>
    <t>33633337X</t>
  </si>
  <si>
    <t>Beauty Salon 3204</t>
  </si>
  <si>
    <t>Company Beauty SL3204</t>
  </si>
  <si>
    <t>14 North St, Hornchurch RM11 1QX, UK</t>
  </si>
  <si>
    <t>Peniche</t>
  </si>
  <si>
    <t>R. António Conceição Bento 17, 2520-294 Peniche, Portugal</t>
  </si>
  <si>
    <t>Mairena del Aljarafe</t>
  </si>
  <si>
    <t>C. Haya, 11, 41927 Mairena del Aljarafe, Sevilla, España</t>
  </si>
  <si>
    <t>33776333M</t>
  </si>
  <si>
    <t>Beauty Salon 4060</t>
  </si>
  <si>
    <t>Company Beauty SL4060</t>
  </si>
  <si>
    <t>San Vitaliano</t>
  </si>
  <si>
    <t>Via Frascatoli, 76, 80030 San Vitaliano NA, Italia</t>
  </si>
  <si>
    <t>Bayonne</t>
  </si>
  <si>
    <t>All. de la Font de Vignau 64100 Bayonne, France</t>
  </si>
  <si>
    <t>FR37733376773</t>
  </si>
  <si>
    <t>Beauty Salon 3162</t>
  </si>
  <si>
    <t>Company Beauty SL3162</t>
  </si>
  <si>
    <t>Reinbek</t>
  </si>
  <si>
    <t>Schmiedesberg 13, 21465 Reinbek, Deutschland</t>
  </si>
  <si>
    <t>Beauty Salon 1207</t>
  </si>
  <si>
    <t>Company Beauty SL1207</t>
  </si>
  <si>
    <t>Bergamo</t>
  </si>
  <si>
    <t>Bergamo BG, Italia</t>
  </si>
  <si>
    <t>Beauty Salon 4857</t>
  </si>
  <si>
    <t>Company Beauty SL4857</t>
  </si>
  <si>
    <t>Poilly-Lez-Gien</t>
  </si>
  <si>
    <t>Rue du 11 Novembre, 45500 Poilly-Lez-Gien, France</t>
  </si>
  <si>
    <t>Beauty Salon 420</t>
  </si>
  <si>
    <t>Company Beauty SL420</t>
  </si>
  <si>
    <t>C. del Poeta Joan Maragall, 22, 28020 Madrid, España</t>
  </si>
  <si>
    <t>Y3333333K</t>
  </si>
  <si>
    <t>Via al Quarto Miglio, 95, 00178 Roma RM, Italia</t>
  </si>
  <si>
    <t>Beauty Salon 405</t>
  </si>
  <si>
    <t>Company Beauty SL405</t>
  </si>
  <si>
    <t>Igreja Nova</t>
  </si>
  <si>
    <t>R. da Estrada Principal 15, 2640-367 Igreja Nova, Portugal</t>
  </si>
  <si>
    <t>Beauty Salon 3770</t>
  </si>
  <si>
    <t>Company Beauty SL3770</t>
  </si>
  <si>
    <t>FR36733373336</t>
  </si>
  <si>
    <t>Beauty Salon 2082</t>
  </si>
  <si>
    <t>Company Beauty SL2082</t>
  </si>
  <si>
    <t>Avinguda Diagonal, 359, 08037 Barcelona, España</t>
  </si>
  <si>
    <t>Y7376633T</t>
  </si>
  <si>
    <t>Beauty Salon 1898</t>
  </si>
  <si>
    <t>Company Beauty SL1898</t>
  </si>
  <si>
    <t>Francisco Grande Covian, 27, 28052 Madrid, España</t>
  </si>
  <si>
    <t>33363736K</t>
  </si>
  <si>
    <t>Beauty Salon 3241</t>
  </si>
  <si>
    <t>Company Beauty SL3241</t>
  </si>
  <si>
    <t>Lützowstraße 50, 10785 Berlin, Deutschland</t>
  </si>
  <si>
    <t>Beauty Salon 2193</t>
  </si>
  <si>
    <t>Company Beauty SL2193</t>
  </si>
  <si>
    <t>Saint-Laurent-du-Var</t>
  </si>
  <si>
    <t>34 Bd Louis Roux, 06700 Saint-Laurent-du-Var, France</t>
  </si>
  <si>
    <t>FR3377633337</t>
  </si>
  <si>
    <t>Beauty Salon 2037</t>
  </si>
  <si>
    <t>Company Beauty SL2037</t>
  </si>
  <si>
    <t>Champigny-sur-Marne</t>
  </si>
  <si>
    <t>94 Rue du Monument, 94500 Champigny-sur-Marne, France</t>
  </si>
  <si>
    <t>FR73773373333</t>
  </si>
  <si>
    <t>Beauty Salon 467</t>
  </si>
  <si>
    <t>Company Beauty SL467</t>
  </si>
  <si>
    <t>Zossener Str. 15, 10961 Berlin, Deutschland</t>
  </si>
  <si>
    <t>Beauty Salon 3103</t>
  </si>
  <si>
    <t>Company Beauty SL3103</t>
  </si>
  <si>
    <t>Heiligenstädter Str. 78, 1190 Wien, Österreich</t>
  </si>
  <si>
    <t>Beauty Salon 2615</t>
  </si>
  <si>
    <t>Company Beauty SL2615</t>
  </si>
  <si>
    <t>Corbeil-Essonnes</t>
  </si>
  <si>
    <t>6 Rue Saint-Spire, 91100 Corbeil-Essonnes, France</t>
  </si>
  <si>
    <t>FR73377367333</t>
  </si>
  <si>
    <t>Sabadell</t>
  </si>
  <si>
    <t>Pl. Assemblea de Catalunya, 12, 08207 Sabadell, Barcelona, España</t>
  </si>
  <si>
    <t>33733337S</t>
  </si>
  <si>
    <t>Beauty Salon 2280</t>
  </si>
  <si>
    <t>Company Beauty SL2280</t>
  </si>
  <si>
    <t>Via Stanga, 4, 37139 Verona VR, Italia</t>
  </si>
  <si>
    <t>Beauty Salon 4925</t>
  </si>
  <si>
    <t>Company Beauty SL4925</t>
  </si>
  <si>
    <t>Manresa</t>
  </si>
  <si>
    <t>Carrer del Pujolet, 29, 08242 Manresa, Barcelona, España</t>
  </si>
  <si>
    <t>77777337K</t>
  </si>
  <si>
    <t>Beauty Salon 2498</t>
  </si>
  <si>
    <t>Company Beauty SL2498</t>
  </si>
  <si>
    <t>Évora</t>
  </si>
  <si>
    <t>R. de Santa Catharina 21, 7000-567 Évora, Portugal</t>
  </si>
  <si>
    <t>Beauty Salon 3341</t>
  </si>
  <si>
    <t>Company Beauty SL3341</t>
  </si>
  <si>
    <t>Via di Ripetta, 34, 00186 Roma RM, Italia</t>
  </si>
  <si>
    <t>Beauty Salon 1073</t>
  </si>
  <si>
    <t>Company Beauty SL1073</t>
  </si>
  <si>
    <t>Nola</t>
  </si>
  <si>
    <t>Via Madonna delle Grazie, 67, 80035 Nola NA, Italia</t>
  </si>
  <si>
    <t>Beauty Salon 1846</t>
  </si>
  <si>
    <t>Company Beauty SL1846</t>
  </si>
  <si>
    <t>Erdbergstraße 57, 1030 Wien, Österreich</t>
  </si>
  <si>
    <t>Vintebbio</t>
  </si>
  <si>
    <t>Via G. Marconi, 4, 13037 Vintebbio VC, Italia</t>
  </si>
  <si>
    <t>Beauty Salon 4390</t>
  </si>
  <si>
    <t>Company Beauty SL4390</t>
  </si>
  <si>
    <t>3 Station Parade, Ealing Rd, Northolt UB5 5HR, UK</t>
  </si>
  <si>
    <t>Beauty Salon 3944</t>
  </si>
  <si>
    <t>Company Beauty SL3944</t>
  </si>
  <si>
    <t>Beauty Salon 2995</t>
  </si>
  <si>
    <t>Company Beauty SL2995</t>
  </si>
  <si>
    <t>Seregno</t>
  </si>
  <si>
    <t>Via Cristoforo Colombo, 52, 20831 Seregno MB, Italia</t>
  </si>
  <si>
    <t>Beauty Salon 4821</t>
  </si>
  <si>
    <t>Company Beauty SL4821</t>
  </si>
  <si>
    <t>Arona</t>
  </si>
  <si>
    <t>TF-28, 50, 38627 Arona, Santa Cruz de Tenerife, España</t>
  </si>
  <si>
    <t>Y3337373W</t>
  </si>
  <si>
    <t>Beauty Salon 3307</t>
  </si>
  <si>
    <t>Company Beauty SL3307</t>
  </si>
  <si>
    <t>Av. Maria Helena Vieira da Silva 46, 1750-184 Lisboa, Portugal</t>
  </si>
  <si>
    <t>Carrer del Vallespir, 170, 08014 Barcelona, España</t>
  </si>
  <si>
    <t>73736373H</t>
  </si>
  <si>
    <t>Beauty Salon 3265</t>
  </si>
  <si>
    <t>Company Beauty SL3265</t>
  </si>
  <si>
    <t>Rahlstedter Bahnhofstraße 10, 22143 Hamburg, Deutschland</t>
  </si>
  <si>
    <t>Waterloo</t>
  </si>
  <si>
    <t>105 St John's Rd, Waterloo, Liverpool L22 9QD, UK</t>
  </si>
  <si>
    <t>Beauty Salon 2730</t>
  </si>
  <si>
    <t>Company Beauty SL2730</t>
  </si>
  <si>
    <t>Hilversum</t>
  </si>
  <si>
    <t>Leeghwaterstraat 100, 1221 BJ Hilversum, Netherlands</t>
  </si>
  <si>
    <t>NL333337737B67</t>
  </si>
  <si>
    <t>Beauty Salon 3306</t>
  </si>
  <si>
    <t>Company Beauty SL3306</t>
  </si>
  <si>
    <t>Via Paolo Ferrari, 68, 00123 Roma RM, Italia</t>
  </si>
  <si>
    <t>Guyans-Vennes</t>
  </si>
  <si>
    <t>21 Grande Rue, 25390 Guyans-Vennes, France</t>
  </si>
  <si>
    <t>FR33333737377</t>
  </si>
  <si>
    <t>Beauty Salon 2932</t>
  </si>
  <si>
    <t>Company Beauty SL2932</t>
  </si>
  <si>
    <t>Bremen</t>
  </si>
  <si>
    <t>Wandschneiderstraße 6, 28195 Bremen, Deutschland</t>
  </si>
  <si>
    <t>Beauty Salon 2734</t>
  </si>
  <si>
    <t>Company Beauty SL2734</t>
  </si>
  <si>
    <t>Mezzolombardo</t>
  </si>
  <si>
    <t>Corso del Popolo, 2, 38017 Mezzolombardo TN, Italia</t>
  </si>
  <si>
    <t>Beauty Salon 2022</t>
  </si>
  <si>
    <t>Company Beauty SL2022</t>
  </si>
  <si>
    <t>Πάτρα</t>
  </si>
  <si>
    <t>Παλαιών Πατρών Γερμανού 56, Πάτρα 262 25, Ελλάδα</t>
  </si>
  <si>
    <t>Beauty Salon 4885</t>
  </si>
  <si>
    <t>Company Beauty SL4885</t>
  </si>
  <si>
    <t>Albudeite</t>
  </si>
  <si>
    <t>C. Juan Pedro Blanco Hermosilla, 5, 30190 Albudeite, Murcia, España</t>
  </si>
  <si>
    <t>33333333A</t>
  </si>
  <si>
    <t>Beauty Salon 1178</t>
  </si>
  <si>
    <t>Company Beauty SL1178</t>
  </si>
  <si>
    <t>Wagramer Str. 61/9/1, 1220 Wien, Österreich</t>
  </si>
  <si>
    <t>Beauty Salon 4004</t>
  </si>
  <si>
    <t>Company Beauty SL4004</t>
  </si>
  <si>
    <t>Grosseto</t>
  </si>
  <si>
    <t>Via Fratelli Bandiera, 40, 58100 Grosseto GR, Italia</t>
  </si>
  <si>
    <t>Beauty Salon 4967</t>
  </si>
  <si>
    <t>Company Beauty SL4967</t>
  </si>
  <si>
    <t>54, 62 Uxbridge Rd, London W7 3SU, UK</t>
  </si>
  <si>
    <t>not vat registered</t>
  </si>
  <si>
    <t>Beauty Salon 3092</t>
  </si>
  <si>
    <t>Company Beauty SL3092</t>
  </si>
  <si>
    <t>Baltar</t>
  </si>
  <si>
    <t>Av. Dom Manuel I 791, 4585-013 Baltar, Portugal</t>
  </si>
  <si>
    <t>Beauty Salon 1977</t>
  </si>
  <si>
    <t>Company Beauty SL1977</t>
  </si>
  <si>
    <t>Via Prenestina, 461a, 00177 Roma RM, Italia</t>
  </si>
  <si>
    <t>Beauty Salon 779</t>
  </si>
  <si>
    <t>Company Beauty SL779</t>
  </si>
  <si>
    <t>München</t>
  </si>
  <si>
    <t>Hans-Mielich-Straße 35, 81543 München, Deutschland</t>
  </si>
  <si>
    <t>Piazzale Loreto, 2, 20131 Milano MI, Italia</t>
  </si>
  <si>
    <t>Beauty Salon 4616</t>
  </si>
  <si>
    <t>Company Beauty SL4616</t>
  </si>
  <si>
    <t>Via San Mamolo, 3, 40136 Bologna BO, Italia</t>
  </si>
  <si>
    <t>Beauty Salon 901</t>
  </si>
  <si>
    <t>Company Beauty SL901</t>
  </si>
  <si>
    <t>Bouzy</t>
  </si>
  <si>
    <t>16 Rue Charles de Gaulle, 51150 Bouzy, France</t>
  </si>
  <si>
    <t>Beauty Salon 4976</t>
  </si>
  <si>
    <t>Company Beauty SL4976</t>
  </si>
  <si>
    <t>Via Angelo Inganni, 2, 20147 Milano MI, Italia</t>
  </si>
  <si>
    <t>Beauty Salon 2055</t>
  </si>
  <si>
    <t>Company Beauty SL2055</t>
  </si>
  <si>
    <t>Beaulieu</t>
  </si>
  <si>
    <t>9 Av. Général Pamphile de Lacroix, 34160 Beaulieu, France</t>
  </si>
  <si>
    <t>FR73733736333</t>
  </si>
  <si>
    <t>Caldas da Rainha</t>
  </si>
  <si>
    <t>Rua Fonte do Pinheiro 53, 2500-203 Caldas da Rainha, Portugal</t>
  </si>
  <si>
    <t>Beauty Salon 1655</t>
  </si>
  <si>
    <t>Company Beauty SL1655</t>
  </si>
  <si>
    <t>A. Juozapavičiaus g. 9A, Vilnius 09311, Lithuania</t>
  </si>
  <si>
    <t>Beauty Salon 2543</t>
  </si>
  <si>
    <t>Company Beauty SL2543</t>
  </si>
  <si>
    <t>Mestrino</t>
  </si>
  <si>
    <t>Via Marco Polo, 87b, 35035 Mestrino PD, Italia</t>
  </si>
  <si>
    <t>Kieler Str. 5, 12163 Berlin, Deutschland</t>
  </si>
  <si>
    <t>Beauty Salon 1756</t>
  </si>
  <si>
    <t>Company Beauty SL1756</t>
  </si>
  <si>
    <t>Candiolo</t>
  </si>
  <si>
    <t>Via Torino, 3, 10060 Candiolo TO, Italia</t>
  </si>
  <si>
    <t>Beauty Salon 2711</t>
  </si>
  <si>
    <t>Company Beauty SL2711</t>
  </si>
  <si>
    <t>116 Ave Parmentier, 75011 Paris, France</t>
  </si>
  <si>
    <t>FR67333377767</t>
  </si>
  <si>
    <t>Beauty Salon 4826</t>
  </si>
  <si>
    <t>Company Beauty SL4826</t>
  </si>
  <si>
    <t>Tvankstos g. 12, Vilnius 06200, Lithuania</t>
  </si>
  <si>
    <t>Beauty Salon 4689</t>
  </si>
  <si>
    <t>Company Beauty SL4689</t>
  </si>
  <si>
    <t>Burnt Oak</t>
  </si>
  <si>
    <t>155 Burnt Oak Broadway, Burnt Oak, Edgware HA8 5EH, UK</t>
  </si>
  <si>
    <t>Beauty Salon 1214</t>
  </si>
  <si>
    <t>Company Beauty SL1214</t>
  </si>
  <si>
    <t>Varese</t>
  </si>
  <si>
    <t>Via Francesco Crispi, 48, 21100 Varese VA, Italia</t>
  </si>
  <si>
    <t>Via Vespri Siciliani, 11, 20146 Milano MI, Italia</t>
  </si>
  <si>
    <t>appointments_count</t>
  </si>
  <si>
    <t>bookings_online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</si>
</sst>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h:mm:ss"/>
    <numFmt numFmtId="165" formatCode="dd-mm-yyyy"/>
    <numFmt numFmtId="166" formatCode="d-m-yyyy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27221F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165" xfId="0" applyAlignment="1" applyFont="1" applyNumberFormat="1">
      <alignment readingOrder="0"/>
    </xf>
    <xf borderId="0" fillId="2" fontId="2" numFmtId="166" xfId="0" applyAlignment="1" applyFont="1" applyNumberFormat="1">
      <alignment readingOrder="0"/>
    </xf>
    <xf borderId="0" fillId="2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38"/>
    <col customWidth="1" min="3" max="3" width="17.5"/>
    <col customWidth="1" min="4" max="4" width="16.13"/>
    <col customWidth="1" min="5" max="5" width="6.0"/>
    <col customWidth="1" min="6" max="6" width="9.25"/>
    <col customWidth="1" min="7" max="7" width="7.0"/>
    <col customWidth="1" min="8" max="8" width="11.75"/>
    <col customWidth="1" min="9" max="9" width="16.5"/>
    <col customWidth="1" min="10" max="10" width="7.25"/>
    <col customWidth="1" min="14" max="14" width="12.13"/>
    <col customWidth="1" min="15" max="15" width="7.88"/>
    <col customWidth="1" min="18" max="18" width="6.75"/>
    <col customWidth="1" min="20" max="20" width="7.0"/>
    <col customWidth="1" min="22" max="22" width="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</row>
    <row r="2">
      <c r="A2" s="4">
        <v>530.0</v>
      </c>
      <c r="B2" s="5" t="b">
        <v>1</v>
      </c>
      <c r="C2" s="6" t="s">
        <v>23</v>
      </c>
      <c r="D2" s="1" t="s">
        <v>24</v>
      </c>
      <c r="E2" s="7">
        <v>4182122.0</v>
      </c>
      <c r="F2" s="7">
        <v>1245451.0</v>
      </c>
      <c r="G2" s="1" t="s">
        <v>25</v>
      </c>
      <c r="H2" s="1" t="s">
        <v>26</v>
      </c>
      <c r="I2" s="8">
        <v>41733.89620685185</v>
      </c>
      <c r="J2" s="9">
        <f>+390958839938</f>
        <v>390958839938</v>
      </c>
      <c r="K2" s="4">
        <v>1571.0</v>
      </c>
      <c r="L2" s="7" t="s">
        <v>27</v>
      </c>
      <c r="M2" s="1">
        <v>3.333333333E9</v>
      </c>
      <c r="N2" s="4">
        <v>9192.0</v>
      </c>
      <c r="O2" s="4">
        <v>8.0</v>
      </c>
      <c r="P2" s="1" t="s">
        <v>28</v>
      </c>
      <c r="Q2" s="5" t="b">
        <v>0</v>
      </c>
      <c r="R2" s="5" t="b">
        <v>1</v>
      </c>
      <c r="S2" s="5" t="b">
        <v>0</v>
      </c>
      <c r="T2" s="4" t="s">
        <v>29</v>
      </c>
      <c r="U2" s="5" t="b">
        <v>0</v>
      </c>
      <c r="V2" s="10">
        <v>44903.0</v>
      </c>
      <c r="W2" s="10">
        <v>44903.0</v>
      </c>
    </row>
    <row r="3">
      <c r="A3" s="4">
        <v>570.0</v>
      </c>
      <c r="B3" s="5" t="b">
        <v>1</v>
      </c>
      <c r="C3" s="6" t="s">
        <v>30</v>
      </c>
      <c r="D3" s="1" t="s">
        <v>31</v>
      </c>
      <c r="E3" s="7">
        <v>419151.0</v>
      </c>
      <c r="F3" s="7">
        <v>124633.0</v>
      </c>
      <c r="G3" s="1" t="s">
        <v>25</v>
      </c>
      <c r="H3" s="1" t="s">
        <v>32</v>
      </c>
      <c r="I3" s="8">
        <v>42081.55452424769</v>
      </c>
      <c r="J3" s="9">
        <f>+390999059333</f>
        <v>390999059333</v>
      </c>
      <c r="K3" s="4">
        <v>445.0</v>
      </c>
      <c r="L3" s="7" t="s">
        <v>27</v>
      </c>
      <c r="M3" s="1">
        <v>33333.0</v>
      </c>
      <c r="N3" s="4">
        <v>5594.0</v>
      </c>
      <c r="O3" s="4">
        <v>6.0</v>
      </c>
      <c r="P3" s="1" t="s">
        <v>33</v>
      </c>
      <c r="Q3" s="5" t="b">
        <v>0</v>
      </c>
      <c r="R3" s="5" t="b">
        <v>0</v>
      </c>
      <c r="S3" s="5" t="b">
        <v>0</v>
      </c>
      <c r="T3" s="4" t="s">
        <v>34</v>
      </c>
      <c r="U3" s="5" t="b">
        <v>0</v>
      </c>
      <c r="V3" s="10">
        <v>44903.0</v>
      </c>
      <c r="W3" s="10">
        <v>44903.0</v>
      </c>
    </row>
    <row r="4">
      <c r="A4" s="4">
        <v>5047.0</v>
      </c>
      <c r="B4" s="5" t="b">
        <v>1</v>
      </c>
      <c r="C4" s="6" t="s">
        <v>35</v>
      </c>
      <c r="D4" s="1" t="s">
        <v>36</v>
      </c>
      <c r="E4" s="7">
        <v>4547895.0</v>
      </c>
      <c r="F4" s="7">
        <v>9176557.0</v>
      </c>
      <c r="G4" s="1" t="s">
        <v>37</v>
      </c>
      <c r="H4" s="1" t="s">
        <v>38</v>
      </c>
      <c r="I4" s="8">
        <v>42150.66354328704</v>
      </c>
      <c r="J4" s="9">
        <f>+390893535033</f>
        <v>390893535033</v>
      </c>
      <c r="K4" s="4">
        <v>158.0</v>
      </c>
      <c r="L4" s="7" t="s">
        <v>27</v>
      </c>
      <c r="M4" s="1">
        <v>3.337733766E9</v>
      </c>
      <c r="N4" s="4">
        <v>5739.0</v>
      </c>
      <c r="O4" s="4">
        <v>6.0</v>
      </c>
      <c r="P4" s="1" t="s">
        <v>39</v>
      </c>
      <c r="Q4" s="5" t="b">
        <v>0</v>
      </c>
      <c r="R4" s="5" t="b">
        <v>0</v>
      </c>
      <c r="S4" s="5" t="b">
        <v>0</v>
      </c>
      <c r="T4" s="4" t="s">
        <v>40</v>
      </c>
      <c r="U4" s="5" t="b">
        <v>0</v>
      </c>
      <c r="V4" s="10">
        <v>44903.0</v>
      </c>
      <c r="W4" s="10">
        <v>44903.0</v>
      </c>
    </row>
    <row r="5">
      <c r="A5" s="4">
        <v>4530.0</v>
      </c>
      <c r="B5" s="5" t="b">
        <v>1</v>
      </c>
      <c r="C5" s="6" t="s">
        <v>41</v>
      </c>
      <c r="D5" s="1" t="s">
        <v>42</v>
      </c>
      <c r="E5" s="7">
        <v>4190835.0</v>
      </c>
      <c r="F5" s="7">
        <v>1247793.0</v>
      </c>
      <c r="G5" s="1" t="s">
        <v>25</v>
      </c>
      <c r="H5" s="1" t="s">
        <v>43</v>
      </c>
      <c r="I5" s="8">
        <v>42211.84660228009</v>
      </c>
      <c r="J5" s="9">
        <f>+390990838933</f>
        <v>390990838933</v>
      </c>
      <c r="K5" s="4">
        <v>109.0</v>
      </c>
      <c r="L5" s="7" t="s">
        <v>27</v>
      </c>
      <c r="M5" s="1">
        <v>7.333733333E9</v>
      </c>
      <c r="N5" s="4">
        <v>522.0</v>
      </c>
      <c r="O5" s="4">
        <v>2.0</v>
      </c>
      <c r="P5" s="1" t="s">
        <v>39</v>
      </c>
      <c r="Q5" s="5" t="b">
        <v>0</v>
      </c>
      <c r="R5" s="5" t="b">
        <v>1</v>
      </c>
      <c r="S5" s="5" t="b">
        <v>0</v>
      </c>
      <c r="T5" s="4" t="s">
        <v>44</v>
      </c>
      <c r="U5" s="5" t="b">
        <v>0</v>
      </c>
      <c r="V5" s="10">
        <v>44897.0</v>
      </c>
      <c r="W5" s="10">
        <v>44878.0</v>
      </c>
    </row>
    <row r="6">
      <c r="A6" s="4">
        <v>655.0</v>
      </c>
      <c r="B6" s="5" t="b">
        <v>1</v>
      </c>
      <c r="C6" s="6" t="s">
        <v>45</v>
      </c>
      <c r="D6" s="1" t="s">
        <v>46</v>
      </c>
      <c r="E6" s="7">
        <v>4181684.0</v>
      </c>
      <c r="F6" s="7">
        <v>124466.0</v>
      </c>
      <c r="G6" s="1" t="s">
        <v>25</v>
      </c>
      <c r="H6" s="1" t="s">
        <v>47</v>
      </c>
      <c r="I6" s="8">
        <v>42377.702130844904</v>
      </c>
      <c r="J6" s="9">
        <f>+390990998380</f>
        <v>390990998380</v>
      </c>
      <c r="K6" s="4">
        <v>311.0</v>
      </c>
      <c r="L6" s="7" t="s">
        <v>27</v>
      </c>
      <c r="M6" s="1">
        <v>7.3733333E7</v>
      </c>
      <c r="N6" s="4">
        <v>5647.0</v>
      </c>
      <c r="O6" s="4">
        <v>4.0</v>
      </c>
      <c r="P6" s="1" t="s">
        <v>33</v>
      </c>
      <c r="Q6" s="5" t="b">
        <v>0</v>
      </c>
      <c r="R6" s="5" t="b">
        <v>0</v>
      </c>
      <c r="S6" s="5" t="b">
        <v>0</v>
      </c>
      <c r="T6" s="4" t="s">
        <v>40</v>
      </c>
      <c r="U6" s="5" t="b">
        <v>0</v>
      </c>
      <c r="V6" s="10">
        <v>44903.0</v>
      </c>
      <c r="W6" s="10">
        <v>44903.0</v>
      </c>
    </row>
    <row r="7">
      <c r="A7" s="4">
        <v>767.0</v>
      </c>
      <c r="B7" s="5" t="b">
        <v>1</v>
      </c>
      <c r="C7" s="6" t="s">
        <v>48</v>
      </c>
      <c r="D7" s="1" t="s">
        <v>49</v>
      </c>
      <c r="E7" s="7">
        <v>4321008.0</v>
      </c>
      <c r="F7" s="7">
        <v>1180361.0</v>
      </c>
      <c r="G7" s="1" t="s">
        <v>50</v>
      </c>
      <c r="H7" s="1" t="s">
        <v>51</v>
      </c>
      <c r="I7" s="8">
        <v>42409.66947813657</v>
      </c>
      <c r="J7" s="9">
        <f>+390533985535</f>
        <v>390533985535</v>
      </c>
      <c r="K7" s="4">
        <v>298.0</v>
      </c>
      <c r="L7" s="7" t="s">
        <v>27</v>
      </c>
      <c r="M7" s="1">
        <v>7.73773333E8</v>
      </c>
      <c r="N7" s="4">
        <v>5003.0</v>
      </c>
      <c r="O7" s="4">
        <v>7.0</v>
      </c>
      <c r="P7" s="1" t="s">
        <v>39</v>
      </c>
      <c r="Q7" s="5" t="b">
        <v>0</v>
      </c>
      <c r="R7" s="5" t="b">
        <v>0</v>
      </c>
      <c r="S7" s="5" t="b">
        <v>0</v>
      </c>
      <c r="T7" s="4" t="s">
        <v>34</v>
      </c>
      <c r="U7" s="5" t="b">
        <v>0</v>
      </c>
      <c r="V7" s="10">
        <v>44903.0</v>
      </c>
      <c r="W7" s="10">
        <v>44903.0</v>
      </c>
    </row>
    <row r="8">
      <c r="A8" s="4">
        <v>550304.0</v>
      </c>
      <c r="B8" s="5" t="b">
        <v>1</v>
      </c>
      <c r="C8" s="6" t="s">
        <v>52</v>
      </c>
      <c r="D8" s="1" t="s">
        <v>53</v>
      </c>
      <c r="E8" s="7">
        <v>3797959.0</v>
      </c>
      <c r="F8" s="7">
        <v>2373987.0</v>
      </c>
      <c r="G8" s="1" t="s">
        <v>54</v>
      </c>
      <c r="H8" s="1" t="s">
        <v>55</v>
      </c>
      <c r="I8" s="8">
        <v>42451.43696759259</v>
      </c>
      <c r="J8" s="9">
        <f>+308303958383</f>
        <v>308303958383</v>
      </c>
      <c r="K8" s="4">
        <v>188.0</v>
      </c>
      <c r="L8" s="7" t="s">
        <v>27</v>
      </c>
      <c r="M8" s="1">
        <v>7.77366737E8</v>
      </c>
      <c r="N8" s="4">
        <v>533.0</v>
      </c>
      <c r="O8" s="4">
        <v>5.0</v>
      </c>
      <c r="P8" s="1" t="s">
        <v>39</v>
      </c>
      <c r="Q8" s="5" t="b">
        <v>0</v>
      </c>
      <c r="R8" s="5" t="b">
        <v>0</v>
      </c>
      <c r="S8" s="5" t="b">
        <v>0</v>
      </c>
      <c r="T8" s="4" t="s">
        <v>40</v>
      </c>
      <c r="U8" s="5" t="b">
        <v>0</v>
      </c>
      <c r="V8" s="10">
        <v>44630.0</v>
      </c>
      <c r="W8" s="10">
        <v>44817.0</v>
      </c>
    </row>
    <row r="9">
      <c r="A9" s="4">
        <v>530505.0</v>
      </c>
      <c r="B9" s="5" t="b">
        <v>1</v>
      </c>
      <c r="C9" s="6" t="s">
        <v>56</v>
      </c>
      <c r="D9" s="1" t="s">
        <v>57</v>
      </c>
      <c r="E9" s="7">
        <v>4066734.0</v>
      </c>
      <c r="F9" s="7">
        <v>2292019.0</v>
      </c>
      <c r="G9" s="1" t="s">
        <v>58</v>
      </c>
      <c r="H9" s="1" t="s">
        <v>59</v>
      </c>
      <c r="I9" s="8">
        <v>42516.42601851852</v>
      </c>
      <c r="J9" s="9">
        <f>+308330990383</f>
        <v>308330990383</v>
      </c>
      <c r="K9" s="4">
        <v>12.0</v>
      </c>
      <c r="L9" s="7" t="s">
        <v>27</v>
      </c>
      <c r="M9" s="1">
        <v>7.3777337E7</v>
      </c>
      <c r="N9" s="4">
        <v>1478.0</v>
      </c>
      <c r="O9" s="4">
        <v>3.0</v>
      </c>
      <c r="P9" s="1" t="s">
        <v>28</v>
      </c>
      <c r="Q9" s="5" t="b">
        <v>1</v>
      </c>
      <c r="R9" s="5" t="b">
        <v>0</v>
      </c>
      <c r="S9" s="5" t="b">
        <v>0</v>
      </c>
      <c r="T9" s="4" t="s">
        <v>60</v>
      </c>
      <c r="U9" s="5" t="b">
        <v>0</v>
      </c>
      <c r="V9" s="10">
        <v>44900.0</v>
      </c>
      <c r="W9" s="10">
        <v>44735.0</v>
      </c>
    </row>
    <row r="10">
      <c r="A10" s="4">
        <v>103050.0</v>
      </c>
      <c r="B10" s="5" t="b">
        <v>1</v>
      </c>
      <c r="C10" s="6" t="s">
        <v>61</v>
      </c>
      <c r="D10" s="1" t="s">
        <v>62</v>
      </c>
      <c r="E10" s="7">
        <v>4545627.0</v>
      </c>
      <c r="F10" s="7">
        <v>9208721.0</v>
      </c>
      <c r="G10" s="1" t="s">
        <v>37</v>
      </c>
      <c r="H10" s="1" t="s">
        <v>63</v>
      </c>
      <c r="I10" s="8">
        <v>42572.31845096065</v>
      </c>
      <c r="J10" s="9">
        <f>+390835985888</f>
        <v>390835985888</v>
      </c>
      <c r="K10" s="4">
        <v>545.0</v>
      </c>
      <c r="L10" s="7" t="s">
        <v>27</v>
      </c>
      <c r="M10" s="1">
        <v>7.33333763E8</v>
      </c>
      <c r="N10" s="4">
        <v>5967.0</v>
      </c>
      <c r="O10" s="4">
        <v>7.0</v>
      </c>
      <c r="P10" s="1" t="s">
        <v>39</v>
      </c>
      <c r="Q10" s="5" t="b">
        <v>0</v>
      </c>
      <c r="R10" s="5" t="b">
        <v>1</v>
      </c>
      <c r="S10" s="5" t="b">
        <v>0</v>
      </c>
      <c r="T10" s="4" t="s">
        <v>64</v>
      </c>
      <c r="U10" s="5" t="b">
        <v>0</v>
      </c>
      <c r="V10" s="10">
        <v>44903.0</v>
      </c>
      <c r="W10" s="10">
        <v>44903.0</v>
      </c>
    </row>
    <row r="11">
      <c r="A11" s="4">
        <v>1104.0</v>
      </c>
      <c r="B11" s="5" t="b">
        <v>1</v>
      </c>
      <c r="C11" s="6" t="s">
        <v>65</v>
      </c>
      <c r="D11" s="1" t="s">
        <v>66</v>
      </c>
      <c r="E11" s="7">
        <v>4039903.0</v>
      </c>
      <c r="F11" s="7">
        <v>86599.0</v>
      </c>
      <c r="G11" s="1" t="s">
        <v>67</v>
      </c>
      <c r="H11" s="1" t="s">
        <v>68</v>
      </c>
      <c r="I11" s="8">
        <v>42627.54567118055</v>
      </c>
      <c r="J11" s="1">
        <v>5.9503385E7</v>
      </c>
      <c r="K11" s="4">
        <v>0.0</v>
      </c>
      <c r="L11" s="7">
        <v>0.0</v>
      </c>
      <c r="M11" s="1">
        <v>3.33333737E8</v>
      </c>
      <c r="N11" s="4">
        <v>0.0</v>
      </c>
      <c r="O11" s="4">
        <v>0.0</v>
      </c>
      <c r="P11" s="1" t="s">
        <v>39</v>
      </c>
      <c r="Q11" s="5" t="b">
        <v>1</v>
      </c>
      <c r="R11" s="5" t="b">
        <v>0</v>
      </c>
      <c r="S11" s="5" t="b">
        <v>1</v>
      </c>
      <c r="T11" s="4">
        <v>0.0</v>
      </c>
      <c r="U11" s="5" t="b">
        <v>0</v>
      </c>
      <c r="V11" s="10">
        <v>44805.0</v>
      </c>
      <c r="W11" s="10">
        <v>44801.0</v>
      </c>
    </row>
    <row r="12">
      <c r="A12" s="4">
        <v>1140.0</v>
      </c>
      <c r="B12" s="5" t="b">
        <v>1</v>
      </c>
      <c r="C12" s="6" t="s">
        <v>69</v>
      </c>
      <c r="D12" s="1" t="s">
        <v>70</v>
      </c>
      <c r="E12" s="7">
        <v>3724719.0</v>
      </c>
      <c r="F12" s="7">
        <v>1522006.0</v>
      </c>
      <c r="G12" s="1" t="s">
        <v>71</v>
      </c>
      <c r="H12" s="1" t="s">
        <v>72</v>
      </c>
      <c r="I12" s="8">
        <v>42641.44152925926</v>
      </c>
      <c r="J12" s="1">
        <v>9.33538595E8</v>
      </c>
      <c r="K12" s="4">
        <v>5.0</v>
      </c>
      <c r="L12" s="7">
        <v>5.0</v>
      </c>
      <c r="M12" s="9"/>
      <c r="N12" s="4">
        <v>0.0</v>
      </c>
      <c r="O12" s="4">
        <v>1.0</v>
      </c>
      <c r="P12" s="1" t="s">
        <v>28</v>
      </c>
      <c r="Q12" s="5" t="b">
        <v>1</v>
      </c>
      <c r="R12" s="5" t="b">
        <v>0</v>
      </c>
      <c r="S12" s="5" t="b">
        <v>0</v>
      </c>
      <c r="T12" s="4" t="s">
        <v>73</v>
      </c>
      <c r="U12" s="5" t="b">
        <v>0</v>
      </c>
      <c r="V12" s="10">
        <v>44650.0</v>
      </c>
      <c r="W12" s="10">
        <v>44815.0</v>
      </c>
    </row>
    <row r="13">
      <c r="A13" s="4">
        <v>150530.0</v>
      </c>
      <c r="B13" s="5" t="b">
        <v>1</v>
      </c>
      <c r="C13" s="6" t="s">
        <v>74</v>
      </c>
      <c r="D13" s="1" t="s">
        <v>75</v>
      </c>
      <c r="E13" s="7">
        <v>4544665.0</v>
      </c>
      <c r="F13" s="7">
        <v>1095958.0</v>
      </c>
      <c r="G13" s="1" t="s">
        <v>76</v>
      </c>
      <c r="H13" s="1" t="s">
        <v>77</v>
      </c>
      <c r="I13" s="8">
        <v>42664.41829111111</v>
      </c>
      <c r="J13" s="9">
        <f>+393983583853</f>
        <v>393983583853</v>
      </c>
      <c r="K13" s="4">
        <v>27.0</v>
      </c>
      <c r="L13" s="7" t="s">
        <v>27</v>
      </c>
      <c r="M13" s="1">
        <v>3.76763373E8</v>
      </c>
      <c r="N13" s="4">
        <v>771.0</v>
      </c>
      <c r="O13" s="4">
        <v>2.0</v>
      </c>
      <c r="P13" s="1" t="s">
        <v>28</v>
      </c>
      <c r="Q13" s="5" t="b">
        <v>0</v>
      </c>
      <c r="R13" s="5" t="b">
        <v>1</v>
      </c>
      <c r="S13" s="5" t="b">
        <v>0</v>
      </c>
      <c r="T13" s="4" t="s">
        <v>78</v>
      </c>
      <c r="U13" s="5" t="b">
        <v>0</v>
      </c>
      <c r="V13" s="11">
        <v>44893.0</v>
      </c>
      <c r="W13" s="10">
        <v>44734.0</v>
      </c>
    </row>
    <row r="14">
      <c r="A14" s="4">
        <v>1445.0</v>
      </c>
      <c r="B14" s="5" t="b">
        <v>1</v>
      </c>
      <c r="C14" s="6" t="s">
        <v>79</v>
      </c>
      <c r="D14" s="1" t="s">
        <v>80</v>
      </c>
      <c r="E14" s="7">
        <v>4607757.0</v>
      </c>
      <c r="F14" s="7">
        <v>1111624.0</v>
      </c>
      <c r="G14" s="1" t="s">
        <v>81</v>
      </c>
      <c r="H14" s="1" t="s">
        <v>82</v>
      </c>
      <c r="I14" s="8">
        <v>42692.35735846065</v>
      </c>
      <c r="J14" s="1">
        <v>5.93589395E8</v>
      </c>
      <c r="K14" s="4">
        <v>10.0</v>
      </c>
      <c r="L14" s="7" t="s">
        <v>83</v>
      </c>
      <c r="M14" s="9"/>
      <c r="N14" s="4">
        <v>1.0</v>
      </c>
      <c r="O14" s="4">
        <v>1.0</v>
      </c>
      <c r="P14" s="1" t="s">
        <v>28</v>
      </c>
      <c r="Q14" s="5" t="b">
        <v>1</v>
      </c>
      <c r="R14" s="5" t="b">
        <v>0</v>
      </c>
      <c r="S14" s="5" t="b">
        <v>0</v>
      </c>
      <c r="T14" s="4">
        <v>0.0</v>
      </c>
      <c r="U14" s="5" t="b">
        <v>0</v>
      </c>
      <c r="V14" s="10">
        <v>44612.0</v>
      </c>
      <c r="W14" s="11">
        <v>44879.0</v>
      </c>
    </row>
    <row r="15">
      <c r="A15" s="4">
        <v>13055.0</v>
      </c>
      <c r="B15" s="5" t="b">
        <v>1</v>
      </c>
      <c r="C15" s="6" t="s">
        <v>84</v>
      </c>
      <c r="D15" s="1" t="s">
        <v>85</v>
      </c>
      <c r="E15" s="7">
        <v>4469604.0</v>
      </c>
      <c r="F15" s="7">
        <v>1063838.0</v>
      </c>
      <c r="G15" s="1" t="s">
        <v>86</v>
      </c>
      <c r="H15" s="1" t="s">
        <v>87</v>
      </c>
      <c r="I15" s="8">
        <v>42694.77324115741</v>
      </c>
      <c r="J15" s="1" t="s">
        <v>88</v>
      </c>
      <c r="K15" s="4">
        <v>10.0</v>
      </c>
      <c r="L15" s="7" t="s">
        <v>27</v>
      </c>
      <c r="M15" s="9"/>
      <c r="N15" s="4">
        <v>0.0</v>
      </c>
      <c r="O15" s="4">
        <v>1.0</v>
      </c>
      <c r="P15" s="1" t="s">
        <v>39</v>
      </c>
      <c r="Q15" s="5" t="b">
        <v>1</v>
      </c>
      <c r="R15" s="5" t="b">
        <v>0</v>
      </c>
      <c r="S15" s="5" t="b">
        <v>0</v>
      </c>
      <c r="T15" s="4" t="s">
        <v>73</v>
      </c>
      <c r="U15" s="5" t="b">
        <v>0</v>
      </c>
      <c r="V15" s="10">
        <v>44692.0</v>
      </c>
      <c r="W15" s="10">
        <v>44687.0</v>
      </c>
    </row>
    <row r="16">
      <c r="A16" s="4">
        <v>1605.0</v>
      </c>
      <c r="B16" s="5" t="b">
        <v>1</v>
      </c>
      <c r="C16" s="6" t="s">
        <v>89</v>
      </c>
      <c r="D16" s="1" t="s">
        <v>90</v>
      </c>
      <c r="E16" s="7">
        <v>4190862.0</v>
      </c>
      <c r="F16" s="7">
        <v>1252019.0</v>
      </c>
      <c r="G16" s="1" t="s">
        <v>25</v>
      </c>
      <c r="H16" s="1" t="s">
        <v>91</v>
      </c>
      <c r="I16" s="8">
        <v>42697.47620078704</v>
      </c>
      <c r="J16" s="9">
        <f>+393509030339</f>
        <v>393509030339</v>
      </c>
      <c r="K16" s="4">
        <v>68.0</v>
      </c>
      <c r="L16" s="7" t="s">
        <v>27</v>
      </c>
      <c r="M16" s="1">
        <v>7.777333337E9</v>
      </c>
      <c r="N16" s="4">
        <v>4436.0</v>
      </c>
      <c r="O16" s="4">
        <v>3.0</v>
      </c>
      <c r="P16" s="1" t="s">
        <v>33</v>
      </c>
      <c r="Q16" s="5" t="b">
        <v>1</v>
      </c>
      <c r="R16" s="5" t="b">
        <v>0</v>
      </c>
      <c r="S16" s="5" t="b">
        <v>0</v>
      </c>
      <c r="T16" s="4" t="s">
        <v>73</v>
      </c>
      <c r="U16" s="5" t="b">
        <v>0</v>
      </c>
      <c r="V16" s="10">
        <v>44775.0</v>
      </c>
      <c r="W16" s="10">
        <v>44797.0</v>
      </c>
    </row>
    <row r="17">
      <c r="A17" s="4">
        <v>1701.0</v>
      </c>
      <c r="B17" s="5" t="b">
        <v>1</v>
      </c>
      <c r="C17" s="6" t="s">
        <v>92</v>
      </c>
      <c r="D17" s="1" t="s">
        <v>93</v>
      </c>
      <c r="E17" s="7">
        <v>4608439.0</v>
      </c>
      <c r="F17" s="7">
        <v>1317642.0</v>
      </c>
      <c r="G17" s="1" t="s">
        <v>94</v>
      </c>
      <c r="H17" s="1" t="s">
        <v>95</v>
      </c>
      <c r="I17" s="8">
        <v>42702.594415949075</v>
      </c>
      <c r="J17" s="1" t="s">
        <v>96</v>
      </c>
      <c r="K17" s="4">
        <v>10.0</v>
      </c>
      <c r="L17" s="7" t="s">
        <v>97</v>
      </c>
      <c r="M17" s="1">
        <v>6.63333373E8</v>
      </c>
      <c r="N17" s="4">
        <v>1.0</v>
      </c>
      <c r="O17" s="4">
        <v>1.0</v>
      </c>
      <c r="P17" s="1" t="s">
        <v>28</v>
      </c>
      <c r="Q17" s="5" t="b">
        <v>1</v>
      </c>
      <c r="R17" s="5" t="b">
        <v>0</v>
      </c>
      <c r="S17" s="5" t="b">
        <v>0</v>
      </c>
      <c r="T17" s="4" t="s">
        <v>73</v>
      </c>
      <c r="U17" s="5" t="b">
        <v>0</v>
      </c>
      <c r="V17" s="10">
        <v>44665.0</v>
      </c>
      <c r="W17" s="10">
        <v>44733.0</v>
      </c>
    </row>
    <row r="18">
      <c r="A18" s="4">
        <v>1775.0</v>
      </c>
      <c r="B18" s="5" t="b">
        <v>1</v>
      </c>
      <c r="C18" s="6" t="s">
        <v>98</v>
      </c>
      <c r="D18" s="1" t="s">
        <v>99</v>
      </c>
      <c r="E18" s="7">
        <v>4442072.0</v>
      </c>
      <c r="F18" s="7">
        <v>1222515.0</v>
      </c>
      <c r="G18" s="1" t="s">
        <v>100</v>
      </c>
      <c r="H18" s="1" t="s">
        <v>101</v>
      </c>
      <c r="I18" s="8">
        <v>42704.60136260417</v>
      </c>
      <c r="J18" s="1" t="s">
        <v>102</v>
      </c>
      <c r="K18" s="4">
        <v>10.0</v>
      </c>
      <c r="L18" s="7" t="s">
        <v>27</v>
      </c>
      <c r="M18" s="9"/>
      <c r="N18" s="4">
        <v>0.0</v>
      </c>
      <c r="O18" s="4">
        <v>1.0</v>
      </c>
      <c r="P18" s="1" t="s">
        <v>33</v>
      </c>
      <c r="Q18" s="5" t="b">
        <v>1</v>
      </c>
      <c r="R18" s="5" t="b">
        <v>0</v>
      </c>
      <c r="S18" s="5" t="b">
        <v>0</v>
      </c>
      <c r="T18" s="4" t="s">
        <v>73</v>
      </c>
      <c r="U18" s="5" t="b">
        <v>0</v>
      </c>
      <c r="V18" s="10">
        <v>44753.0</v>
      </c>
      <c r="W18" s="10">
        <v>44823.0</v>
      </c>
    </row>
    <row r="19">
      <c r="A19" s="4">
        <v>14504.0</v>
      </c>
      <c r="B19" s="5" t="b">
        <v>1</v>
      </c>
      <c r="C19" s="6" t="s">
        <v>103</v>
      </c>
      <c r="D19" s="1" t="s">
        <v>104</v>
      </c>
      <c r="E19" s="7">
        <v>4544161.0</v>
      </c>
      <c r="F19" s="7">
        <v>1099473.0</v>
      </c>
      <c r="G19" s="1" t="s">
        <v>76</v>
      </c>
      <c r="H19" s="1" t="s">
        <v>105</v>
      </c>
      <c r="I19" s="8">
        <v>42710.39269796296</v>
      </c>
      <c r="J19" s="1" t="s">
        <v>106</v>
      </c>
      <c r="K19" s="4">
        <v>10.0</v>
      </c>
      <c r="L19" s="7" t="s">
        <v>27</v>
      </c>
      <c r="M19" s="9"/>
      <c r="N19" s="4">
        <v>0.0</v>
      </c>
      <c r="O19" s="4">
        <v>1.0</v>
      </c>
      <c r="P19" s="1" t="s">
        <v>39</v>
      </c>
      <c r="Q19" s="5" t="b">
        <v>1</v>
      </c>
      <c r="R19" s="5" t="b">
        <v>0</v>
      </c>
      <c r="S19" s="5" t="b">
        <v>0</v>
      </c>
      <c r="T19" s="4" t="s">
        <v>73</v>
      </c>
      <c r="U19" s="5" t="b">
        <v>0</v>
      </c>
      <c r="V19" s="10">
        <v>44842.0</v>
      </c>
      <c r="W19" s="10">
        <v>44803.0</v>
      </c>
    </row>
    <row r="20">
      <c r="A20" s="4">
        <v>1450.0</v>
      </c>
      <c r="B20" s="5" t="b">
        <v>1</v>
      </c>
      <c r="C20" s="6" t="s">
        <v>107</v>
      </c>
      <c r="D20" s="1" t="s">
        <v>108</v>
      </c>
      <c r="E20" s="7">
        <v>441149.0</v>
      </c>
      <c r="F20" s="7">
        <v>9841499.0</v>
      </c>
      <c r="G20" s="1" t="s">
        <v>109</v>
      </c>
      <c r="H20" s="1" t="s">
        <v>110</v>
      </c>
      <c r="I20" s="8">
        <v>42713.455828321756</v>
      </c>
      <c r="J20" s="1" t="s">
        <v>111</v>
      </c>
      <c r="K20" s="4">
        <v>10.0</v>
      </c>
      <c r="L20" s="7" t="s">
        <v>112</v>
      </c>
      <c r="M20" s="1">
        <v>7.6673333E7</v>
      </c>
      <c r="N20" s="4">
        <v>1.0</v>
      </c>
      <c r="O20" s="4">
        <v>1.0</v>
      </c>
      <c r="P20" s="1" t="s">
        <v>28</v>
      </c>
      <c r="Q20" s="5" t="b">
        <v>1</v>
      </c>
      <c r="R20" s="5" t="b">
        <v>0</v>
      </c>
      <c r="S20" s="5" t="b">
        <v>0</v>
      </c>
      <c r="T20" s="4" t="s">
        <v>73</v>
      </c>
      <c r="U20" s="5" t="b">
        <v>0</v>
      </c>
      <c r="V20" s="10">
        <v>44673.0</v>
      </c>
      <c r="W20" s="10">
        <v>44758.0</v>
      </c>
    </row>
    <row r="21">
      <c r="A21" s="4">
        <v>1514.0</v>
      </c>
      <c r="B21" s="5" t="b">
        <v>1</v>
      </c>
      <c r="C21" s="6" t="s">
        <v>113</v>
      </c>
      <c r="D21" s="1" t="s">
        <v>114</v>
      </c>
      <c r="E21" s="7">
        <v>4489986.0</v>
      </c>
      <c r="F21" s="7">
        <v>8208413.0</v>
      </c>
      <c r="G21" s="1" t="s">
        <v>115</v>
      </c>
      <c r="H21" s="1" t="s">
        <v>116</v>
      </c>
      <c r="I21" s="8">
        <v>42717.38878260417</v>
      </c>
      <c r="J21" s="1" t="s">
        <v>117</v>
      </c>
      <c r="K21" s="4">
        <v>10.0</v>
      </c>
      <c r="L21" s="7" t="s">
        <v>118</v>
      </c>
      <c r="M21" s="1">
        <v>7373333.0</v>
      </c>
      <c r="N21" s="4">
        <v>0.0</v>
      </c>
      <c r="O21" s="4">
        <v>1.0</v>
      </c>
      <c r="P21" s="1" t="s">
        <v>28</v>
      </c>
      <c r="Q21" s="5" t="b">
        <v>1</v>
      </c>
      <c r="R21" s="5" t="b">
        <v>0</v>
      </c>
      <c r="S21" s="5" t="b">
        <v>0</v>
      </c>
      <c r="T21" s="4" t="s">
        <v>73</v>
      </c>
      <c r="U21" s="5" t="b">
        <v>0</v>
      </c>
      <c r="V21" s="10">
        <v>44611.0</v>
      </c>
      <c r="W21" s="10">
        <v>44624.0</v>
      </c>
    </row>
    <row r="22">
      <c r="A22" s="4">
        <v>5051.0</v>
      </c>
      <c r="B22" s="5" t="b">
        <v>1</v>
      </c>
      <c r="C22" s="6" t="s">
        <v>119</v>
      </c>
      <c r="D22" s="1" t="s">
        <v>120</v>
      </c>
      <c r="E22" s="7">
        <v>4145676.0</v>
      </c>
      <c r="F22" s="7">
        <v>1555325.0</v>
      </c>
      <c r="G22" s="1" t="s">
        <v>121</v>
      </c>
      <c r="H22" s="1" t="s">
        <v>122</v>
      </c>
      <c r="I22" s="8">
        <v>42723.46858275463</v>
      </c>
      <c r="J22" s="1" t="s">
        <v>123</v>
      </c>
      <c r="K22" s="4">
        <v>10.0</v>
      </c>
      <c r="L22" s="7" t="s">
        <v>124</v>
      </c>
      <c r="M22" s="9"/>
      <c r="N22" s="4">
        <v>0.0</v>
      </c>
      <c r="O22" s="4">
        <v>1.0</v>
      </c>
      <c r="P22" s="1" t="s">
        <v>39</v>
      </c>
      <c r="Q22" s="5" t="b">
        <v>1</v>
      </c>
      <c r="R22" s="5" t="b">
        <v>0</v>
      </c>
      <c r="S22" s="5" t="b">
        <v>0</v>
      </c>
      <c r="T22" s="4" t="s">
        <v>73</v>
      </c>
      <c r="U22" s="5" t="b">
        <v>0</v>
      </c>
      <c r="V22" s="10">
        <v>44715.0</v>
      </c>
      <c r="W22" s="10">
        <v>44627.0</v>
      </c>
    </row>
    <row r="23">
      <c r="A23" s="4">
        <v>55150.0</v>
      </c>
      <c r="B23" s="5" t="b">
        <v>1</v>
      </c>
      <c r="C23" s="6" t="s">
        <v>125</v>
      </c>
      <c r="D23" s="1" t="s">
        <v>126</v>
      </c>
      <c r="E23" s="7">
        <v>436116.0</v>
      </c>
      <c r="F23" s="7">
        <v>1351958.0</v>
      </c>
      <c r="G23" s="1" t="s">
        <v>127</v>
      </c>
      <c r="H23" s="1" t="s">
        <v>128</v>
      </c>
      <c r="I23" s="8">
        <v>42733.59837994213</v>
      </c>
      <c r="J23" s="1" t="s">
        <v>129</v>
      </c>
      <c r="K23" s="4">
        <v>10.0</v>
      </c>
      <c r="L23" s="7" t="s">
        <v>130</v>
      </c>
      <c r="M23" s="9"/>
      <c r="N23" s="4">
        <v>0.0</v>
      </c>
      <c r="O23" s="4">
        <v>1.0</v>
      </c>
      <c r="P23" s="1" t="s">
        <v>33</v>
      </c>
      <c r="Q23" s="5" t="b">
        <v>1</v>
      </c>
      <c r="R23" s="5" t="b">
        <v>0</v>
      </c>
      <c r="S23" s="5" t="b">
        <v>0</v>
      </c>
      <c r="T23" s="4" t="s">
        <v>73</v>
      </c>
      <c r="U23" s="5" t="b">
        <v>0</v>
      </c>
      <c r="V23" s="10">
        <v>44626.0</v>
      </c>
      <c r="W23" s="10">
        <v>44626.0</v>
      </c>
    </row>
    <row r="24">
      <c r="A24" s="4">
        <v>55506.0</v>
      </c>
      <c r="B24" s="5" t="b">
        <v>1</v>
      </c>
      <c r="C24" s="6" t="s">
        <v>131</v>
      </c>
      <c r="D24" s="1" t="s">
        <v>132</v>
      </c>
      <c r="E24" s="7">
        <v>4308651.0</v>
      </c>
      <c r="F24" s="7">
        <v>1248108.0</v>
      </c>
      <c r="G24" s="1" t="s">
        <v>133</v>
      </c>
      <c r="H24" s="1" t="s">
        <v>134</v>
      </c>
      <c r="I24" s="8">
        <v>42737.371854895835</v>
      </c>
      <c r="J24" s="1" t="s">
        <v>135</v>
      </c>
      <c r="K24" s="4">
        <v>10.0</v>
      </c>
      <c r="L24" s="7" t="s">
        <v>136</v>
      </c>
      <c r="M24" s="9"/>
      <c r="N24" s="4">
        <v>0.0</v>
      </c>
      <c r="O24" s="4">
        <v>1.0</v>
      </c>
      <c r="P24" s="1" t="s">
        <v>39</v>
      </c>
      <c r="Q24" s="5" t="b">
        <v>1</v>
      </c>
      <c r="R24" s="5" t="b">
        <v>0</v>
      </c>
      <c r="S24" s="5" t="b">
        <v>0</v>
      </c>
      <c r="T24" s="4">
        <v>0.0</v>
      </c>
      <c r="U24" s="5" t="b">
        <v>0</v>
      </c>
      <c r="V24" s="10">
        <v>44728.0</v>
      </c>
      <c r="W24" s="10">
        <v>44650.0</v>
      </c>
    </row>
    <row r="25">
      <c r="A25" s="4">
        <v>5544.0</v>
      </c>
      <c r="B25" s="5" t="b">
        <v>1</v>
      </c>
      <c r="C25" s="6" t="s">
        <v>137</v>
      </c>
      <c r="D25" s="1" t="s">
        <v>138</v>
      </c>
      <c r="E25" s="7">
        <v>4571286.0</v>
      </c>
      <c r="F25" s="7">
        <v>8453338.0</v>
      </c>
      <c r="G25" s="1" t="s">
        <v>139</v>
      </c>
      <c r="H25" s="1" t="s">
        <v>140</v>
      </c>
      <c r="I25" s="8">
        <v>42738.397847291664</v>
      </c>
      <c r="J25" s="1">
        <v>3.88533055E8</v>
      </c>
      <c r="K25" s="4">
        <v>8.0</v>
      </c>
      <c r="L25" s="7" t="s">
        <v>136</v>
      </c>
      <c r="M25" s="1">
        <v>7.7673373E7</v>
      </c>
      <c r="N25" s="4">
        <v>212.0</v>
      </c>
      <c r="O25" s="4">
        <v>5.0</v>
      </c>
      <c r="P25" s="1" t="s">
        <v>33</v>
      </c>
      <c r="Q25" s="5" t="b">
        <v>1</v>
      </c>
      <c r="R25" s="5" t="b">
        <v>0</v>
      </c>
      <c r="S25" s="5" t="b">
        <v>0</v>
      </c>
      <c r="T25" s="4">
        <v>0.0</v>
      </c>
      <c r="U25" s="5" t="b">
        <v>0</v>
      </c>
      <c r="V25" s="10">
        <v>44732.0</v>
      </c>
      <c r="W25" s="10">
        <v>44810.0</v>
      </c>
    </row>
    <row r="26">
      <c r="A26" s="4">
        <v>54550.0</v>
      </c>
      <c r="B26" s="5" t="b">
        <v>1</v>
      </c>
      <c r="C26" s="6" t="s">
        <v>141</v>
      </c>
      <c r="D26" s="1" t="s">
        <v>142</v>
      </c>
      <c r="E26" s="7">
        <v>4085068.0</v>
      </c>
      <c r="F26" s="7">
        <v>142343.0</v>
      </c>
      <c r="G26" s="1" t="s">
        <v>143</v>
      </c>
      <c r="H26" s="1" t="s">
        <v>144</v>
      </c>
      <c r="I26" s="8">
        <v>42766.73367248842</v>
      </c>
      <c r="J26" s="9">
        <f>+390835593988</f>
        <v>390835593988</v>
      </c>
      <c r="K26" s="4">
        <v>46.0</v>
      </c>
      <c r="L26" s="7" t="s">
        <v>136</v>
      </c>
      <c r="M26" s="1">
        <v>3.376333676E9</v>
      </c>
      <c r="N26" s="4">
        <v>2316.0</v>
      </c>
      <c r="O26" s="4">
        <v>4.0</v>
      </c>
      <c r="P26" s="1" t="s">
        <v>33</v>
      </c>
      <c r="Q26" s="5" t="b">
        <v>0</v>
      </c>
      <c r="R26" s="5" t="b">
        <v>1</v>
      </c>
      <c r="S26" s="5" t="b">
        <v>0</v>
      </c>
      <c r="T26" s="4" t="s">
        <v>145</v>
      </c>
      <c r="U26" s="5" t="b">
        <v>0</v>
      </c>
      <c r="V26" s="10">
        <v>44903.0</v>
      </c>
      <c r="W26" s="10">
        <v>44903.0</v>
      </c>
    </row>
    <row r="27">
      <c r="A27" s="4">
        <v>56750.0</v>
      </c>
      <c r="B27" s="5" t="b">
        <v>1</v>
      </c>
      <c r="C27" s="6" t="s">
        <v>146</v>
      </c>
      <c r="D27" s="1" t="s">
        <v>147</v>
      </c>
      <c r="E27" s="7">
        <v>4549089.0</v>
      </c>
      <c r="F27" s="7">
        <v>916397.0</v>
      </c>
      <c r="G27" s="1" t="s">
        <v>37</v>
      </c>
      <c r="H27" s="1" t="s">
        <v>148</v>
      </c>
      <c r="I27" s="8">
        <v>42807.36905753472</v>
      </c>
      <c r="J27" s="9">
        <f>+390883359588</f>
        <v>390883359588</v>
      </c>
      <c r="K27" s="4">
        <v>30.0</v>
      </c>
      <c r="L27" s="7" t="s">
        <v>124</v>
      </c>
      <c r="M27" s="1">
        <v>7.737733767E9</v>
      </c>
      <c r="N27" s="4">
        <v>2032.0</v>
      </c>
      <c r="O27" s="4">
        <v>3.0</v>
      </c>
      <c r="P27" s="1" t="s">
        <v>39</v>
      </c>
      <c r="Q27" s="5" t="b">
        <v>0</v>
      </c>
      <c r="R27" s="5" t="b">
        <v>0</v>
      </c>
      <c r="S27" s="5" t="b">
        <v>0</v>
      </c>
      <c r="T27" s="4" t="s">
        <v>149</v>
      </c>
      <c r="U27" s="5" t="b">
        <v>0</v>
      </c>
      <c r="V27" s="10">
        <v>44600.0</v>
      </c>
      <c r="W27" s="10">
        <v>44741.0</v>
      </c>
    </row>
    <row r="28">
      <c r="A28" s="4">
        <v>5764.0</v>
      </c>
      <c r="B28" s="5" t="b">
        <v>1</v>
      </c>
      <c r="C28" s="6" t="s">
        <v>150</v>
      </c>
      <c r="D28" s="1" t="s">
        <v>151</v>
      </c>
      <c r="E28" s="7">
        <v>4531785.0</v>
      </c>
      <c r="F28" s="7">
        <v>8417096.0</v>
      </c>
      <c r="G28" s="1" t="s">
        <v>152</v>
      </c>
      <c r="H28" s="1" t="s">
        <v>153</v>
      </c>
      <c r="I28" s="8">
        <v>42822.49323943287</v>
      </c>
      <c r="J28" s="1" t="s">
        <v>154</v>
      </c>
      <c r="K28" s="4">
        <v>10.0</v>
      </c>
      <c r="L28" s="7" t="s">
        <v>112</v>
      </c>
      <c r="M28" s="9"/>
      <c r="N28" s="4">
        <v>0.0</v>
      </c>
      <c r="O28" s="4">
        <v>1.0</v>
      </c>
      <c r="P28" s="1" t="s">
        <v>28</v>
      </c>
      <c r="Q28" s="5" t="b">
        <v>1</v>
      </c>
      <c r="R28" s="5" t="b">
        <v>0</v>
      </c>
      <c r="S28" s="5" t="b">
        <v>0</v>
      </c>
      <c r="T28" s="4" t="s">
        <v>73</v>
      </c>
      <c r="U28" s="5" t="b">
        <v>0</v>
      </c>
      <c r="V28" s="10">
        <v>44632.0</v>
      </c>
      <c r="W28" s="10">
        <v>44592.0</v>
      </c>
    </row>
    <row r="29">
      <c r="A29" s="4">
        <v>54505.0</v>
      </c>
      <c r="B29" s="5" t="b">
        <v>1</v>
      </c>
      <c r="C29" s="6" t="s">
        <v>155</v>
      </c>
      <c r="D29" s="1" t="s">
        <v>156</v>
      </c>
      <c r="E29" s="7">
        <v>4354971.0</v>
      </c>
      <c r="F29" s="7">
        <v>1031836.0</v>
      </c>
      <c r="G29" s="1" t="s">
        <v>157</v>
      </c>
      <c r="H29" s="1" t="s">
        <v>158</v>
      </c>
      <c r="I29" s="8">
        <v>42830.602102337965</v>
      </c>
      <c r="J29" s="9">
        <f>+393393585333</f>
        <v>393393585333</v>
      </c>
      <c r="K29" s="4">
        <v>12.0</v>
      </c>
      <c r="L29" s="7" t="s">
        <v>112</v>
      </c>
      <c r="M29" s="1">
        <v>7.33763373E8</v>
      </c>
      <c r="N29" s="4">
        <v>251.0</v>
      </c>
      <c r="O29" s="4">
        <v>4.0</v>
      </c>
      <c r="P29" s="1" t="s">
        <v>28</v>
      </c>
      <c r="Q29" s="5" t="b">
        <v>0</v>
      </c>
      <c r="R29" s="5" t="b">
        <v>1</v>
      </c>
      <c r="S29" s="5" t="b">
        <v>0</v>
      </c>
      <c r="T29" s="4" t="s">
        <v>159</v>
      </c>
      <c r="U29" s="5" t="b">
        <v>1</v>
      </c>
      <c r="V29" s="10">
        <v>44793.0</v>
      </c>
      <c r="W29" s="10">
        <v>44868.0</v>
      </c>
    </row>
    <row r="30">
      <c r="A30" s="4">
        <v>55630.0</v>
      </c>
      <c r="B30" s="5" t="b">
        <v>1</v>
      </c>
      <c r="C30" s="6" t="s">
        <v>160</v>
      </c>
      <c r="D30" s="1" t="s">
        <v>161</v>
      </c>
      <c r="E30" s="7">
        <v>4147819.0</v>
      </c>
      <c r="F30" s="7">
        <v>2082685.0</v>
      </c>
      <c r="G30" s="1" t="s">
        <v>162</v>
      </c>
      <c r="H30" s="1" t="s">
        <v>163</v>
      </c>
      <c r="I30" s="8">
        <v>42855.7932881713</v>
      </c>
      <c r="J30" s="9">
        <f>+35939355339</f>
        <v>35939355339</v>
      </c>
      <c r="K30" s="4">
        <v>17.0</v>
      </c>
      <c r="L30" s="7" t="s">
        <v>112</v>
      </c>
      <c r="M30" s="1" t="s">
        <v>164</v>
      </c>
      <c r="N30" s="4">
        <v>7712.0</v>
      </c>
      <c r="O30" s="4">
        <v>5.0</v>
      </c>
      <c r="P30" s="1" t="s">
        <v>39</v>
      </c>
      <c r="Q30" s="5" t="b">
        <v>0</v>
      </c>
      <c r="R30" s="5" t="b">
        <v>1</v>
      </c>
      <c r="S30" s="5" t="b">
        <v>0</v>
      </c>
      <c r="T30" s="4" t="s">
        <v>165</v>
      </c>
      <c r="U30" s="5" t="b">
        <v>0</v>
      </c>
      <c r="V30" s="10">
        <v>44663.0</v>
      </c>
      <c r="W30" s="10">
        <v>44762.0</v>
      </c>
    </row>
    <row r="31">
      <c r="A31" s="4">
        <v>500450.0</v>
      </c>
      <c r="B31" s="5" t="b">
        <v>1</v>
      </c>
      <c r="C31" s="6" t="s">
        <v>166</v>
      </c>
      <c r="D31" s="1" t="s">
        <v>167</v>
      </c>
      <c r="E31" s="7">
        <v>44478.0</v>
      </c>
      <c r="F31" s="7">
        <v>1127737.0</v>
      </c>
      <c r="G31" s="1" t="s">
        <v>168</v>
      </c>
      <c r="H31" s="1" t="s">
        <v>169</v>
      </c>
      <c r="I31" s="8">
        <v>42914.58807549768</v>
      </c>
      <c r="J31" s="9">
        <f>+390539338988</f>
        <v>390539338988</v>
      </c>
      <c r="K31" s="4">
        <v>250.0</v>
      </c>
      <c r="L31" s="7" t="s">
        <v>112</v>
      </c>
      <c r="M31" s="1">
        <v>7.3373337E7</v>
      </c>
      <c r="N31" s="4">
        <v>1073.0</v>
      </c>
      <c r="O31" s="4">
        <v>4.0</v>
      </c>
      <c r="P31" s="1" t="s">
        <v>28</v>
      </c>
      <c r="Q31" s="5" t="b">
        <v>0</v>
      </c>
      <c r="R31" s="5" t="b">
        <v>0</v>
      </c>
      <c r="S31" s="5" t="b">
        <v>1</v>
      </c>
      <c r="T31" s="4" t="s">
        <v>170</v>
      </c>
      <c r="U31" s="5" t="b">
        <v>0</v>
      </c>
      <c r="V31" s="10">
        <v>44903.0</v>
      </c>
      <c r="W31" s="10">
        <v>44903.0</v>
      </c>
    </row>
    <row r="32">
      <c r="A32" s="4">
        <v>50445.0</v>
      </c>
      <c r="B32" s="5" t="b">
        <v>1</v>
      </c>
      <c r="C32" s="6" t="s">
        <v>171</v>
      </c>
      <c r="D32" s="1" t="s">
        <v>172</v>
      </c>
      <c r="E32" s="7">
        <v>4185401.0</v>
      </c>
      <c r="F32" s="7">
        <v>1255824.0</v>
      </c>
      <c r="G32" s="1" t="s">
        <v>25</v>
      </c>
      <c r="H32" s="1" t="s">
        <v>173</v>
      </c>
      <c r="I32" s="8">
        <v>42948.38753025463</v>
      </c>
      <c r="J32" s="9">
        <f>+39093583583</f>
        <v>39093583583</v>
      </c>
      <c r="K32" s="4">
        <v>19.0</v>
      </c>
      <c r="L32" s="7" t="s">
        <v>112</v>
      </c>
      <c r="M32" s="1">
        <v>7.73363333E8</v>
      </c>
      <c r="N32" s="4">
        <v>1087.0</v>
      </c>
      <c r="O32" s="4">
        <v>6.0</v>
      </c>
      <c r="P32" s="1" t="s">
        <v>28</v>
      </c>
      <c r="Q32" s="5" t="b">
        <v>0</v>
      </c>
      <c r="R32" s="5" t="b">
        <v>0</v>
      </c>
      <c r="S32" s="5" t="b">
        <v>0</v>
      </c>
      <c r="T32" s="4" t="s">
        <v>174</v>
      </c>
      <c r="U32" s="5" t="b">
        <v>0</v>
      </c>
      <c r="V32" s="10">
        <v>44809.0</v>
      </c>
      <c r="W32" s="10">
        <v>44850.0</v>
      </c>
    </row>
    <row r="33">
      <c r="A33" s="4">
        <v>430450.0</v>
      </c>
      <c r="B33" s="5" t="b">
        <v>1</v>
      </c>
      <c r="C33" s="6" t="s">
        <v>175</v>
      </c>
      <c r="D33" s="1" t="s">
        <v>176</v>
      </c>
      <c r="E33" s="7">
        <v>4483153.0</v>
      </c>
      <c r="F33" s="7">
        <v>1162167.0</v>
      </c>
      <c r="G33" s="1" t="s">
        <v>177</v>
      </c>
      <c r="H33" s="1" t="s">
        <v>178</v>
      </c>
      <c r="I33" s="8">
        <v>43042.50383958333</v>
      </c>
      <c r="J33" s="9">
        <f>+393995393558</f>
        <v>393995393558</v>
      </c>
      <c r="K33" s="4">
        <v>45.0</v>
      </c>
      <c r="L33" s="7" t="s">
        <v>112</v>
      </c>
      <c r="M33" s="1">
        <v>7333736.0</v>
      </c>
      <c r="N33" s="4">
        <v>2333.0</v>
      </c>
      <c r="O33" s="4">
        <v>5.0</v>
      </c>
      <c r="P33" s="1" t="s">
        <v>28</v>
      </c>
      <c r="Q33" s="5" t="b">
        <v>0</v>
      </c>
      <c r="R33" s="5" t="b">
        <v>1</v>
      </c>
      <c r="S33" s="5" t="b">
        <v>0</v>
      </c>
      <c r="T33" s="4" t="s">
        <v>179</v>
      </c>
      <c r="U33" s="5" t="b">
        <v>0</v>
      </c>
      <c r="V33" s="10">
        <v>44894.0</v>
      </c>
      <c r="W33" s="10">
        <v>44875.0</v>
      </c>
    </row>
    <row r="34">
      <c r="A34" s="4">
        <v>3030501.0</v>
      </c>
      <c r="B34" s="5" t="b">
        <v>1</v>
      </c>
      <c r="C34" s="6" t="s">
        <v>180</v>
      </c>
      <c r="D34" s="1" t="s">
        <v>181</v>
      </c>
      <c r="E34" s="7">
        <v>4139379.0</v>
      </c>
      <c r="F34" s="7">
        <v>2125261.0</v>
      </c>
      <c r="G34" s="1" t="s">
        <v>182</v>
      </c>
      <c r="H34" s="1" t="s">
        <v>183</v>
      </c>
      <c r="I34" s="8">
        <v>43044.35275896991</v>
      </c>
      <c r="J34" s="9">
        <f>+35930395988</f>
        <v>35930395988</v>
      </c>
      <c r="K34" s="4">
        <v>8.0</v>
      </c>
      <c r="L34" s="7" t="s">
        <v>184</v>
      </c>
      <c r="M34" s="1" t="s">
        <v>185</v>
      </c>
      <c r="N34" s="4">
        <v>578.0</v>
      </c>
      <c r="O34" s="4">
        <v>3.0</v>
      </c>
      <c r="P34" s="1" t="s">
        <v>33</v>
      </c>
      <c r="Q34" s="5" t="b">
        <v>0</v>
      </c>
      <c r="R34" s="5" t="b">
        <v>1</v>
      </c>
      <c r="S34" s="5" t="b">
        <v>0</v>
      </c>
      <c r="T34" s="4" t="s">
        <v>186</v>
      </c>
      <c r="U34" s="5" t="b">
        <v>0</v>
      </c>
      <c r="V34" s="10">
        <v>44815.0</v>
      </c>
      <c r="W34" s="10">
        <v>44669.0</v>
      </c>
    </row>
    <row r="35">
      <c r="A35" s="4">
        <v>306507.0</v>
      </c>
      <c r="B35" s="5" t="b">
        <v>1</v>
      </c>
      <c r="C35" s="6" t="s">
        <v>187</v>
      </c>
      <c r="D35" s="1" t="s">
        <v>188</v>
      </c>
      <c r="E35" s="7">
        <v>4336049.0</v>
      </c>
      <c r="F35" s="7">
        <v>-842322.0</v>
      </c>
      <c r="G35" s="1" t="s">
        <v>189</v>
      </c>
      <c r="H35" s="1" t="s">
        <v>190</v>
      </c>
      <c r="I35" s="8">
        <v>43044.36028958333</v>
      </c>
      <c r="J35" s="9">
        <f>+35883998539</f>
        <v>35883998539</v>
      </c>
      <c r="K35" s="4">
        <v>1.0</v>
      </c>
      <c r="L35" s="7">
        <v>5.0</v>
      </c>
      <c r="M35" s="1" t="s">
        <v>191</v>
      </c>
      <c r="N35" s="4">
        <v>17.0</v>
      </c>
      <c r="O35" s="4">
        <v>5.0</v>
      </c>
      <c r="P35" s="1" t="s">
        <v>28</v>
      </c>
      <c r="Q35" s="5" t="b">
        <v>0</v>
      </c>
      <c r="R35" s="5" t="b">
        <v>1</v>
      </c>
      <c r="S35" s="5" t="b">
        <v>0</v>
      </c>
      <c r="T35" s="4" t="s">
        <v>192</v>
      </c>
      <c r="U35" s="5" t="b">
        <v>0</v>
      </c>
      <c r="V35" s="11">
        <v>44894.0</v>
      </c>
      <c r="W35" s="11">
        <v>44884.0</v>
      </c>
    </row>
    <row r="36">
      <c r="A36" s="4">
        <v>6617.0</v>
      </c>
      <c r="B36" s="5" t="b">
        <v>1</v>
      </c>
      <c r="C36" s="6" t="s">
        <v>193</v>
      </c>
      <c r="D36" s="1" t="s">
        <v>194</v>
      </c>
      <c r="E36" s="7">
        <v>4043933.0</v>
      </c>
      <c r="F36" s="7">
        <v>-36529.0</v>
      </c>
      <c r="G36" s="1" t="s">
        <v>195</v>
      </c>
      <c r="H36" s="1" t="s">
        <v>196</v>
      </c>
      <c r="I36" s="8">
        <v>43044.43429803241</v>
      </c>
      <c r="J36" s="9">
        <f>+35939803895</f>
        <v>35939803895</v>
      </c>
      <c r="K36" s="4">
        <v>6.0</v>
      </c>
      <c r="L36" s="7">
        <v>5.0</v>
      </c>
      <c r="M36" s="1" t="s">
        <v>197</v>
      </c>
      <c r="N36" s="4">
        <v>48.0</v>
      </c>
      <c r="O36" s="4">
        <v>1.0</v>
      </c>
      <c r="P36" s="1" t="s">
        <v>28</v>
      </c>
      <c r="Q36" s="5" t="b">
        <v>0</v>
      </c>
      <c r="R36" s="5" t="b">
        <v>1</v>
      </c>
      <c r="S36" s="5" t="b">
        <v>1</v>
      </c>
      <c r="T36" s="4" t="s">
        <v>198</v>
      </c>
      <c r="U36" s="5" t="b">
        <v>0</v>
      </c>
      <c r="V36" s="10">
        <v>44734.0</v>
      </c>
      <c r="W36" s="10">
        <v>44660.0</v>
      </c>
    </row>
    <row r="37">
      <c r="A37" s="4">
        <v>6456.0</v>
      </c>
      <c r="B37" s="5" t="b">
        <v>1</v>
      </c>
      <c r="C37" s="6" t="s">
        <v>199</v>
      </c>
      <c r="D37" s="1" t="s">
        <v>200</v>
      </c>
      <c r="E37" s="7">
        <v>4043087.0</v>
      </c>
      <c r="F37" s="7">
        <v>-368385.0</v>
      </c>
      <c r="G37" s="1" t="s">
        <v>195</v>
      </c>
      <c r="H37" s="1" t="s">
        <v>201</v>
      </c>
      <c r="I37" s="8">
        <v>43044.451517939815</v>
      </c>
      <c r="J37" s="9">
        <f>+35938330550</f>
        <v>35938330550</v>
      </c>
      <c r="K37" s="4">
        <v>12.0</v>
      </c>
      <c r="L37" s="7" t="s">
        <v>130</v>
      </c>
      <c r="M37" s="1" t="s">
        <v>202</v>
      </c>
      <c r="N37" s="4">
        <v>42.0</v>
      </c>
      <c r="O37" s="4">
        <v>2.0</v>
      </c>
      <c r="P37" s="1" t="s">
        <v>33</v>
      </c>
      <c r="Q37" s="5" t="b">
        <v>0</v>
      </c>
      <c r="R37" s="5" t="b">
        <v>1</v>
      </c>
      <c r="S37" s="5" t="b">
        <v>0</v>
      </c>
      <c r="T37" s="4" t="s">
        <v>73</v>
      </c>
      <c r="U37" s="5" t="b">
        <v>0</v>
      </c>
      <c r="V37" s="10">
        <v>44573.0</v>
      </c>
      <c r="W37" s="10">
        <v>44681.0</v>
      </c>
    </row>
    <row r="38">
      <c r="A38" s="4">
        <v>7146.0</v>
      </c>
      <c r="B38" s="5" t="b">
        <v>1</v>
      </c>
      <c r="C38" s="6" t="s">
        <v>203</v>
      </c>
      <c r="D38" s="1" t="s">
        <v>204</v>
      </c>
      <c r="E38" s="7">
        <v>4211205.0</v>
      </c>
      <c r="F38" s="7">
        <v>-831079.0</v>
      </c>
      <c r="G38" s="1" t="s">
        <v>205</v>
      </c>
      <c r="H38" s="1" t="s">
        <v>206</v>
      </c>
      <c r="I38" s="8">
        <v>43044.484133935184</v>
      </c>
      <c r="J38" s="9">
        <f>+35989995885</f>
        <v>35989995885</v>
      </c>
      <c r="K38" s="4">
        <v>6.0</v>
      </c>
      <c r="L38" s="7">
        <v>5.0</v>
      </c>
      <c r="M38" s="1" t="s">
        <v>207</v>
      </c>
      <c r="N38" s="4">
        <v>1607.0</v>
      </c>
      <c r="O38" s="4">
        <v>2.0</v>
      </c>
      <c r="P38" s="1" t="s">
        <v>33</v>
      </c>
      <c r="Q38" s="5" t="b">
        <v>0</v>
      </c>
      <c r="R38" s="5" t="b">
        <v>1</v>
      </c>
      <c r="S38" s="5" t="b">
        <v>0</v>
      </c>
      <c r="T38" s="4" t="s">
        <v>198</v>
      </c>
      <c r="U38" s="5" t="b">
        <v>0</v>
      </c>
      <c r="V38" s="10">
        <v>44758.0</v>
      </c>
      <c r="W38" s="10">
        <v>44726.0</v>
      </c>
    </row>
    <row r="39">
      <c r="A39" s="4">
        <v>7605.0</v>
      </c>
      <c r="B39" s="5" t="b">
        <v>1</v>
      </c>
      <c r="C39" s="6" t="s">
        <v>208</v>
      </c>
      <c r="D39" s="1" t="s">
        <v>209</v>
      </c>
      <c r="E39" s="7">
        <v>3863183.0</v>
      </c>
      <c r="F39" s="7">
        <v>-86516.0</v>
      </c>
      <c r="G39" s="1" t="s">
        <v>210</v>
      </c>
      <c r="H39" s="1" t="s">
        <v>211</v>
      </c>
      <c r="I39" s="8">
        <v>43044.50389238426</v>
      </c>
      <c r="J39" s="9">
        <f>+35999353300</f>
        <v>35999353300</v>
      </c>
      <c r="K39" s="4">
        <v>8.0</v>
      </c>
      <c r="L39" s="7">
        <v>5.0</v>
      </c>
      <c r="M39" s="1" t="s">
        <v>212</v>
      </c>
      <c r="N39" s="4">
        <v>3099.0</v>
      </c>
      <c r="O39" s="4">
        <v>0.0</v>
      </c>
      <c r="P39" s="1" t="s">
        <v>39</v>
      </c>
      <c r="Q39" s="5" t="b">
        <v>1</v>
      </c>
      <c r="R39" s="5" t="b">
        <v>0</v>
      </c>
      <c r="S39" s="5" t="b">
        <v>0</v>
      </c>
      <c r="T39" s="4" t="s">
        <v>213</v>
      </c>
      <c r="U39" s="5" t="b">
        <v>0</v>
      </c>
      <c r="V39" s="10">
        <v>44625.0</v>
      </c>
      <c r="W39" s="10">
        <v>44622.0</v>
      </c>
    </row>
    <row r="40">
      <c r="A40" s="4">
        <v>7757.0</v>
      </c>
      <c r="B40" s="5" t="b">
        <v>1</v>
      </c>
      <c r="C40" s="6" t="s">
        <v>214</v>
      </c>
      <c r="D40" s="1" t="s">
        <v>215</v>
      </c>
      <c r="E40" s="7">
        <v>4139459.0</v>
      </c>
      <c r="F40" s="7">
        <v>2166228.0</v>
      </c>
      <c r="G40" s="1" t="s">
        <v>182</v>
      </c>
      <c r="H40" s="1" t="s">
        <v>216</v>
      </c>
      <c r="I40" s="8">
        <v>43044.50712434028</v>
      </c>
      <c r="J40" s="9">
        <f>+35938355353</f>
        <v>35938355353</v>
      </c>
      <c r="K40" s="4">
        <v>7.0</v>
      </c>
      <c r="L40" s="7">
        <v>4.0</v>
      </c>
      <c r="M40" s="1" t="s">
        <v>217</v>
      </c>
      <c r="N40" s="4">
        <v>28.0</v>
      </c>
      <c r="O40" s="4">
        <v>8.0</v>
      </c>
      <c r="P40" s="1" t="s">
        <v>39</v>
      </c>
      <c r="Q40" s="5" t="b">
        <v>1</v>
      </c>
      <c r="R40" s="5" t="b">
        <v>0</v>
      </c>
      <c r="S40" s="5" t="b">
        <v>0</v>
      </c>
      <c r="T40" s="4">
        <v>0.0</v>
      </c>
      <c r="U40" s="5" t="b">
        <v>0</v>
      </c>
      <c r="V40" s="10">
        <v>44586.0</v>
      </c>
      <c r="W40" s="10">
        <v>44690.0</v>
      </c>
    </row>
    <row r="41">
      <c r="A41" s="4">
        <v>40430.0</v>
      </c>
      <c r="B41" s="5" t="b">
        <v>1</v>
      </c>
      <c r="C41" s="6" t="s">
        <v>218</v>
      </c>
      <c r="D41" s="1" t="s">
        <v>219</v>
      </c>
      <c r="E41" s="7">
        <v>4550654.0</v>
      </c>
      <c r="F41" s="7">
        <v>121461.0</v>
      </c>
      <c r="G41" s="1" t="s">
        <v>220</v>
      </c>
      <c r="H41" s="1" t="s">
        <v>221</v>
      </c>
      <c r="I41" s="8">
        <v>43068.73031319444</v>
      </c>
      <c r="J41" s="9">
        <f>+393333559508</f>
        <v>393333559508</v>
      </c>
      <c r="K41" s="4">
        <v>8.0</v>
      </c>
      <c r="L41" s="7">
        <v>5.0</v>
      </c>
      <c r="M41" s="1">
        <v>7333373.0</v>
      </c>
      <c r="N41" s="4">
        <v>1086.0</v>
      </c>
      <c r="O41" s="4">
        <v>4.0</v>
      </c>
      <c r="P41" s="1" t="s">
        <v>33</v>
      </c>
      <c r="Q41" s="5" t="b">
        <v>0</v>
      </c>
      <c r="R41" s="5" t="b">
        <v>0</v>
      </c>
      <c r="S41" s="5" t="b">
        <v>0</v>
      </c>
      <c r="T41" s="4" t="s">
        <v>73</v>
      </c>
      <c r="U41" s="5" t="b">
        <v>1</v>
      </c>
      <c r="V41" s="10">
        <v>44800.0</v>
      </c>
      <c r="W41" s="10">
        <v>44797.0</v>
      </c>
    </row>
    <row r="42">
      <c r="A42" s="4">
        <v>41504.0</v>
      </c>
      <c r="B42" s="5" t="b">
        <v>1</v>
      </c>
      <c r="C42" s="6" t="s">
        <v>222</v>
      </c>
      <c r="D42" s="1" t="s">
        <v>223</v>
      </c>
      <c r="E42" s="7">
        <v>4192635.0</v>
      </c>
      <c r="F42" s="7">
        <v>1251359.0</v>
      </c>
      <c r="G42" s="1" t="s">
        <v>25</v>
      </c>
      <c r="H42" s="1" t="s">
        <v>224</v>
      </c>
      <c r="I42" s="8">
        <v>43075.38546765046</v>
      </c>
      <c r="J42" s="9">
        <f>+39098553855</f>
        <v>39098553855</v>
      </c>
      <c r="K42" s="4">
        <v>31.0</v>
      </c>
      <c r="L42" s="7">
        <v>4903226.0</v>
      </c>
      <c r="M42" s="1">
        <v>7.336733333E9</v>
      </c>
      <c r="N42" s="4">
        <v>1923.0</v>
      </c>
      <c r="O42" s="4">
        <v>5.0</v>
      </c>
      <c r="P42" s="1" t="s">
        <v>28</v>
      </c>
      <c r="Q42" s="5" t="b">
        <v>0</v>
      </c>
      <c r="R42" s="5" t="b">
        <v>1</v>
      </c>
      <c r="S42" s="5" t="b">
        <v>0</v>
      </c>
      <c r="T42" s="4" t="s">
        <v>225</v>
      </c>
      <c r="U42" s="5" t="b">
        <v>0</v>
      </c>
      <c r="V42" s="10">
        <v>44740.0</v>
      </c>
      <c r="W42" s="11">
        <v>44864.0</v>
      </c>
    </row>
    <row r="43">
      <c r="A43" s="4">
        <v>5565.0</v>
      </c>
      <c r="B43" s="5" t="b">
        <v>1</v>
      </c>
      <c r="C43" s="6" t="s">
        <v>226</v>
      </c>
      <c r="D43" s="1" t="s">
        <v>227</v>
      </c>
      <c r="E43" s="7">
        <v>3797329.0</v>
      </c>
      <c r="F43" s="7">
        <v>2377499.0</v>
      </c>
      <c r="G43" s="1" t="s">
        <v>228</v>
      </c>
      <c r="H43" s="1" t="s">
        <v>229</v>
      </c>
      <c r="I43" s="8">
        <v>43087.3515162037</v>
      </c>
      <c r="J43" s="9">
        <f>+308303535895</f>
        <v>308303535895</v>
      </c>
      <c r="K43" s="4">
        <v>340.0</v>
      </c>
      <c r="L43" s="7">
        <v>4802941.0</v>
      </c>
      <c r="M43" s="1">
        <v>7737.0</v>
      </c>
      <c r="N43" s="4">
        <v>2959.0</v>
      </c>
      <c r="O43" s="4">
        <v>5.0</v>
      </c>
      <c r="P43" s="1" t="s">
        <v>28</v>
      </c>
      <c r="Q43" s="5" t="b">
        <v>0</v>
      </c>
      <c r="R43" s="5" t="b">
        <v>0</v>
      </c>
      <c r="S43" s="5" t="b">
        <v>0</v>
      </c>
      <c r="T43" s="4" t="s">
        <v>40</v>
      </c>
      <c r="U43" s="5" t="b">
        <v>0</v>
      </c>
      <c r="V43" s="10">
        <v>44893.0</v>
      </c>
      <c r="W43" s="10">
        <v>44874.0</v>
      </c>
    </row>
    <row r="44">
      <c r="A44" s="4">
        <v>105505.0</v>
      </c>
      <c r="B44" s="5" t="b">
        <v>1</v>
      </c>
      <c r="C44" s="6" t="s">
        <v>230</v>
      </c>
      <c r="D44" s="1" t="s">
        <v>231</v>
      </c>
      <c r="E44" s="7">
        <v>380728.0</v>
      </c>
      <c r="F44" s="7">
        <v>238125.0</v>
      </c>
      <c r="G44" s="1" t="s">
        <v>232</v>
      </c>
      <c r="H44" s="1" t="s">
        <v>233</v>
      </c>
      <c r="I44" s="8">
        <v>43243.56277211806</v>
      </c>
      <c r="J44" s="9">
        <f>+308308033000</f>
        <v>308308033000</v>
      </c>
      <c r="K44" s="4">
        <v>0.0</v>
      </c>
      <c r="L44" s="7">
        <v>0.0</v>
      </c>
      <c r="M44" s="1">
        <v>3736363.0</v>
      </c>
      <c r="N44" s="4">
        <v>0.0</v>
      </c>
      <c r="O44" s="4">
        <v>0.0</v>
      </c>
      <c r="P44" s="1" t="s">
        <v>28</v>
      </c>
      <c r="Q44" s="5" t="b">
        <v>1</v>
      </c>
      <c r="R44" s="5" t="b">
        <v>0</v>
      </c>
      <c r="S44" s="5" t="b">
        <v>0</v>
      </c>
      <c r="T44" s="4">
        <v>0.0</v>
      </c>
      <c r="U44" s="5" t="b">
        <v>0</v>
      </c>
      <c r="V44" s="10">
        <v>44688.0</v>
      </c>
      <c r="W44" s="10">
        <v>44669.0</v>
      </c>
    </row>
    <row r="45">
      <c r="A45" s="4">
        <v>10545.0</v>
      </c>
      <c r="B45" s="5" t="b">
        <v>1</v>
      </c>
      <c r="C45" s="6" t="s">
        <v>234</v>
      </c>
      <c r="D45" s="1" t="s">
        <v>235</v>
      </c>
      <c r="E45" s="7">
        <v>419256.0</v>
      </c>
      <c r="F45" s="7">
        <v>1309947.0</v>
      </c>
      <c r="G45" s="1" t="s">
        <v>236</v>
      </c>
      <c r="H45" s="1" t="s">
        <v>237</v>
      </c>
      <c r="I45" s="8">
        <v>43251.57373886574</v>
      </c>
      <c r="J45" s="9">
        <f>+39033585893</f>
        <v>39033585893</v>
      </c>
      <c r="K45" s="4">
        <v>112.0</v>
      </c>
      <c r="L45" s="7">
        <v>4901786.0</v>
      </c>
      <c r="M45" s="1">
        <v>3.376733333E9</v>
      </c>
      <c r="N45" s="4">
        <v>2257.0</v>
      </c>
      <c r="O45" s="4">
        <v>2.0</v>
      </c>
      <c r="P45" s="1" t="s">
        <v>39</v>
      </c>
      <c r="Q45" s="5" t="b">
        <v>0</v>
      </c>
      <c r="R45" s="5" t="b">
        <v>0</v>
      </c>
      <c r="S45" s="5" t="b">
        <v>0</v>
      </c>
      <c r="T45" s="4" t="s">
        <v>40</v>
      </c>
      <c r="U45" s="5" t="b">
        <v>0</v>
      </c>
      <c r="V45" s="10">
        <v>44903.0</v>
      </c>
      <c r="W45" s="10">
        <v>44903.0</v>
      </c>
    </row>
    <row r="46">
      <c r="A46" s="4">
        <v>1050430.0</v>
      </c>
      <c r="B46" s="5" t="b">
        <v>1</v>
      </c>
      <c r="C46" s="6" t="s">
        <v>238</v>
      </c>
      <c r="D46" s="1" t="s">
        <v>239</v>
      </c>
      <c r="E46" s="7">
        <v>4547955.0</v>
      </c>
      <c r="F46" s="7">
        <v>9207782.0</v>
      </c>
      <c r="G46" s="1" t="s">
        <v>37</v>
      </c>
      <c r="H46" s="1" t="s">
        <v>240</v>
      </c>
      <c r="I46" s="8">
        <v>43314.35704383102</v>
      </c>
      <c r="J46" s="9">
        <f>+393538380088</f>
        <v>393538380088</v>
      </c>
      <c r="K46" s="4">
        <v>11.0</v>
      </c>
      <c r="L46" s="7">
        <v>4545455.0</v>
      </c>
      <c r="M46" s="1">
        <v>7.33333767E8</v>
      </c>
      <c r="N46" s="4">
        <v>411.0</v>
      </c>
      <c r="O46" s="4">
        <v>5.0</v>
      </c>
      <c r="P46" s="1" t="s">
        <v>33</v>
      </c>
      <c r="Q46" s="5" t="b">
        <v>1</v>
      </c>
      <c r="R46" s="5" t="b">
        <v>0</v>
      </c>
      <c r="S46" s="5" t="b">
        <v>1</v>
      </c>
      <c r="T46" s="4" t="s">
        <v>241</v>
      </c>
      <c r="U46" s="5" t="b">
        <v>0</v>
      </c>
      <c r="V46" s="10">
        <v>44805.0</v>
      </c>
      <c r="W46" s="10">
        <v>44705.0</v>
      </c>
    </row>
    <row r="47">
      <c r="A47" s="4">
        <v>11061.0</v>
      </c>
      <c r="B47" s="5" t="b">
        <v>1</v>
      </c>
      <c r="C47" s="6" t="s">
        <v>242</v>
      </c>
      <c r="D47" s="1" t="s">
        <v>243</v>
      </c>
      <c r="E47" s="7">
        <v>3588829.0</v>
      </c>
      <c r="F47" s="7">
        <v>-53107.0</v>
      </c>
      <c r="G47" s="1" t="s">
        <v>244</v>
      </c>
      <c r="H47" s="1" t="s">
        <v>245</v>
      </c>
      <c r="I47" s="8">
        <v>43439.848901261576</v>
      </c>
      <c r="J47" s="9">
        <f>+35959938588</f>
        <v>35959938588</v>
      </c>
      <c r="K47" s="4">
        <v>8.0</v>
      </c>
      <c r="L47" s="7" t="s">
        <v>184</v>
      </c>
      <c r="M47" s="1" t="s">
        <v>246</v>
      </c>
      <c r="N47" s="4">
        <v>911.0</v>
      </c>
      <c r="O47" s="4">
        <v>4.0</v>
      </c>
      <c r="P47" s="1" t="s">
        <v>33</v>
      </c>
      <c r="Q47" s="5" t="b">
        <v>0</v>
      </c>
      <c r="R47" s="5" t="b">
        <v>1</v>
      </c>
      <c r="S47" s="5" t="b">
        <v>0</v>
      </c>
      <c r="T47" s="4" t="s">
        <v>186</v>
      </c>
      <c r="U47" s="5" t="b">
        <v>0</v>
      </c>
      <c r="V47" s="10">
        <v>44811.0</v>
      </c>
      <c r="W47" s="10">
        <v>44852.0</v>
      </c>
    </row>
    <row r="48">
      <c r="A48" s="4">
        <v>115045.0</v>
      </c>
      <c r="B48" s="5" t="b">
        <v>1</v>
      </c>
      <c r="C48" s="6" t="s">
        <v>247</v>
      </c>
      <c r="D48" s="1" t="s">
        <v>248</v>
      </c>
      <c r="E48" s="7">
        <v>3834642.0</v>
      </c>
      <c r="F48" s="7">
        <v>-48698.0</v>
      </c>
      <c r="G48" s="1" t="s">
        <v>249</v>
      </c>
      <c r="H48" s="1" t="s">
        <v>250</v>
      </c>
      <c r="I48" s="8">
        <v>43439.851371400466</v>
      </c>
      <c r="J48" s="9">
        <f>+35995353800</f>
        <v>35995353800</v>
      </c>
      <c r="K48" s="4">
        <v>33.0</v>
      </c>
      <c r="L48" s="7">
        <v>5.0</v>
      </c>
      <c r="M48" s="1" t="s">
        <v>251</v>
      </c>
      <c r="N48" s="4">
        <v>544.0</v>
      </c>
      <c r="O48" s="4">
        <v>3.0</v>
      </c>
      <c r="P48" s="1" t="s">
        <v>39</v>
      </c>
      <c r="Q48" s="5" t="b">
        <v>0</v>
      </c>
      <c r="R48" s="5" t="b">
        <v>1</v>
      </c>
      <c r="S48" s="5" t="b">
        <v>0</v>
      </c>
      <c r="T48" s="4" t="s">
        <v>252</v>
      </c>
      <c r="U48" s="5" t="b">
        <v>0</v>
      </c>
      <c r="V48" s="10">
        <v>44830.0</v>
      </c>
      <c r="W48" s="10">
        <v>44595.0</v>
      </c>
    </row>
    <row r="49">
      <c r="A49" s="4">
        <v>150514.0</v>
      </c>
      <c r="B49" s="5" t="b">
        <v>1</v>
      </c>
      <c r="C49" s="6" t="s">
        <v>253</v>
      </c>
      <c r="D49" s="1" t="s">
        <v>254</v>
      </c>
      <c r="E49" s="7">
        <v>4548791.0</v>
      </c>
      <c r="F49" s="7">
        <v>9227804.0</v>
      </c>
      <c r="G49" s="1" t="s">
        <v>37</v>
      </c>
      <c r="H49" s="1" t="s">
        <v>255</v>
      </c>
      <c r="I49" s="8">
        <v>43523.730902233794</v>
      </c>
      <c r="J49" s="8"/>
      <c r="K49" s="4">
        <v>12.0</v>
      </c>
      <c r="L49" s="7" t="s">
        <v>130</v>
      </c>
      <c r="M49" s="1">
        <v>333333.0</v>
      </c>
      <c r="N49" s="4">
        <v>1949.0</v>
      </c>
      <c r="O49" s="4">
        <v>44.0</v>
      </c>
      <c r="P49" s="1" t="s">
        <v>39</v>
      </c>
      <c r="Q49" s="5" t="b">
        <v>0</v>
      </c>
      <c r="R49" s="5" t="b">
        <v>0</v>
      </c>
      <c r="S49" s="5" t="b">
        <v>0</v>
      </c>
      <c r="T49" s="4">
        <v>0.0</v>
      </c>
      <c r="U49" s="5" t="b">
        <v>0</v>
      </c>
      <c r="V49" s="10">
        <v>44692.0</v>
      </c>
      <c r="W49" s="10">
        <v>44566.0</v>
      </c>
    </row>
    <row r="50">
      <c r="A50" s="4">
        <v>150571.0</v>
      </c>
      <c r="B50" s="5" t="b">
        <v>1</v>
      </c>
      <c r="C50" s="6" t="s">
        <v>256</v>
      </c>
      <c r="D50" s="1" t="s">
        <v>257</v>
      </c>
      <c r="E50" s="7">
        <v>4362768.0</v>
      </c>
      <c r="F50" s="7">
        <v>-73375.0</v>
      </c>
      <c r="G50" s="1" t="s">
        <v>258</v>
      </c>
      <c r="H50" s="1" t="s">
        <v>259</v>
      </c>
      <c r="I50" s="8">
        <v>43528.45764479167</v>
      </c>
      <c r="J50" s="9">
        <f>+35988335988</f>
        <v>35988335988</v>
      </c>
      <c r="K50" s="4">
        <v>23.0</v>
      </c>
      <c r="L50" s="7">
        <v>5.0</v>
      </c>
      <c r="M50" s="1" t="s">
        <v>260</v>
      </c>
      <c r="N50" s="4">
        <v>2728.0</v>
      </c>
      <c r="O50" s="4">
        <v>7.0</v>
      </c>
      <c r="P50" s="1" t="s">
        <v>39</v>
      </c>
      <c r="Q50" s="5" t="b">
        <v>0</v>
      </c>
      <c r="R50" s="5" t="b">
        <v>1</v>
      </c>
      <c r="S50" s="5" t="b">
        <v>1</v>
      </c>
      <c r="T50" s="4" t="s">
        <v>261</v>
      </c>
      <c r="U50" s="5" t="b">
        <v>0</v>
      </c>
      <c r="V50" s="10">
        <v>44903.0</v>
      </c>
      <c r="W50" s="10">
        <v>44903.0</v>
      </c>
    </row>
    <row r="51">
      <c r="A51" s="4">
        <v>1.506303E7</v>
      </c>
      <c r="B51" s="5" t="b">
        <v>1</v>
      </c>
      <c r="C51" s="6" t="s">
        <v>262</v>
      </c>
      <c r="D51" s="1" t="s">
        <v>263</v>
      </c>
      <c r="E51" s="7">
        <v>4194447.0</v>
      </c>
      <c r="F51" s="7">
        <v>1253467.0</v>
      </c>
      <c r="G51" s="1" t="s">
        <v>25</v>
      </c>
      <c r="H51" s="1" t="s">
        <v>264</v>
      </c>
      <c r="I51" s="8">
        <v>43563.37681152778</v>
      </c>
      <c r="J51" s="9">
        <f>+390983303333</f>
        <v>390983303333</v>
      </c>
      <c r="K51" s="4">
        <v>25.0</v>
      </c>
      <c r="L51" s="7" t="s">
        <v>265</v>
      </c>
      <c r="M51" s="1">
        <v>3.337373333E9</v>
      </c>
      <c r="N51" s="4">
        <v>1539.0</v>
      </c>
      <c r="O51" s="4">
        <v>2.0</v>
      </c>
      <c r="P51" s="1" t="s">
        <v>39</v>
      </c>
      <c r="Q51" s="5" t="b">
        <v>0</v>
      </c>
      <c r="R51" s="5" t="b">
        <v>0</v>
      </c>
      <c r="S51" s="5" t="b">
        <v>0</v>
      </c>
      <c r="T51" s="4" t="s">
        <v>266</v>
      </c>
      <c r="U51" s="5" t="b">
        <v>0</v>
      </c>
      <c r="V51" s="10">
        <v>44812.0</v>
      </c>
      <c r="W51" s="10">
        <v>44853.0</v>
      </c>
    </row>
    <row r="52">
      <c r="A52" s="4">
        <v>145004.0</v>
      </c>
      <c r="B52" s="5" t="b">
        <v>0</v>
      </c>
      <c r="C52" s="6" t="s">
        <v>267</v>
      </c>
      <c r="D52" s="1" t="s">
        <v>268</v>
      </c>
      <c r="E52" s="7">
        <v>3816891.0</v>
      </c>
      <c r="F52" s="7">
        <v>1565407.0</v>
      </c>
      <c r="G52" s="1" t="s">
        <v>269</v>
      </c>
      <c r="H52" s="1" t="s">
        <v>270</v>
      </c>
      <c r="I52" s="8">
        <v>43640.41117295139</v>
      </c>
      <c r="J52" s="9">
        <f>+393833038585</f>
        <v>393833038585</v>
      </c>
      <c r="K52" s="4">
        <v>33.0</v>
      </c>
      <c r="L52" s="7">
        <v>4969697.0</v>
      </c>
      <c r="M52" s="1">
        <v>773333.0</v>
      </c>
      <c r="N52" s="4">
        <v>2356.0</v>
      </c>
      <c r="O52" s="4">
        <v>3.0</v>
      </c>
      <c r="P52" s="1" t="s">
        <v>39</v>
      </c>
      <c r="Q52" s="5" t="b">
        <v>0</v>
      </c>
      <c r="R52" s="5" t="b">
        <v>1</v>
      </c>
      <c r="S52" s="5" t="b">
        <v>1</v>
      </c>
      <c r="T52" s="4" t="s">
        <v>271</v>
      </c>
      <c r="U52" s="5" t="b">
        <v>0</v>
      </c>
      <c r="V52" s="10">
        <v>44892.0</v>
      </c>
      <c r="W52" s="10">
        <v>44873.0</v>
      </c>
    </row>
    <row r="53">
      <c r="A53" s="4">
        <v>1450307.0</v>
      </c>
      <c r="B53" s="5" t="b">
        <v>1</v>
      </c>
      <c r="C53" s="6" t="s">
        <v>272</v>
      </c>
      <c r="D53" s="1" t="s">
        <v>273</v>
      </c>
      <c r="E53" s="7">
        <v>366777.0</v>
      </c>
      <c r="F53" s="7">
        <v>-61121.0</v>
      </c>
      <c r="G53" s="1" t="s">
        <v>274</v>
      </c>
      <c r="H53" s="1" t="s">
        <v>275</v>
      </c>
      <c r="I53" s="8">
        <v>43649.48832738426</v>
      </c>
      <c r="J53" s="9">
        <f>+35959305358</f>
        <v>35959305358</v>
      </c>
      <c r="K53" s="4">
        <v>206.0</v>
      </c>
      <c r="L53" s="7">
        <v>4956311.0</v>
      </c>
      <c r="M53" s="1" t="s">
        <v>276</v>
      </c>
      <c r="N53" s="4">
        <v>653.0</v>
      </c>
      <c r="O53" s="4">
        <v>3.0</v>
      </c>
      <c r="P53" s="1" t="s">
        <v>39</v>
      </c>
      <c r="Q53" s="5" t="b">
        <v>0</v>
      </c>
      <c r="R53" s="5" t="b">
        <v>1</v>
      </c>
      <c r="S53" s="5" t="b">
        <v>0</v>
      </c>
      <c r="T53" s="4" t="s">
        <v>277</v>
      </c>
      <c r="U53" s="5" t="b">
        <v>0</v>
      </c>
      <c r="V53" s="10">
        <v>44605.0</v>
      </c>
      <c r="W53" s="10">
        <v>44656.0</v>
      </c>
    </row>
    <row r="54">
      <c r="A54" s="4">
        <v>14405.0</v>
      </c>
      <c r="B54" s="5" t="b">
        <v>1</v>
      </c>
      <c r="C54" s="6" t="s">
        <v>278</v>
      </c>
      <c r="D54" s="1" t="s">
        <v>279</v>
      </c>
      <c r="E54" s="7">
        <v>4060812.0</v>
      </c>
      <c r="F54" s="7">
        <v>1498022.0</v>
      </c>
      <c r="G54" s="1" t="s">
        <v>280</v>
      </c>
      <c r="H54" s="1" t="s">
        <v>281</v>
      </c>
      <c r="I54" s="8">
        <v>43658.46632452546</v>
      </c>
      <c r="J54" s="9">
        <f>+390888355053</f>
        <v>390888355053</v>
      </c>
      <c r="K54" s="4">
        <v>58.0</v>
      </c>
      <c r="L54" s="7">
        <v>487931.0</v>
      </c>
      <c r="M54" s="1">
        <v>363633.0</v>
      </c>
      <c r="N54" s="4">
        <v>1109.0</v>
      </c>
      <c r="O54" s="4">
        <v>3.0</v>
      </c>
      <c r="P54" s="1" t="s">
        <v>39</v>
      </c>
      <c r="Q54" s="5" t="b">
        <v>0</v>
      </c>
      <c r="R54" s="5" t="b">
        <v>1</v>
      </c>
      <c r="S54" s="5" t="b">
        <v>0</v>
      </c>
      <c r="T54" s="4" t="s">
        <v>282</v>
      </c>
      <c r="U54" s="5" t="b">
        <v>0</v>
      </c>
      <c r="V54" s="11">
        <v>44860.0</v>
      </c>
      <c r="W54" s="11">
        <v>44856.0</v>
      </c>
    </row>
    <row r="55">
      <c r="A55" s="4">
        <v>143001.0</v>
      </c>
      <c r="B55" s="5" t="b">
        <v>1</v>
      </c>
      <c r="C55" s="6" t="s">
        <v>283</v>
      </c>
      <c r="D55" s="1" t="s">
        <v>284</v>
      </c>
      <c r="E55" s="7">
        <v>4477196.0</v>
      </c>
      <c r="F55" s="7">
        <v>1028606.0</v>
      </c>
      <c r="G55" s="1" t="s">
        <v>285</v>
      </c>
      <c r="H55" s="1" t="s">
        <v>286</v>
      </c>
      <c r="I55" s="8">
        <v>43677.66129408565</v>
      </c>
      <c r="J55" s="9">
        <f>+393893590353</f>
        <v>393893590353</v>
      </c>
      <c r="K55" s="4">
        <v>36.0</v>
      </c>
      <c r="L55" s="7">
        <v>4916667.0</v>
      </c>
      <c r="M55" s="1">
        <v>3.37733736E8</v>
      </c>
      <c r="N55" s="4">
        <v>855.0</v>
      </c>
      <c r="O55" s="4">
        <v>7.0</v>
      </c>
      <c r="P55" s="1" t="s">
        <v>33</v>
      </c>
      <c r="Q55" s="5" t="b">
        <v>0</v>
      </c>
      <c r="R55" s="5" t="b">
        <v>0</v>
      </c>
      <c r="S55" s="5" t="b">
        <v>0</v>
      </c>
      <c r="T55" s="4" t="s">
        <v>287</v>
      </c>
      <c r="U55" s="5" t="b">
        <v>0</v>
      </c>
      <c r="V55" s="10">
        <v>44831.0</v>
      </c>
      <c r="W55" s="10">
        <v>44571.0</v>
      </c>
    </row>
    <row r="56">
      <c r="A56" s="4">
        <v>144550.0</v>
      </c>
      <c r="B56" s="5" t="b">
        <v>1</v>
      </c>
      <c r="C56" s="6" t="s">
        <v>288</v>
      </c>
      <c r="D56" s="1" t="s">
        <v>289</v>
      </c>
      <c r="E56" s="7">
        <v>4042919.0</v>
      </c>
      <c r="F56" s="7">
        <v>-367662.0</v>
      </c>
      <c r="G56" s="1" t="s">
        <v>195</v>
      </c>
      <c r="H56" s="1" t="s">
        <v>290</v>
      </c>
      <c r="I56" s="8">
        <v>43734.579267905094</v>
      </c>
      <c r="J56" s="9">
        <f>+35998059833</f>
        <v>35998059833</v>
      </c>
      <c r="K56" s="4">
        <v>13.0</v>
      </c>
      <c r="L56" s="7">
        <v>5.0</v>
      </c>
      <c r="M56" s="1" t="s">
        <v>291</v>
      </c>
      <c r="N56" s="4">
        <v>159.0</v>
      </c>
      <c r="O56" s="4">
        <v>3.0</v>
      </c>
      <c r="P56" s="1" t="s">
        <v>39</v>
      </c>
      <c r="Q56" s="5" t="b">
        <v>0</v>
      </c>
      <c r="R56" s="5" t="b">
        <v>1</v>
      </c>
      <c r="S56" s="5" t="b">
        <v>0</v>
      </c>
      <c r="T56" s="4" t="s">
        <v>292</v>
      </c>
      <c r="U56" s="5" t="b">
        <v>0</v>
      </c>
      <c r="V56" s="10">
        <v>44842.0</v>
      </c>
      <c r="W56" s="10">
        <v>44594.0</v>
      </c>
    </row>
    <row r="57">
      <c r="A57" s="4">
        <v>144305.0</v>
      </c>
      <c r="B57" s="5" t="b">
        <v>1</v>
      </c>
      <c r="C57" s="6" t="s">
        <v>293</v>
      </c>
      <c r="D57" s="1" t="s">
        <v>294</v>
      </c>
      <c r="E57" s="7">
        <v>4555045.0</v>
      </c>
      <c r="F57" s="7">
        <v>1022359.0</v>
      </c>
      <c r="G57" s="1" t="s">
        <v>295</v>
      </c>
      <c r="H57" s="1" t="s">
        <v>296</v>
      </c>
      <c r="I57" s="8">
        <v>43738.65959130787</v>
      </c>
      <c r="J57" s="9">
        <f>+39030308355</f>
        <v>39030308355</v>
      </c>
      <c r="K57" s="4">
        <v>66.0</v>
      </c>
      <c r="L57" s="7">
        <v>4924242.0</v>
      </c>
      <c r="M57" s="1">
        <v>7.333673377E9</v>
      </c>
      <c r="N57" s="4">
        <v>1545.0</v>
      </c>
      <c r="O57" s="4">
        <v>2.0</v>
      </c>
      <c r="P57" s="1" t="s">
        <v>28</v>
      </c>
      <c r="Q57" s="5" t="b">
        <v>0</v>
      </c>
      <c r="R57" s="5" t="b">
        <v>1</v>
      </c>
      <c r="S57" s="5" t="b">
        <v>0</v>
      </c>
      <c r="T57" s="4" t="s">
        <v>297</v>
      </c>
      <c r="U57" s="5" t="b">
        <v>0</v>
      </c>
      <c r="V57" s="10">
        <v>44764.0</v>
      </c>
      <c r="W57" s="10">
        <v>44668.0</v>
      </c>
    </row>
    <row r="58">
      <c r="A58" s="4">
        <v>14515.0</v>
      </c>
      <c r="B58" s="5" t="b">
        <v>1</v>
      </c>
      <c r="C58" s="6" t="s">
        <v>298</v>
      </c>
      <c r="D58" s="1" t="s">
        <v>299</v>
      </c>
      <c r="E58" s="7">
        <v>4254408.0</v>
      </c>
      <c r="F58" s="7">
        <v>1388436.0</v>
      </c>
      <c r="G58" s="1" t="s">
        <v>300</v>
      </c>
      <c r="H58" s="1" t="s">
        <v>301</v>
      </c>
      <c r="I58" s="8">
        <v>43748.55000986111</v>
      </c>
      <c r="J58" s="9">
        <f>+393838909853</f>
        <v>393838909853</v>
      </c>
      <c r="K58" s="4">
        <v>15.0</v>
      </c>
      <c r="L58" s="7">
        <v>5.0</v>
      </c>
      <c r="M58" s="1">
        <v>7.3733677E7</v>
      </c>
      <c r="N58" s="4">
        <v>674.0</v>
      </c>
      <c r="O58" s="4">
        <v>2.0</v>
      </c>
      <c r="P58" s="1" t="s">
        <v>33</v>
      </c>
      <c r="Q58" s="5" t="b">
        <v>0</v>
      </c>
      <c r="R58" s="5" t="b">
        <v>1</v>
      </c>
      <c r="S58" s="5" t="b">
        <v>0</v>
      </c>
      <c r="T58" s="4" t="s">
        <v>302</v>
      </c>
      <c r="U58" s="5" t="b">
        <v>0</v>
      </c>
      <c r="V58" s="10">
        <v>44574.0</v>
      </c>
      <c r="W58" s="11">
        <v>44850.0</v>
      </c>
    </row>
    <row r="59">
      <c r="A59" s="4">
        <v>145307.0</v>
      </c>
      <c r="B59" s="5" t="b">
        <v>0</v>
      </c>
      <c r="C59" s="6" t="s">
        <v>303</v>
      </c>
      <c r="D59" s="1" t="s">
        <v>304</v>
      </c>
      <c r="E59" s="7">
        <v>4167008.0</v>
      </c>
      <c r="F59" s="7">
        <v>2261058.0</v>
      </c>
      <c r="G59" s="1" t="s">
        <v>305</v>
      </c>
      <c r="H59" s="1" t="s">
        <v>306</v>
      </c>
      <c r="I59" s="8">
        <v>43756.44778648148</v>
      </c>
      <c r="J59" s="9">
        <f>+35938533053</f>
        <v>35938533053</v>
      </c>
      <c r="K59" s="4">
        <v>41.0</v>
      </c>
      <c r="L59" s="7">
        <v>4829268.0</v>
      </c>
      <c r="M59" s="1" t="s">
        <v>307</v>
      </c>
      <c r="N59" s="4">
        <v>1959.0</v>
      </c>
      <c r="O59" s="4">
        <v>4.0</v>
      </c>
      <c r="P59" s="1" t="s">
        <v>28</v>
      </c>
      <c r="Q59" s="5" t="b">
        <v>1</v>
      </c>
      <c r="R59" s="5" t="b">
        <v>0</v>
      </c>
      <c r="S59" s="5" t="b">
        <v>0</v>
      </c>
      <c r="T59" s="4" t="s">
        <v>308</v>
      </c>
      <c r="U59" s="5" t="b">
        <v>0</v>
      </c>
      <c r="V59" s="10">
        <v>44867.0</v>
      </c>
      <c r="W59" s="10">
        <v>44796.0</v>
      </c>
    </row>
    <row r="60">
      <c r="A60" s="4">
        <v>130515.0</v>
      </c>
      <c r="B60" s="5" t="b">
        <v>1</v>
      </c>
      <c r="C60" s="6" t="s">
        <v>309</v>
      </c>
      <c r="D60" s="1" t="s">
        <v>310</v>
      </c>
      <c r="E60" s="7">
        <v>4370715.0</v>
      </c>
      <c r="F60" s="7">
        <v>1038213.0</v>
      </c>
      <c r="G60" s="1" t="s">
        <v>311</v>
      </c>
      <c r="H60" s="1" t="s">
        <v>312</v>
      </c>
      <c r="I60" s="8">
        <v>43775.809203958335</v>
      </c>
      <c r="J60" s="9">
        <f>+39050503888</f>
        <v>39050503888</v>
      </c>
      <c r="K60" s="4">
        <v>101.0</v>
      </c>
      <c r="L60" s="7">
        <v>4920792.0</v>
      </c>
      <c r="M60" s="1">
        <v>3.7333337E7</v>
      </c>
      <c r="N60" s="4">
        <v>1547.0</v>
      </c>
      <c r="O60" s="4">
        <v>4.0</v>
      </c>
      <c r="P60" s="1" t="s">
        <v>33</v>
      </c>
      <c r="Q60" s="5" t="b">
        <v>0</v>
      </c>
      <c r="R60" s="5" t="b">
        <v>0</v>
      </c>
      <c r="S60" s="5" t="b">
        <v>0</v>
      </c>
      <c r="T60" s="4" t="s">
        <v>40</v>
      </c>
      <c r="U60" s="5" t="b">
        <v>0</v>
      </c>
      <c r="V60" s="10">
        <v>44819.0</v>
      </c>
      <c r="W60" s="10">
        <v>44841.0</v>
      </c>
    </row>
    <row r="61">
      <c r="A61" s="4">
        <v>1305030.0</v>
      </c>
      <c r="B61" s="5" t="b">
        <v>1</v>
      </c>
      <c r="C61" s="6" t="s">
        <v>313</v>
      </c>
      <c r="D61" s="1" t="s">
        <v>314</v>
      </c>
      <c r="E61" s="7">
        <v>378505.0</v>
      </c>
      <c r="F61" s="7">
        <v>-142796.0</v>
      </c>
      <c r="G61" s="1" t="s">
        <v>315</v>
      </c>
      <c r="H61" s="1" t="s">
        <v>316</v>
      </c>
      <c r="I61" s="8">
        <v>43782.47866997685</v>
      </c>
      <c r="J61" s="9">
        <f>+35998933935</f>
        <v>35998933935</v>
      </c>
      <c r="K61" s="4">
        <v>18.0</v>
      </c>
      <c r="L61" s="7">
        <v>4944444.0</v>
      </c>
      <c r="M61" s="1" t="s">
        <v>317</v>
      </c>
      <c r="N61" s="4">
        <v>2012.0</v>
      </c>
      <c r="O61" s="4">
        <v>6.0</v>
      </c>
      <c r="P61" s="1" t="s">
        <v>33</v>
      </c>
      <c r="Q61" s="5" t="b">
        <v>0</v>
      </c>
      <c r="R61" s="5" t="b">
        <v>1</v>
      </c>
      <c r="S61" s="5" t="b">
        <v>1</v>
      </c>
      <c r="T61" s="4" t="s">
        <v>318</v>
      </c>
      <c r="U61" s="5" t="b">
        <v>0</v>
      </c>
      <c r="V61" s="10">
        <v>44810.0</v>
      </c>
      <c r="W61" s="10">
        <v>44593.0</v>
      </c>
    </row>
    <row r="62">
      <c r="A62" s="4">
        <v>16040.0</v>
      </c>
      <c r="B62" s="5" t="b">
        <v>1</v>
      </c>
      <c r="C62" s="6" t="s">
        <v>319</v>
      </c>
      <c r="D62" s="1" t="s">
        <v>320</v>
      </c>
      <c r="E62" s="7">
        <v>3870841.0</v>
      </c>
      <c r="F62" s="7">
        <v>-913911.0</v>
      </c>
      <c r="G62" s="1" t="s">
        <v>321</v>
      </c>
      <c r="H62" s="1" t="s">
        <v>322</v>
      </c>
      <c r="I62" s="8">
        <v>43797.646244895834</v>
      </c>
      <c r="J62" s="9">
        <f>+393539359550</f>
        <v>393539359550</v>
      </c>
      <c r="K62" s="4">
        <v>1.0</v>
      </c>
      <c r="L62" s="7">
        <v>5.0</v>
      </c>
      <c r="M62" s="1">
        <v>7.77777773E8</v>
      </c>
      <c r="N62" s="4">
        <v>572.0</v>
      </c>
      <c r="O62" s="4">
        <v>10.0</v>
      </c>
      <c r="P62" s="1" t="s">
        <v>39</v>
      </c>
      <c r="Q62" s="5" t="b">
        <v>0</v>
      </c>
      <c r="R62" s="5" t="b">
        <v>0</v>
      </c>
      <c r="S62" s="5" t="b">
        <v>0</v>
      </c>
      <c r="T62" s="4" t="s">
        <v>323</v>
      </c>
      <c r="U62" s="5" t="b">
        <v>0</v>
      </c>
      <c r="V62" s="10">
        <v>44626.0</v>
      </c>
      <c r="W62" s="10">
        <v>44715.0</v>
      </c>
    </row>
    <row r="63">
      <c r="A63" s="4">
        <v>16041.0</v>
      </c>
      <c r="B63" s="5" t="b">
        <v>0</v>
      </c>
      <c r="C63" s="6" t="s">
        <v>324</v>
      </c>
      <c r="D63" s="1" t="s">
        <v>325</v>
      </c>
      <c r="E63" s="7">
        <v>4509363.0</v>
      </c>
      <c r="F63" s="7">
        <v>7682917.0</v>
      </c>
      <c r="G63" s="1" t="s">
        <v>326</v>
      </c>
      <c r="H63" s="1" t="s">
        <v>327</v>
      </c>
      <c r="I63" s="8">
        <v>43797.66216399305</v>
      </c>
      <c r="J63" s="9">
        <f>+390330808880</f>
        <v>390330808880</v>
      </c>
      <c r="K63" s="4">
        <v>86.0</v>
      </c>
      <c r="L63" s="7">
        <v>4953488.0</v>
      </c>
      <c r="M63" s="1">
        <v>7.737773333E9</v>
      </c>
      <c r="N63" s="4">
        <v>2169.0</v>
      </c>
      <c r="O63" s="4">
        <v>7.0</v>
      </c>
      <c r="P63" s="1" t="s">
        <v>39</v>
      </c>
      <c r="Q63" s="5" t="b">
        <v>0</v>
      </c>
      <c r="R63" s="5" t="b">
        <v>0</v>
      </c>
      <c r="S63" s="5" t="b">
        <v>0</v>
      </c>
      <c r="T63" s="4" t="s">
        <v>40</v>
      </c>
      <c r="U63" s="5" t="b">
        <v>0</v>
      </c>
      <c r="V63" s="10">
        <v>44903.0</v>
      </c>
      <c r="W63" s="10">
        <v>44903.0</v>
      </c>
    </row>
    <row r="64">
      <c r="A64" s="4">
        <v>16064.0</v>
      </c>
      <c r="B64" s="5" t="b">
        <v>1</v>
      </c>
      <c r="C64" s="6" t="s">
        <v>328</v>
      </c>
      <c r="D64" s="1" t="s">
        <v>329</v>
      </c>
      <c r="E64" s="7">
        <v>4428205.0</v>
      </c>
      <c r="F64" s="7">
        <v>1111254.0</v>
      </c>
      <c r="G64" s="1" t="s">
        <v>330</v>
      </c>
      <c r="H64" s="1" t="s">
        <v>331</v>
      </c>
      <c r="I64" s="8">
        <v>43798.63368663195</v>
      </c>
      <c r="J64" s="9">
        <f>+390530893535</f>
        <v>390530893535</v>
      </c>
      <c r="K64" s="4">
        <v>56.0</v>
      </c>
      <c r="L64" s="7">
        <v>4982143.0</v>
      </c>
      <c r="M64" s="1">
        <v>7.337373337E9</v>
      </c>
      <c r="N64" s="4">
        <v>2572.0</v>
      </c>
      <c r="O64" s="4">
        <v>2.0</v>
      </c>
      <c r="P64" s="1" t="s">
        <v>28</v>
      </c>
      <c r="Q64" s="5" t="b">
        <v>0</v>
      </c>
      <c r="R64" s="5" t="b">
        <v>0</v>
      </c>
      <c r="S64" s="5" t="b">
        <v>0</v>
      </c>
      <c r="T64" s="4" t="s">
        <v>40</v>
      </c>
      <c r="U64" s="5" t="b">
        <v>0</v>
      </c>
      <c r="V64" s="10">
        <v>44900.0</v>
      </c>
      <c r="W64" s="10">
        <v>44881.0</v>
      </c>
    </row>
    <row r="65">
      <c r="A65" s="4">
        <v>16144.0</v>
      </c>
      <c r="B65" s="5" t="b">
        <v>1</v>
      </c>
      <c r="C65" s="6" t="s">
        <v>332</v>
      </c>
      <c r="D65" s="1" t="s">
        <v>333</v>
      </c>
      <c r="E65" s="7">
        <v>4082648.0</v>
      </c>
      <c r="F65" s="7">
        <v>1432747.0</v>
      </c>
      <c r="G65" s="1" t="s">
        <v>334</v>
      </c>
      <c r="H65" s="1" t="s">
        <v>335</v>
      </c>
      <c r="I65" s="8">
        <v>43811.584703078704</v>
      </c>
      <c r="J65" s="9">
        <f>+393393388355</f>
        <v>393393388355</v>
      </c>
      <c r="K65" s="4">
        <v>9.0</v>
      </c>
      <c r="L65" s="7">
        <v>4555556.0</v>
      </c>
      <c r="M65" s="1">
        <v>7.67333333E8</v>
      </c>
      <c r="N65" s="4">
        <v>615.0</v>
      </c>
      <c r="O65" s="4">
        <v>3.0</v>
      </c>
      <c r="P65" s="1" t="s">
        <v>39</v>
      </c>
      <c r="Q65" s="5" t="b">
        <v>0</v>
      </c>
      <c r="R65" s="5" t="b">
        <v>1</v>
      </c>
      <c r="S65" s="5" t="b">
        <v>0</v>
      </c>
      <c r="T65" s="4" t="s">
        <v>336</v>
      </c>
      <c r="U65" s="5" t="b">
        <v>0</v>
      </c>
      <c r="V65" s="10">
        <v>44616.0</v>
      </c>
      <c r="W65" s="10">
        <v>44805.0</v>
      </c>
    </row>
    <row r="66">
      <c r="A66" s="4">
        <v>161430.0</v>
      </c>
      <c r="B66" s="5" t="b">
        <v>0</v>
      </c>
      <c r="C66" s="6" t="s">
        <v>337</v>
      </c>
      <c r="D66" s="1" t="s">
        <v>338</v>
      </c>
      <c r="E66" s="7">
        <v>4001386.0</v>
      </c>
      <c r="F66" s="7">
        <v>1815762.0</v>
      </c>
      <c r="G66" s="1" t="s">
        <v>339</v>
      </c>
      <c r="H66" s="1" t="s">
        <v>340</v>
      </c>
      <c r="I66" s="8">
        <v>43811.597939259256</v>
      </c>
      <c r="J66" s="9">
        <f>+390833503998</f>
        <v>390833503998</v>
      </c>
      <c r="K66" s="4">
        <v>6.0</v>
      </c>
      <c r="L66" s="7">
        <v>5.0</v>
      </c>
      <c r="M66" s="1">
        <v>733.0</v>
      </c>
      <c r="N66" s="4">
        <v>829.0</v>
      </c>
      <c r="O66" s="4">
        <v>4.0</v>
      </c>
      <c r="P66" s="1" t="s">
        <v>33</v>
      </c>
      <c r="Q66" s="5" t="b">
        <v>0</v>
      </c>
      <c r="R66" s="5" t="b">
        <v>1</v>
      </c>
      <c r="S66" s="5" t="b">
        <v>0</v>
      </c>
      <c r="T66" s="4" t="s">
        <v>198</v>
      </c>
      <c r="U66" s="5" t="b">
        <v>0</v>
      </c>
      <c r="V66" s="10">
        <v>44817.0</v>
      </c>
      <c r="W66" s="10">
        <v>44858.0</v>
      </c>
    </row>
    <row r="67">
      <c r="A67" s="4">
        <v>1613030.0</v>
      </c>
      <c r="B67" s="5" t="b">
        <v>1</v>
      </c>
      <c r="C67" s="6" t="s">
        <v>341</v>
      </c>
      <c r="D67" s="1" t="s">
        <v>342</v>
      </c>
      <c r="E67" s="7">
        <v>4667087.0</v>
      </c>
      <c r="F67" s="7">
        <v>1115649.0</v>
      </c>
      <c r="G67" s="1" t="s">
        <v>343</v>
      </c>
      <c r="H67" s="1" t="s">
        <v>344</v>
      </c>
      <c r="I67" s="8">
        <v>43812.61720341435</v>
      </c>
      <c r="J67" s="9">
        <f>+390533559359</f>
        <v>390533559359</v>
      </c>
      <c r="K67" s="4">
        <v>8.0</v>
      </c>
      <c r="L67" s="7">
        <v>4875.0</v>
      </c>
      <c r="M67" s="1">
        <v>3.33373337E8</v>
      </c>
      <c r="N67" s="4">
        <v>2141.0</v>
      </c>
      <c r="O67" s="4">
        <v>4.0</v>
      </c>
      <c r="P67" s="1" t="s">
        <v>39</v>
      </c>
      <c r="Q67" s="5" t="b">
        <v>0</v>
      </c>
      <c r="R67" s="5" t="b">
        <v>1</v>
      </c>
      <c r="S67" s="5" t="b">
        <v>0</v>
      </c>
      <c r="T67" s="4" t="s">
        <v>345</v>
      </c>
      <c r="U67" s="5" t="b">
        <v>0</v>
      </c>
      <c r="V67" s="10">
        <v>44895.0</v>
      </c>
      <c r="W67" s="10">
        <v>44876.0</v>
      </c>
    </row>
    <row r="68">
      <c r="A68" s="4">
        <v>165074.0</v>
      </c>
      <c r="B68" s="5" t="b">
        <v>1</v>
      </c>
      <c r="C68" s="6" t="s">
        <v>346</v>
      </c>
      <c r="D68" s="1" t="s">
        <v>347</v>
      </c>
      <c r="E68" s="7">
        <v>442268.0</v>
      </c>
      <c r="F68" s="7">
        <v>8417544.0</v>
      </c>
      <c r="G68" s="1" t="s">
        <v>348</v>
      </c>
      <c r="H68" s="1" t="s">
        <v>349</v>
      </c>
      <c r="I68" s="8">
        <v>43819.642237430555</v>
      </c>
      <c r="J68" s="9">
        <f>+39039355393</f>
        <v>39039355393</v>
      </c>
      <c r="K68" s="4">
        <v>0.0</v>
      </c>
      <c r="L68" s="7">
        <v>0.0</v>
      </c>
      <c r="M68" s="1">
        <v>3.37633377E8</v>
      </c>
      <c r="N68" s="4">
        <v>52.0</v>
      </c>
      <c r="O68" s="4">
        <v>6.0</v>
      </c>
      <c r="P68" s="1" t="s">
        <v>28</v>
      </c>
      <c r="Q68" s="5" t="b">
        <v>0</v>
      </c>
      <c r="R68" s="5" t="b">
        <v>0</v>
      </c>
      <c r="S68" s="5" t="b">
        <v>0</v>
      </c>
      <c r="T68" s="4">
        <v>0.0</v>
      </c>
      <c r="U68" s="5" t="b">
        <v>0</v>
      </c>
      <c r="V68" s="10">
        <v>44718.0</v>
      </c>
      <c r="W68" s="10">
        <v>44590.0</v>
      </c>
    </row>
    <row r="69">
      <c r="A69" s="4">
        <v>1650550.0</v>
      </c>
      <c r="B69" s="5" t="b">
        <v>1</v>
      </c>
      <c r="C69" s="6" t="s">
        <v>350</v>
      </c>
      <c r="D69" s="1" t="s">
        <v>351</v>
      </c>
      <c r="E69" s="7">
        <v>4168461.0</v>
      </c>
      <c r="F69" s="7">
        <v>1537736.0</v>
      </c>
      <c r="G69" s="1" t="s">
        <v>352</v>
      </c>
      <c r="H69" s="1" t="s">
        <v>353</v>
      </c>
      <c r="I69" s="8">
        <v>43819.720246689816</v>
      </c>
      <c r="J69" s="9">
        <f>+390888339380</f>
        <v>390888339380</v>
      </c>
      <c r="K69" s="4">
        <v>3.0</v>
      </c>
      <c r="L69" s="7">
        <v>5.0</v>
      </c>
      <c r="M69" s="1">
        <v>63733.0</v>
      </c>
      <c r="N69" s="4">
        <v>877.0</v>
      </c>
      <c r="O69" s="4">
        <v>4.0</v>
      </c>
      <c r="P69" s="1" t="s">
        <v>33</v>
      </c>
      <c r="Q69" s="5" t="b">
        <v>0</v>
      </c>
      <c r="R69" s="5" t="b">
        <v>1</v>
      </c>
      <c r="S69" s="5" t="b">
        <v>1</v>
      </c>
      <c r="T69" s="4" t="s">
        <v>354</v>
      </c>
      <c r="U69" s="5" t="b">
        <v>0</v>
      </c>
      <c r="V69" s="10">
        <v>44815.0</v>
      </c>
      <c r="W69" s="10">
        <v>44856.0</v>
      </c>
    </row>
    <row r="70">
      <c r="A70" s="4">
        <v>16740.0</v>
      </c>
      <c r="B70" s="5" t="b">
        <v>1</v>
      </c>
      <c r="C70" s="6" t="s">
        <v>355</v>
      </c>
      <c r="D70" s="1" t="s">
        <v>356</v>
      </c>
      <c r="E70" s="7">
        <v>4479952.0</v>
      </c>
      <c r="F70" s="7">
        <v>1033777.0</v>
      </c>
      <c r="G70" s="1" t="s">
        <v>285</v>
      </c>
      <c r="H70" s="1" t="s">
        <v>357</v>
      </c>
      <c r="I70" s="8">
        <v>43845.62519909722</v>
      </c>
      <c r="J70" s="9">
        <f>+393353858393</f>
        <v>393353858393</v>
      </c>
      <c r="K70" s="4">
        <v>11.0</v>
      </c>
      <c r="L70" s="7">
        <v>5.0</v>
      </c>
      <c r="M70" s="1">
        <v>7.63733737E8</v>
      </c>
      <c r="N70" s="4">
        <v>574.0</v>
      </c>
      <c r="O70" s="4">
        <v>2.0</v>
      </c>
      <c r="P70" s="1" t="s">
        <v>28</v>
      </c>
      <c r="Q70" s="5" t="b">
        <v>0</v>
      </c>
      <c r="R70" s="5" t="b">
        <v>0</v>
      </c>
      <c r="S70" s="5" t="b">
        <v>0</v>
      </c>
      <c r="T70" s="4" t="s">
        <v>358</v>
      </c>
      <c r="U70" s="5" t="b">
        <v>0</v>
      </c>
      <c r="V70" s="10">
        <v>44566.0</v>
      </c>
      <c r="W70" s="10">
        <v>44698.0</v>
      </c>
    </row>
    <row r="71">
      <c r="A71" s="4">
        <v>16765.0</v>
      </c>
      <c r="B71" s="5" t="b">
        <v>1</v>
      </c>
      <c r="C71" s="6" t="s">
        <v>359</v>
      </c>
      <c r="D71" s="1" t="s">
        <v>360</v>
      </c>
      <c r="E71" s="7">
        <v>3799969.0</v>
      </c>
      <c r="F71" s="7">
        <v>2372138.0</v>
      </c>
      <c r="G71" s="1" t="s">
        <v>54</v>
      </c>
      <c r="H71" s="1" t="s">
        <v>361</v>
      </c>
      <c r="I71" s="8">
        <v>43846.61004303241</v>
      </c>
      <c r="J71" s="9">
        <f>+308383093898</f>
        <v>308383093898</v>
      </c>
      <c r="K71" s="4">
        <v>112.0</v>
      </c>
      <c r="L71" s="7">
        <v>4892857.0</v>
      </c>
      <c r="M71" s="1">
        <v>7.3777333E7</v>
      </c>
      <c r="N71" s="4">
        <v>1905.0</v>
      </c>
      <c r="O71" s="4">
        <v>2.0</v>
      </c>
      <c r="P71" s="1" t="s">
        <v>33</v>
      </c>
      <c r="Q71" s="5" t="b">
        <v>0</v>
      </c>
      <c r="R71" s="5" t="b">
        <v>1</v>
      </c>
      <c r="S71" s="5" t="b">
        <v>0</v>
      </c>
      <c r="T71" s="4" t="s">
        <v>362</v>
      </c>
      <c r="U71" s="5" t="b">
        <v>0</v>
      </c>
      <c r="V71" s="10">
        <v>44716.0</v>
      </c>
      <c r="W71" s="10">
        <v>44608.0</v>
      </c>
    </row>
    <row r="72">
      <c r="A72" s="4">
        <v>17665.0</v>
      </c>
      <c r="B72" s="5" t="b">
        <v>1</v>
      </c>
      <c r="C72" s="6" t="s">
        <v>363</v>
      </c>
      <c r="D72" s="1" t="s">
        <v>364</v>
      </c>
      <c r="E72" s="7">
        <v>4887668.0</v>
      </c>
      <c r="F72" s="7">
        <v>2344594.0</v>
      </c>
      <c r="G72" s="1" t="s">
        <v>365</v>
      </c>
      <c r="H72" s="1" t="s">
        <v>366</v>
      </c>
      <c r="I72" s="8">
        <v>43861.67529540509</v>
      </c>
      <c r="J72" s="9">
        <f>+33935355099</f>
        <v>33935355099</v>
      </c>
      <c r="K72" s="4">
        <v>11.0</v>
      </c>
      <c r="L72" s="7">
        <v>4945455.0</v>
      </c>
      <c r="M72" s="9"/>
      <c r="N72" s="4">
        <v>59.0</v>
      </c>
      <c r="O72" s="4">
        <v>1.0</v>
      </c>
      <c r="P72" s="1" t="s">
        <v>33</v>
      </c>
      <c r="Q72" s="5" t="b">
        <v>0</v>
      </c>
      <c r="R72" s="5" t="b">
        <v>1</v>
      </c>
      <c r="S72" s="5" t="b">
        <v>0</v>
      </c>
      <c r="T72" s="4" t="s">
        <v>367</v>
      </c>
      <c r="U72" s="5" t="b">
        <v>0</v>
      </c>
      <c r="V72" s="10">
        <v>44807.0</v>
      </c>
      <c r="W72" s="10">
        <v>44588.0</v>
      </c>
    </row>
    <row r="73">
      <c r="A73" s="4">
        <v>14044.0</v>
      </c>
      <c r="B73" s="5" t="b">
        <v>1</v>
      </c>
      <c r="C73" s="6" t="s">
        <v>368</v>
      </c>
      <c r="D73" s="1" t="s">
        <v>369</v>
      </c>
      <c r="E73" s="7">
        <v>4886785.0</v>
      </c>
      <c r="F73" s="7">
        <v>2203882.0</v>
      </c>
      <c r="G73" s="1" t="s">
        <v>370</v>
      </c>
      <c r="H73" s="1" t="s">
        <v>371</v>
      </c>
      <c r="I73" s="8">
        <v>43871.60905724537</v>
      </c>
      <c r="J73" s="9">
        <f>+33995339893</f>
        <v>33995339893</v>
      </c>
      <c r="K73" s="4">
        <v>28.0</v>
      </c>
      <c r="L73" s="7">
        <v>4414286.0</v>
      </c>
      <c r="M73" s="9"/>
      <c r="N73" s="4">
        <v>99.0</v>
      </c>
      <c r="O73" s="4">
        <v>3.0</v>
      </c>
      <c r="P73" s="1" t="s">
        <v>33</v>
      </c>
      <c r="Q73" s="5" t="b">
        <v>0</v>
      </c>
      <c r="R73" s="5" t="b">
        <v>0</v>
      </c>
      <c r="S73" s="5" t="b">
        <v>0</v>
      </c>
      <c r="T73" s="4" t="s">
        <v>358</v>
      </c>
      <c r="U73" s="5" t="b">
        <v>0</v>
      </c>
      <c r="V73" s="10">
        <v>44824.0</v>
      </c>
      <c r="W73" s="10">
        <v>44562.0</v>
      </c>
    </row>
    <row r="74">
      <c r="A74" s="4">
        <v>14155.0</v>
      </c>
      <c r="B74" s="5" t="b">
        <v>1</v>
      </c>
      <c r="C74" s="6" t="s">
        <v>372</v>
      </c>
      <c r="D74" s="1" t="s">
        <v>373</v>
      </c>
      <c r="E74" s="7">
        <v>4545104.0</v>
      </c>
      <c r="F74" s="7">
        <v>9204822.0</v>
      </c>
      <c r="G74" s="1" t="s">
        <v>37</v>
      </c>
      <c r="H74" s="1" t="s">
        <v>374</v>
      </c>
      <c r="I74" s="8">
        <v>43875.598828055554</v>
      </c>
      <c r="J74" s="9">
        <f>+393888835053</f>
        <v>393888835053</v>
      </c>
      <c r="K74" s="4">
        <v>15.0</v>
      </c>
      <c r="L74" s="7">
        <v>4866667.0</v>
      </c>
      <c r="M74" s="1">
        <v>6.3363767E7</v>
      </c>
      <c r="N74" s="4">
        <v>654.0</v>
      </c>
      <c r="O74" s="4">
        <v>2.0</v>
      </c>
      <c r="P74" s="1" t="s">
        <v>28</v>
      </c>
      <c r="Q74" s="5" t="b">
        <v>0</v>
      </c>
      <c r="R74" s="5" t="b">
        <v>1</v>
      </c>
      <c r="S74" s="5" t="b">
        <v>0</v>
      </c>
      <c r="T74" s="4" t="s">
        <v>375</v>
      </c>
      <c r="U74" s="5" t="b">
        <v>0</v>
      </c>
      <c r="V74" s="10">
        <v>44901.0</v>
      </c>
      <c r="W74" s="10">
        <v>44780.0</v>
      </c>
    </row>
    <row r="75">
      <c r="A75" s="4">
        <v>145004.0</v>
      </c>
      <c r="B75" s="5" t="b">
        <v>0</v>
      </c>
      <c r="C75" s="6" t="s">
        <v>376</v>
      </c>
      <c r="D75" s="1" t="s">
        <v>377</v>
      </c>
      <c r="E75" s="7">
        <v>4131169.0</v>
      </c>
      <c r="F75" s="7">
        <v>1627683.0</v>
      </c>
      <c r="G75" s="1" t="s">
        <v>378</v>
      </c>
      <c r="H75" s="1" t="s">
        <v>379</v>
      </c>
      <c r="I75" s="8">
        <v>43879.671690208335</v>
      </c>
      <c r="J75" s="9">
        <f>+393888393333</f>
        <v>393888393333</v>
      </c>
      <c r="K75" s="4">
        <v>40.0</v>
      </c>
      <c r="L75" s="7">
        <v>4975.0</v>
      </c>
      <c r="M75" s="1">
        <v>6.633333733E9</v>
      </c>
      <c r="N75" s="4">
        <v>1223.0</v>
      </c>
      <c r="O75" s="4">
        <v>5.0</v>
      </c>
      <c r="P75" s="1" t="s">
        <v>39</v>
      </c>
      <c r="Q75" s="5" t="b">
        <v>0</v>
      </c>
      <c r="R75" s="5" t="b">
        <v>0</v>
      </c>
      <c r="S75" s="5" t="b">
        <v>0</v>
      </c>
      <c r="T75" s="4" t="s">
        <v>380</v>
      </c>
      <c r="U75" s="5" t="b">
        <v>0</v>
      </c>
      <c r="V75" s="10">
        <v>44813.0</v>
      </c>
      <c r="W75" s="10">
        <v>44854.0</v>
      </c>
    </row>
    <row r="76">
      <c r="A76" s="4">
        <v>145056.0</v>
      </c>
      <c r="B76" s="5" t="b">
        <v>1</v>
      </c>
      <c r="C76" s="6" t="s">
        <v>381</v>
      </c>
      <c r="D76" s="1" t="s">
        <v>382</v>
      </c>
      <c r="E76" s="7">
        <v>4576625.0</v>
      </c>
      <c r="F76" s="7">
        <v>485571.0</v>
      </c>
      <c r="G76" s="1" t="s">
        <v>383</v>
      </c>
      <c r="H76" s="1" t="s">
        <v>384</v>
      </c>
      <c r="I76" s="8">
        <v>43879.97975868056</v>
      </c>
      <c r="J76" s="9">
        <f>+33589558335</f>
        <v>33589558335</v>
      </c>
      <c r="K76" s="4">
        <v>557.0</v>
      </c>
      <c r="L76" s="7">
        <v>4737522.0</v>
      </c>
      <c r="M76" s="9"/>
      <c r="N76" s="4">
        <v>2351.0</v>
      </c>
      <c r="O76" s="4">
        <v>3.0</v>
      </c>
      <c r="P76" s="1" t="s">
        <v>33</v>
      </c>
      <c r="Q76" s="5" t="b">
        <v>0</v>
      </c>
      <c r="R76" s="5" t="b">
        <v>0</v>
      </c>
      <c r="S76" s="5" t="b">
        <v>1</v>
      </c>
      <c r="T76" s="4" t="s">
        <v>385</v>
      </c>
      <c r="U76" s="5" t="b">
        <v>0</v>
      </c>
      <c r="V76" s="10">
        <v>44825.0</v>
      </c>
      <c r="W76" s="10">
        <v>44686.0</v>
      </c>
    </row>
    <row r="77">
      <c r="A77" s="4">
        <v>14441.0</v>
      </c>
      <c r="B77" s="5" t="b">
        <v>1</v>
      </c>
      <c r="C77" s="6" t="s">
        <v>386</v>
      </c>
      <c r="D77" s="1" t="s">
        <v>387</v>
      </c>
      <c r="E77" s="7">
        <v>4574282.0</v>
      </c>
      <c r="F77" s="7">
        <v>4850731.0</v>
      </c>
      <c r="G77" s="1" t="s">
        <v>383</v>
      </c>
      <c r="H77" s="1" t="s">
        <v>388</v>
      </c>
      <c r="I77" s="8">
        <v>43882.4992678125</v>
      </c>
      <c r="J77" s="9">
        <f>+33533990938</f>
        <v>33533990938</v>
      </c>
      <c r="K77" s="4">
        <v>667.0</v>
      </c>
      <c r="L77" s="7">
        <v>4456372.0</v>
      </c>
      <c r="M77" s="9"/>
      <c r="N77" s="4">
        <v>1552.0</v>
      </c>
      <c r="O77" s="4">
        <v>1.0</v>
      </c>
      <c r="P77" s="1" t="s">
        <v>33</v>
      </c>
      <c r="Q77" s="5" t="b">
        <v>0</v>
      </c>
      <c r="R77" s="5" t="b">
        <v>1</v>
      </c>
      <c r="S77" s="5" t="b">
        <v>1</v>
      </c>
      <c r="T77" s="4" t="s">
        <v>389</v>
      </c>
      <c r="U77" s="5" t="b">
        <v>0</v>
      </c>
      <c r="V77" s="10">
        <v>44766.0</v>
      </c>
      <c r="W77" s="10">
        <v>44698.0</v>
      </c>
    </row>
    <row r="78">
      <c r="A78" s="4">
        <v>155550.0</v>
      </c>
      <c r="B78" s="5" t="b">
        <v>1</v>
      </c>
      <c r="C78" s="6" t="s">
        <v>390</v>
      </c>
      <c r="D78" s="1" t="s">
        <v>391</v>
      </c>
      <c r="E78" s="7">
        <v>436983.0</v>
      </c>
      <c r="F78" s="7">
        <v>7271331.0</v>
      </c>
      <c r="G78" s="1" t="s">
        <v>392</v>
      </c>
      <c r="H78" s="1" t="s">
        <v>393</v>
      </c>
      <c r="I78" s="8">
        <v>43889.43446152778</v>
      </c>
      <c r="J78" s="9">
        <f>+33593853309</f>
        <v>33593853309</v>
      </c>
      <c r="K78" s="4">
        <v>324.0</v>
      </c>
      <c r="L78" s="7">
        <v>4854938.0</v>
      </c>
      <c r="M78" s="1" t="s">
        <v>394</v>
      </c>
      <c r="N78" s="4">
        <v>6443.0</v>
      </c>
      <c r="O78" s="4">
        <v>4.0</v>
      </c>
      <c r="P78" s="1" t="s">
        <v>39</v>
      </c>
      <c r="Q78" s="5" t="b">
        <v>0</v>
      </c>
      <c r="R78" s="5" t="b">
        <v>1</v>
      </c>
      <c r="S78" s="5" t="b">
        <v>0</v>
      </c>
      <c r="T78" s="4" t="s">
        <v>395</v>
      </c>
      <c r="U78" s="5" t="b">
        <v>0</v>
      </c>
      <c r="V78" s="10">
        <v>44652.0</v>
      </c>
      <c r="W78" s="11">
        <v>44891.0</v>
      </c>
    </row>
    <row r="79">
      <c r="A79" s="4">
        <v>154550.0</v>
      </c>
      <c r="B79" s="5" t="b">
        <v>1</v>
      </c>
      <c r="C79" s="6" t="s">
        <v>396</v>
      </c>
      <c r="D79" s="1" t="s">
        <v>397</v>
      </c>
      <c r="E79" s="7">
        <v>3972843.0</v>
      </c>
      <c r="F79" s="7">
        <v>-27121.0</v>
      </c>
      <c r="G79" s="1" t="s">
        <v>398</v>
      </c>
      <c r="H79" s="1" t="s">
        <v>399</v>
      </c>
      <c r="I79" s="8">
        <v>43928.470049421296</v>
      </c>
      <c r="J79" s="9">
        <f>+35933359939</f>
        <v>35933359939</v>
      </c>
      <c r="K79" s="4">
        <v>3.0</v>
      </c>
      <c r="L79" s="7">
        <v>5.0</v>
      </c>
      <c r="M79" s="1" t="s">
        <v>400</v>
      </c>
      <c r="N79" s="4">
        <v>969.0</v>
      </c>
      <c r="O79" s="4">
        <v>3.0</v>
      </c>
      <c r="P79" s="1" t="s">
        <v>28</v>
      </c>
      <c r="Q79" s="5" t="b">
        <v>0</v>
      </c>
      <c r="R79" s="5" t="b">
        <v>1</v>
      </c>
      <c r="S79" s="5" t="b">
        <v>0</v>
      </c>
      <c r="T79" s="4" t="s">
        <v>354</v>
      </c>
      <c r="U79" s="5" t="b">
        <v>0</v>
      </c>
      <c r="V79" s="10">
        <v>44700.0</v>
      </c>
      <c r="W79" s="10">
        <v>44580.0</v>
      </c>
    </row>
    <row r="80">
      <c r="A80" s="4">
        <v>15446.0</v>
      </c>
      <c r="B80" s="5" t="b">
        <v>1</v>
      </c>
      <c r="C80" s="6" t="s">
        <v>401</v>
      </c>
      <c r="D80" s="1" t="s">
        <v>402</v>
      </c>
      <c r="E80" s="7">
        <v>4510016.0</v>
      </c>
      <c r="F80" s="7">
        <v>7763387.0</v>
      </c>
      <c r="G80" s="1" t="s">
        <v>403</v>
      </c>
      <c r="H80" s="1" t="s">
        <v>404</v>
      </c>
      <c r="I80" s="8">
        <v>43955.30099497685</v>
      </c>
      <c r="J80" s="9">
        <f>+390338885883</f>
        <v>390338885883</v>
      </c>
      <c r="K80" s="4">
        <v>129.0</v>
      </c>
      <c r="L80" s="7">
        <v>496124.0</v>
      </c>
      <c r="M80" s="1">
        <v>7.7733333E7</v>
      </c>
      <c r="N80" s="4">
        <v>1586.0</v>
      </c>
      <c r="O80" s="4">
        <v>3.0</v>
      </c>
      <c r="P80" s="1" t="s">
        <v>33</v>
      </c>
      <c r="Q80" s="5" t="b">
        <v>0</v>
      </c>
      <c r="R80" s="5" t="b">
        <v>1</v>
      </c>
      <c r="S80" s="5" t="b">
        <v>0</v>
      </c>
      <c r="T80" s="4" t="s">
        <v>405</v>
      </c>
      <c r="U80" s="5" t="b">
        <v>0</v>
      </c>
      <c r="V80" s="10">
        <v>44820.0</v>
      </c>
      <c r="W80" s="10">
        <v>44861.0</v>
      </c>
    </row>
    <row r="81">
      <c r="A81" s="4">
        <v>154630.0</v>
      </c>
      <c r="B81" s="5" t="b">
        <v>0</v>
      </c>
      <c r="C81" s="6" t="s">
        <v>406</v>
      </c>
      <c r="D81" s="1" t="s">
        <v>407</v>
      </c>
      <c r="E81" s="7">
        <v>3925298.0</v>
      </c>
      <c r="F81" s="7">
        <v>9171306.0</v>
      </c>
      <c r="G81" s="1" t="s">
        <v>408</v>
      </c>
      <c r="H81" s="1" t="s">
        <v>409</v>
      </c>
      <c r="I81" s="8">
        <v>43957.32311613426</v>
      </c>
      <c r="J81" s="9">
        <f>+39030850939</f>
        <v>39030850939</v>
      </c>
      <c r="K81" s="4">
        <v>16.0</v>
      </c>
      <c r="L81" s="7">
        <v>5.0</v>
      </c>
      <c r="M81" s="1">
        <v>3.33333733E8</v>
      </c>
      <c r="N81" s="4">
        <v>3959.0</v>
      </c>
      <c r="O81" s="4">
        <v>4.0</v>
      </c>
      <c r="P81" s="1" t="s">
        <v>33</v>
      </c>
      <c r="Q81" s="5" t="b">
        <v>0</v>
      </c>
      <c r="R81" s="5" t="b">
        <v>0</v>
      </c>
      <c r="S81" s="5" t="b">
        <v>0</v>
      </c>
      <c r="T81" s="4" t="s">
        <v>266</v>
      </c>
      <c r="U81" s="5" t="b">
        <v>0</v>
      </c>
      <c r="V81" s="10">
        <v>44806.0</v>
      </c>
      <c r="W81" s="10">
        <v>44847.0</v>
      </c>
    </row>
    <row r="82">
      <c r="A82" s="4">
        <v>15441.0</v>
      </c>
      <c r="B82" s="5" t="b">
        <v>1</v>
      </c>
      <c r="C82" s="6" t="s">
        <v>410</v>
      </c>
      <c r="D82" s="1" t="s">
        <v>411</v>
      </c>
      <c r="E82" s="7">
        <v>4509355.0</v>
      </c>
      <c r="F82" s="7">
        <v>1149137.0</v>
      </c>
      <c r="G82" s="1" t="s">
        <v>412</v>
      </c>
      <c r="H82" s="1" t="s">
        <v>413</v>
      </c>
      <c r="I82" s="8">
        <v>43959.31631178241</v>
      </c>
      <c r="J82" s="9">
        <f>+393535803858</f>
        <v>393535803858</v>
      </c>
      <c r="K82" s="4">
        <v>6.0</v>
      </c>
      <c r="L82" s="7">
        <v>5.0</v>
      </c>
      <c r="M82" s="1">
        <v>7.33763377E8</v>
      </c>
      <c r="N82" s="4">
        <v>1393.0</v>
      </c>
      <c r="O82" s="4">
        <v>5.0</v>
      </c>
      <c r="P82" s="1" t="s">
        <v>33</v>
      </c>
      <c r="Q82" s="5" t="b">
        <v>0</v>
      </c>
      <c r="R82" s="5" t="b">
        <v>0</v>
      </c>
      <c r="S82" s="5" t="b">
        <v>0</v>
      </c>
      <c r="T82" s="4" t="s">
        <v>414</v>
      </c>
      <c r="U82" s="5" t="b">
        <v>0</v>
      </c>
      <c r="V82" s="10">
        <v>44898.0</v>
      </c>
      <c r="W82" s="10">
        <v>44879.0</v>
      </c>
    </row>
    <row r="83">
      <c r="A83" s="4">
        <v>15447.0</v>
      </c>
      <c r="B83" s="5" t="b">
        <v>1</v>
      </c>
      <c r="C83" s="6" t="s">
        <v>415</v>
      </c>
      <c r="D83" s="1" t="s">
        <v>416</v>
      </c>
      <c r="E83" s="7">
        <v>3948436.0</v>
      </c>
      <c r="F83" s="7">
        <v>-38438.0</v>
      </c>
      <c r="G83" s="1" t="s">
        <v>417</v>
      </c>
      <c r="H83" s="1" t="s">
        <v>418</v>
      </c>
      <c r="I83" s="8">
        <v>43959.454128460646</v>
      </c>
      <c r="J83" s="9">
        <f>+35998359909</f>
        <v>35998359909</v>
      </c>
      <c r="K83" s="4">
        <v>117.0</v>
      </c>
      <c r="L83" s="7">
        <v>4982906.0</v>
      </c>
      <c r="M83" s="1" t="s">
        <v>419</v>
      </c>
      <c r="N83" s="4">
        <v>1311.0</v>
      </c>
      <c r="O83" s="4">
        <v>3.0</v>
      </c>
      <c r="P83" s="1" t="s">
        <v>28</v>
      </c>
      <c r="Q83" s="5" t="b">
        <v>0</v>
      </c>
      <c r="R83" s="5" t="b">
        <v>1</v>
      </c>
      <c r="S83" s="5" t="b">
        <v>0</v>
      </c>
      <c r="T83" s="4" t="s">
        <v>420</v>
      </c>
      <c r="U83" s="5" t="b">
        <v>0</v>
      </c>
      <c r="V83" s="10">
        <v>44808.0</v>
      </c>
      <c r="W83" s="10">
        <v>44849.0</v>
      </c>
    </row>
    <row r="84">
      <c r="A84" s="4">
        <v>15556.0</v>
      </c>
      <c r="B84" s="5" t="b">
        <v>1</v>
      </c>
      <c r="C84" s="6" t="s">
        <v>421</v>
      </c>
      <c r="D84" s="1" t="s">
        <v>422</v>
      </c>
      <c r="E84" s="7">
        <v>4376298.0</v>
      </c>
      <c r="F84" s="7">
        <v>1123998.0</v>
      </c>
      <c r="G84" s="1" t="s">
        <v>423</v>
      </c>
      <c r="H84" s="1" t="s">
        <v>424</v>
      </c>
      <c r="I84" s="8">
        <v>43964.33760003472</v>
      </c>
      <c r="J84" s="9">
        <f>+390558993358</f>
        <v>390558993358</v>
      </c>
      <c r="K84" s="4">
        <v>169.0</v>
      </c>
      <c r="L84" s="7">
        <v>4976048.0</v>
      </c>
      <c r="M84" s="1">
        <v>6.736363336E9</v>
      </c>
      <c r="N84" s="4">
        <v>1563.0</v>
      </c>
      <c r="O84" s="4">
        <v>5.0</v>
      </c>
      <c r="P84" s="1" t="s">
        <v>28</v>
      </c>
      <c r="Q84" s="5" t="b">
        <v>0</v>
      </c>
      <c r="R84" s="5" t="b">
        <v>0</v>
      </c>
      <c r="S84" s="5" t="b">
        <v>0</v>
      </c>
      <c r="T84" s="4" t="s">
        <v>34</v>
      </c>
      <c r="U84" s="5" t="b">
        <v>0</v>
      </c>
      <c r="V84" s="10">
        <v>44726.0</v>
      </c>
      <c r="W84" s="10">
        <v>44589.0</v>
      </c>
    </row>
    <row r="85">
      <c r="A85" s="4">
        <v>155505.0</v>
      </c>
      <c r="B85" s="5" t="b">
        <v>1</v>
      </c>
      <c r="C85" s="6" t="s">
        <v>425</v>
      </c>
      <c r="D85" s="1" t="s">
        <v>426</v>
      </c>
      <c r="E85" s="7">
        <v>4145917.0</v>
      </c>
      <c r="F85" s="7">
        <v>1265837.0</v>
      </c>
      <c r="G85" s="1" t="s">
        <v>427</v>
      </c>
      <c r="H85" s="1" t="s">
        <v>428</v>
      </c>
      <c r="I85" s="8">
        <v>43964.62473060185</v>
      </c>
      <c r="J85" s="9">
        <f>+39099805953</f>
        <v>39099805953</v>
      </c>
      <c r="K85" s="4">
        <v>106.0</v>
      </c>
      <c r="L85" s="7">
        <v>4962264.0</v>
      </c>
      <c r="M85" s="1">
        <v>7.377333333E9</v>
      </c>
      <c r="N85" s="4">
        <v>3295.0</v>
      </c>
      <c r="O85" s="4">
        <v>9.0</v>
      </c>
      <c r="P85" s="1" t="s">
        <v>39</v>
      </c>
      <c r="Q85" s="5" t="b">
        <v>0</v>
      </c>
      <c r="R85" s="5" t="b">
        <v>1</v>
      </c>
      <c r="S85" s="5" t="b">
        <v>0</v>
      </c>
      <c r="T85" s="4" t="s">
        <v>429</v>
      </c>
      <c r="U85" s="5" t="b">
        <v>0</v>
      </c>
      <c r="V85" s="10">
        <v>44903.0</v>
      </c>
      <c r="W85" s="10">
        <v>44903.0</v>
      </c>
    </row>
    <row r="86">
      <c r="A86" s="4">
        <v>50016.0</v>
      </c>
      <c r="B86" s="5" t="b">
        <v>1</v>
      </c>
      <c r="C86" s="6" t="s">
        <v>430</v>
      </c>
      <c r="D86" s="1" t="s">
        <v>431</v>
      </c>
      <c r="E86" s="7">
        <v>4117261.0</v>
      </c>
      <c r="F86" s="7">
        <v>-863468.0</v>
      </c>
      <c r="G86" s="1" t="s">
        <v>432</v>
      </c>
      <c r="H86" s="1" t="s">
        <v>433</v>
      </c>
      <c r="I86" s="8">
        <v>43972.61602513889</v>
      </c>
      <c r="J86" s="9">
        <f>+353995398535</f>
        <v>353995398535</v>
      </c>
      <c r="K86" s="4">
        <v>169.0</v>
      </c>
      <c r="L86" s="7">
        <v>4994048.0</v>
      </c>
      <c r="M86" s="1">
        <v>7373333.0</v>
      </c>
      <c r="N86" s="4">
        <v>2624.0</v>
      </c>
      <c r="O86" s="4">
        <v>5.0</v>
      </c>
      <c r="P86" s="1" t="s">
        <v>28</v>
      </c>
      <c r="Q86" s="5" t="b">
        <v>0</v>
      </c>
      <c r="R86" s="5" t="b">
        <v>0</v>
      </c>
      <c r="S86" s="5" t="b">
        <v>0</v>
      </c>
      <c r="T86" s="4" t="s">
        <v>34</v>
      </c>
      <c r="U86" s="5" t="b">
        <v>0</v>
      </c>
      <c r="V86" s="10">
        <v>44623.0</v>
      </c>
      <c r="W86" s="10">
        <v>44741.0</v>
      </c>
    </row>
    <row r="87">
      <c r="A87" s="4">
        <v>50057.0</v>
      </c>
      <c r="B87" s="5" t="b">
        <v>1</v>
      </c>
      <c r="C87" s="6" t="s">
        <v>434</v>
      </c>
      <c r="D87" s="1" t="s">
        <v>435</v>
      </c>
      <c r="E87" s="7">
        <v>3689164.0</v>
      </c>
      <c r="F87" s="7">
        <v>1507257.0</v>
      </c>
      <c r="G87" s="1" t="s">
        <v>436</v>
      </c>
      <c r="H87" s="1" t="s">
        <v>437</v>
      </c>
      <c r="I87" s="8">
        <v>43976.57869045139</v>
      </c>
      <c r="J87" s="9">
        <f>+393895553989</f>
        <v>393895553989</v>
      </c>
      <c r="K87" s="4">
        <v>6.0</v>
      </c>
      <c r="L87" s="7">
        <v>5.0</v>
      </c>
      <c r="M87" s="1">
        <v>7.36373377E8</v>
      </c>
      <c r="N87" s="4">
        <v>2080.0</v>
      </c>
      <c r="O87" s="4">
        <v>6.0</v>
      </c>
      <c r="P87" s="1" t="s">
        <v>39</v>
      </c>
      <c r="Q87" s="5" t="b">
        <v>0</v>
      </c>
      <c r="R87" s="5" t="b">
        <v>1</v>
      </c>
      <c r="S87" s="5" t="b">
        <v>0</v>
      </c>
      <c r="T87" s="4" t="s">
        <v>198</v>
      </c>
      <c r="U87" s="5" t="b">
        <v>0</v>
      </c>
      <c r="V87" s="10">
        <v>44664.0</v>
      </c>
      <c r="W87" s="11">
        <v>44877.0</v>
      </c>
    </row>
    <row r="88">
      <c r="A88" s="4">
        <v>500430.0</v>
      </c>
      <c r="B88" s="5" t="b">
        <v>1</v>
      </c>
      <c r="C88" s="6" t="s">
        <v>438</v>
      </c>
      <c r="D88" s="1" t="s">
        <v>439</v>
      </c>
      <c r="E88" s="7">
        <v>3811029.0</v>
      </c>
      <c r="F88" s="7">
        <v>1564611.0</v>
      </c>
      <c r="G88" s="1" t="s">
        <v>269</v>
      </c>
      <c r="H88" s="1" t="s">
        <v>440</v>
      </c>
      <c r="I88" s="8">
        <v>43977.64897495371</v>
      </c>
      <c r="J88" s="9">
        <f>+390995898558</f>
        <v>390995898558</v>
      </c>
      <c r="K88" s="4">
        <v>1179.0</v>
      </c>
      <c r="L88" s="7">
        <v>4865988.0</v>
      </c>
      <c r="M88" s="1">
        <v>7.36333337E8</v>
      </c>
      <c r="N88" s="4">
        <v>8270.0</v>
      </c>
      <c r="O88" s="4">
        <v>10.0</v>
      </c>
      <c r="P88" s="1" t="s">
        <v>33</v>
      </c>
      <c r="Q88" s="5" t="b">
        <v>0</v>
      </c>
      <c r="R88" s="5" t="b">
        <v>1</v>
      </c>
      <c r="S88" s="5" t="b">
        <v>0</v>
      </c>
      <c r="T88" s="4" t="s">
        <v>441</v>
      </c>
      <c r="U88" s="5" t="b">
        <v>0</v>
      </c>
      <c r="V88" s="10">
        <v>44903.0</v>
      </c>
      <c r="W88" s="10">
        <v>44903.0</v>
      </c>
    </row>
    <row r="89">
      <c r="A89" s="4">
        <v>50505.0</v>
      </c>
      <c r="B89" s="5" t="b">
        <v>1</v>
      </c>
      <c r="C89" s="6" t="s">
        <v>442</v>
      </c>
      <c r="D89" s="1" t="s">
        <v>443</v>
      </c>
      <c r="E89" s="7">
        <v>4549243.0</v>
      </c>
      <c r="F89" s="7">
        <v>9151506.0</v>
      </c>
      <c r="G89" s="1" t="s">
        <v>37</v>
      </c>
      <c r="H89" s="1" t="s">
        <v>444</v>
      </c>
      <c r="I89" s="8">
        <v>44004.41706408565</v>
      </c>
      <c r="J89" s="9">
        <f>+390885393353</f>
        <v>390885393353</v>
      </c>
      <c r="K89" s="4">
        <v>1851.0</v>
      </c>
      <c r="L89" s="7">
        <v>4851432.0</v>
      </c>
      <c r="M89" s="1">
        <v>7.337333763E9</v>
      </c>
      <c r="N89" s="4">
        <v>21403.0</v>
      </c>
      <c r="O89" s="4">
        <v>6.0</v>
      </c>
      <c r="P89" s="1" t="s">
        <v>28</v>
      </c>
      <c r="Q89" s="5" t="b">
        <v>0</v>
      </c>
      <c r="R89" s="5" t="b">
        <v>0</v>
      </c>
      <c r="S89" s="5" t="b">
        <v>0</v>
      </c>
      <c r="T89" s="4" t="s">
        <v>170</v>
      </c>
      <c r="U89" s="5" t="b">
        <v>0</v>
      </c>
      <c r="V89" s="10">
        <v>44903.0</v>
      </c>
      <c r="W89" s="10">
        <v>44903.0</v>
      </c>
    </row>
    <row r="90">
      <c r="A90" s="4">
        <v>50440.0</v>
      </c>
      <c r="B90" s="5" t="b">
        <v>1</v>
      </c>
      <c r="C90" s="6" t="s">
        <v>445</v>
      </c>
      <c r="D90" s="1" t="s">
        <v>446</v>
      </c>
      <c r="E90" s="7">
        <v>4506111.0</v>
      </c>
      <c r="F90" s="7">
        <v>9258989.0</v>
      </c>
      <c r="G90" s="1" t="s">
        <v>447</v>
      </c>
      <c r="H90" s="1" t="s">
        <v>448</v>
      </c>
      <c r="I90" s="8">
        <v>44021.189386226855</v>
      </c>
      <c r="J90" s="9">
        <f>+390385090339</f>
        <v>390385090339</v>
      </c>
      <c r="K90" s="4">
        <v>49.0</v>
      </c>
      <c r="L90" s="7">
        <v>4897959.0</v>
      </c>
      <c r="M90" s="1">
        <v>7.76373777E8</v>
      </c>
      <c r="N90" s="4">
        <v>525.0</v>
      </c>
      <c r="O90" s="4">
        <v>1.0</v>
      </c>
      <c r="P90" s="1" t="s">
        <v>39</v>
      </c>
      <c r="Q90" s="5" t="b">
        <v>0</v>
      </c>
      <c r="R90" s="5" t="b">
        <v>0</v>
      </c>
      <c r="S90" s="5" t="b">
        <v>0</v>
      </c>
      <c r="T90" s="4" t="s">
        <v>287</v>
      </c>
      <c r="U90" s="5" t="b">
        <v>0</v>
      </c>
      <c r="V90" s="10">
        <v>44575.0</v>
      </c>
      <c r="W90" s="10">
        <v>44729.0</v>
      </c>
    </row>
    <row r="91">
      <c r="A91" s="4">
        <v>503055.0</v>
      </c>
      <c r="B91" s="5" t="b">
        <v>1</v>
      </c>
      <c r="C91" s="6" t="s">
        <v>449</v>
      </c>
      <c r="D91" s="1" t="s">
        <v>450</v>
      </c>
      <c r="E91" s="7">
        <v>4540007.0</v>
      </c>
      <c r="F91" s="7">
        <v>1127511.0</v>
      </c>
      <c r="G91" s="1" t="s">
        <v>451</v>
      </c>
      <c r="H91" s="1" t="s">
        <v>452</v>
      </c>
      <c r="I91" s="8">
        <v>44026.4300690625</v>
      </c>
      <c r="J91" s="9">
        <f>+390558833508</f>
        <v>390558833508</v>
      </c>
      <c r="K91" s="4">
        <v>209.0</v>
      </c>
      <c r="L91" s="7">
        <v>4956938.0</v>
      </c>
      <c r="M91" s="1">
        <v>7.37663377E8</v>
      </c>
      <c r="N91" s="4">
        <v>1381.0</v>
      </c>
      <c r="O91" s="4">
        <v>5.0</v>
      </c>
      <c r="P91" s="1" t="s">
        <v>28</v>
      </c>
      <c r="Q91" s="5" t="b">
        <v>0</v>
      </c>
      <c r="R91" s="5" t="b">
        <v>0</v>
      </c>
      <c r="S91" s="5" t="b">
        <v>0</v>
      </c>
      <c r="T91" s="4" t="s">
        <v>34</v>
      </c>
      <c r="U91" s="5" t="b">
        <v>0</v>
      </c>
      <c r="V91" s="10">
        <v>44888.0</v>
      </c>
      <c r="W91" s="10">
        <v>44869.0</v>
      </c>
    </row>
    <row r="92">
      <c r="A92" s="4">
        <v>5030430.0</v>
      </c>
      <c r="B92" s="5" t="b">
        <v>0</v>
      </c>
      <c r="C92" s="6" t="s">
        <v>453</v>
      </c>
      <c r="D92" s="1" t="s">
        <v>454</v>
      </c>
      <c r="E92" s="7">
        <v>4551636.0</v>
      </c>
      <c r="F92" s="7">
        <v>1145355.0</v>
      </c>
      <c r="G92" s="1" t="s">
        <v>455</v>
      </c>
      <c r="H92" s="1" t="s">
        <v>456</v>
      </c>
      <c r="I92" s="8">
        <v>44027.569323159725</v>
      </c>
      <c r="J92" s="9">
        <f>+390555533833</f>
        <v>390555533833</v>
      </c>
      <c r="K92" s="4">
        <v>150.0</v>
      </c>
      <c r="L92" s="7">
        <v>4886667.0</v>
      </c>
      <c r="M92" s="1">
        <v>7.736733336E9</v>
      </c>
      <c r="N92" s="4">
        <v>2057.0</v>
      </c>
      <c r="O92" s="4">
        <v>4.0</v>
      </c>
      <c r="P92" s="1" t="s">
        <v>28</v>
      </c>
      <c r="Q92" s="5" t="b">
        <v>0</v>
      </c>
      <c r="R92" s="5" t="b">
        <v>1</v>
      </c>
      <c r="S92" s="5" t="b">
        <v>0</v>
      </c>
      <c r="T92" s="4" t="s">
        <v>457</v>
      </c>
      <c r="U92" s="5" t="b">
        <v>0</v>
      </c>
      <c r="V92" s="10">
        <v>44886.0</v>
      </c>
      <c r="W92" s="10">
        <v>44867.0</v>
      </c>
    </row>
    <row r="93">
      <c r="A93" s="4">
        <v>503065.0</v>
      </c>
      <c r="B93" s="5" t="b">
        <v>1</v>
      </c>
      <c r="C93" s="6" t="s">
        <v>458</v>
      </c>
      <c r="D93" s="1" t="s">
        <v>459</v>
      </c>
      <c r="E93" s="7">
        <v>4357504.0</v>
      </c>
      <c r="F93" s="7">
        <v>1214004.0</v>
      </c>
      <c r="G93" s="1" t="s">
        <v>460</v>
      </c>
      <c r="H93" s="1" t="s">
        <v>461</v>
      </c>
      <c r="I93" s="8">
        <v>44028.55114811342</v>
      </c>
      <c r="J93" s="9">
        <f>+390535335989</f>
        <v>390535335989</v>
      </c>
      <c r="K93" s="4">
        <v>17.0</v>
      </c>
      <c r="L93" s="7">
        <v>5.0</v>
      </c>
      <c r="M93" s="1">
        <v>7.77373337E8</v>
      </c>
      <c r="N93" s="4">
        <v>4745.0</v>
      </c>
      <c r="O93" s="4">
        <v>10.0</v>
      </c>
      <c r="P93" s="1" t="s">
        <v>39</v>
      </c>
      <c r="Q93" s="5" t="b">
        <v>0</v>
      </c>
      <c r="R93" s="5" t="b">
        <v>1</v>
      </c>
      <c r="S93" s="5" t="b">
        <v>1</v>
      </c>
      <c r="T93" s="4" t="s">
        <v>462</v>
      </c>
      <c r="U93" s="5" t="b">
        <v>0</v>
      </c>
      <c r="V93" s="10">
        <v>44903.0</v>
      </c>
      <c r="W93" s="10">
        <v>44903.0</v>
      </c>
    </row>
    <row r="94">
      <c r="A94" s="4">
        <v>503055.0</v>
      </c>
      <c r="B94" s="5" t="b">
        <v>1</v>
      </c>
      <c r="C94" s="6" t="s">
        <v>463</v>
      </c>
      <c r="D94" s="1" t="s">
        <v>464</v>
      </c>
      <c r="E94" s="7">
        <v>454226.0</v>
      </c>
      <c r="F94" s="7">
        <v>1188417.0</v>
      </c>
      <c r="G94" s="1" t="s">
        <v>465</v>
      </c>
      <c r="H94" s="1" t="s">
        <v>466</v>
      </c>
      <c r="I94" s="8">
        <v>44029.65409416667</v>
      </c>
      <c r="J94" s="9">
        <f>+39059939833</f>
        <v>39059939833</v>
      </c>
      <c r="K94" s="4">
        <v>157.0</v>
      </c>
      <c r="L94" s="7">
        <v>4961783.0</v>
      </c>
      <c r="M94" s="1">
        <v>3.7733337E7</v>
      </c>
      <c r="N94" s="4">
        <v>3646.0</v>
      </c>
      <c r="O94" s="4">
        <v>3.0</v>
      </c>
      <c r="P94" s="1" t="s">
        <v>39</v>
      </c>
      <c r="Q94" s="5" t="b">
        <v>0</v>
      </c>
      <c r="R94" s="5" t="b">
        <v>1</v>
      </c>
      <c r="S94" s="5" t="b">
        <v>0</v>
      </c>
      <c r="T94" s="4" t="s">
        <v>467</v>
      </c>
      <c r="U94" s="5" t="b">
        <v>1</v>
      </c>
      <c r="V94" s="10">
        <v>44807.0</v>
      </c>
      <c r="W94" s="10">
        <v>44848.0</v>
      </c>
    </row>
    <row r="95">
      <c r="A95" s="4">
        <v>50644.0</v>
      </c>
      <c r="B95" s="5" t="b">
        <v>1</v>
      </c>
      <c r="C95" s="6" t="s">
        <v>410</v>
      </c>
      <c r="D95" s="1" t="s">
        <v>411</v>
      </c>
      <c r="E95" s="7">
        <v>4377349.0</v>
      </c>
      <c r="F95" s="7">
        <v>1129595.0</v>
      </c>
      <c r="G95" s="1" t="s">
        <v>423</v>
      </c>
      <c r="H95" s="1" t="s">
        <v>468</v>
      </c>
      <c r="I95" s="8">
        <v>44033.38203137732</v>
      </c>
      <c r="J95" s="9">
        <f>+39055905099</f>
        <v>39055905099</v>
      </c>
      <c r="K95" s="4">
        <v>166.0</v>
      </c>
      <c r="L95" s="7">
        <v>4861446.0</v>
      </c>
      <c r="M95" s="1">
        <v>6.637333337E9</v>
      </c>
      <c r="N95" s="4">
        <v>4453.0</v>
      </c>
      <c r="O95" s="4">
        <v>5.0</v>
      </c>
      <c r="P95" s="1" t="s">
        <v>39</v>
      </c>
      <c r="Q95" s="5" t="b">
        <v>0</v>
      </c>
      <c r="R95" s="5" t="b">
        <v>0</v>
      </c>
      <c r="S95" s="5" t="b">
        <v>0</v>
      </c>
      <c r="T95" s="4" t="s">
        <v>40</v>
      </c>
      <c r="U95" s="5" t="b">
        <v>0</v>
      </c>
      <c r="V95" s="10">
        <v>44887.0</v>
      </c>
      <c r="W95" s="10">
        <v>44868.0</v>
      </c>
    </row>
    <row r="96">
      <c r="A96" s="4">
        <v>507507.0</v>
      </c>
      <c r="B96" s="5" t="b">
        <v>1</v>
      </c>
      <c r="C96" s="6" t="s">
        <v>469</v>
      </c>
      <c r="D96" s="1" t="s">
        <v>470</v>
      </c>
      <c r="E96" s="7">
        <v>4589351.0</v>
      </c>
      <c r="F96" s="7">
        <v>1084789.0</v>
      </c>
      <c r="G96" s="1" t="s">
        <v>471</v>
      </c>
      <c r="H96" s="1" t="s">
        <v>472</v>
      </c>
      <c r="I96" s="8">
        <v>44036.60496464121</v>
      </c>
      <c r="J96" s="9">
        <f>+390595555553</f>
        <v>390595555553</v>
      </c>
      <c r="K96" s="4">
        <v>1.0</v>
      </c>
      <c r="L96" s="7">
        <v>5.0</v>
      </c>
      <c r="M96" s="1">
        <v>7.37733337E8</v>
      </c>
      <c r="N96" s="4">
        <v>524.0</v>
      </c>
      <c r="O96" s="4">
        <v>6.0</v>
      </c>
      <c r="P96" s="1" t="s">
        <v>33</v>
      </c>
      <c r="Q96" s="5" t="b">
        <v>0</v>
      </c>
      <c r="R96" s="5" t="b">
        <v>1</v>
      </c>
      <c r="S96" s="5" t="b">
        <v>0</v>
      </c>
      <c r="T96" s="4" t="s">
        <v>192</v>
      </c>
      <c r="U96" s="5" t="b">
        <v>0</v>
      </c>
      <c r="V96" s="10">
        <v>44757.0</v>
      </c>
      <c r="W96" s="10">
        <v>44822.0</v>
      </c>
    </row>
    <row r="97">
      <c r="A97" s="4">
        <v>50457.0</v>
      </c>
      <c r="B97" s="5" t="b">
        <v>1</v>
      </c>
      <c r="C97" s="6" t="s">
        <v>390</v>
      </c>
      <c r="D97" s="1" t="s">
        <v>391</v>
      </c>
      <c r="E97" s="7">
        <v>41388.0</v>
      </c>
      <c r="F97" s="7">
        <v>2044978.0</v>
      </c>
      <c r="G97" s="1" t="s">
        <v>473</v>
      </c>
      <c r="H97" s="1" t="s">
        <v>474</v>
      </c>
      <c r="I97" s="8">
        <v>44041.30502190972</v>
      </c>
      <c r="J97" s="9">
        <f>+35950335509</f>
        <v>35950335509</v>
      </c>
      <c r="K97" s="4">
        <v>87.0</v>
      </c>
      <c r="L97" s="7">
        <v>5.0</v>
      </c>
      <c r="M97" s="1" t="s">
        <v>475</v>
      </c>
      <c r="N97" s="4">
        <v>1773.0</v>
      </c>
      <c r="O97" s="4">
        <v>4.0</v>
      </c>
      <c r="P97" s="1" t="s">
        <v>39</v>
      </c>
      <c r="Q97" s="5" t="b">
        <v>0</v>
      </c>
      <c r="R97" s="5" t="b">
        <v>1</v>
      </c>
      <c r="S97" s="5" t="b">
        <v>0</v>
      </c>
      <c r="T97" s="4" t="s">
        <v>476</v>
      </c>
      <c r="U97" s="5" t="b">
        <v>0</v>
      </c>
      <c r="V97" s="10">
        <v>44596.0</v>
      </c>
      <c r="W97" s="10">
        <v>44720.0</v>
      </c>
    </row>
    <row r="98">
      <c r="A98" s="4">
        <v>505030.0</v>
      </c>
      <c r="B98" s="5" t="b">
        <v>0</v>
      </c>
      <c r="C98" s="6" t="s">
        <v>477</v>
      </c>
      <c r="D98" s="1" t="s">
        <v>478</v>
      </c>
      <c r="E98" s="7">
        <v>4438899.0</v>
      </c>
      <c r="F98" s="7">
        <v>864388.0</v>
      </c>
      <c r="G98" s="1" t="s">
        <v>479</v>
      </c>
      <c r="H98" s="1" t="s">
        <v>480</v>
      </c>
      <c r="I98" s="8">
        <v>44043.661446122685</v>
      </c>
      <c r="J98" s="9">
        <f>+390309383938</f>
        <v>390309383938</v>
      </c>
      <c r="K98" s="4">
        <v>35.0</v>
      </c>
      <c r="L98" s="7">
        <v>5.0</v>
      </c>
      <c r="M98" s="1">
        <v>3733773.0</v>
      </c>
      <c r="N98" s="4">
        <v>1892.0</v>
      </c>
      <c r="O98" s="4">
        <v>5.0</v>
      </c>
      <c r="P98" s="1" t="s">
        <v>28</v>
      </c>
      <c r="Q98" s="5" t="b">
        <v>0</v>
      </c>
      <c r="R98" s="5" t="b">
        <v>0</v>
      </c>
      <c r="S98" s="5" t="b">
        <v>0</v>
      </c>
      <c r="T98" s="4" t="s">
        <v>380</v>
      </c>
      <c r="U98" s="5" t="b">
        <v>0</v>
      </c>
      <c r="V98" s="10">
        <v>44805.0</v>
      </c>
      <c r="W98" s="10">
        <v>44846.0</v>
      </c>
    </row>
    <row r="99">
      <c r="A99" s="4">
        <v>50506.0</v>
      </c>
      <c r="B99" s="5" t="b">
        <v>1</v>
      </c>
      <c r="C99" s="6" t="s">
        <v>481</v>
      </c>
      <c r="D99" s="1" t="s">
        <v>482</v>
      </c>
      <c r="E99" s="7">
        <v>450848.0</v>
      </c>
      <c r="F99" s="7">
        <v>7400956.0</v>
      </c>
      <c r="G99" s="1" t="s">
        <v>483</v>
      </c>
      <c r="H99" s="1" t="s">
        <v>484</v>
      </c>
      <c r="I99" s="8">
        <v>44043.663327905095</v>
      </c>
      <c r="J99" s="9">
        <f>+393383303090</f>
        <v>393383303090</v>
      </c>
      <c r="K99" s="4">
        <v>31.0</v>
      </c>
      <c r="L99" s="7">
        <v>4903226.0</v>
      </c>
      <c r="M99" s="1">
        <v>7.37333333E8</v>
      </c>
      <c r="N99" s="4">
        <v>1150.0</v>
      </c>
      <c r="O99" s="4">
        <v>7.0</v>
      </c>
      <c r="P99" s="1" t="s">
        <v>28</v>
      </c>
      <c r="Q99" s="5" t="b">
        <v>0</v>
      </c>
      <c r="R99" s="5" t="b">
        <v>0</v>
      </c>
      <c r="S99" s="5" t="b">
        <v>0</v>
      </c>
      <c r="T99" s="4" t="s">
        <v>149</v>
      </c>
      <c r="U99" s="5" t="b">
        <v>0</v>
      </c>
      <c r="V99" s="10">
        <v>44782.0</v>
      </c>
      <c r="W99" s="10">
        <v>44801.0</v>
      </c>
    </row>
    <row r="100">
      <c r="A100" s="4">
        <v>50541.0</v>
      </c>
      <c r="B100" s="5" t="b">
        <v>1</v>
      </c>
      <c r="C100" s="6" t="s">
        <v>485</v>
      </c>
      <c r="D100" s="1" t="s">
        <v>486</v>
      </c>
      <c r="E100" s="7">
        <v>4351769.0</v>
      </c>
      <c r="F100" s="7">
        <v>1032284.0</v>
      </c>
      <c r="G100" s="1" t="s">
        <v>157</v>
      </c>
      <c r="H100" s="1" t="s">
        <v>487</v>
      </c>
      <c r="I100" s="8">
        <v>44047.531055659725</v>
      </c>
      <c r="J100" s="9">
        <f>+390589538353</f>
        <v>390589538353</v>
      </c>
      <c r="K100" s="4">
        <v>21.0</v>
      </c>
      <c r="L100" s="7">
        <v>4904762.0</v>
      </c>
      <c r="M100" s="1">
        <v>7.33373373E8</v>
      </c>
      <c r="N100" s="4">
        <v>507.0</v>
      </c>
      <c r="O100" s="4">
        <v>2.0</v>
      </c>
      <c r="P100" s="1" t="s">
        <v>39</v>
      </c>
      <c r="Q100" s="5" t="b">
        <v>0</v>
      </c>
      <c r="R100" s="5" t="b">
        <v>1</v>
      </c>
      <c r="S100" s="5" t="b">
        <v>0</v>
      </c>
      <c r="T100" s="4" t="s">
        <v>488</v>
      </c>
      <c r="U100" s="5" t="b">
        <v>0</v>
      </c>
      <c r="V100" s="10">
        <v>44803.0</v>
      </c>
      <c r="W100" s="11">
        <v>44851.0</v>
      </c>
    </row>
    <row r="101">
      <c r="A101" s="4">
        <v>50547.0</v>
      </c>
      <c r="B101" s="5" t="b">
        <v>1</v>
      </c>
      <c r="C101" s="6" t="s">
        <v>489</v>
      </c>
      <c r="D101" s="1" t="s">
        <v>490</v>
      </c>
      <c r="E101" s="7">
        <v>4571261.0</v>
      </c>
      <c r="F101" s="7">
        <v>1261553.0</v>
      </c>
      <c r="G101" s="1" t="s">
        <v>491</v>
      </c>
      <c r="H101" s="1" t="s">
        <v>492</v>
      </c>
      <c r="I101" s="8">
        <v>44047.632267002315</v>
      </c>
      <c r="J101" s="9">
        <f>+390583388035</f>
        <v>390583388035</v>
      </c>
      <c r="K101" s="4">
        <v>3.0</v>
      </c>
      <c r="L101" s="7">
        <v>5.0</v>
      </c>
      <c r="M101" s="1">
        <v>7.333333373E9</v>
      </c>
      <c r="N101" s="4">
        <v>610.0</v>
      </c>
      <c r="O101" s="4">
        <v>2.0</v>
      </c>
      <c r="P101" s="1" t="s">
        <v>33</v>
      </c>
      <c r="Q101" s="5" t="b">
        <v>0</v>
      </c>
      <c r="R101" s="5" t="b">
        <v>1</v>
      </c>
      <c r="S101" s="5" t="b">
        <v>0</v>
      </c>
      <c r="T101" s="4" t="s">
        <v>354</v>
      </c>
      <c r="U101" s="5" t="b">
        <v>0</v>
      </c>
      <c r="V101" s="10">
        <v>44680.0</v>
      </c>
      <c r="W101" s="10">
        <v>44873.0</v>
      </c>
    </row>
    <row r="102">
      <c r="A102" s="4">
        <v>51056.0</v>
      </c>
      <c r="B102" s="5" t="b">
        <v>1</v>
      </c>
      <c r="C102" s="6" t="s">
        <v>493</v>
      </c>
      <c r="D102" s="1" t="s">
        <v>494</v>
      </c>
      <c r="E102" s="7">
        <v>3788401.0</v>
      </c>
      <c r="F102" s="7">
        <v>-478053.0</v>
      </c>
      <c r="G102" s="1" t="s">
        <v>495</v>
      </c>
      <c r="H102" s="1" t="s">
        <v>496</v>
      </c>
      <c r="I102" s="8">
        <v>44049.50855724537</v>
      </c>
      <c r="J102" s="9">
        <f>+35953530305</f>
        <v>35953530305</v>
      </c>
      <c r="K102" s="4">
        <v>26.0</v>
      </c>
      <c r="L102" s="7">
        <v>4961538.0</v>
      </c>
      <c r="M102" s="1" t="s">
        <v>497</v>
      </c>
      <c r="N102" s="4">
        <v>1602.0</v>
      </c>
      <c r="O102" s="4">
        <v>6.0</v>
      </c>
      <c r="P102" s="1" t="s">
        <v>28</v>
      </c>
      <c r="Q102" s="5" t="b">
        <v>0</v>
      </c>
      <c r="R102" s="5" t="b">
        <v>1</v>
      </c>
      <c r="S102" s="5" t="b">
        <v>0</v>
      </c>
      <c r="T102" s="4" t="s">
        <v>498</v>
      </c>
      <c r="U102" s="5" t="b">
        <v>0</v>
      </c>
      <c r="V102" s="10">
        <v>44819.0</v>
      </c>
      <c r="W102" s="10">
        <v>44860.0</v>
      </c>
    </row>
    <row r="103">
      <c r="A103" s="4">
        <v>510505.0</v>
      </c>
      <c r="B103" s="5" t="b">
        <v>1</v>
      </c>
      <c r="C103" s="6" t="s">
        <v>499</v>
      </c>
      <c r="D103" s="1" t="s">
        <v>500</v>
      </c>
      <c r="E103" s="7">
        <v>4632668.0</v>
      </c>
      <c r="F103" s="7">
        <v>1102276.0</v>
      </c>
      <c r="G103" s="1" t="s">
        <v>501</v>
      </c>
      <c r="H103" s="1" t="s">
        <v>502</v>
      </c>
      <c r="I103" s="8">
        <v>44050.54175048611</v>
      </c>
      <c r="J103" s="9">
        <f>+393998955335</f>
        <v>393998955335</v>
      </c>
      <c r="K103" s="4">
        <v>23.0</v>
      </c>
      <c r="L103" s="7">
        <v>5.0</v>
      </c>
      <c r="M103" s="1">
        <v>3.7333333E7</v>
      </c>
      <c r="N103" s="4">
        <v>479.0</v>
      </c>
      <c r="O103" s="4">
        <v>1.0</v>
      </c>
      <c r="P103" s="1" t="s">
        <v>28</v>
      </c>
      <c r="Q103" s="5" t="b">
        <v>0</v>
      </c>
      <c r="R103" s="5" t="b">
        <v>1</v>
      </c>
      <c r="S103" s="5" t="b">
        <v>0</v>
      </c>
      <c r="T103" s="4" t="s">
        <v>261</v>
      </c>
      <c r="U103" s="5" t="b">
        <v>0</v>
      </c>
      <c r="V103" s="10">
        <v>44715.0</v>
      </c>
      <c r="W103" s="11">
        <v>44885.0</v>
      </c>
    </row>
    <row r="104">
      <c r="A104" s="4">
        <v>51040.0</v>
      </c>
      <c r="B104" s="5" t="b">
        <v>1</v>
      </c>
      <c r="C104" s="6" t="s">
        <v>503</v>
      </c>
      <c r="D104" s="1" t="s">
        <v>504</v>
      </c>
      <c r="E104" s="7">
        <v>3690912.0</v>
      </c>
      <c r="F104" s="7">
        <v>1513532.0</v>
      </c>
      <c r="G104" s="1" t="s">
        <v>505</v>
      </c>
      <c r="H104" s="1" t="s">
        <v>506</v>
      </c>
      <c r="I104" s="8">
        <v>44050.59238707176</v>
      </c>
      <c r="J104" s="9">
        <f>+393393393888</f>
        <v>393393393888</v>
      </c>
      <c r="K104" s="4">
        <v>99.0</v>
      </c>
      <c r="L104" s="7">
        <v>5.0</v>
      </c>
      <c r="M104" s="1">
        <v>6333377.0</v>
      </c>
      <c r="N104" s="4">
        <v>657.0</v>
      </c>
      <c r="O104" s="4">
        <v>2.0</v>
      </c>
      <c r="P104" s="1" t="s">
        <v>28</v>
      </c>
      <c r="Q104" s="5" t="b">
        <v>0</v>
      </c>
      <c r="R104" s="5" t="b">
        <v>1</v>
      </c>
      <c r="S104" s="5" t="b">
        <v>1</v>
      </c>
      <c r="T104" s="4" t="s">
        <v>507</v>
      </c>
      <c r="U104" s="5" t="b">
        <v>0</v>
      </c>
      <c r="V104" s="10">
        <v>44667.0</v>
      </c>
      <c r="W104" s="10">
        <v>44867.0</v>
      </c>
    </row>
    <row r="105">
      <c r="A105" s="4">
        <v>51067.0</v>
      </c>
      <c r="B105" s="5" t="b">
        <v>1</v>
      </c>
      <c r="C105" s="6" t="s">
        <v>508</v>
      </c>
      <c r="D105" s="1" t="s">
        <v>509</v>
      </c>
      <c r="E105" s="7">
        <v>4389044.0</v>
      </c>
      <c r="F105" s="7">
        <v>1023095.0</v>
      </c>
      <c r="G105" s="1" t="s">
        <v>510</v>
      </c>
      <c r="H105" s="1" t="s">
        <v>511</v>
      </c>
      <c r="I105" s="8">
        <v>44053.44916561343</v>
      </c>
      <c r="J105" s="9">
        <f>+39058599333</f>
        <v>39058599333</v>
      </c>
      <c r="K105" s="4">
        <v>36.0</v>
      </c>
      <c r="L105" s="7">
        <v>4666667.0</v>
      </c>
      <c r="M105" s="1">
        <v>7.63633363E8</v>
      </c>
      <c r="N105" s="4">
        <v>1544.0</v>
      </c>
      <c r="O105" s="4">
        <v>5.0</v>
      </c>
      <c r="P105" s="1" t="s">
        <v>39</v>
      </c>
      <c r="Q105" s="5" t="b">
        <v>0</v>
      </c>
      <c r="R105" s="5" t="b">
        <v>0</v>
      </c>
      <c r="S105" s="5" t="b">
        <v>0</v>
      </c>
      <c r="T105" s="4" t="s">
        <v>512</v>
      </c>
      <c r="U105" s="5" t="b">
        <v>0</v>
      </c>
      <c r="V105" s="10">
        <v>44650.0</v>
      </c>
      <c r="W105" s="11">
        <v>44852.0</v>
      </c>
    </row>
    <row r="106">
      <c r="A106" s="4">
        <v>510430.0</v>
      </c>
      <c r="B106" s="5" t="b">
        <v>1</v>
      </c>
      <c r="C106" s="6" t="s">
        <v>513</v>
      </c>
      <c r="D106" s="1" t="s">
        <v>514</v>
      </c>
      <c r="E106" s="7">
        <v>4185961.0</v>
      </c>
      <c r="F106" s="7">
        <v>1244968.0</v>
      </c>
      <c r="G106" s="1" t="s">
        <v>25</v>
      </c>
      <c r="H106" s="1" t="s">
        <v>515</v>
      </c>
      <c r="I106" s="8">
        <v>44055.53875526621</v>
      </c>
      <c r="J106" s="9">
        <f>+390989838995</f>
        <v>390989838995</v>
      </c>
      <c r="K106" s="4">
        <v>34.0</v>
      </c>
      <c r="L106" s="7">
        <v>5.0</v>
      </c>
      <c r="M106" s="1">
        <v>3.733333333E9</v>
      </c>
      <c r="N106" s="4">
        <v>1780.0</v>
      </c>
      <c r="O106" s="4">
        <v>4.0</v>
      </c>
      <c r="P106" s="1" t="s">
        <v>39</v>
      </c>
      <c r="Q106" s="5" t="b">
        <v>0</v>
      </c>
      <c r="R106" s="5" t="b">
        <v>1</v>
      </c>
      <c r="S106" s="5" t="b">
        <v>0</v>
      </c>
      <c r="T106" s="4" t="s">
        <v>516</v>
      </c>
      <c r="U106" s="5" t="b">
        <v>0</v>
      </c>
      <c r="V106" s="10">
        <v>44821.0</v>
      </c>
      <c r="W106" s="10">
        <v>44813.0</v>
      </c>
    </row>
    <row r="107">
      <c r="A107" s="4">
        <v>51055.0</v>
      </c>
      <c r="B107" s="5" t="b">
        <v>1</v>
      </c>
      <c r="C107" s="6" t="s">
        <v>517</v>
      </c>
      <c r="D107" s="1" t="s">
        <v>518</v>
      </c>
      <c r="E107" s="7">
        <v>4393373.0</v>
      </c>
      <c r="F107" s="7">
        <v>1090736.0</v>
      </c>
      <c r="G107" s="1" t="s">
        <v>519</v>
      </c>
      <c r="H107" s="1" t="s">
        <v>520</v>
      </c>
      <c r="I107" s="8">
        <v>44057.519885636575</v>
      </c>
      <c r="J107" s="9">
        <f>+390533599989</f>
        <v>390533599989</v>
      </c>
      <c r="K107" s="4">
        <v>127.0</v>
      </c>
      <c r="L107" s="7">
        <v>4968504.0</v>
      </c>
      <c r="M107" s="1">
        <v>6333373.0</v>
      </c>
      <c r="N107" s="4">
        <v>607.0</v>
      </c>
      <c r="O107" s="4">
        <v>3.0</v>
      </c>
      <c r="P107" s="1" t="s">
        <v>33</v>
      </c>
      <c r="Q107" s="5" t="b">
        <v>0</v>
      </c>
      <c r="R107" s="5" t="b">
        <v>1</v>
      </c>
      <c r="S107" s="5" t="b">
        <v>0</v>
      </c>
      <c r="T107" s="4" t="s">
        <v>521</v>
      </c>
      <c r="U107" s="5" t="b">
        <v>0</v>
      </c>
      <c r="V107" s="11">
        <v>44886.0</v>
      </c>
      <c r="W107" s="10">
        <v>44734.0</v>
      </c>
    </row>
    <row r="108">
      <c r="A108" s="4">
        <v>511505.0</v>
      </c>
      <c r="B108" s="5" t="b">
        <v>1</v>
      </c>
      <c r="C108" s="6" t="s">
        <v>522</v>
      </c>
      <c r="D108" s="1" t="s">
        <v>523</v>
      </c>
      <c r="E108" s="7">
        <v>4281353.0</v>
      </c>
      <c r="F108" s="7">
        <v>-164163.0</v>
      </c>
      <c r="G108" s="1" t="s">
        <v>524</v>
      </c>
      <c r="H108" s="1" t="s">
        <v>525</v>
      </c>
      <c r="I108" s="8">
        <v>44061.64137767361</v>
      </c>
      <c r="J108" s="9">
        <f>+35958383585</f>
        <v>35958383585</v>
      </c>
      <c r="K108" s="4">
        <v>378.0</v>
      </c>
      <c r="L108" s="7">
        <v>4904762.0</v>
      </c>
      <c r="M108" s="1" t="s">
        <v>526</v>
      </c>
      <c r="N108" s="4">
        <v>16304.0</v>
      </c>
      <c r="O108" s="4">
        <v>13.0</v>
      </c>
      <c r="P108" s="1" t="s">
        <v>39</v>
      </c>
      <c r="Q108" s="5" t="b">
        <v>0</v>
      </c>
      <c r="R108" s="5" t="b">
        <v>1</v>
      </c>
      <c r="S108" s="5" t="b">
        <v>0</v>
      </c>
      <c r="T108" s="4" t="s">
        <v>527</v>
      </c>
      <c r="U108" s="5" t="b">
        <v>0</v>
      </c>
      <c r="V108" s="10">
        <v>44903.0</v>
      </c>
      <c r="W108" s="10">
        <v>44903.0</v>
      </c>
    </row>
    <row r="109">
      <c r="A109" s="4">
        <v>51550.0</v>
      </c>
      <c r="B109" s="5" t="b">
        <v>1</v>
      </c>
      <c r="C109" s="6" t="s">
        <v>528</v>
      </c>
      <c r="D109" s="1" t="s">
        <v>529</v>
      </c>
      <c r="E109" s="7">
        <v>3765235.0</v>
      </c>
      <c r="F109" s="7">
        <v>1486074.0</v>
      </c>
      <c r="G109" s="1" t="s">
        <v>530</v>
      </c>
      <c r="H109" s="1" t="s">
        <v>531</v>
      </c>
      <c r="I109" s="8">
        <v>44067.57141361111</v>
      </c>
      <c r="J109" s="9">
        <f>+393883888959</f>
        <v>393883888959</v>
      </c>
      <c r="K109" s="4">
        <v>0.0</v>
      </c>
      <c r="L109" s="7">
        <v>0.0</v>
      </c>
      <c r="M109" s="1">
        <v>33373.0</v>
      </c>
      <c r="N109" s="4">
        <v>438.0</v>
      </c>
      <c r="O109" s="4">
        <v>4.0</v>
      </c>
      <c r="P109" s="1" t="s">
        <v>33</v>
      </c>
      <c r="Q109" s="5" t="b">
        <v>0</v>
      </c>
      <c r="R109" s="5" t="b">
        <v>1</v>
      </c>
      <c r="S109" s="5" t="b">
        <v>0</v>
      </c>
      <c r="T109" s="4">
        <v>0.0</v>
      </c>
      <c r="U109" s="5" t="b">
        <v>0</v>
      </c>
      <c r="V109" s="10">
        <v>44674.0</v>
      </c>
      <c r="W109" s="10">
        <v>44721.0</v>
      </c>
    </row>
    <row r="110">
      <c r="A110" s="4">
        <v>515306.0</v>
      </c>
      <c r="B110" s="5" t="b">
        <v>1</v>
      </c>
      <c r="C110" s="6" t="s">
        <v>532</v>
      </c>
      <c r="D110" s="1" t="s">
        <v>533</v>
      </c>
      <c r="E110" s="7">
        <v>3959069.0</v>
      </c>
      <c r="F110" s="7">
        <v>2650614.0</v>
      </c>
      <c r="G110" s="1" t="s">
        <v>534</v>
      </c>
      <c r="H110" s="1" t="s">
        <v>535</v>
      </c>
      <c r="I110" s="8">
        <v>44069.44789836805</v>
      </c>
      <c r="J110" s="9">
        <f>+35933935933</f>
        <v>35933935933</v>
      </c>
      <c r="K110" s="4">
        <v>46.0</v>
      </c>
      <c r="L110" s="7">
        <v>4913043.0</v>
      </c>
      <c r="M110" s="1" t="s">
        <v>536</v>
      </c>
      <c r="N110" s="4">
        <v>2890.0</v>
      </c>
      <c r="O110" s="4">
        <v>5.0</v>
      </c>
      <c r="P110" s="1" t="s">
        <v>28</v>
      </c>
      <c r="Q110" s="5" t="b">
        <v>0</v>
      </c>
      <c r="R110" s="5" t="b">
        <v>1</v>
      </c>
      <c r="S110" s="5" t="b">
        <v>1</v>
      </c>
      <c r="T110" s="4" t="s">
        <v>252</v>
      </c>
      <c r="U110" s="5" t="b">
        <v>0</v>
      </c>
      <c r="V110" s="10">
        <v>44598.0</v>
      </c>
      <c r="W110" s="10">
        <v>44872.0</v>
      </c>
    </row>
    <row r="111">
      <c r="A111" s="4">
        <v>515055.0</v>
      </c>
      <c r="B111" s="5" t="b">
        <v>0</v>
      </c>
      <c r="C111" s="6" t="s">
        <v>537</v>
      </c>
      <c r="D111" s="1" t="s">
        <v>538</v>
      </c>
      <c r="E111" s="7">
        <v>3669286.0</v>
      </c>
      <c r="F111" s="7">
        <v>-61004.0</v>
      </c>
      <c r="G111" s="1" t="s">
        <v>274</v>
      </c>
      <c r="H111" s="1" t="s">
        <v>539</v>
      </c>
      <c r="I111" s="8">
        <v>44074.50545761574</v>
      </c>
      <c r="J111" s="9">
        <f>+35859050980</f>
        <v>35859050980</v>
      </c>
      <c r="K111" s="4">
        <v>72.0</v>
      </c>
      <c r="L111" s="7">
        <v>4944444.0</v>
      </c>
      <c r="M111" s="1" t="s">
        <v>540</v>
      </c>
      <c r="N111" s="4">
        <v>1147.0</v>
      </c>
      <c r="O111" s="4">
        <v>5.0</v>
      </c>
      <c r="P111" s="1" t="s">
        <v>33</v>
      </c>
      <c r="Q111" s="5" t="b">
        <v>0</v>
      </c>
      <c r="R111" s="5" t="b">
        <v>1</v>
      </c>
      <c r="S111" s="5" t="b">
        <v>0</v>
      </c>
      <c r="T111" s="4" t="s">
        <v>541</v>
      </c>
      <c r="U111" s="5" t="b">
        <v>0</v>
      </c>
      <c r="V111" s="10">
        <v>44838.0</v>
      </c>
      <c r="W111" s="10">
        <v>44642.0</v>
      </c>
    </row>
    <row r="112">
      <c r="A112" s="4">
        <v>5150506.0</v>
      </c>
      <c r="B112" s="5" t="b">
        <v>1</v>
      </c>
      <c r="C112" s="6" t="s">
        <v>542</v>
      </c>
      <c r="D112" s="1" t="s">
        <v>543</v>
      </c>
      <c r="E112" s="7">
        <v>4366177.0</v>
      </c>
      <c r="F112" s="7">
        <v>1144881.0</v>
      </c>
      <c r="G112" s="1" t="s">
        <v>544</v>
      </c>
      <c r="H112" s="1" t="s">
        <v>545</v>
      </c>
      <c r="I112" s="8">
        <v>44074.578676655095</v>
      </c>
      <c r="J112" s="9">
        <f>+390558339339</f>
        <v>390558339339</v>
      </c>
      <c r="K112" s="4">
        <v>0.0</v>
      </c>
      <c r="L112" s="7">
        <v>0.0</v>
      </c>
      <c r="M112" s="1">
        <v>7.367333333E9</v>
      </c>
      <c r="N112" s="4">
        <v>1355.0</v>
      </c>
      <c r="O112" s="4">
        <v>7.0</v>
      </c>
      <c r="P112" s="1" t="s">
        <v>39</v>
      </c>
      <c r="Q112" s="5" t="b">
        <v>0</v>
      </c>
      <c r="R112" s="5" t="b">
        <v>1</v>
      </c>
      <c r="S112" s="5" t="b">
        <v>0</v>
      </c>
      <c r="T112" s="4">
        <v>0.0</v>
      </c>
      <c r="U112" s="5" t="b">
        <v>0</v>
      </c>
      <c r="V112" s="10">
        <v>44823.0</v>
      </c>
      <c r="W112" s="10">
        <v>44684.0</v>
      </c>
    </row>
    <row r="113">
      <c r="A113" s="4">
        <v>5150305.0</v>
      </c>
      <c r="B113" s="5" t="b">
        <v>1</v>
      </c>
      <c r="C113" s="6" t="s">
        <v>546</v>
      </c>
      <c r="D113" s="1" t="s">
        <v>547</v>
      </c>
      <c r="E113" s="7">
        <v>4047658.0</v>
      </c>
      <c r="F113" s="7">
        <v>-348045.0</v>
      </c>
      <c r="G113" s="1" t="s">
        <v>548</v>
      </c>
      <c r="H113" s="1" t="s">
        <v>549</v>
      </c>
      <c r="I113" s="8">
        <v>44075.46153759259</v>
      </c>
      <c r="J113" s="9">
        <f>+35933338583</f>
        <v>35933338583</v>
      </c>
      <c r="K113" s="4">
        <v>130.0</v>
      </c>
      <c r="L113" s="7">
        <v>4646154.0</v>
      </c>
      <c r="M113" s="1" t="s">
        <v>550</v>
      </c>
      <c r="N113" s="4">
        <v>5550.0</v>
      </c>
      <c r="O113" s="4">
        <v>7.0</v>
      </c>
      <c r="P113" s="1" t="s">
        <v>28</v>
      </c>
      <c r="Q113" s="5" t="b">
        <v>0</v>
      </c>
      <c r="R113" s="5" t="b">
        <v>1</v>
      </c>
      <c r="S113" s="5" t="b">
        <v>0</v>
      </c>
      <c r="T113" s="4" t="s">
        <v>551</v>
      </c>
      <c r="U113" s="5" t="b">
        <v>0</v>
      </c>
      <c r="V113" s="10">
        <v>44890.0</v>
      </c>
      <c r="W113" s="10">
        <v>44871.0</v>
      </c>
    </row>
    <row r="114">
      <c r="A114" s="4">
        <v>51400.0</v>
      </c>
      <c r="B114" s="5" t="b">
        <v>1</v>
      </c>
      <c r="C114" s="6" t="s">
        <v>552</v>
      </c>
      <c r="D114" s="1" t="s">
        <v>553</v>
      </c>
      <c r="E114" s="7">
        <v>379542.0</v>
      </c>
      <c r="F114" s="7">
        <v>2363978.0</v>
      </c>
      <c r="G114" s="1" t="s">
        <v>554</v>
      </c>
      <c r="H114" s="1" t="s">
        <v>555</v>
      </c>
      <c r="I114" s="8">
        <v>44078.426458333335</v>
      </c>
      <c r="J114" s="9">
        <f>+308383033300</f>
        <v>308383033300</v>
      </c>
      <c r="K114" s="4">
        <v>14.0</v>
      </c>
      <c r="L114" s="7">
        <v>4928571.0</v>
      </c>
      <c r="M114" s="1">
        <v>6.3733333E7</v>
      </c>
      <c r="N114" s="4">
        <v>1874.0</v>
      </c>
      <c r="O114" s="4">
        <v>5.0</v>
      </c>
      <c r="P114" s="1" t="s">
        <v>33</v>
      </c>
      <c r="Q114" s="5" t="b">
        <v>0</v>
      </c>
      <c r="R114" s="5" t="b">
        <v>0</v>
      </c>
      <c r="S114" s="5" t="b">
        <v>0</v>
      </c>
      <c r="T114" s="4" t="s">
        <v>174</v>
      </c>
      <c r="U114" s="5" t="b">
        <v>1</v>
      </c>
      <c r="V114" s="10">
        <v>44792.0</v>
      </c>
      <c r="W114" s="10">
        <v>44757.0</v>
      </c>
    </row>
    <row r="115">
      <c r="A115" s="4">
        <v>5145050.0</v>
      </c>
      <c r="B115" s="5" t="b">
        <v>1</v>
      </c>
      <c r="C115" s="6" t="s">
        <v>556</v>
      </c>
      <c r="D115" s="1" t="s">
        <v>557</v>
      </c>
      <c r="E115" s="7">
        <v>3813805.0</v>
      </c>
      <c r="F115" s="7">
        <v>1496661.0</v>
      </c>
      <c r="G115" s="1" t="s">
        <v>558</v>
      </c>
      <c r="H115" s="1" t="s">
        <v>559</v>
      </c>
      <c r="I115" s="8">
        <v>44081.64680633102</v>
      </c>
      <c r="J115" s="9">
        <f>+390953339553</f>
        <v>390953339553</v>
      </c>
      <c r="K115" s="4">
        <v>138.0</v>
      </c>
      <c r="L115" s="7">
        <v>4891304.0</v>
      </c>
      <c r="M115" s="1">
        <v>7.637733373E9</v>
      </c>
      <c r="N115" s="4">
        <v>1885.0</v>
      </c>
      <c r="O115" s="4">
        <v>5.0</v>
      </c>
      <c r="P115" s="1" t="s">
        <v>39</v>
      </c>
      <c r="Q115" s="5" t="b">
        <v>0</v>
      </c>
      <c r="R115" s="5" t="b">
        <v>1</v>
      </c>
      <c r="S115" s="5" t="b">
        <v>0</v>
      </c>
      <c r="T115" s="4" t="s">
        <v>560</v>
      </c>
      <c r="U115" s="5" t="b">
        <v>0</v>
      </c>
      <c r="V115" s="10">
        <v>44903.0</v>
      </c>
      <c r="W115" s="10">
        <v>44903.0</v>
      </c>
    </row>
    <row r="116">
      <c r="A116" s="4">
        <v>51441.0</v>
      </c>
      <c r="B116" s="5" t="b">
        <v>1</v>
      </c>
      <c r="C116" s="6" t="s">
        <v>561</v>
      </c>
      <c r="D116" s="1" t="s">
        <v>562</v>
      </c>
      <c r="E116" s="7">
        <v>4204394.0</v>
      </c>
      <c r="F116" s="7">
        <v>1473303.0</v>
      </c>
      <c r="G116" s="1" t="s">
        <v>563</v>
      </c>
      <c r="H116" s="1" t="s">
        <v>564</v>
      </c>
      <c r="I116" s="8">
        <v>44082.53432189815</v>
      </c>
      <c r="J116" s="9">
        <f>+393338885309</f>
        <v>393338885309</v>
      </c>
      <c r="K116" s="4">
        <v>3.0</v>
      </c>
      <c r="L116" s="7">
        <v>5.0</v>
      </c>
      <c r="M116" s="1">
        <v>3.37733673E8</v>
      </c>
      <c r="N116" s="4">
        <v>301.0</v>
      </c>
      <c r="O116" s="4">
        <v>2.0</v>
      </c>
      <c r="P116" s="1" t="s">
        <v>33</v>
      </c>
      <c r="Q116" s="5" t="b">
        <v>1</v>
      </c>
      <c r="R116" s="5" t="b">
        <v>0</v>
      </c>
      <c r="S116" s="5" t="b">
        <v>0</v>
      </c>
      <c r="T116" s="4">
        <v>0.0</v>
      </c>
      <c r="U116" s="5" t="b">
        <v>0</v>
      </c>
      <c r="V116" s="10">
        <v>44778.0</v>
      </c>
      <c r="W116" s="10">
        <v>44714.0</v>
      </c>
    </row>
    <row r="117">
      <c r="A117" s="4">
        <v>5130504.0</v>
      </c>
      <c r="B117" s="5" t="b">
        <v>1</v>
      </c>
      <c r="C117" s="6" t="s">
        <v>565</v>
      </c>
      <c r="D117" s="1" t="s">
        <v>566</v>
      </c>
      <c r="E117" s="7">
        <v>3701887.0</v>
      </c>
      <c r="F117" s="7">
        <v>-45608.0</v>
      </c>
      <c r="G117" s="1" t="s">
        <v>567</v>
      </c>
      <c r="H117" s="1" t="s">
        <v>568</v>
      </c>
      <c r="I117" s="8">
        <v>44089.47366297454</v>
      </c>
      <c r="J117" s="9">
        <f>+35958853838</f>
        <v>35958853838</v>
      </c>
      <c r="K117" s="4">
        <v>197.0</v>
      </c>
      <c r="L117" s="7">
        <v>4908629.0</v>
      </c>
      <c r="M117" s="1" t="s">
        <v>569</v>
      </c>
      <c r="N117" s="4">
        <v>3259.0</v>
      </c>
      <c r="O117" s="4">
        <v>9.0</v>
      </c>
      <c r="P117" s="1" t="s">
        <v>33</v>
      </c>
      <c r="Q117" s="5" t="b">
        <v>0</v>
      </c>
      <c r="R117" s="5" t="b">
        <v>1</v>
      </c>
      <c r="S117" s="5" t="b">
        <v>0</v>
      </c>
      <c r="T117" s="4" t="s">
        <v>570</v>
      </c>
      <c r="U117" s="5" t="b">
        <v>0</v>
      </c>
      <c r="V117" s="10">
        <v>44903.0</v>
      </c>
      <c r="W117" s="10">
        <v>44903.0</v>
      </c>
    </row>
    <row r="118">
      <c r="A118" s="4">
        <v>513057.0</v>
      </c>
      <c r="B118" s="5" t="b">
        <v>1</v>
      </c>
      <c r="C118" s="6" t="s">
        <v>571</v>
      </c>
      <c r="D118" s="1" t="s">
        <v>572</v>
      </c>
      <c r="E118" s="7">
        <v>4599407.0</v>
      </c>
      <c r="F118" s="7">
        <v>8793281.0</v>
      </c>
      <c r="G118" s="1" t="s">
        <v>573</v>
      </c>
      <c r="H118" s="1" t="s">
        <v>574</v>
      </c>
      <c r="I118" s="8">
        <v>44095.304194930555</v>
      </c>
      <c r="J118" s="1">
        <v>3.895850359E9</v>
      </c>
      <c r="K118" s="4">
        <v>9.0</v>
      </c>
      <c r="L118" s="7">
        <v>5.0</v>
      </c>
      <c r="M118" s="1" t="s">
        <v>575</v>
      </c>
      <c r="N118" s="4">
        <v>940.0</v>
      </c>
      <c r="O118" s="4">
        <v>4.0</v>
      </c>
      <c r="P118" s="1" t="s">
        <v>28</v>
      </c>
      <c r="Q118" s="5" t="b">
        <v>0</v>
      </c>
      <c r="R118" s="5" t="b">
        <v>1</v>
      </c>
      <c r="S118" s="5" t="b">
        <v>0</v>
      </c>
      <c r="T118" s="4" t="s">
        <v>576</v>
      </c>
      <c r="U118" s="5" t="b">
        <v>0</v>
      </c>
      <c r="V118" s="10">
        <v>44731.0</v>
      </c>
      <c r="W118" s="11">
        <v>44887.0</v>
      </c>
    </row>
    <row r="119">
      <c r="A119" s="4">
        <v>514305.0</v>
      </c>
      <c r="B119" s="5" t="b">
        <v>1</v>
      </c>
      <c r="C119" s="6" t="s">
        <v>577</v>
      </c>
      <c r="D119" s="1" t="s">
        <v>578</v>
      </c>
      <c r="E119" s="7">
        <v>4545881.0</v>
      </c>
      <c r="F119" s="7">
        <v>918021.0</v>
      </c>
      <c r="G119" s="1" t="s">
        <v>37</v>
      </c>
      <c r="H119" s="1" t="s">
        <v>579</v>
      </c>
      <c r="I119" s="8">
        <v>44111.644044375</v>
      </c>
      <c r="J119" s="9">
        <f>+390859555933</f>
        <v>390859555933</v>
      </c>
      <c r="K119" s="4">
        <v>294.0</v>
      </c>
      <c r="L119" s="7">
        <v>4965986.0</v>
      </c>
      <c r="M119" s="1">
        <v>333763.0</v>
      </c>
      <c r="N119" s="4">
        <v>2742.0</v>
      </c>
      <c r="O119" s="4">
        <v>5.0</v>
      </c>
      <c r="P119" s="1" t="s">
        <v>33</v>
      </c>
      <c r="Q119" s="5" t="b">
        <v>0</v>
      </c>
      <c r="R119" s="5" t="b">
        <v>1</v>
      </c>
      <c r="S119" s="5" t="b">
        <v>1</v>
      </c>
      <c r="T119" s="4" t="s">
        <v>580</v>
      </c>
      <c r="U119" s="5" t="b">
        <v>0</v>
      </c>
      <c r="V119" s="11">
        <v>44885.0</v>
      </c>
      <c r="W119" s="10">
        <v>44614.0</v>
      </c>
    </row>
    <row r="120">
      <c r="A120" s="4">
        <v>51466.0</v>
      </c>
      <c r="B120" s="5" t="b">
        <v>1</v>
      </c>
      <c r="C120" s="6" t="s">
        <v>581</v>
      </c>
      <c r="D120" s="1" t="s">
        <v>582</v>
      </c>
      <c r="E120" s="7">
        <v>3957671.0</v>
      </c>
      <c r="F120" s="7">
        <v>2652017.0</v>
      </c>
      <c r="G120" s="1" t="s">
        <v>534</v>
      </c>
      <c r="H120" s="1" t="s">
        <v>583</v>
      </c>
      <c r="I120" s="8">
        <v>44112.35463815972</v>
      </c>
      <c r="J120" s="9">
        <f>+35933998985</f>
        <v>35933998985</v>
      </c>
      <c r="K120" s="4">
        <v>28.0</v>
      </c>
      <c r="L120" s="7">
        <v>4928571.0</v>
      </c>
      <c r="M120" s="1" t="s">
        <v>584</v>
      </c>
      <c r="N120" s="4">
        <v>933.0</v>
      </c>
      <c r="O120" s="4">
        <v>2.0</v>
      </c>
      <c r="P120" s="1" t="s">
        <v>39</v>
      </c>
      <c r="Q120" s="5" t="b">
        <v>0</v>
      </c>
      <c r="R120" s="5" t="b">
        <v>1</v>
      </c>
      <c r="S120" s="5" t="b">
        <v>0</v>
      </c>
      <c r="T120" s="4" t="s">
        <v>585</v>
      </c>
      <c r="U120" s="5" t="b">
        <v>0</v>
      </c>
      <c r="V120" s="10">
        <v>44782.0</v>
      </c>
      <c r="W120" s="10">
        <v>44825.0</v>
      </c>
    </row>
    <row r="121">
      <c r="A121" s="4">
        <v>515501.0</v>
      </c>
      <c r="B121" s="5" t="b">
        <v>1</v>
      </c>
      <c r="C121" s="6" t="s">
        <v>586</v>
      </c>
      <c r="D121" s="1" t="s">
        <v>587</v>
      </c>
      <c r="E121" s="7">
        <v>4085144.0</v>
      </c>
      <c r="F121" s="7">
        <v>1423179.0</v>
      </c>
      <c r="G121" s="1" t="s">
        <v>143</v>
      </c>
      <c r="H121" s="1" t="s">
        <v>588</v>
      </c>
      <c r="I121" s="8">
        <v>44118.34647675926</v>
      </c>
      <c r="J121" s="9">
        <f>+393888998985</f>
        <v>393888998985</v>
      </c>
      <c r="K121" s="4">
        <v>103.0</v>
      </c>
      <c r="L121" s="7">
        <v>4864078.0</v>
      </c>
      <c r="M121" s="1">
        <v>7.733333337E9</v>
      </c>
      <c r="N121" s="4">
        <v>693.0</v>
      </c>
      <c r="O121" s="4">
        <v>2.0</v>
      </c>
      <c r="P121" s="1" t="s">
        <v>28</v>
      </c>
      <c r="Q121" s="5" t="b">
        <v>0</v>
      </c>
      <c r="R121" s="5" t="b">
        <v>1</v>
      </c>
      <c r="S121" s="5" t="b">
        <v>0</v>
      </c>
      <c r="T121" s="4" t="s">
        <v>589</v>
      </c>
      <c r="U121" s="5" t="b">
        <v>0</v>
      </c>
      <c r="V121" s="10">
        <v>44716.0</v>
      </c>
      <c r="W121" s="10">
        <v>44641.0</v>
      </c>
    </row>
    <row r="122">
      <c r="A122" s="4">
        <v>55505.0</v>
      </c>
      <c r="B122" s="5" t="b">
        <v>1</v>
      </c>
      <c r="C122" s="6" t="s">
        <v>442</v>
      </c>
      <c r="D122" s="1" t="s">
        <v>443</v>
      </c>
      <c r="E122" s="7">
        <v>4504071.0</v>
      </c>
      <c r="F122" s="7">
        <v>7670351.0</v>
      </c>
      <c r="G122" s="1" t="s">
        <v>326</v>
      </c>
      <c r="H122" s="1" t="s">
        <v>590</v>
      </c>
      <c r="I122" s="8">
        <v>44152.37051717593</v>
      </c>
      <c r="J122" s="9">
        <f>+3903338893595</f>
        <v>3903338893595</v>
      </c>
      <c r="K122" s="4">
        <v>2.0</v>
      </c>
      <c r="L122" s="7" t="s">
        <v>130</v>
      </c>
      <c r="M122" s="1">
        <v>6.37333336E8</v>
      </c>
      <c r="N122" s="4">
        <v>1095.0</v>
      </c>
      <c r="O122" s="4">
        <v>4.0</v>
      </c>
      <c r="P122" s="1" t="s">
        <v>33</v>
      </c>
      <c r="Q122" s="5" t="b">
        <v>0</v>
      </c>
      <c r="R122" s="5" t="b">
        <v>0</v>
      </c>
      <c r="S122" s="5" t="b">
        <v>0</v>
      </c>
      <c r="T122" s="4" t="s">
        <v>591</v>
      </c>
      <c r="U122" s="5" t="b">
        <v>0</v>
      </c>
      <c r="V122" s="10">
        <v>44685.0</v>
      </c>
      <c r="W122" s="10">
        <v>44607.0</v>
      </c>
    </row>
    <row r="123">
      <c r="A123" s="4">
        <v>55555.0</v>
      </c>
      <c r="B123" s="5" t="b">
        <v>1</v>
      </c>
      <c r="C123" s="6" t="s">
        <v>592</v>
      </c>
      <c r="D123" s="1" t="s">
        <v>593</v>
      </c>
      <c r="E123" s="7">
        <v>4611888.0</v>
      </c>
      <c r="F123" s="7">
        <v>829333.0</v>
      </c>
      <c r="G123" s="1" t="s">
        <v>594</v>
      </c>
      <c r="H123" s="1" t="s">
        <v>595</v>
      </c>
      <c r="I123" s="8">
        <v>44153.571976493055</v>
      </c>
      <c r="J123" s="9">
        <f>+393598339380</f>
        <v>393598339380</v>
      </c>
      <c r="K123" s="4">
        <v>347.0</v>
      </c>
      <c r="L123" s="7">
        <v>4962536.0</v>
      </c>
      <c r="M123" s="1">
        <v>3.7333373E7</v>
      </c>
      <c r="N123" s="4">
        <v>1619.0</v>
      </c>
      <c r="O123" s="4">
        <v>9.0</v>
      </c>
      <c r="P123" s="1" t="s">
        <v>28</v>
      </c>
      <c r="Q123" s="5" t="b">
        <v>0</v>
      </c>
      <c r="R123" s="5" t="b">
        <v>1</v>
      </c>
      <c r="S123" s="5" t="b">
        <v>0</v>
      </c>
      <c r="T123" s="4" t="s">
        <v>596</v>
      </c>
      <c r="U123" s="5" t="b">
        <v>0</v>
      </c>
      <c r="V123" s="10">
        <v>44818.0</v>
      </c>
      <c r="W123" s="10">
        <v>44859.0</v>
      </c>
    </row>
    <row r="124">
      <c r="A124" s="4">
        <v>55464.0</v>
      </c>
      <c r="B124" s="5" t="b">
        <v>1</v>
      </c>
      <c r="C124" s="6" t="s">
        <v>597</v>
      </c>
      <c r="D124" s="1" t="s">
        <v>598</v>
      </c>
      <c r="E124" s="7">
        <v>4045578.0</v>
      </c>
      <c r="F124" s="7">
        <v>-37141.0</v>
      </c>
      <c r="G124" s="1" t="s">
        <v>195</v>
      </c>
      <c r="H124" s="1" t="s">
        <v>599</v>
      </c>
      <c r="I124" s="8">
        <v>44162.67675622685</v>
      </c>
      <c r="J124" s="9">
        <f>+35933808850</f>
        <v>35933808850</v>
      </c>
      <c r="K124" s="4">
        <v>143.0</v>
      </c>
      <c r="L124" s="7">
        <v>5.0</v>
      </c>
      <c r="M124" s="1" t="s">
        <v>600</v>
      </c>
      <c r="N124" s="4">
        <v>349.0</v>
      </c>
      <c r="O124" s="4">
        <v>5.0</v>
      </c>
      <c r="P124" s="1" t="s">
        <v>28</v>
      </c>
      <c r="Q124" s="5" t="b">
        <v>0</v>
      </c>
      <c r="R124" s="5" t="b">
        <v>1</v>
      </c>
      <c r="S124" s="5" t="b">
        <v>0</v>
      </c>
      <c r="T124" s="4" t="s">
        <v>601</v>
      </c>
      <c r="U124" s="5" t="b">
        <v>0</v>
      </c>
      <c r="V124" s="10">
        <v>44737.0</v>
      </c>
      <c r="W124" s="10">
        <v>44770.0</v>
      </c>
    </row>
    <row r="125">
      <c r="A125" s="4">
        <v>55447.0</v>
      </c>
      <c r="B125" s="5" t="b">
        <v>1</v>
      </c>
      <c r="C125" s="6" t="s">
        <v>602</v>
      </c>
      <c r="D125" s="1" t="s">
        <v>603</v>
      </c>
      <c r="E125" s="7">
        <v>4035749.0</v>
      </c>
      <c r="F125" s="7">
        <v>1817937.0</v>
      </c>
      <c r="G125" s="1" t="s">
        <v>604</v>
      </c>
      <c r="H125" s="1" t="s">
        <v>605</v>
      </c>
      <c r="I125" s="8">
        <v>44165.69051123843</v>
      </c>
      <c r="J125" s="9">
        <f>+393805953550</f>
        <v>393805953550</v>
      </c>
      <c r="K125" s="4">
        <v>88.0</v>
      </c>
      <c r="L125" s="7">
        <v>4795455.0</v>
      </c>
      <c r="M125" s="1">
        <v>6.77373733E8</v>
      </c>
      <c r="N125" s="4">
        <v>1430.0</v>
      </c>
      <c r="O125" s="4">
        <v>6.0</v>
      </c>
      <c r="P125" s="1" t="s">
        <v>28</v>
      </c>
      <c r="Q125" s="5" t="b">
        <v>0</v>
      </c>
      <c r="R125" s="5" t="b">
        <v>1</v>
      </c>
      <c r="S125" s="5" t="b">
        <v>0</v>
      </c>
      <c r="T125" s="4" t="s">
        <v>606</v>
      </c>
      <c r="U125" s="5" t="b">
        <v>0</v>
      </c>
      <c r="V125" s="11">
        <v>44875.0</v>
      </c>
      <c r="W125" s="10">
        <v>44710.0</v>
      </c>
    </row>
    <row r="126">
      <c r="A126" s="4">
        <v>5530306.0</v>
      </c>
      <c r="B126" s="5" t="b">
        <v>1</v>
      </c>
      <c r="C126" s="6" t="s">
        <v>607</v>
      </c>
      <c r="D126" s="1" t="s">
        <v>608</v>
      </c>
      <c r="E126" s="7">
        <v>4431484.0</v>
      </c>
      <c r="F126" s="7">
        <v>8474601.0</v>
      </c>
      <c r="G126" s="1" t="s">
        <v>609</v>
      </c>
      <c r="H126" s="1" t="s">
        <v>610</v>
      </c>
      <c r="I126" s="8">
        <v>44174.46463653935</v>
      </c>
      <c r="J126" s="9">
        <f>+393595853588</f>
        <v>393595853588</v>
      </c>
      <c r="K126" s="4">
        <v>4.0</v>
      </c>
      <c r="L126" s="7">
        <v>5.0</v>
      </c>
      <c r="M126" s="1">
        <v>7.77373376E8</v>
      </c>
      <c r="N126" s="4">
        <v>408.0</v>
      </c>
      <c r="O126" s="4">
        <v>2.0</v>
      </c>
      <c r="P126" s="1" t="s">
        <v>28</v>
      </c>
      <c r="Q126" s="5" t="b">
        <v>0</v>
      </c>
      <c r="R126" s="5" t="b">
        <v>1</v>
      </c>
      <c r="S126" s="5" t="b">
        <v>1</v>
      </c>
      <c r="T126" s="4" t="s">
        <v>611</v>
      </c>
      <c r="U126" s="5" t="b">
        <v>0</v>
      </c>
      <c r="V126" s="10">
        <v>44659.0</v>
      </c>
      <c r="W126" s="10">
        <v>44611.0</v>
      </c>
    </row>
    <row r="127">
      <c r="A127" s="4">
        <v>553071.0</v>
      </c>
      <c r="B127" s="5" t="b">
        <v>1</v>
      </c>
      <c r="C127" s="6" t="s">
        <v>612</v>
      </c>
      <c r="D127" s="1" t="s">
        <v>613</v>
      </c>
      <c r="E127" s="7">
        <v>4194497.0</v>
      </c>
      <c r="F127" s="7">
        <v>124666.0</v>
      </c>
      <c r="G127" s="1" t="s">
        <v>25</v>
      </c>
      <c r="H127" s="1" t="s">
        <v>614</v>
      </c>
      <c r="I127" s="8">
        <v>44175.59504454861</v>
      </c>
      <c r="J127" s="9">
        <f>+390939303895</f>
        <v>390939303895</v>
      </c>
      <c r="K127" s="4">
        <v>0.0</v>
      </c>
      <c r="L127" s="7">
        <v>0.0</v>
      </c>
      <c r="M127" s="1">
        <v>3.733773333E9</v>
      </c>
      <c r="N127" s="4">
        <v>132.0</v>
      </c>
      <c r="O127" s="4">
        <v>4.0</v>
      </c>
      <c r="P127" s="1" t="s">
        <v>28</v>
      </c>
      <c r="Q127" s="5" t="b">
        <v>1</v>
      </c>
      <c r="R127" s="5" t="b">
        <v>0</v>
      </c>
      <c r="S127" s="5" t="b">
        <v>0</v>
      </c>
      <c r="T127" s="4">
        <v>0.0</v>
      </c>
      <c r="U127" s="5" t="b">
        <v>0</v>
      </c>
      <c r="V127" s="10">
        <v>44718.0</v>
      </c>
      <c r="W127" s="10">
        <v>44782.0</v>
      </c>
    </row>
    <row r="128">
      <c r="A128" s="4">
        <v>55644.0</v>
      </c>
      <c r="B128" s="5" t="b">
        <v>1</v>
      </c>
      <c r="C128" s="6" t="s">
        <v>615</v>
      </c>
      <c r="D128" s="1" t="s">
        <v>616</v>
      </c>
      <c r="E128" s="7">
        <v>4458057.0</v>
      </c>
      <c r="F128" s="7">
        <v>1082579.0</v>
      </c>
      <c r="G128" s="1" t="s">
        <v>617</v>
      </c>
      <c r="H128" s="1" t="s">
        <v>618</v>
      </c>
      <c r="I128" s="8">
        <v>44181.651470509256</v>
      </c>
      <c r="J128" s="9">
        <f>+39059558835</f>
        <v>39059558835</v>
      </c>
      <c r="K128" s="4">
        <v>9.0</v>
      </c>
      <c r="L128" s="7">
        <v>5.0</v>
      </c>
      <c r="M128" s="1">
        <v>7.3363763E7</v>
      </c>
      <c r="N128" s="4">
        <v>689.0</v>
      </c>
      <c r="O128" s="4">
        <v>5.0</v>
      </c>
      <c r="P128" s="1" t="s">
        <v>39</v>
      </c>
      <c r="Q128" s="5" t="b">
        <v>0</v>
      </c>
      <c r="R128" s="5" t="b">
        <v>1</v>
      </c>
      <c r="S128" s="5" t="b">
        <v>0</v>
      </c>
      <c r="T128" s="4" t="s">
        <v>576</v>
      </c>
      <c r="U128" s="5" t="b">
        <v>0</v>
      </c>
      <c r="V128" s="10">
        <v>44631.0</v>
      </c>
      <c r="W128" s="11">
        <v>44849.0</v>
      </c>
    </row>
    <row r="129">
      <c r="A129" s="4">
        <v>556450.0</v>
      </c>
      <c r="B129" s="5" t="b">
        <v>1</v>
      </c>
      <c r="C129" s="6" t="s">
        <v>619</v>
      </c>
      <c r="D129" s="1" t="s">
        <v>620</v>
      </c>
      <c r="E129" s="7">
        <v>4506599.0</v>
      </c>
      <c r="F129" s="7">
        <v>7635583.0</v>
      </c>
      <c r="G129" s="1" t="s">
        <v>326</v>
      </c>
      <c r="H129" s="1" t="s">
        <v>621</v>
      </c>
      <c r="I129" s="8">
        <v>44187.403710625</v>
      </c>
      <c r="J129" s="9">
        <f>+390333885335</f>
        <v>390333885335</v>
      </c>
      <c r="K129" s="4">
        <v>362.0</v>
      </c>
      <c r="L129" s="7">
        <v>4743094.0</v>
      </c>
      <c r="M129" s="1">
        <v>7.773373333E9</v>
      </c>
      <c r="N129" s="4">
        <v>4439.0</v>
      </c>
      <c r="O129" s="4">
        <v>15.0</v>
      </c>
      <c r="P129" s="1" t="s">
        <v>39</v>
      </c>
      <c r="Q129" s="5" t="b">
        <v>0</v>
      </c>
      <c r="R129" s="5" t="b">
        <v>1</v>
      </c>
      <c r="S129" s="5" t="b">
        <v>0</v>
      </c>
      <c r="T129" s="4" t="s">
        <v>622</v>
      </c>
      <c r="U129" s="5" t="b">
        <v>0</v>
      </c>
      <c r="V129" s="10">
        <v>44891.0</v>
      </c>
      <c r="W129" s="10">
        <v>44872.0</v>
      </c>
    </row>
    <row r="130">
      <c r="A130" s="4">
        <v>54176.0</v>
      </c>
      <c r="B130" s="5" t="b">
        <v>1</v>
      </c>
      <c r="C130" s="6" t="s">
        <v>623</v>
      </c>
      <c r="D130" s="1" t="s">
        <v>624</v>
      </c>
      <c r="E130" s="7">
        <v>3799766.0</v>
      </c>
      <c r="F130" s="7">
        <v>-11325.0</v>
      </c>
      <c r="G130" s="1" t="s">
        <v>625</v>
      </c>
      <c r="H130" s="1" t="s">
        <v>626</v>
      </c>
      <c r="I130" s="8">
        <v>44195.39185945602</v>
      </c>
      <c r="J130" s="9">
        <f>+35998938098</f>
        <v>35998938098</v>
      </c>
      <c r="K130" s="4">
        <v>174.0</v>
      </c>
      <c r="L130" s="7">
        <v>4977011.0</v>
      </c>
      <c r="M130" s="1" t="s">
        <v>627</v>
      </c>
      <c r="N130" s="4">
        <v>7806.0</v>
      </c>
      <c r="O130" s="4">
        <v>14.0</v>
      </c>
      <c r="P130" s="1" t="s">
        <v>28</v>
      </c>
      <c r="Q130" s="5" t="b">
        <v>0</v>
      </c>
      <c r="R130" s="5" t="b">
        <v>1</v>
      </c>
      <c r="S130" s="5" t="b">
        <v>0</v>
      </c>
      <c r="T130" s="4" t="s">
        <v>628</v>
      </c>
      <c r="U130" s="5" t="b">
        <v>0</v>
      </c>
      <c r="V130" s="10">
        <v>44810.0</v>
      </c>
      <c r="W130" s="10">
        <v>44851.0</v>
      </c>
    </row>
    <row r="131">
      <c r="A131" s="4">
        <v>54470.0</v>
      </c>
      <c r="B131" s="5" t="b">
        <v>1</v>
      </c>
      <c r="C131" s="6" t="s">
        <v>629</v>
      </c>
      <c r="D131" s="1" t="s">
        <v>630</v>
      </c>
      <c r="E131" s="7">
        <v>3892632.0</v>
      </c>
      <c r="F131" s="7">
        <v>1658158.0</v>
      </c>
      <c r="G131" s="1" t="s">
        <v>631</v>
      </c>
      <c r="H131" s="1" t="s">
        <v>632</v>
      </c>
      <c r="I131" s="8">
        <v>44195.502200219904</v>
      </c>
      <c r="J131" s="9">
        <f>+390993355389</f>
        <v>390993355389</v>
      </c>
      <c r="K131" s="4">
        <v>65.0</v>
      </c>
      <c r="L131" s="7">
        <v>4953846.0</v>
      </c>
      <c r="M131" s="1">
        <v>7.636333773E9</v>
      </c>
      <c r="N131" s="4">
        <v>1416.0</v>
      </c>
      <c r="O131" s="4">
        <v>6.0</v>
      </c>
      <c r="P131" s="1" t="s">
        <v>28</v>
      </c>
      <c r="Q131" s="5" t="b">
        <v>0</v>
      </c>
      <c r="R131" s="5" t="b">
        <v>1</v>
      </c>
      <c r="S131" s="5" t="b">
        <v>0</v>
      </c>
      <c r="T131" s="4" t="s">
        <v>633</v>
      </c>
      <c r="U131" s="5" t="b">
        <v>1</v>
      </c>
      <c r="V131" s="10">
        <v>44903.0</v>
      </c>
      <c r="W131" s="10">
        <v>44903.0</v>
      </c>
    </row>
    <row r="132">
      <c r="A132" s="4">
        <v>545504.0</v>
      </c>
      <c r="B132" s="5" t="b">
        <v>1</v>
      </c>
      <c r="C132" s="6" t="s">
        <v>634</v>
      </c>
      <c r="D132" s="1" t="s">
        <v>635</v>
      </c>
      <c r="E132" s="7">
        <v>3847765.0</v>
      </c>
      <c r="F132" s="7">
        <v>-78416.0</v>
      </c>
      <c r="G132" s="1" t="s">
        <v>636</v>
      </c>
      <c r="H132" s="1" t="s">
        <v>637</v>
      </c>
      <c r="I132" s="8">
        <v>44207.673555127316</v>
      </c>
      <c r="J132" s="9">
        <f>+35995335939</f>
        <v>35995335939</v>
      </c>
      <c r="K132" s="4">
        <v>217.0</v>
      </c>
      <c r="L132" s="7">
        <v>4990783.0</v>
      </c>
      <c r="M132" s="1" t="s">
        <v>638</v>
      </c>
      <c r="N132" s="4">
        <v>2631.0</v>
      </c>
      <c r="O132" s="4">
        <v>8.0</v>
      </c>
      <c r="P132" s="1" t="s">
        <v>28</v>
      </c>
      <c r="Q132" s="5" t="b">
        <v>0</v>
      </c>
      <c r="R132" s="5" t="b">
        <v>1</v>
      </c>
      <c r="S132" s="5" t="b">
        <v>0</v>
      </c>
      <c r="T132" s="4" t="s">
        <v>639</v>
      </c>
      <c r="U132" s="5" t="b">
        <v>0</v>
      </c>
      <c r="V132" s="10">
        <v>44903.0</v>
      </c>
      <c r="W132" s="10">
        <v>44903.0</v>
      </c>
    </row>
    <row r="133">
      <c r="A133" s="4">
        <v>54561.0</v>
      </c>
      <c r="B133" s="5" t="b">
        <v>1</v>
      </c>
      <c r="C133" s="6" t="s">
        <v>640</v>
      </c>
      <c r="D133" s="1" t="s">
        <v>641</v>
      </c>
      <c r="E133" s="7">
        <v>3778438.0</v>
      </c>
      <c r="F133" s="7">
        <v>1483857.0</v>
      </c>
      <c r="G133" s="1" t="s">
        <v>642</v>
      </c>
      <c r="H133" s="1" t="s">
        <v>643</v>
      </c>
      <c r="I133" s="8">
        <v>44210.47903944444</v>
      </c>
      <c r="J133" s="9">
        <f>+393888003938</f>
        <v>393888003938</v>
      </c>
      <c r="K133" s="4">
        <v>53.0</v>
      </c>
      <c r="L133" s="7">
        <v>4962264.0</v>
      </c>
      <c r="M133" s="1">
        <v>73.0</v>
      </c>
      <c r="N133" s="4">
        <v>644.0</v>
      </c>
      <c r="O133" s="4">
        <v>5.0</v>
      </c>
      <c r="P133" s="1" t="s">
        <v>28</v>
      </c>
      <c r="Q133" s="5" t="b">
        <v>0</v>
      </c>
      <c r="R133" s="5" t="b">
        <v>0</v>
      </c>
      <c r="S133" s="5" t="b">
        <v>0</v>
      </c>
      <c r="T133" s="4" t="s">
        <v>380</v>
      </c>
      <c r="U133" s="5" t="b">
        <v>0</v>
      </c>
      <c r="V133" s="10">
        <v>44790.0</v>
      </c>
      <c r="W133" s="10">
        <v>44821.0</v>
      </c>
    </row>
    <row r="134">
      <c r="A134" s="4">
        <v>545530.0</v>
      </c>
      <c r="B134" s="5" t="b">
        <v>1</v>
      </c>
      <c r="C134" s="6" t="s">
        <v>644</v>
      </c>
      <c r="D134" s="1" t="s">
        <v>645</v>
      </c>
      <c r="E134" s="7">
        <v>4045332.0</v>
      </c>
      <c r="F134" s="7">
        <v>172597.0</v>
      </c>
      <c r="G134" s="1" t="s">
        <v>646</v>
      </c>
      <c r="H134" s="1" t="s">
        <v>647</v>
      </c>
      <c r="I134" s="8">
        <v>44214.6538505787</v>
      </c>
      <c r="J134" s="9">
        <f>+390993389333</f>
        <v>390993389333</v>
      </c>
      <c r="K134" s="4">
        <v>240.0</v>
      </c>
      <c r="L134" s="7">
        <v>490795.0</v>
      </c>
      <c r="M134" s="1">
        <v>7.7373773E7</v>
      </c>
      <c r="N134" s="4">
        <v>8933.0</v>
      </c>
      <c r="O134" s="4">
        <v>23.0</v>
      </c>
      <c r="P134" s="1" t="s">
        <v>33</v>
      </c>
      <c r="Q134" s="5" t="b">
        <v>0</v>
      </c>
      <c r="R134" s="5" t="b">
        <v>1</v>
      </c>
      <c r="S134" s="5" t="b">
        <v>0</v>
      </c>
      <c r="T134" s="4" t="s">
        <v>648</v>
      </c>
      <c r="U134" s="5" t="b">
        <v>0</v>
      </c>
      <c r="V134" s="10">
        <v>44903.0</v>
      </c>
      <c r="W134" s="10">
        <v>44903.0</v>
      </c>
    </row>
    <row r="135">
      <c r="A135" s="4">
        <v>530054.0</v>
      </c>
      <c r="B135" s="5" t="b">
        <v>1</v>
      </c>
      <c r="C135" s="6" t="s">
        <v>649</v>
      </c>
      <c r="D135" s="1" t="s">
        <v>650</v>
      </c>
      <c r="E135" s="7">
        <v>4539654.0</v>
      </c>
      <c r="F135" s="7">
        <v>8918041.0</v>
      </c>
      <c r="G135" s="1" t="s">
        <v>651</v>
      </c>
      <c r="H135" s="1" t="s">
        <v>652</v>
      </c>
      <c r="I135" s="8">
        <v>44216.426801064816</v>
      </c>
      <c r="J135" s="9">
        <f>+393353033890</f>
        <v>393353033890</v>
      </c>
      <c r="K135" s="4">
        <v>46.0</v>
      </c>
      <c r="L135" s="7">
        <v>4586957.0</v>
      </c>
      <c r="M135" s="1">
        <v>7.37733333E8</v>
      </c>
      <c r="N135" s="4">
        <v>620.0</v>
      </c>
      <c r="O135" s="4">
        <v>3.0</v>
      </c>
      <c r="P135" s="1" t="s">
        <v>33</v>
      </c>
      <c r="Q135" s="5" t="b">
        <v>0</v>
      </c>
      <c r="R135" s="5" t="b">
        <v>1</v>
      </c>
      <c r="S135" s="5" t="b">
        <v>0</v>
      </c>
      <c r="T135" s="4" t="s">
        <v>653</v>
      </c>
      <c r="U135" s="5" t="b">
        <v>0</v>
      </c>
      <c r="V135" s="10">
        <v>44688.0</v>
      </c>
      <c r="W135" s="10">
        <v>44867.0</v>
      </c>
    </row>
    <row r="136">
      <c r="A136" s="4">
        <v>530040.0</v>
      </c>
      <c r="B136" s="5" t="b">
        <v>1</v>
      </c>
      <c r="C136" s="6" t="s">
        <v>654</v>
      </c>
      <c r="D136" s="1" t="s">
        <v>655</v>
      </c>
      <c r="E136" s="7">
        <v>4042565.0</v>
      </c>
      <c r="F136" s="7">
        <v>-368804.0</v>
      </c>
      <c r="G136" s="1" t="s">
        <v>195</v>
      </c>
      <c r="H136" s="1" t="s">
        <v>656</v>
      </c>
      <c r="I136" s="8">
        <v>44222.6218209838</v>
      </c>
      <c r="J136" s="8"/>
      <c r="K136" s="4">
        <v>0.0</v>
      </c>
      <c r="L136" s="7">
        <v>0.0</v>
      </c>
      <c r="M136" s="1" t="s">
        <v>657</v>
      </c>
      <c r="N136" s="4">
        <v>372.0</v>
      </c>
      <c r="O136" s="4">
        <v>10.0</v>
      </c>
      <c r="P136" s="1" t="s">
        <v>28</v>
      </c>
      <c r="Q136" s="5" t="b">
        <v>0</v>
      </c>
      <c r="R136" s="5" t="b">
        <v>0</v>
      </c>
      <c r="S136" s="5" t="b">
        <v>0</v>
      </c>
      <c r="T136" s="4">
        <v>0.0</v>
      </c>
      <c r="U136" s="5" t="b">
        <v>0</v>
      </c>
      <c r="V136" s="11">
        <v>44862.0</v>
      </c>
      <c r="W136" s="10">
        <v>44699.0</v>
      </c>
    </row>
    <row r="137">
      <c r="A137" s="4">
        <v>5300450.0</v>
      </c>
      <c r="B137" s="5" t="b">
        <v>1</v>
      </c>
      <c r="C137" s="6" t="s">
        <v>658</v>
      </c>
      <c r="D137" s="1" t="s">
        <v>659</v>
      </c>
      <c r="E137" s="7">
        <v>4438093.0</v>
      </c>
      <c r="F137" s="7">
        <v>7538481.0</v>
      </c>
      <c r="G137" s="1" t="s">
        <v>660</v>
      </c>
      <c r="H137" s="1" t="s">
        <v>661</v>
      </c>
      <c r="I137" s="8">
        <v>44222.69870959491</v>
      </c>
      <c r="J137" s="9">
        <f>+390333930898</f>
        <v>390333930898</v>
      </c>
      <c r="K137" s="4">
        <v>213.0</v>
      </c>
      <c r="L137" s="7">
        <v>4901408.0</v>
      </c>
      <c r="M137" s="1">
        <v>7.376333333E9</v>
      </c>
      <c r="N137" s="4">
        <v>1218.0</v>
      </c>
      <c r="O137" s="4">
        <v>4.0</v>
      </c>
      <c r="P137" s="1" t="s">
        <v>33</v>
      </c>
      <c r="Q137" s="5" t="b">
        <v>0</v>
      </c>
      <c r="R137" s="5" t="b">
        <v>0</v>
      </c>
      <c r="S137" s="5" t="b">
        <v>0</v>
      </c>
      <c r="T137" s="4" t="s">
        <v>170</v>
      </c>
      <c r="U137" s="5" t="b">
        <v>0</v>
      </c>
      <c r="V137" s="10">
        <v>44644.0</v>
      </c>
      <c r="W137" s="10">
        <v>44687.0</v>
      </c>
    </row>
    <row r="138">
      <c r="A138" s="4">
        <v>530144.0</v>
      </c>
      <c r="B138" s="5" t="b">
        <v>1</v>
      </c>
      <c r="C138" s="6" t="s">
        <v>662</v>
      </c>
      <c r="D138" s="1" t="s">
        <v>663</v>
      </c>
      <c r="E138" s="7">
        <v>4190998.0</v>
      </c>
      <c r="F138" s="7">
        <v>1251807.0</v>
      </c>
      <c r="G138" s="1" t="s">
        <v>25</v>
      </c>
      <c r="H138" s="1" t="s">
        <v>664</v>
      </c>
      <c r="I138" s="8">
        <v>44235.37739591435</v>
      </c>
      <c r="J138" s="9">
        <f>+393500800398</f>
        <v>393500800398</v>
      </c>
      <c r="K138" s="4">
        <v>45.0</v>
      </c>
      <c r="L138" s="7">
        <v>4911111.0</v>
      </c>
      <c r="M138" s="1">
        <v>3.333633337E9</v>
      </c>
      <c r="N138" s="4">
        <v>635.0</v>
      </c>
      <c r="O138" s="4">
        <v>3.0</v>
      </c>
      <c r="P138" s="1" t="s">
        <v>28</v>
      </c>
      <c r="Q138" s="5" t="b">
        <v>0</v>
      </c>
      <c r="R138" s="5" t="b">
        <v>1</v>
      </c>
      <c r="S138" s="5" t="b">
        <v>1</v>
      </c>
      <c r="T138" s="4" t="s">
        <v>665</v>
      </c>
      <c r="U138" s="5" t="b">
        <v>0</v>
      </c>
      <c r="V138" s="10">
        <v>44818.0</v>
      </c>
      <c r="W138" s="10">
        <v>44818.0</v>
      </c>
    </row>
    <row r="139">
      <c r="A139" s="4">
        <v>5305050.0</v>
      </c>
      <c r="B139" s="5" t="b">
        <v>1</v>
      </c>
      <c r="C139" s="6" t="s">
        <v>666</v>
      </c>
      <c r="D139" s="1" t="s">
        <v>667</v>
      </c>
      <c r="E139" s="7">
        <v>3520646.0</v>
      </c>
      <c r="F139" s="7">
        <v>2610495.0</v>
      </c>
      <c r="G139" s="1" t="s">
        <v>668</v>
      </c>
      <c r="H139" s="1" t="s">
        <v>669</v>
      </c>
      <c r="I139" s="8">
        <v>44236.39754711805</v>
      </c>
      <c r="J139" s="9">
        <f>+308853089803</f>
        <v>308853089803</v>
      </c>
      <c r="K139" s="4">
        <v>14.0</v>
      </c>
      <c r="L139" s="7">
        <v>4428571.0</v>
      </c>
      <c r="M139" s="1">
        <v>7373373.0</v>
      </c>
      <c r="N139" s="4">
        <v>1525.0</v>
      </c>
      <c r="O139" s="4">
        <v>3.0</v>
      </c>
      <c r="P139" s="1" t="s">
        <v>33</v>
      </c>
      <c r="Q139" s="5" t="b">
        <v>0</v>
      </c>
      <c r="R139" s="5" t="b">
        <v>0</v>
      </c>
      <c r="S139" s="5" t="b">
        <v>1</v>
      </c>
      <c r="T139" s="4" t="s">
        <v>670</v>
      </c>
      <c r="U139" s="5" t="b">
        <v>0</v>
      </c>
      <c r="V139" s="10">
        <v>44675.0</v>
      </c>
      <c r="W139" s="10">
        <v>44728.0</v>
      </c>
    </row>
    <row r="140">
      <c r="A140" s="4">
        <v>530545.0</v>
      </c>
      <c r="B140" s="5" t="b">
        <v>1</v>
      </c>
      <c r="C140" s="6" t="s">
        <v>671</v>
      </c>
      <c r="D140" s="1" t="s">
        <v>672</v>
      </c>
      <c r="E140" s="7">
        <v>4190103.0</v>
      </c>
      <c r="F140" s="7">
        <v>1267825.0</v>
      </c>
      <c r="G140" s="1" t="s">
        <v>25</v>
      </c>
      <c r="H140" s="1" t="s">
        <v>673</v>
      </c>
      <c r="I140" s="8">
        <v>44239.74921292824</v>
      </c>
      <c r="J140" s="9">
        <f>+393988008333</f>
        <v>393988008333</v>
      </c>
      <c r="K140" s="4">
        <v>0.0</v>
      </c>
      <c r="L140" s="7">
        <v>0.0</v>
      </c>
      <c r="M140" s="1">
        <v>7.336373337E9</v>
      </c>
      <c r="N140" s="4">
        <v>615.0</v>
      </c>
      <c r="O140" s="4">
        <v>6.0</v>
      </c>
      <c r="P140" s="1" t="s">
        <v>28</v>
      </c>
      <c r="Q140" s="5" t="b">
        <v>1</v>
      </c>
      <c r="R140" s="5" t="b">
        <v>0</v>
      </c>
      <c r="S140" s="5" t="b">
        <v>0</v>
      </c>
      <c r="T140" s="4">
        <v>0.0</v>
      </c>
      <c r="U140" s="5" t="b">
        <v>0</v>
      </c>
      <c r="V140" s="10">
        <v>44699.0</v>
      </c>
      <c r="W140" s="10">
        <v>44806.0</v>
      </c>
    </row>
    <row r="141">
      <c r="A141" s="4">
        <v>5305054.0</v>
      </c>
      <c r="B141" s="5" t="b">
        <v>1</v>
      </c>
      <c r="C141" s="6" t="s">
        <v>674</v>
      </c>
      <c r="D141" s="1" t="s">
        <v>675</v>
      </c>
      <c r="E141" s="7">
        <v>3678648.0</v>
      </c>
      <c r="F141" s="7">
        <v>1490734.0</v>
      </c>
      <c r="G141" s="1" t="s">
        <v>676</v>
      </c>
      <c r="H141" s="1" t="s">
        <v>677</v>
      </c>
      <c r="I141" s="8">
        <v>44249.49711092593</v>
      </c>
      <c r="J141" s="9">
        <f>+393353838930</f>
        <v>393353838930</v>
      </c>
      <c r="K141" s="4">
        <v>85.0</v>
      </c>
      <c r="L141" s="7">
        <v>4988235.0</v>
      </c>
      <c r="M141" s="1">
        <v>6.37733333E8</v>
      </c>
      <c r="N141" s="4">
        <v>1015.0</v>
      </c>
      <c r="O141" s="4">
        <v>3.0</v>
      </c>
      <c r="P141" s="1" t="s">
        <v>39</v>
      </c>
      <c r="Q141" s="5" t="b">
        <v>0</v>
      </c>
      <c r="R141" s="5" t="b">
        <v>1</v>
      </c>
      <c r="S141" s="5" t="b">
        <v>0</v>
      </c>
      <c r="T141" s="4" t="s">
        <v>429</v>
      </c>
      <c r="U141" s="5" t="b">
        <v>0</v>
      </c>
      <c r="V141" s="10">
        <v>44619.0</v>
      </c>
      <c r="W141" s="10">
        <v>44816.0</v>
      </c>
    </row>
    <row r="142">
      <c r="A142" s="4">
        <v>5305064.0</v>
      </c>
      <c r="B142" s="5" t="b">
        <v>1</v>
      </c>
      <c r="C142" s="6" t="s">
        <v>678</v>
      </c>
      <c r="D142" s="1" t="s">
        <v>679</v>
      </c>
      <c r="E142" s="7">
        <v>4092727.0</v>
      </c>
      <c r="F142" s="7">
        <v>1420319.0</v>
      </c>
      <c r="G142" s="1" t="s">
        <v>680</v>
      </c>
      <c r="H142" s="1" t="s">
        <v>681</v>
      </c>
      <c r="I142" s="8">
        <v>44252.43889638889</v>
      </c>
      <c r="J142" s="9">
        <f>+3908339380995</f>
        <v>3908339380995</v>
      </c>
      <c r="K142" s="4">
        <v>9.0</v>
      </c>
      <c r="L142" s="7">
        <v>5.0</v>
      </c>
      <c r="M142" s="1">
        <v>7.77773336E8</v>
      </c>
      <c r="N142" s="4">
        <v>759.0</v>
      </c>
      <c r="O142" s="4">
        <v>2.0</v>
      </c>
      <c r="P142" s="1" t="s">
        <v>33</v>
      </c>
      <c r="Q142" s="5" t="b">
        <v>0</v>
      </c>
      <c r="R142" s="5" t="b">
        <v>1</v>
      </c>
      <c r="S142" s="5" t="b">
        <v>0</v>
      </c>
      <c r="T142" s="4" t="s">
        <v>576</v>
      </c>
      <c r="U142" s="5" t="b">
        <v>0</v>
      </c>
      <c r="V142" s="11">
        <v>44878.0</v>
      </c>
      <c r="W142" s="10">
        <v>44805.0</v>
      </c>
    </row>
    <row r="143">
      <c r="A143" s="4">
        <v>5305071.0</v>
      </c>
      <c r="B143" s="5" t="b">
        <v>1</v>
      </c>
      <c r="C143" s="6" t="s">
        <v>682</v>
      </c>
      <c r="D143" s="1" t="s">
        <v>683</v>
      </c>
      <c r="E143" s="7">
        <v>4107498.0</v>
      </c>
      <c r="F143" s="7">
        <v>1433377.0</v>
      </c>
      <c r="G143" s="1" t="s">
        <v>684</v>
      </c>
      <c r="H143" s="1" t="s">
        <v>685</v>
      </c>
      <c r="I143" s="8">
        <v>44252.64168752315</v>
      </c>
      <c r="J143" s="9">
        <f>+3908833553393</f>
        <v>3908833553393</v>
      </c>
      <c r="K143" s="4">
        <v>11.0</v>
      </c>
      <c r="L143" s="7">
        <v>5.0</v>
      </c>
      <c r="M143" s="1">
        <v>7.77773336E8</v>
      </c>
      <c r="N143" s="4">
        <v>739.0</v>
      </c>
      <c r="O143" s="4">
        <v>2.0</v>
      </c>
      <c r="P143" s="1" t="s">
        <v>33</v>
      </c>
      <c r="Q143" s="5" t="b">
        <v>0</v>
      </c>
      <c r="R143" s="5" t="b">
        <v>0</v>
      </c>
      <c r="S143" s="5" t="b">
        <v>0</v>
      </c>
      <c r="T143" s="4" t="s">
        <v>358</v>
      </c>
      <c r="U143" s="5" t="b">
        <v>0</v>
      </c>
      <c r="V143" s="11">
        <v>44886.0</v>
      </c>
      <c r="W143" s="10">
        <v>44652.0</v>
      </c>
    </row>
    <row r="144">
      <c r="A144" s="4">
        <v>5305075.0</v>
      </c>
      <c r="B144" s="5" t="b">
        <v>1</v>
      </c>
      <c r="C144" s="6" t="s">
        <v>686</v>
      </c>
      <c r="D144" s="1" t="s">
        <v>687</v>
      </c>
      <c r="E144" s="7">
        <v>4084737.0</v>
      </c>
      <c r="F144" s="7">
        <v>1419253.0</v>
      </c>
      <c r="G144" s="1" t="s">
        <v>143</v>
      </c>
      <c r="H144" s="1" t="s">
        <v>688</v>
      </c>
      <c r="I144" s="8">
        <v>44252.70774230324</v>
      </c>
      <c r="J144" s="9">
        <f>+393390085388</f>
        <v>393390085388</v>
      </c>
      <c r="K144" s="4">
        <v>5.0</v>
      </c>
      <c r="L144" s="7">
        <v>5.0</v>
      </c>
      <c r="M144" s="1">
        <v>7.77773336E8</v>
      </c>
      <c r="N144" s="4">
        <v>701.0</v>
      </c>
      <c r="O144" s="4">
        <v>2.0</v>
      </c>
      <c r="P144" s="1" t="s">
        <v>28</v>
      </c>
      <c r="Q144" s="5" t="b">
        <v>0</v>
      </c>
      <c r="R144" s="5" t="b">
        <v>0</v>
      </c>
      <c r="S144" s="5" t="b">
        <v>0</v>
      </c>
      <c r="T144" s="4" t="s">
        <v>689</v>
      </c>
      <c r="U144" s="5" t="b">
        <v>0</v>
      </c>
      <c r="V144" s="10">
        <v>44640.0</v>
      </c>
      <c r="W144" s="10">
        <v>44621.0</v>
      </c>
    </row>
    <row r="145">
      <c r="A145" s="4">
        <v>5305040.0</v>
      </c>
      <c r="B145" s="5" t="b">
        <v>1</v>
      </c>
      <c r="C145" s="6" t="s">
        <v>690</v>
      </c>
      <c r="D145" s="1" t="s">
        <v>691</v>
      </c>
      <c r="E145" s="7">
        <v>448653.0</v>
      </c>
      <c r="F145" s="7">
        <v>1005974.0</v>
      </c>
      <c r="G145" s="1" t="s">
        <v>692</v>
      </c>
      <c r="H145" s="1" t="s">
        <v>693</v>
      </c>
      <c r="I145" s="8">
        <v>44253.42226425926</v>
      </c>
      <c r="J145" s="9">
        <f>+393333389355</f>
        <v>393333389355</v>
      </c>
      <c r="K145" s="4">
        <v>5.0</v>
      </c>
      <c r="L145" s="7">
        <v>5.0</v>
      </c>
      <c r="M145" s="1">
        <v>7.73373733E8</v>
      </c>
      <c r="N145" s="4">
        <v>683.0</v>
      </c>
      <c r="O145" s="4">
        <v>5.0</v>
      </c>
      <c r="P145" s="1" t="s">
        <v>28</v>
      </c>
      <c r="Q145" s="5" t="b">
        <v>0</v>
      </c>
      <c r="R145" s="5" t="b">
        <v>0</v>
      </c>
      <c r="S145" s="5" t="b">
        <v>0</v>
      </c>
      <c r="T145" s="4" t="s">
        <v>689</v>
      </c>
      <c r="U145" s="5" t="b">
        <v>0</v>
      </c>
      <c r="V145" s="10">
        <v>44786.0</v>
      </c>
      <c r="W145" s="10">
        <v>44582.0</v>
      </c>
    </row>
    <row r="146">
      <c r="A146" s="4">
        <v>5.305043E7</v>
      </c>
      <c r="B146" s="5" t="b">
        <v>1</v>
      </c>
      <c r="C146" s="6" t="s">
        <v>694</v>
      </c>
      <c r="D146" s="1" t="s">
        <v>695</v>
      </c>
      <c r="E146" s="7">
        <v>4190084.0</v>
      </c>
      <c r="F146" s="7">
        <v>1249265.0</v>
      </c>
      <c r="G146" s="1" t="s">
        <v>25</v>
      </c>
      <c r="H146" s="1" t="s">
        <v>696</v>
      </c>
      <c r="I146" s="8">
        <v>44253.467653148145</v>
      </c>
      <c r="J146" s="8"/>
      <c r="K146" s="4">
        <v>787.0</v>
      </c>
      <c r="L146" s="7">
        <v>4866582.0</v>
      </c>
      <c r="M146" s="1">
        <v>3.33673763E8</v>
      </c>
      <c r="N146" s="4">
        <v>5166.0</v>
      </c>
      <c r="O146" s="4">
        <v>6.0</v>
      </c>
      <c r="P146" s="1" t="s">
        <v>28</v>
      </c>
      <c r="Q146" s="5" t="b">
        <v>0</v>
      </c>
      <c r="R146" s="5" t="b">
        <v>0</v>
      </c>
      <c r="S146" s="5" t="b">
        <v>0</v>
      </c>
      <c r="T146" s="4" t="s">
        <v>170</v>
      </c>
      <c r="U146" s="5" t="b">
        <v>0</v>
      </c>
      <c r="V146" s="10">
        <v>44899.0</v>
      </c>
      <c r="W146" s="10">
        <v>44880.0</v>
      </c>
    </row>
    <row r="147">
      <c r="A147" s="4">
        <v>5303050.0</v>
      </c>
      <c r="B147" s="5" t="b">
        <v>1</v>
      </c>
      <c r="C147" s="6" t="s">
        <v>489</v>
      </c>
      <c r="D147" s="1" t="s">
        <v>490</v>
      </c>
      <c r="E147" s="7">
        <v>404005.0</v>
      </c>
      <c r="F147" s="7">
        <v>-371009.0</v>
      </c>
      <c r="G147" s="1" t="s">
        <v>195</v>
      </c>
      <c r="H147" s="1" t="s">
        <v>697</v>
      </c>
      <c r="I147" s="8">
        <v>44266.700161863424</v>
      </c>
      <c r="J147" s="9">
        <f>+35935333059</f>
        <v>35935333059</v>
      </c>
      <c r="K147" s="4">
        <v>30.0</v>
      </c>
      <c r="L147" s="7">
        <v>5.0</v>
      </c>
      <c r="M147" s="1" t="s">
        <v>698</v>
      </c>
      <c r="N147" s="4">
        <v>5268.0</v>
      </c>
      <c r="O147" s="4">
        <v>6.0</v>
      </c>
      <c r="P147" s="1" t="s">
        <v>28</v>
      </c>
      <c r="Q147" s="5" t="b">
        <v>0</v>
      </c>
      <c r="R147" s="5" t="b">
        <v>1</v>
      </c>
      <c r="S147" s="5" t="b">
        <v>0</v>
      </c>
      <c r="T147" s="4" t="s">
        <v>699</v>
      </c>
      <c r="U147" s="5" t="b">
        <v>0</v>
      </c>
      <c r="V147" s="10">
        <v>44903.0</v>
      </c>
      <c r="W147" s="10">
        <v>44903.0</v>
      </c>
    </row>
    <row r="148">
      <c r="A148" s="4">
        <v>5303044.0</v>
      </c>
      <c r="B148" s="5" t="b">
        <v>1</v>
      </c>
      <c r="C148" s="6" t="s">
        <v>700</v>
      </c>
      <c r="D148" s="1" t="s">
        <v>701</v>
      </c>
      <c r="E148" s="7">
        <v>4543633.0</v>
      </c>
      <c r="F148" s="7">
        <v>9179008.0</v>
      </c>
      <c r="G148" s="1" t="s">
        <v>37</v>
      </c>
      <c r="H148" s="1" t="s">
        <v>702</v>
      </c>
      <c r="I148" s="8">
        <v>44270.39682019676</v>
      </c>
      <c r="J148" s="9">
        <f>+393895903539</f>
        <v>393895903539</v>
      </c>
      <c r="K148" s="4">
        <v>0.0</v>
      </c>
      <c r="L148" s="7">
        <v>0.0</v>
      </c>
      <c r="M148" s="1">
        <v>6.37633333E8</v>
      </c>
      <c r="N148" s="4">
        <v>2373.0</v>
      </c>
      <c r="O148" s="4">
        <v>4.0</v>
      </c>
      <c r="P148" s="1" t="s">
        <v>39</v>
      </c>
      <c r="Q148" s="5" t="b">
        <v>0</v>
      </c>
      <c r="R148" s="5" t="b">
        <v>0</v>
      </c>
      <c r="S148" s="5" t="b">
        <v>0</v>
      </c>
      <c r="T148" s="4">
        <v>0.0</v>
      </c>
      <c r="U148" s="5" t="b">
        <v>0</v>
      </c>
      <c r="V148" s="11">
        <v>44890.0</v>
      </c>
      <c r="W148" s="11">
        <v>44850.0</v>
      </c>
    </row>
    <row r="149">
      <c r="A149" s="4">
        <v>5303056.0</v>
      </c>
      <c r="B149" s="5" t="b">
        <v>1</v>
      </c>
      <c r="C149" s="6" t="s">
        <v>703</v>
      </c>
      <c r="D149" s="1" t="s">
        <v>704</v>
      </c>
      <c r="E149" s="7">
        <v>4091008.0</v>
      </c>
      <c r="F149" s="7">
        <v>1439398.0</v>
      </c>
      <c r="G149" s="1" t="s">
        <v>705</v>
      </c>
      <c r="H149" s="1" t="s">
        <v>706</v>
      </c>
      <c r="I149" s="8">
        <v>44277.36788612269</v>
      </c>
      <c r="J149" s="9">
        <f>+3908339339953</f>
        <v>3908339339953</v>
      </c>
      <c r="K149" s="4">
        <v>0.0</v>
      </c>
      <c r="L149" s="7">
        <v>0.0</v>
      </c>
      <c r="M149" s="1">
        <v>7.77773336E8</v>
      </c>
      <c r="N149" s="4">
        <v>667.0</v>
      </c>
      <c r="O149" s="4">
        <v>2.0</v>
      </c>
      <c r="P149" s="1" t="s">
        <v>33</v>
      </c>
      <c r="Q149" s="5" t="b">
        <v>0</v>
      </c>
      <c r="R149" s="5" t="b">
        <v>1</v>
      </c>
      <c r="S149" s="5" t="b">
        <v>0</v>
      </c>
      <c r="T149" s="4">
        <v>0.0</v>
      </c>
      <c r="U149" s="5" t="b">
        <v>0</v>
      </c>
      <c r="V149" s="10">
        <v>44793.0</v>
      </c>
      <c r="W149" s="10">
        <v>44598.0</v>
      </c>
    </row>
    <row r="150">
      <c r="A150" s="4">
        <v>530604.0</v>
      </c>
      <c r="B150" s="5" t="b">
        <v>1</v>
      </c>
      <c r="C150" s="6" t="s">
        <v>707</v>
      </c>
      <c r="D150" s="1" t="s">
        <v>708</v>
      </c>
      <c r="E150" s="7">
        <v>4043728.0</v>
      </c>
      <c r="F150" s="7">
        <v>-367514.0</v>
      </c>
      <c r="G150" s="1" t="s">
        <v>195</v>
      </c>
      <c r="H150" s="1" t="s">
        <v>709</v>
      </c>
      <c r="I150" s="8">
        <v>44277.4965734375</v>
      </c>
      <c r="J150" s="9">
        <f>+35985338853</f>
        <v>35985338853</v>
      </c>
      <c r="K150" s="4">
        <v>51.0</v>
      </c>
      <c r="L150" s="7">
        <v>5.0</v>
      </c>
      <c r="M150" s="1" t="s">
        <v>710</v>
      </c>
      <c r="N150" s="4">
        <v>877.0</v>
      </c>
      <c r="O150" s="4">
        <v>2.0</v>
      </c>
      <c r="P150" s="1" t="s">
        <v>28</v>
      </c>
      <c r="Q150" s="5" t="b">
        <v>0</v>
      </c>
      <c r="R150" s="5" t="b">
        <v>1</v>
      </c>
      <c r="S150" s="5" t="b">
        <v>0</v>
      </c>
      <c r="T150" s="4" t="s">
        <v>711</v>
      </c>
      <c r="U150" s="5" t="b">
        <v>1</v>
      </c>
      <c r="V150" s="10">
        <v>44762.0</v>
      </c>
      <c r="W150" s="10">
        <v>44734.0</v>
      </c>
    </row>
    <row r="151">
      <c r="A151" s="4">
        <v>530666.0</v>
      </c>
      <c r="B151" s="5" t="b">
        <v>1</v>
      </c>
      <c r="C151" s="6" t="s">
        <v>712</v>
      </c>
      <c r="D151" s="1" t="s">
        <v>713</v>
      </c>
      <c r="E151" s="7">
        <v>4432666.0</v>
      </c>
      <c r="F151" s="7">
        <v>8501704.0</v>
      </c>
      <c r="G151" s="1" t="s">
        <v>714</v>
      </c>
      <c r="H151" s="1" t="s">
        <v>715</v>
      </c>
      <c r="I151" s="8">
        <v>44284.57455324074</v>
      </c>
      <c r="J151" s="9">
        <f>+393595883959</f>
        <v>393595883959</v>
      </c>
      <c r="K151" s="4">
        <v>19.0</v>
      </c>
      <c r="L151" s="7">
        <v>4842105.0</v>
      </c>
      <c r="M151" s="1">
        <v>6.73733376E8</v>
      </c>
      <c r="N151" s="4">
        <v>740.0</v>
      </c>
      <c r="O151" s="4">
        <v>4.0</v>
      </c>
      <c r="P151" s="1" t="s">
        <v>39</v>
      </c>
      <c r="Q151" s="5" t="b">
        <v>0</v>
      </c>
      <c r="R151" s="5" t="b">
        <v>1</v>
      </c>
      <c r="S151" s="5" t="b">
        <v>0</v>
      </c>
      <c r="T151" s="4" t="s">
        <v>716</v>
      </c>
      <c r="U151" s="5" t="b">
        <v>0</v>
      </c>
      <c r="V151" s="10">
        <v>44763.0</v>
      </c>
      <c r="W151" s="10">
        <v>44715.0</v>
      </c>
    </row>
    <row r="152">
      <c r="A152" s="4">
        <v>530644.0</v>
      </c>
      <c r="B152" s="5" t="b">
        <v>1</v>
      </c>
      <c r="C152" s="6" t="s">
        <v>717</v>
      </c>
      <c r="D152" s="1" t="s">
        <v>718</v>
      </c>
      <c r="E152" s="7">
        <v>3948402.0</v>
      </c>
      <c r="F152" s="7">
        <v>-37118.0</v>
      </c>
      <c r="G152" s="1" t="s">
        <v>417</v>
      </c>
      <c r="H152" s="1" t="s">
        <v>719</v>
      </c>
      <c r="I152" s="8">
        <v>44285.58967780093</v>
      </c>
      <c r="J152" s="9">
        <f>+35993388088</f>
        <v>35993388088</v>
      </c>
      <c r="K152" s="4">
        <v>153.0</v>
      </c>
      <c r="L152" s="7">
        <v>4928105.0</v>
      </c>
      <c r="M152" s="1" t="s">
        <v>720</v>
      </c>
      <c r="N152" s="4">
        <v>3000.0</v>
      </c>
      <c r="O152" s="4">
        <v>4.0</v>
      </c>
      <c r="P152" s="1" t="s">
        <v>28</v>
      </c>
      <c r="Q152" s="5" t="b">
        <v>0</v>
      </c>
      <c r="R152" s="5" t="b">
        <v>1</v>
      </c>
      <c r="S152" s="5" t="b">
        <v>0</v>
      </c>
      <c r="T152" s="4" t="s">
        <v>721</v>
      </c>
      <c r="U152" s="5" t="b">
        <v>0</v>
      </c>
      <c r="V152" s="11">
        <v>44857.0</v>
      </c>
      <c r="W152" s="10">
        <v>44753.0</v>
      </c>
    </row>
    <row r="153">
      <c r="A153" s="4">
        <v>5307030.0</v>
      </c>
      <c r="B153" s="5" t="b">
        <v>1</v>
      </c>
      <c r="C153" s="6" t="s">
        <v>722</v>
      </c>
      <c r="D153" s="1" t="s">
        <v>723</v>
      </c>
      <c r="E153" s="7">
        <v>4337459.0</v>
      </c>
      <c r="F153" s="7">
        <v>1321612.0</v>
      </c>
      <c r="G153" s="1" t="s">
        <v>724</v>
      </c>
      <c r="H153" s="1" t="s">
        <v>725</v>
      </c>
      <c r="I153" s="8">
        <v>44286.30797741898</v>
      </c>
      <c r="J153" s="9">
        <f>+390333903390</f>
        <v>390333903390</v>
      </c>
      <c r="K153" s="4">
        <v>15.0</v>
      </c>
      <c r="L153" s="7">
        <v>4733333.0</v>
      </c>
      <c r="M153" s="1">
        <v>6.3373373E7</v>
      </c>
      <c r="N153" s="4">
        <v>2199.0</v>
      </c>
      <c r="O153" s="4">
        <v>7.0</v>
      </c>
      <c r="P153" s="1" t="s">
        <v>39</v>
      </c>
      <c r="Q153" s="5" t="b">
        <v>0</v>
      </c>
      <c r="R153" s="5" t="b">
        <v>1</v>
      </c>
      <c r="S153" s="5" t="b">
        <v>0</v>
      </c>
      <c r="T153" s="4" t="s">
        <v>726</v>
      </c>
      <c r="U153" s="5" t="b">
        <v>0</v>
      </c>
      <c r="V153" s="10">
        <v>44889.0</v>
      </c>
      <c r="W153" s="10">
        <v>44870.0</v>
      </c>
    </row>
    <row r="154">
      <c r="A154" s="4">
        <v>530761.0</v>
      </c>
      <c r="B154" s="5" t="b">
        <v>1</v>
      </c>
      <c r="C154" s="6" t="s">
        <v>727</v>
      </c>
      <c r="D154" s="1" t="s">
        <v>728</v>
      </c>
      <c r="E154" s="7">
        <v>4212887.0</v>
      </c>
      <c r="F154" s="7">
        <v>1213066.0</v>
      </c>
      <c r="G154" s="1" t="s">
        <v>729</v>
      </c>
      <c r="H154" s="1" t="s">
        <v>730</v>
      </c>
      <c r="I154" s="8">
        <v>44293.67221842593</v>
      </c>
      <c r="J154" s="9">
        <f>+393888930389</f>
        <v>393888930389</v>
      </c>
      <c r="K154" s="4">
        <v>109.0</v>
      </c>
      <c r="L154" s="7">
        <v>5.0</v>
      </c>
      <c r="M154" s="1">
        <v>3333336.0</v>
      </c>
      <c r="N154" s="4">
        <v>476.0</v>
      </c>
      <c r="O154" s="4">
        <v>2.0</v>
      </c>
      <c r="P154" s="1" t="s">
        <v>33</v>
      </c>
      <c r="Q154" s="5" t="b">
        <v>0</v>
      </c>
      <c r="R154" s="5" t="b">
        <v>0</v>
      </c>
      <c r="S154" s="5" t="b">
        <v>0</v>
      </c>
      <c r="T154" s="4" t="s">
        <v>170</v>
      </c>
      <c r="U154" s="5" t="b">
        <v>0</v>
      </c>
      <c r="V154" s="10">
        <v>44622.0</v>
      </c>
      <c r="W154" s="10">
        <v>44726.0</v>
      </c>
    </row>
    <row r="155">
      <c r="A155" s="4">
        <v>530416.0</v>
      </c>
      <c r="B155" s="5" t="b">
        <v>1</v>
      </c>
      <c r="C155" s="6" t="s">
        <v>731</v>
      </c>
      <c r="D155" s="1" t="s">
        <v>732</v>
      </c>
      <c r="E155" s="7">
        <v>4125323.0</v>
      </c>
      <c r="F155" s="7">
        <v>1311648.0</v>
      </c>
      <c r="G155" s="1" t="s">
        <v>733</v>
      </c>
      <c r="H155" s="1" t="s">
        <v>734</v>
      </c>
      <c r="I155" s="8">
        <v>44299.57571978009</v>
      </c>
      <c r="J155" s="9">
        <f>+393888539898</f>
        <v>393888539898</v>
      </c>
      <c r="K155" s="4">
        <v>23.0</v>
      </c>
      <c r="L155" s="7">
        <v>5.0</v>
      </c>
      <c r="M155" s="1">
        <v>7.337333373E9</v>
      </c>
      <c r="N155" s="4">
        <v>512.0</v>
      </c>
      <c r="O155" s="4">
        <v>2.0</v>
      </c>
      <c r="P155" s="1" t="s">
        <v>28</v>
      </c>
      <c r="Q155" s="5" t="b">
        <v>0</v>
      </c>
      <c r="R155" s="5" t="b">
        <v>1</v>
      </c>
      <c r="S155" s="5" t="b">
        <v>0</v>
      </c>
      <c r="T155" s="4" t="s">
        <v>261</v>
      </c>
      <c r="U155" s="5" t="b">
        <v>0</v>
      </c>
      <c r="V155" s="10">
        <v>44630.0</v>
      </c>
      <c r="W155" s="10">
        <v>44792.0</v>
      </c>
    </row>
    <row r="156">
      <c r="A156" s="4">
        <v>5304450.0</v>
      </c>
      <c r="B156" s="5" t="b">
        <v>1</v>
      </c>
      <c r="C156" s="6" t="s">
        <v>735</v>
      </c>
      <c r="D156" s="1" t="s">
        <v>736</v>
      </c>
      <c r="E156" s="7">
        <v>4189876.0</v>
      </c>
      <c r="F156" s="7">
        <v>1242696.0</v>
      </c>
      <c r="G156" s="1" t="s">
        <v>25</v>
      </c>
      <c r="H156" s="1" t="s">
        <v>737</v>
      </c>
      <c r="I156" s="8">
        <v>44302.392209375</v>
      </c>
      <c r="J156" s="9">
        <f>+390999035583</f>
        <v>390999035583</v>
      </c>
      <c r="K156" s="4">
        <v>143.0</v>
      </c>
      <c r="L156" s="7">
        <v>4965035.0</v>
      </c>
      <c r="M156" s="1">
        <v>7.733333333E9</v>
      </c>
      <c r="N156" s="4">
        <v>1447.0</v>
      </c>
      <c r="O156" s="4">
        <v>4.0</v>
      </c>
      <c r="P156" s="1" t="s">
        <v>33</v>
      </c>
      <c r="Q156" s="5" t="b">
        <v>0</v>
      </c>
      <c r="R156" s="5" t="b">
        <v>1</v>
      </c>
      <c r="S156" s="5" t="b">
        <v>0</v>
      </c>
      <c r="T156" s="4" t="s">
        <v>420</v>
      </c>
      <c r="U156" s="5" t="b">
        <v>0</v>
      </c>
      <c r="V156" s="11">
        <v>44853.0</v>
      </c>
      <c r="W156" s="10">
        <v>44811.0</v>
      </c>
    </row>
    <row r="157">
      <c r="A157" s="4">
        <v>530455.0</v>
      </c>
      <c r="B157" s="5" t="b">
        <v>1</v>
      </c>
      <c r="C157" s="6" t="s">
        <v>738</v>
      </c>
      <c r="D157" s="1" t="s">
        <v>739</v>
      </c>
      <c r="E157" s="7">
        <v>4543432.0</v>
      </c>
      <c r="F157" s="7">
        <v>7947564.0</v>
      </c>
      <c r="G157" s="1" t="s">
        <v>740</v>
      </c>
      <c r="H157" s="1" t="s">
        <v>741</v>
      </c>
      <c r="I157" s="8">
        <v>44307.57175271991</v>
      </c>
      <c r="J157" s="9">
        <f>+393385589338</f>
        <v>393385589338</v>
      </c>
      <c r="K157" s="4">
        <v>16.0</v>
      </c>
      <c r="L157" s="7">
        <v>4875.0</v>
      </c>
      <c r="M157" s="1">
        <v>6.33373337E8</v>
      </c>
      <c r="N157" s="4">
        <v>946.0</v>
      </c>
      <c r="O157" s="4">
        <v>5.0</v>
      </c>
      <c r="P157" s="1" t="s">
        <v>39</v>
      </c>
      <c r="Q157" s="5" t="b">
        <v>0</v>
      </c>
      <c r="R157" s="5" t="b">
        <v>1</v>
      </c>
      <c r="S157" s="5" t="b">
        <v>0</v>
      </c>
      <c r="T157" s="4" t="s">
        <v>292</v>
      </c>
      <c r="U157" s="5" t="b">
        <v>0</v>
      </c>
      <c r="V157" s="10">
        <v>44575.0</v>
      </c>
      <c r="W157" s="10">
        <v>44728.0</v>
      </c>
    </row>
    <row r="158">
      <c r="A158" s="4">
        <v>530516.0</v>
      </c>
      <c r="B158" s="5" t="b">
        <v>1</v>
      </c>
      <c r="C158" s="6" t="s">
        <v>742</v>
      </c>
      <c r="D158" s="1" t="s">
        <v>743</v>
      </c>
      <c r="E158" s="7">
        <v>4537922.0</v>
      </c>
      <c r="F158" s="7">
        <v>9741083.0</v>
      </c>
      <c r="G158" s="1" t="s">
        <v>744</v>
      </c>
      <c r="H158" s="1" t="s">
        <v>745</v>
      </c>
      <c r="I158" s="8">
        <v>44309.34329038194</v>
      </c>
      <c r="J158" s="9">
        <f>+393333535589</f>
        <v>393333535589</v>
      </c>
      <c r="K158" s="4">
        <v>5.0</v>
      </c>
      <c r="L158" s="7" t="s">
        <v>265</v>
      </c>
      <c r="M158" s="1">
        <v>7.36333377E8</v>
      </c>
      <c r="N158" s="4">
        <v>514.0</v>
      </c>
      <c r="O158" s="4">
        <v>2.0</v>
      </c>
      <c r="P158" s="1" t="s">
        <v>28</v>
      </c>
      <c r="Q158" s="5" t="b">
        <v>0</v>
      </c>
      <c r="R158" s="5" t="b">
        <v>0</v>
      </c>
      <c r="S158" s="5" t="b">
        <v>0</v>
      </c>
      <c r="T158" s="4" t="s">
        <v>746</v>
      </c>
      <c r="U158" s="5" t="b">
        <v>0</v>
      </c>
      <c r="V158" s="10">
        <v>44671.0</v>
      </c>
      <c r="W158" s="11">
        <v>44861.0</v>
      </c>
    </row>
    <row r="159">
      <c r="A159" s="4">
        <v>5305304.0</v>
      </c>
      <c r="B159" s="5" t="b">
        <v>1</v>
      </c>
      <c r="C159" s="6" t="s">
        <v>747</v>
      </c>
      <c r="D159" s="1" t="s">
        <v>748</v>
      </c>
      <c r="E159" s="7">
        <v>4145061.0</v>
      </c>
      <c r="F159" s="7">
        <v>2251437.0</v>
      </c>
      <c r="G159" s="1" t="s">
        <v>749</v>
      </c>
      <c r="H159" s="1" t="s">
        <v>750</v>
      </c>
      <c r="I159" s="8">
        <v>44313.34001901621</v>
      </c>
      <c r="J159" s="9">
        <f>+35993008558</f>
        <v>35993008558</v>
      </c>
      <c r="K159" s="4">
        <v>118.0</v>
      </c>
      <c r="L159" s="7">
        <v>4813559.0</v>
      </c>
      <c r="M159" s="1" t="s">
        <v>751</v>
      </c>
      <c r="N159" s="4">
        <v>2243.0</v>
      </c>
      <c r="O159" s="4">
        <v>3.0</v>
      </c>
      <c r="P159" s="1" t="s">
        <v>39</v>
      </c>
      <c r="Q159" s="5" t="b">
        <v>0</v>
      </c>
      <c r="R159" s="5" t="b">
        <v>0</v>
      </c>
      <c r="S159" s="5" t="b">
        <v>0</v>
      </c>
      <c r="T159" s="4" t="s">
        <v>380</v>
      </c>
      <c r="U159" s="5" t="b">
        <v>0</v>
      </c>
      <c r="V159" s="10">
        <v>44669.0</v>
      </c>
      <c r="W159" s="10">
        <v>44722.0</v>
      </c>
    </row>
    <row r="160">
      <c r="A160" s="4">
        <v>56005.0</v>
      </c>
      <c r="B160" s="5" t="b">
        <v>1</v>
      </c>
      <c r="C160" s="6" t="s">
        <v>752</v>
      </c>
      <c r="D160" s="1" t="s">
        <v>753</v>
      </c>
      <c r="E160" s="7">
        <v>4044975.0</v>
      </c>
      <c r="F160" s="7">
        <v>-367863.0</v>
      </c>
      <c r="G160" s="1" t="s">
        <v>195</v>
      </c>
      <c r="H160" s="1" t="s">
        <v>754</v>
      </c>
      <c r="I160" s="8">
        <v>44315.633886365744</v>
      </c>
      <c r="J160" s="9">
        <f>+35959593533</f>
        <v>35959593533</v>
      </c>
      <c r="K160" s="4">
        <v>86.0</v>
      </c>
      <c r="L160" s="7">
        <v>4848837.0</v>
      </c>
      <c r="M160" s="1" t="s">
        <v>755</v>
      </c>
      <c r="N160" s="4">
        <v>2744.0</v>
      </c>
      <c r="O160" s="4">
        <v>5.0</v>
      </c>
      <c r="P160" s="1" t="s">
        <v>33</v>
      </c>
      <c r="Q160" s="5" t="b">
        <v>0</v>
      </c>
      <c r="R160" s="5" t="b">
        <v>1</v>
      </c>
      <c r="S160" s="5" t="b">
        <v>0</v>
      </c>
      <c r="T160" s="4" t="s">
        <v>756</v>
      </c>
      <c r="U160" s="5" t="b">
        <v>1</v>
      </c>
      <c r="V160" s="10">
        <v>44665.0</v>
      </c>
      <c r="W160" s="10">
        <v>44817.0</v>
      </c>
    </row>
    <row r="161">
      <c r="A161" s="4">
        <v>56115.0</v>
      </c>
      <c r="B161" s="5" t="b">
        <v>1</v>
      </c>
      <c r="C161" s="6" t="s">
        <v>757</v>
      </c>
      <c r="D161" s="1" t="s">
        <v>758</v>
      </c>
      <c r="E161" s="7">
        <v>4069741.0</v>
      </c>
      <c r="F161" s="7">
        <v>144836.0</v>
      </c>
      <c r="G161" s="1" t="s">
        <v>759</v>
      </c>
      <c r="H161" s="1" t="s">
        <v>760</v>
      </c>
      <c r="I161" s="8">
        <v>44327.4070156713</v>
      </c>
      <c r="J161" s="9">
        <f>+393335559339</f>
        <v>393335559339</v>
      </c>
      <c r="K161" s="4">
        <v>1.0</v>
      </c>
      <c r="L161" s="7">
        <v>5.0</v>
      </c>
      <c r="M161" s="1">
        <v>7.7333337E7</v>
      </c>
      <c r="N161" s="4">
        <v>229.0</v>
      </c>
      <c r="O161" s="4">
        <v>3.0</v>
      </c>
      <c r="P161" s="1" t="s">
        <v>33</v>
      </c>
      <c r="Q161" s="5" t="b">
        <v>0</v>
      </c>
      <c r="R161" s="5" t="b">
        <v>0</v>
      </c>
      <c r="S161" s="5" t="b">
        <v>0</v>
      </c>
      <c r="T161" s="4" t="s">
        <v>323</v>
      </c>
      <c r="U161" s="5" t="b">
        <v>0</v>
      </c>
      <c r="V161" s="10">
        <v>44630.0</v>
      </c>
      <c r="W161" s="10">
        <v>44659.0</v>
      </c>
    </row>
    <row r="162">
      <c r="A162" s="4">
        <v>565501.0</v>
      </c>
      <c r="B162" s="5" t="b">
        <v>1</v>
      </c>
      <c r="C162" s="6" t="s">
        <v>761</v>
      </c>
      <c r="D162" s="1" t="s">
        <v>762</v>
      </c>
      <c r="E162" s="7">
        <v>4085268.0</v>
      </c>
      <c r="F162" s="7">
        <v>1422948.0</v>
      </c>
      <c r="G162" s="1" t="s">
        <v>143</v>
      </c>
      <c r="H162" s="1" t="s">
        <v>763</v>
      </c>
      <c r="I162" s="8">
        <v>44337.40666119213</v>
      </c>
      <c r="J162" s="9">
        <f>+3908338899938</f>
        <v>3908338899938</v>
      </c>
      <c r="K162" s="4">
        <v>4.0</v>
      </c>
      <c r="L162" s="7">
        <v>5.0</v>
      </c>
      <c r="M162" s="1">
        <v>7.77773336E8</v>
      </c>
      <c r="N162" s="4">
        <v>638.0</v>
      </c>
      <c r="O162" s="4">
        <v>2.0</v>
      </c>
      <c r="P162" s="1" t="s">
        <v>33</v>
      </c>
      <c r="Q162" s="5" t="b">
        <v>0</v>
      </c>
      <c r="R162" s="5" t="b">
        <v>0</v>
      </c>
      <c r="S162" s="5" t="b">
        <v>0</v>
      </c>
      <c r="T162" s="4" t="s">
        <v>764</v>
      </c>
      <c r="U162" s="5" t="b">
        <v>0</v>
      </c>
      <c r="V162" s="10">
        <v>44816.0</v>
      </c>
      <c r="W162" s="10">
        <v>44646.0</v>
      </c>
    </row>
    <row r="163">
      <c r="A163" s="4">
        <v>5655030.0</v>
      </c>
      <c r="B163" s="5" t="b">
        <v>1</v>
      </c>
      <c r="C163" s="6" t="s">
        <v>765</v>
      </c>
      <c r="D163" s="1" t="s">
        <v>766</v>
      </c>
      <c r="E163" s="7">
        <v>4336766.0</v>
      </c>
      <c r="F163" s="7">
        <v>-587264.0</v>
      </c>
      <c r="G163" s="1" t="s">
        <v>767</v>
      </c>
      <c r="H163" s="1" t="s">
        <v>768</v>
      </c>
      <c r="I163" s="8">
        <v>44337.58803162037</v>
      </c>
      <c r="J163" s="9">
        <f>+35985988888</f>
        <v>35985988888</v>
      </c>
      <c r="K163" s="4">
        <v>186.0</v>
      </c>
      <c r="L163" s="7">
        <v>4973118.0</v>
      </c>
      <c r="M163" s="1" t="s">
        <v>769</v>
      </c>
      <c r="N163" s="4">
        <v>1104.0</v>
      </c>
      <c r="O163" s="4">
        <v>5.0</v>
      </c>
      <c r="P163" s="1" t="s">
        <v>28</v>
      </c>
      <c r="Q163" s="5" t="b">
        <v>0</v>
      </c>
      <c r="R163" s="5" t="b">
        <v>1</v>
      </c>
      <c r="S163" s="5" t="b">
        <v>0</v>
      </c>
      <c r="T163" s="4" t="s">
        <v>628</v>
      </c>
      <c r="U163" s="5" t="b">
        <v>0</v>
      </c>
      <c r="V163" s="10">
        <v>44594.0</v>
      </c>
      <c r="W163" s="10">
        <v>44627.0</v>
      </c>
    </row>
    <row r="164">
      <c r="A164" s="4">
        <v>56556.0</v>
      </c>
      <c r="B164" s="5" t="b">
        <v>1</v>
      </c>
      <c r="C164" s="6" t="s">
        <v>770</v>
      </c>
      <c r="D164" s="1" t="s">
        <v>771</v>
      </c>
      <c r="E164" s="7">
        <v>4401091.0</v>
      </c>
      <c r="F164" s="7">
        <v>1263999.0</v>
      </c>
      <c r="G164" s="1" t="s">
        <v>772</v>
      </c>
      <c r="H164" s="1" t="s">
        <v>773</v>
      </c>
      <c r="I164" s="8">
        <v>44343.594457893516</v>
      </c>
      <c r="J164" s="9">
        <f>+393339558388</f>
        <v>393339558388</v>
      </c>
      <c r="K164" s="4">
        <v>21.0</v>
      </c>
      <c r="L164" s="7">
        <v>5.0</v>
      </c>
      <c r="M164" s="1">
        <v>3.73373333E8</v>
      </c>
      <c r="N164" s="4">
        <v>759.0</v>
      </c>
      <c r="O164" s="4">
        <v>4.0</v>
      </c>
      <c r="P164" s="1" t="s">
        <v>33</v>
      </c>
      <c r="Q164" s="5" t="b">
        <v>0</v>
      </c>
      <c r="R164" s="5" t="b">
        <v>1</v>
      </c>
      <c r="S164" s="5" t="b">
        <v>1</v>
      </c>
      <c r="T164" s="4" t="s">
        <v>774</v>
      </c>
      <c r="U164" s="5" t="b">
        <v>0</v>
      </c>
      <c r="V164" s="10">
        <v>44899.0</v>
      </c>
      <c r="W164" s="10">
        <v>44675.0</v>
      </c>
    </row>
    <row r="165">
      <c r="A165" s="4">
        <v>564304.0</v>
      </c>
      <c r="B165" s="5" t="b">
        <v>1</v>
      </c>
      <c r="C165" s="6" t="s">
        <v>775</v>
      </c>
      <c r="D165" s="1" t="s">
        <v>776</v>
      </c>
      <c r="E165" s="7">
        <v>3964932.0</v>
      </c>
      <c r="F165" s="7">
        <v>1653736.0</v>
      </c>
      <c r="G165" s="1" t="s">
        <v>777</v>
      </c>
      <c r="H165" s="1" t="s">
        <v>778</v>
      </c>
      <c r="I165" s="8">
        <v>44357.59976484954</v>
      </c>
      <c r="J165" s="9">
        <f>+390983838358</f>
        <v>390983838358</v>
      </c>
      <c r="K165" s="4">
        <v>34.0</v>
      </c>
      <c r="L165" s="7">
        <v>5.0</v>
      </c>
      <c r="M165" s="1">
        <v>333737.0</v>
      </c>
      <c r="N165" s="4">
        <v>908.0</v>
      </c>
      <c r="O165" s="4">
        <v>5.0</v>
      </c>
      <c r="P165" s="1" t="s">
        <v>28</v>
      </c>
      <c r="Q165" s="5" t="b">
        <v>0</v>
      </c>
      <c r="R165" s="5" t="b">
        <v>1</v>
      </c>
      <c r="S165" s="5" t="b">
        <v>0</v>
      </c>
      <c r="T165" s="4" t="s">
        <v>516</v>
      </c>
      <c r="U165" s="5" t="b">
        <v>0</v>
      </c>
      <c r="V165" s="10">
        <v>44721.0</v>
      </c>
      <c r="W165" s="10">
        <v>44702.0</v>
      </c>
    </row>
    <row r="166">
      <c r="A166" s="4">
        <v>563006.0</v>
      </c>
      <c r="B166" s="5" t="b">
        <v>1</v>
      </c>
      <c r="C166" s="6" t="s">
        <v>779</v>
      </c>
      <c r="D166" s="1" t="s">
        <v>780</v>
      </c>
      <c r="E166" s="7">
        <v>4544865.0</v>
      </c>
      <c r="F166" s="7">
        <v>1098562.0</v>
      </c>
      <c r="G166" s="1" t="s">
        <v>76</v>
      </c>
      <c r="H166" s="1" t="s">
        <v>781</v>
      </c>
      <c r="I166" s="8">
        <v>44362.41404875</v>
      </c>
      <c r="J166" s="9">
        <f>+390558595390</f>
        <v>390558595390</v>
      </c>
      <c r="K166" s="4">
        <v>4.0</v>
      </c>
      <c r="L166" s="7" t="s">
        <v>782</v>
      </c>
      <c r="M166" s="1">
        <v>6.37333373E8</v>
      </c>
      <c r="N166" s="4">
        <v>741.0</v>
      </c>
      <c r="O166" s="4">
        <v>2.0</v>
      </c>
      <c r="P166" s="1" t="s">
        <v>39</v>
      </c>
      <c r="Q166" s="5" t="b">
        <v>0</v>
      </c>
      <c r="R166" s="5" t="b">
        <v>1</v>
      </c>
      <c r="S166" s="5" t="b">
        <v>1</v>
      </c>
      <c r="T166" s="4" t="s">
        <v>783</v>
      </c>
      <c r="U166" s="5" t="b">
        <v>0</v>
      </c>
      <c r="V166" s="10">
        <v>44688.0</v>
      </c>
      <c r="W166" s="10">
        <v>44830.0</v>
      </c>
    </row>
    <row r="167">
      <c r="A167" s="4">
        <v>563014.0</v>
      </c>
      <c r="B167" s="5" t="b">
        <v>1</v>
      </c>
      <c r="C167" s="6" t="s">
        <v>784</v>
      </c>
      <c r="D167" s="1" t="s">
        <v>785</v>
      </c>
      <c r="E167" s="7">
        <v>4545031.0</v>
      </c>
      <c r="F167" s="7">
        <v>8605191.0</v>
      </c>
      <c r="G167" s="1" t="s">
        <v>786</v>
      </c>
      <c r="H167" s="1" t="s">
        <v>787</v>
      </c>
      <c r="I167" s="8">
        <v>44362.56688320602</v>
      </c>
      <c r="J167" s="9">
        <f>+390383033035</f>
        <v>390383033035</v>
      </c>
      <c r="K167" s="4">
        <v>9.0</v>
      </c>
      <c r="L167" s="7">
        <v>5.0</v>
      </c>
      <c r="M167" s="1">
        <v>3333377.0</v>
      </c>
      <c r="N167" s="4">
        <v>347.0</v>
      </c>
      <c r="O167" s="4">
        <v>1.0</v>
      </c>
      <c r="P167" s="1" t="s">
        <v>28</v>
      </c>
      <c r="Q167" s="5" t="b">
        <v>0</v>
      </c>
      <c r="R167" s="5" t="b">
        <v>0</v>
      </c>
      <c r="S167" s="5" t="b">
        <v>0</v>
      </c>
      <c r="T167" s="4" t="s">
        <v>788</v>
      </c>
      <c r="U167" s="5" t="b">
        <v>0</v>
      </c>
      <c r="V167" s="10">
        <v>44676.0</v>
      </c>
      <c r="W167" s="10">
        <v>44570.0</v>
      </c>
    </row>
    <row r="168">
      <c r="A168" s="4">
        <v>567304.0</v>
      </c>
      <c r="B168" s="5" t="b">
        <v>1</v>
      </c>
      <c r="C168" s="6" t="s">
        <v>789</v>
      </c>
      <c r="D168" s="1" t="s">
        <v>790</v>
      </c>
      <c r="E168" s="7">
        <v>4095016.0</v>
      </c>
      <c r="F168" s="7">
        <v>1692565.0</v>
      </c>
      <c r="G168" s="1" t="s">
        <v>791</v>
      </c>
      <c r="H168" s="1" t="s">
        <v>792</v>
      </c>
      <c r="I168" s="8">
        <v>44376.47144872685</v>
      </c>
      <c r="J168" s="9">
        <f>+393893383358</f>
        <v>393893383358</v>
      </c>
      <c r="K168" s="4">
        <v>71.0</v>
      </c>
      <c r="L168" s="7">
        <v>4859155.0</v>
      </c>
      <c r="M168" s="1">
        <v>733.0</v>
      </c>
      <c r="N168" s="4">
        <v>817.0</v>
      </c>
      <c r="O168" s="4">
        <v>2.0</v>
      </c>
      <c r="P168" s="1" t="s">
        <v>39</v>
      </c>
      <c r="Q168" s="5" t="b">
        <v>0</v>
      </c>
      <c r="R168" s="5" t="b">
        <v>1</v>
      </c>
      <c r="S168" s="5" t="b">
        <v>0</v>
      </c>
      <c r="T168" s="4" t="s">
        <v>793</v>
      </c>
      <c r="U168" s="5" t="b">
        <v>0</v>
      </c>
      <c r="V168" s="11">
        <v>44852.0</v>
      </c>
      <c r="W168" s="10">
        <v>44700.0</v>
      </c>
    </row>
    <row r="169">
      <c r="A169" s="4">
        <v>56555.0</v>
      </c>
      <c r="B169" s="5" t="b">
        <v>1</v>
      </c>
      <c r="C169" s="6" t="s">
        <v>794</v>
      </c>
      <c r="D169" s="1" t="s">
        <v>795</v>
      </c>
      <c r="E169" s="7">
        <v>4543839.0</v>
      </c>
      <c r="F169" s="7">
        <v>1103317.0</v>
      </c>
      <c r="G169" s="1" t="s">
        <v>76</v>
      </c>
      <c r="H169" s="1" t="s">
        <v>796</v>
      </c>
      <c r="I169" s="8">
        <v>44399.31913657407</v>
      </c>
      <c r="J169" s="9">
        <f>+390558839383</f>
        <v>390558839383</v>
      </c>
      <c r="K169" s="4">
        <v>5.0</v>
      </c>
      <c r="L169" s="7">
        <v>5.0</v>
      </c>
      <c r="M169" s="1">
        <v>7.37333373E8</v>
      </c>
      <c r="N169" s="4">
        <v>637.0</v>
      </c>
      <c r="O169" s="4">
        <v>2.0</v>
      </c>
      <c r="P169" s="1" t="s">
        <v>28</v>
      </c>
      <c r="Q169" s="5" t="b">
        <v>0</v>
      </c>
      <c r="R169" s="5" t="b">
        <v>0</v>
      </c>
      <c r="S169" s="5" t="b">
        <v>0</v>
      </c>
      <c r="T169" s="4" t="s">
        <v>689</v>
      </c>
      <c r="U169" s="5" t="b">
        <v>0</v>
      </c>
      <c r="V169" s="10">
        <v>44843.0</v>
      </c>
      <c r="W169" s="10">
        <v>44770.0</v>
      </c>
    </row>
    <row r="170">
      <c r="A170" s="4">
        <v>57004.0</v>
      </c>
      <c r="B170" s="5" t="b">
        <v>1</v>
      </c>
      <c r="C170" s="6" t="s">
        <v>797</v>
      </c>
      <c r="D170" s="1" t="s">
        <v>798</v>
      </c>
      <c r="E170" s="7">
        <v>4577418.0</v>
      </c>
      <c r="F170" s="7">
        <v>4826077.0</v>
      </c>
      <c r="G170" s="1" t="s">
        <v>383</v>
      </c>
      <c r="H170" s="1" t="s">
        <v>799</v>
      </c>
      <c r="I170" s="8">
        <v>44399.520200949075</v>
      </c>
      <c r="J170" s="9">
        <f>+33935338500</f>
        <v>33935338500</v>
      </c>
      <c r="K170" s="4">
        <v>6.0</v>
      </c>
      <c r="L170" s="7">
        <v>4666667.0</v>
      </c>
      <c r="M170" s="1" t="s">
        <v>800</v>
      </c>
      <c r="N170" s="4">
        <v>42.0</v>
      </c>
      <c r="O170" s="4">
        <v>2.0</v>
      </c>
      <c r="P170" s="1" t="s">
        <v>28</v>
      </c>
      <c r="Q170" s="5" t="b">
        <v>0</v>
      </c>
      <c r="R170" s="5" t="b">
        <v>1</v>
      </c>
      <c r="S170" s="5" t="b">
        <v>0</v>
      </c>
      <c r="T170" s="4" t="s">
        <v>801</v>
      </c>
      <c r="U170" s="5" t="b">
        <v>0</v>
      </c>
      <c r="V170" s="10">
        <v>44799.0</v>
      </c>
      <c r="W170" s="11">
        <v>44845.0</v>
      </c>
    </row>
    <row r="171">
      <c r="A171" s="4">
        <v>57044.0</v>
      </c>
      <c r="B171" s="5" t="b">
        <v>1</v>
      </c>
      <c r="C171" s="6" t="s">
        <v>802</v>
      </c>
      <c r="D171" s="1" t="s">
        <v>803</v>
      </c>
      <c r="E171" s="7">
        <v>4087227.0</v>
      </c>
      <c r="F171" s="7">
        <v>1443177.0</v>
      </c>
      <c r="G171" s="1" t="s">
        <v>804</v>
      </c>
      <c r="H171" s="1" t="s">
        <v>805</v>
      </c>
      <c r="I171" s="8">
        <v>44404.56994125</v>
      </c>
      <c r="J171" s="9">
        <f>+390838993585</f>
        <v>390838993585</v>
      </c>
      <c r="K171" s="4">
        <v>5.0</v>
      </c>
      <c r="L171" s="7">
        <v>5.0</v>
      </c>
      <c r="M171" s="1">
        <v>7.77733333E8</v>
      </c>
      <c r="N171" s="4">
        <v>815.0</v>
      </c>
      <c r="O171" s="4">
        <v>4.0</v>
      </c>
      <c r="P171" s="1" t="s">
        <v>28</v>
      </c>
      <c r="Q171" s="5" t="b">
        <v>0</v>
      </c>
      <c r="R171" s="5" t="b">
        <v>0</v>
      </c>
      <c r="S171" s="5" t="b">
        <v>0</v>
      </c>
      <c r="T171" s="4" t="s">
        <v>689</v>
      </c>
      <c r="U171" s="5" t="b">
        <v>0</v>
      </c>
      <c r="V171" s="10">
        <v>44634.0</v>
      </c>
      <c r="W171" s="10">
        <v>44584.0</v>
      </c>
    </row>
    <row r="172">
      <c r="A172" s="4">
        <v>57065.0</v>
      </c>
      <c r="B172" s="5" t="b">
        <v>1</v>
      </c>
      <c r="C172" s="6" t="s">
        <v>806</v>
      </c>
      <c r="D172" s="1" t="s">
        <v>807</v>
      </c>
      <c r="E172" s="7">
        <v>4463927.0</v>
      </c>
      <c r="F172" s="7">
        <v>7498464.0</v>
      </c>
      <c r="G172" s="1" t="s">
        <v>808</v>
      </c>
      <c r="H172" s="1" t="s">
        <v>809</v>
      </c>
      <c r="I172" s="8">
        <v>44405.595007951386</v>
      </c>
      <c r="J172" s="9">
        <f>+390335833330</f>
        <v>390335833330</v>
      </c>
      <c r="K172" s="4">
        <v>3.0</v>
      </c>
      <c r="L172" s="7">
        <v>5.0</v>
      </c>
      <c r="M172" s="1">
        <v>7.36333333E8</v>
      </c>
      <c r="N172" s="4">
        <v>921.0</v>
      </c>
      <c r="O172" s="4">
        <v>4.0</v>
      </c>
      <c r="P172" s="1" t="s">
        <v>28</v>
      </c>
      <c r="Q172" s="5" t="b">
        <v>0</v>
      </c>
      <c r="R172" s="5" t="b">
        <v>1</v>
      </c>
      <c r="S172" s="5" t="b">
        <v>0</v>
      </c>
      <c r="T172" s="4" t="s">
        <v>354</v>
      </c>
      <c r="U172" s="5" t="b">
        <v>0</v>
      </c>
      <c r="V172" s="10">
        <v>44669.0</v>
      </c>
      <c r="W172" s="10">
        <v>44596.0</v>
      </c>
    </row>
    <row r="173">
      <c r="A173" s="4">
        <v>57141.0</v>
      </c>
      <c r="B173" s="5" t="b">
        <v>0</v>
      </c>
      <c r="C173" s="6" t="s">
        <v>810</v>
      </c>
      <c r="D173" s="1" t="s">
        <v>811</v>
      </c>
      <c r="E173" s="7">
        <v>4860825.0</v>
      </c>
      <c r="F173" s="7">
        <v>2968942.0</v>
      </c>
      <c r="G173" s="1" t="s">
        <v>812</v>
      </c>
      <c r="H173" s="1" t="s">
        <v>813</v>
      </c>
      <c r="I173" s="8">
        <v>44410.618146967594</v>
      </c>
      <c r="J173" s="9">
        <f>+33988983833</f>
        <v>33988983833</v>
      </c>
      <c r="K173" s="4">
        <v>40.0</v>
      </c>
      <c r="L173" s="7" t="s">
        <v>814</v>
      </c>
      <c r="M173" s="9"/>
      <c r="N173" s="4">
        <v>204.0</v>
      </c>
      <c r="O173" s="4">
        <v>1.0</v>
      </c>
      <c r="P173" s="1" t="s">
        <v>28</v>
      </c>
      <c r="Q173" s="5" t="b">
        <v>0</v>
      </c>
      <c r="R173" s="5" t="b">
        <v>1</v>
      </c>
      <c r="S173" s="5" t="b">
        <v>0</v>
      </c>
      <c r="T173" s="4" t="s">
        <v>815</v>
      </c>
      <c r="U173" s="5" t="b">
        <v>0</v>
      </c>
      <c r="V173" s="10">
        <v>44769.0</v>
      </c>
      <c r="W173" s="10">
        <v>44769.0</v>
      </c>
    </row>
    <row r="174">
      <c r="A174" s="4">
        <v>571530.0</v>
      </c>
      <c r="B174" s="5" t="b">
        <v>1</v>
      </c>
      <c r="C174" s="6" t="s">
        <v>816</v>
      </c>
      <c r="D174" s="1" t="s">
        <v>817</v>
      </c>
      <c r="E174" s="7">
        <v>4883703.0</v>
      </c>
      <c r="F174" s="7">
        <v>2397879.0</v>
      </c>
      <c r="G174" s="1" t="s">
        <v>365</v>
      </c>
      <c r="H174" s="1" t="s">
        <v>818</v>
      </c>
      <c r="I174" s="8">
        <v>44417.71830608796</v>
      </c>
      <c r="J174" s="9">
        <f>+33353559335</f>
        <v>33353559335</v>
      </c>
      <c r="K174" s="4">
        <v>0.0</v>
      </c>
      <c r="L174" s="7">
        <v>0.0</v>
      </c>
      <c r="M174" s="1">
        <v>7.33733733E8</v>
      </c>
      <c r="N174" s="4">
        <v>1218.0</v>
      </c>
      <c r="O174" s="4">
        <v>3.0</v>
      </c>
      <c r="P174" s="1" t="s">
        <v>33</v>
      </c>
      <c r="Q174" s="5" t="b">
        <v>0</v>
      </c>
      <c r="R174" s="5" t="b">
        <v>1</v>
      </c>
      <c r="S174" s="5" t="b">
        <v>0</v>
      </c>
      <c r="T174" s="4">
        <v>0.0</v>
      </c>
      <c r="U174" s="5" t="b">
        <v>0</v>
      </c>
      <c r="V174" s="10">
        <v>44795.0</v>
      </c>
      <c r="W174" s="10">
        <v>44836.0</v>
      </c>
    </row>
    <row r="175">
      <c r="A175" s="4">
        <v>575304.0</v>
      </c>
      <c r="B175" s="5" t="b">
        <v>1</v>
      </c>
      <c r="C175" s="6" t="s">
        <v>819</v>
      </c>
      <c r="D175" s="1" t="s">
        <v>820</v>
      </c>
      <c r="E175" s="7">
        <v>4889312.0</v>
      </c>
      <c r="F175" s="7">
        <v>2326444.0</v>
      </c>
      <c r="G175" s="1" t="s">
        <v>365</v>
      </c>
      <c r="H175" s="1" t="s">
        <v>821</v>
      </c>
      <c r="I175" s="8">
        <v>44426.33032898148</v>
      </c>
      <c r="J175" s="9">
        <f>+33983989359</f>
        <v>33983989359</v>
      </c>
      <c r="K175" s="4">
        <v>3.0</v>
      </c>
      <c r="L175" s="7">
        <v>4.0</v>
      </c>
      <c r="M175" s="1" t="s">
        <v>822</v>
      </c>
      <c r="N175" s="4">
        <v>36.0</v>
      </c>
      <c r="O175" s="4">
        <v>1.0</v>
      </c>
      <c r="P175" s="1" t="s">
        <v>39</v>
      </c>
      <c r="Q175" s="5" t="b">
        <v>1</v>
      </c>
      <c r="R175" s="5" t="b">
        <v>0</v>
      </c>
      <c r="S175" s="5" t="b">
        <v>0</v>
      </c>
      <c r="T175" s="4" t="s">
        <v>823</v>
      </c>
      <c r="U175" s="5" t="b">
        <v>0</v>
      </c>
      <c r="V175" s="10">
        <v>44807.0</v>
      </c>
      <c r="W175" s="11">
        <v>44865.0</v>
      </c>
    </row>
    <row r="176">
      <c r="A176" s="4">
        <v>573000.0</v>
      </c>
      <c r="B176" s="5" t="b">
        <v>1</v>
      </c>
      <c r="C176" s="6" t="s">
        <v>824</v>
      </c>
      <c r="D176" s="1" t="s">
        <v>825</v>
      </c>
      <c r="E176" s="7">
        <v>4377359.0</v>
      </c>
      <c r="F176" s="7">
        <v>1124427.0</v>
      </c>
      <c r="G176" s="1" t="s">
        <v>423</v>
      </c>
      <c r="H176" s="1" t="s">
        <v>826</v>
      </c>
      <c r="I176" s="8">
        <v>44448.53371616898</v>
      </c>
      <c r="J176" s="9">
        <f>+390559898550</f>
        <v>390559898550</v>
      </c>
      <c r="K176" s="4">
        <v>52.0</v>
      </c>
      <c r="L176" s="7" t="s">
        <v>184</v>
      </c>
      <c r="M176" s="1">
        <v>7.337363337E9</v>
      </c>
      <c r="N176" s="4">
        <v>1127.0</v>
      </c>
      <c r="O176" s="4">
        <v>3.0</v>
      </c>
      <c r="P176" s="1" t="s">
        <v>28</v>
      </c>
      <c r="Q176" s="5" t="b">
        <v>0</v>
      </c>
      <c r="R176" s="5" t="b">
        <v>0</v>
      </c>
      <c r="S176" s="5" t="b">
        <v>0</v>
      </c>
      <c r="T176" s="4" t="s">
        <v>149</v>
      </c>
      <c r="U176" s="5" t="b">
        <v>0</v>
      </c>
      <c r="V176" s="10">
        <v>44785.0</v>
      </c>
      <c r="W176" s="10">
        <v>44626.0</v>
      </c>
    </row>
    <row r="177">
      <c r="A177" s="4">
        <v>573014.0</v>
      </c>
      <c r="B177" s="5" t="b">
        <v>1</v>
      </c>
      <c r="C177" s="6" t="s">
        <v>827</v>
      </c>
      <c r="D177" s="1" t="s">
        <v>828</v>
      </c>
      <c r="E177" s="7">
        <v>4164528.0</v>
      </c>
      <c r="F177" s="7">
        <v>-89683.0</v>
      </c>
      <c r="G177" s="1" t="s">
        <v>829</v>
      </c>
      <c r="H177" s="1" t="s">
        <v>830</v>
      </c>
      <c r="I177" s="8">
        <v>44449.34780004629</v>
      </c>
      <c r="J177" s="9">
        <f>+35939595508</f>
        <v>35939595508</v>
      </c>
      <c r="K177" s="4">
        <v>323.0</v>
      </c>
      <c r="L177" s="7">
        <v>4972136.0</v>
      </c>
      <c r="M177" s="1" t="s">
        <v>831</v>
      </c>
      <c r="N177" s="4">
        <v>2660.0</v>
      </c>
      <c r="O177" s="4">
        <v>6.0</v>
      </c>
      <c r="P177" s="1" t="s">
        <v>33</v>
      </c>
      <c r="Q177" s="5" t="b">
        <v>0</v>
      </c>
      <c r="R177" s="5" t="b">
        <v>1</v>
      </c>
      <c r="S177" s="5" t="b">
        <v>0</v>
      </c>
      <c r="T177" s="4" t="s">
        <v>832</v>
      </c>
      <c r="U177" s="5" t="b">
        <v>0</v>
      </c>
      <c r="V177" s="11">
        <v>44844.0</v>
      </c>
      <c r="W177" s="10">
        <v>44807.0</v>
      </c>
    </row>
    <row r="178">
      <c r="A178" s="4">
        <v>57615.0</v>
      </c>
      <c r="B178" s="5" t="b">
        <v>1</v>
      </c>
      <c r="C178" s="6" t="s">
        <v>833</v>
      </c>
      <c r="D178" s="1" t="s">
        <v>834</v>
      </c>
      <c r="E178" s="7">
        <v>4189514.0</v>
      </c>
      <c r="F178" s="7">
        <v>1245047.0</v>
      </c>
      <c r="G178" s="1" t="s">
        <v>25</v>
      </c>
      <c r="H178" s="1" t="s">
        <v>835</v>
      </c>
      <c r="I178" s="8">
        <v>44455.36479545139</v>
      </c>
      <c r="J178" s="9">
        <f>+393335933998</f>
        <v>393335933998</v>
      </c>
      <c r="K178" s="4">
        <v>23.0</v>
      </c>
      <c r="L178" s="7">
        <v>4956522.0</v>
      </c>
      <c r="M178" s="1">
        <v>7733333.0</v>
      </c>
      <c r="N178" s="4">
        <v>429.0</v>
      </c>
      <c r="O178" s="4">
        <v>5.0</v>
      </c>
      <c r="P178" s="1" t="s">
        <v>28</v>
      </c>
      <c r="Q178" s="5" t="b">
        <v>0</v>
      </c>
      <c r="R178" s="5" t="b">
        <v>1</v>
      </c>
      <c r="S178" s="5" t="b">
        <v>0</v>
      </c>
      <c r="T178" s="4">
        <v>38.0</v>
      </c>
      <c r="U178" s="5" t="b">
        <v>0</v>
      </c>
      <c r="V178" s="11">
        <v>44860.0</v>
      </c>
      <c r="W178" s="10">
        <v>44825.0</v>
      </c>
    </row>
    <row r="179">
      <c r="A179" s="4">
        <v>57444.0</v>
      </c>
      <c r="B179" s="5" t="b">
        <v>1</v>
      </c>
      <c r="C179" s="6" t="s">
        <v>836</v>
      </c>
      <c r="D179" s="1" t="s">
        <v>837</v>
      </c>
      <c r="E179" s="7">
        <v>4871309.0</v>
      </c>
      <c r="F179" s="7">
        <v>1901065.0</v>
      </c>
      <c r="G179" s="1" t="s">
        <v>838</v>
      </c>
      <c r="H179" s="1" t="s">
        <v>839</v>
      </c>
      <c r="I179" s="8">
        <v>44468.43886495371</v>
      </c>
      <c r="J179" s="9">
        <f>+33980350903</f>
        <v>33980350903</v>
      </c>
      <c r="K179" s="4">
        <v>13.0</v>
      </c>
      <c r="L179" s="7">
        <v>5.0</v>
      </c>
      <c r="M179" s="1" t="s">
        <v>840</v>
      </c>
      <c r="N179" s="4">
        <v>233.0</v>
      </c>
      <c r="O179" s="4">
        <v>1.0</v>
      </c>
      <c r="P179" s="1" t="s">
        <v>39</v>
      </c>
      <c r="Q179" s="5" t="b">
        <v>0</v>
      </c>
      <c r="R179" s="5" t="b">
        <v>1</v>
      </c>
      <c r="S179" s="5" t="b">
        <v>0</v>
      </c>
      <c r="T179" s="4" t="s">
        <v>292</v>
      </c>
      <c r="U179" s="5" t="b">
        <v>0</v>
      </c>
      <c r="V179" s="10">
        <v>44762.0</v>
      </c>
      <c r="W179" s="10">
        <v>44808.0</v>
      </c>
    </row>
    <row r="180">
      <c r="A180" s="4">
        <v>57504.0</v>
      </c>
      <c r="B180" s="5" t="b">
        <v>1</v>
      </c>
      <c r="C180" s="6" t="s">
        <v>841</v>
      </c>
      <c r="D180" s="1" t="s">
        <v>842</v>
      </c>
      <c r="E180" s="7">
        <v>4554101.0</v>
      </c>
      <c r="F180" s="7">
        <v>1159252.0</v>
      </c>
      <c r="G180" s="1" t="s">
        <v>843</v>
      </c>
      <c r="H180" s="1" t="s">
        <v>844</v>
      </c>
      <c r="I180" s="8">
        <v>44470.532834895836</v>
      </c>
      <c r="J180" s="9">
        <f>+393589395853</f>
        <v>393589395853</v>
      </c>
      <c r="K180" s="4">
        <v>5.0</v>
      </c>
      <c r="L180" s="7">
        <v>5.0</v>
      </c>
      <c r="M180" s="1">
        <v>7.776733333E9</v>
      </c>
      <c r="N180" s="4">
        <v>206.0</v>
      </c>
      <c r="O180" s="4">
        <v>2.0</v>
      </c>
      <c r="P180" s="1" t="s">
        <v>39</v>
      </c>
      <c r="Q180" s="5" t="b">
        <v>0</v>
      </c>
      <c r="R180" s="5" t="b">
        <v>0</v>
      </c>
      <c r="S180" s="5" t="b">
        <v>0</v>
      </c>
      <c r="T180" s="4" t="s">
        <v>689</v>
      </c>
      <c r="U180" s="5" t="b">
        <v>0</v>
      </c>
      <c r="V180" s="10">
        <v>44831.0</v>
      </c>
      <c r="W180" s="10">
        <v>44711.0</v>
      </c>
    </row>
    <row r="181">
      <c r="A181" s="4">
        <v>57544.0</v>
      </c>
      <c r="B181" s="5" t="b">
        <v>1</v>
      </c>
      <c r="C181" s="6" t="s">
        <v>845</v>
      </c>
      <c r="D181" s="1" t="s">
        <v>846</v>
      </c>
      <c r="E181" s="7">
        <v>4058511.0</v>
      </c>
      <c r="F181" s="7">
        <v>9001444.0</v>
      </c>
      <c r="G181" s="1" t="s">
        <v>847</v>
      </c>
      <c r="H181" s="1" t="s">
        <v>848</v>
      </c>
      <c r="I181" s="8">
        <v>44475.58089596065</v>
      </c>
      <c r="J181" s="9">
        <f>+393508999398</f>
        <v>393508999398</v>
      </c>
      <c r="K181" s="4">
        <v>63.0</v>
      </c>
      <c r="L181" s="7">
        <v>4857143.0</v>
      </c>
      <c r="M181" s="1">
        <v>7.33333733E8</v>
      </c>
      <c r="N181" s="4">
        <v>398.0</v>
      </c>
      <c r="O181" s="4">
        <v>2.0</v>
      </c>
      <c r="P181" s="1" t="s">
        <v>33</v>
      </c>
      <c r="Q181" s="5" t="b">
        <v>0</v>
      </c>
      <c r="R181" s="5" t="b">
        <v>1</v>
      </c>
      <c r="S181" s="5" t="b">
        <v>0</v>
      </c>
      <c r="T181" s="4" t="s">
        <v>849</v>
      </c>
      <c r="U181" s="5" t="b">
        <v>0</v>
      </c>
      <c r="V181" s="10">
        <v>44818.0</v>
      </c>
      <c r="W181" s="10">
        <v>44792.0</v>
      </c>
    </row>
    <row r="182">
      <c r="A182" s="4">
        <v>540630.0</v>
      </c>
      <c r="B182" s="5" t="b">
        <v>1</v>
      </c>
      <c r="C182" s="6" t="s">
        <v>850</v>
      </c>
      <c r="D182" s="1" t="s">
        <v>851</v>
      </c>
      <c r="E182" s="7">
        <v>3847894.0</v>
      </c>
      <c r="F182" s="7">
        <v>-78189.0</v>
      </c>
      <c r="G182" s="1" t="s">
        <v>852</v>
      </c>
      <c r="H182" s="1" t="s">
        <v>853</v>
      </c>
      <c r="I182" s="8">
        <v>44477.5068944213</v>
      </c>
      <c r="J182" s="9">
        <f>+35995539595</f>
        <v>35995539595</v>
      </c>
      <c r="K182" s="4">
        <v>9.0</v>
      </c>
      <c r="L182" s="7">
        <v>4888889.0</v>
      </c>
      <c r="M182" s="1">
        <v>773733.0</v>
      </c>
      <c r="N182" s="4">
        <v>2076.0</v>
      </c>
      <c r="O182" s="4">
        <v>4.0</v>
      </c>
      <c r="P182" s="1" t="s">
        <v>39</v>
      </c>
      <c r="Q182" s="5" t="b">
        <v>0</v>
      </c>
      <c r="R182" s="5" t="b">
        <v>1</v>
      </c>
      <c r="S182" s="5" t="b">
        <v>0</v>
      </c>
      <c r="T182" s="4" t="s">
        <v>854</v>
      </c>
      <c r="U182" s="5" t="b">
        <v>0</v>
      </c>
      <c r="V182" s="10">
        <v>44791.0</v>
      </c>
      <c r="W182" s="10">
        <v>44902.0</v>
      </c>
    </row>
    <row r="183">
      <c r="A183" s="4">
        <v>54146.0</v>
      </c>
      <c r="B183" s="5" t="b">
        <v>1</v>
      </c>
      <c r="C183" s="6" t="s">
        <v>855</v>
      </c>
      <c r="D183" s="1" t="s">
        <v>856</v>
      </c>
      <c r="E183" s="7">
        <v>4235507.0</v>
      </c>
      <c r="F183" s="7">
        <v>1414196.0</v>
      </c>
      <c r="G183" s="1" t="s">
        <v>857</v>
      </c>
      <c r="H183" s="1" t="s">
        <v>858</v>
      </c>
      <c r="I183" s="8">
        <v>44483.29857986111</v>
      </c>
      <c r="J183" s="9">
        <f>+390833335955</f>
        <v>390833335955</v>
      </c>
      <c r="K183" s="4">
        <v>24.0</v>
      </c>
      <c r="L183" s="7">
        <v>4833333.0</v>
      </c>
      <c r="M183" s="1">
        <v>733673.0</v>
      </c>
      <c r="N183" s="4">
        <v>686.0</v>
      </c>
      <c r="O183" s="4">
        <v>3.0</v>
      </c>
      <c r="P183" s="1" t="s">
        <v>28</v>
      </c>
      <c r="Q183" s="5" t="b">
        <v>0</v>
      </c>
      <c r="R183" s="5" t="b">
        <v>0</v>
      </c>
      <c r="S183" s="5" t="b">
        <v>0</v>
      </c>
      <c r="T183" s="4" t="s">
        <v>512</v>
      </c>
      <c r="U183" s="5" t="b">
        <v>0</v>
      </c>
      <c r="V183" s="10">
        <v>44787.0</v>
      </c>
      <c r="W183" s="10">
        <v>44808.0</v>
      </c>
    </row>
    <row r="184">
      <c r="A184" s="4">
        <v>54160.0</v>
      </c>
      <c r="B184" s="5" t="b">
        <v>1</v>
      </c>
      <c r="C184" s="6" t="s">
        <v>859</v>
      </c>
      <c r="D184" s="1" t="s">
        <v>860</v>
      </c>
      <c r="E184" s="7">
        <v>454417.0</v>
      </c>
      <c r="F184" s="7">
        <v>1076536.0</v>
      </c>
      <c r="G184" s="1" t="s">
        <v>861</v>
      </c>
      <c r="H184" s="1" t="s">
        <v>862</v>
      </c>
      <c r="I184" s="8">
        <v>44483.531364201386</v>
      </c>
      <c r="J184" s="9">
        <f>+393508535839</f>
        <v>393508535839</v>
      </c>
      <c r="K184" s="4">
        <v>0.0</v>
      </c>
      <c r="L184" s="7">
        <v>0.0</v>
      </c>
      <c r="M184" s="1">
        <v>7.773733377E9</v>
      </c>
      <c r="N184" s="4">
        <v>271.0</v>
      </c>
      <c r="O184" s="4">
        <v>1.0</v>
      </c>
      <c r="P184" s="1" t="s">
        <v>33</v>
      </c>
      <c r="Q184" s="5" t="b">
        <v>0</v>
      </c>
      <c r="R184" s="5" t="b">
        <v>1</v>
      </c>
      <c r="S184" s="5" t="b">
        <v>0</v>
      </c>
      <c r="T184" s="4">
        <v>0.0</v>
      </c>
      <c r="U184" s="5" t="b">
        <v>0</v>
      </c>
      <c r="V184" s="10">
        <v>44836.0</v>
      </c>
      <c r="W184" s="11">
        <v>44846.0</v>
      </c>
    </row>
    <row r="185">
      <c r="A185" s="4">
        <v>54170.0</v>
      </c>
      <c r="B185" s="5" t="b">
        <v>1</v>
      </c>
      <c r="C185" s="6" t="s">
        <v>863</v>
      </c>
      <c r="D185" s="1" t="s">
        <v>864</v>
      </c>
      <c r="E185" s="7">
        <v>3988848.0</v>
      </c>
      <c r="F185" s="7">
        <v>-8178.0</v>
      </c>
      <c r="G185" s="1" t="s">
        <v>865</v>
      </c>
      <c r="H185" s="1" t="s">
        <v>866</v>
      </c>
      <c r="I185" s="8">
        <v>44484.36538459491</v>
      </c>
      <c r="J185" s="9">
        <f>+35995533590</f>
        <v>35995533590</v>
      </c>
      <c r="K185" s="4">
        <v>59.0</v>
      </c>
      <c r="L185" s="7">
        <v>4983051.0</v>
      </c>
      <c r="M185" s="1" t="s">
        <v>867</v>
      </c>
      <c r="N185" s="4">
        <v>1289.0</v>
      </c>
      <c r="O185" s="4">
        <v>4.0</v>
      </c>
      <c r="P185" s="1" t="s">
        <v>33</v>
      </c>
      <c r="Q185" s="5" t="b">
        <v>0</v>
      </c>
      <c r="R185" s="5" t="b">
        <v>1</v>
      </c>
      <c r="S185" s="5" t="b">
        <v>1</v>
      </c>
      <c r="T185" s="4" t="s">
        <v>868</v>
      </c>
      <c r="U185" s="5" t="b">
        <v>0</v>
      </c>
      <c r="V185" s="11">
        <v>44879.0</v>
      </c>
      <c r="W185" s="10">
        <v>44591.0</v>
      </c>
    </row>
    <row r="186">
      <c r="A186" s="4">
        <v>545550.0</v>
      </c>
      <c r="B186" s="5" t="b">
        <v>0</v>
      </c>
      <c r="C186" s="6" t="s">
        <v>869</v>
      </c>
      <c r="D186" s="1" t="s">
        <v>870</v>
      </c>
      <c r="E186" s="7">
        <v>4900523.0</v>
      </c>
      <c r="F186" s="7">
        <v>2115856.0</v>
      </c>
      <c r="G186" s="1" t="s">
        <v>871</v>
      </c>
      <c r="H186" s="1" t="s">
        <v>872</v>
      </c>
      <c r="I186" s="8">
        <v>44487.65349143519</v>
      </c>
      <c r="J186" s="9">
        <f>+33995383358</f>
        <v>33995383358</v>
      </c>
      <c r="K186" s="4">
        <v>17.0</v>
      </c>
      <c r="L186" s="7">
        <v>5.0</v>
      </c>
      <c r="M186" s="1" t="s">
        <v>873</v>
      </c>
      <c r="N186" s="4">
        <v>127.0</v>
      </c>
      <c r="O186" s="4">
        <v>1.0</v>
      </c>
      <c r="P186" s="1" t="s">
        <v>39</v>
      </c>
      <c r="Q186" s="5" t="b">
        <v>0</v>
      </c>
      <c r="R186" s="5" t="b">
        <v>1</v>
      </c>
      <c r="S186" s="5" t="b">
        <v>0</v>
      </c>
      <c r="T186" s="4" t="s">
        <v>462</v>
      </c>
      <c r="U186" s="5" t="b">
        <v>0</v>
      </c>
      <c r="V186" s="10">
        <v>44801.0</v>
      </c>
      <c r="W186" s="10">
        <v>44788.0</v>
      </c>
    </row>
    <row r="187">
      <c r="A187" s="4">
        <v>54544.0</v>
      </c>
      <c r="B187" s="5" t="b">
        <v>1</v>
      </c>
      <c r="C187" s="6" t="s">
        <v>874</v>
      </c>
      <c r="D187" s="1" t="s">
        <v>875</v>
      </c>
      <c r="E187" s="7">
        <v>406694.0</v>
      </c>
      <c r="F187" s="7">
        <v>2291712.0</v>
      </c>
      <c r="G187" s="1" t="s">
        <v>58</v>
      </c>
      <c r="H187" s="1" t="s">
        <v>876</v>
      </c>
      <c r="I187" s="8">
        <v>44488.61577369213</v>
      </c>
      <c r="J187" s="9">
        <f>+308330383303</f>
        <v>308330383303</v>
      </c>
      <c r="K187" s="4">
        <v>0.0</v>
      </c>
      <c r="L187" s="7">
        <v>0.0</v>
      </c>
      <c r="M187" s="1">
        <v>3.7337637E7</v>
      </c>
      <c r="N187" s="4">
        <v>1304.0</v>
      </c>
      <c r="O187" s="4">
        <v>4.0</v>
      </c>
      <c r="P187" s="1" t="s">
        <v>39</v>
      </c>
      <c r="Q187" s="5" t="b">
        <v>1</v>
      </c>
      <c r="R187" s="5" t="b">
        <v>0</v>
      </c>
      <c r="S187" s="5" t="b">
        <v>0</v>
      </c>
      <c r="T187" s="4">
        <v>0.0</v>
      </c>
      <c r="U187" s="5" t="b">
        <v>0</v>
      </c>
      <c r="V187" s="10">
        <v>44778.0</v>
      </c>
      <c r="W187" s="11">
        <v>44856.0</v>
      </c>
    </row>
    <row r="188">
      <c r="A188" s="4">
        <v>5450050.0</v>
      </c>
      <c r="B188" s="5" t="b">
        <v>1</v>
      </c>
      <c r="C188" s="6" t="s">
        <v>877</v>
      </c>
      <c r="D188" s="1" t="s">
        <v>878</v>
      </c>
      <c r="E188" s="7">
        <v>4190782.0</v>
      </c>
      <c r="F188" s="7">
        <v>1248804.0</v>
      </c>
      <c r="G188" s="1" t="s">
        <v>25</v>
      </c>
      <c r="H188" s="1" t="s">
        <v>879</v>
      </c>
      <c r="I188" s="8">
        <v>44490.79320417824</v>
      </c>
      <c r="J188" s="9">
        <f>+393335959839</f>
        <v>393335959839</v>
      </c>
      <c r="K188" s="4">
        <v>0.0</v>
      </c>
      <c r="L188" s="7">
        <v>0.0</v>
      </c>
      <c r="M188" s="9"/>
      <c r="N188" s="4">
        <v>71.0</v>
      </c>
      <c r="O188" s="4">
        <v>1.0</v>
      </c>
      <c r="P188" s="1" t="s">
        <v>28</v>
      </c>
      <c r="Q188" s="5" t="b">
        <v>0</v>
      </c>
      <c r="R188" s="5" t="b">
        <v>0</v>
      </c>
      <c r="S188" s="5" t="b">
        <v>0</v>
      </c>
      <c r="T188" s="4">
        <v>0.0</v>
      </c>
      <c r="U188" s="5" t="b">
        <v>0</v>
      </c>
      <c r="V188" s="10">
        <v>44820.0</v>
      </c>
      <c r="W188" s="11">
        <v>44883.0</v>
      </c>
    </row>
    <row r="189">
      <c r="A189" s="4">
        <v>545074.0</v>
      </c>
      <c r="B189" s="5" t="b">
        <v>1</v>
      </c>
      <c r="C189" s="6" t="s">
        <v>880</v>
      </c>
      <c r="D189" s="1" t="s">
        <v>881</v>
      </c>
      <c r="E189" s="7">
        <v>4336092.0</v>
      </c>
      <c r="F189" s="7">
        <v>-841899.0</v>
      </c>
      <c r="G189" s="1" t="s">
        <v>189</v>
      </c>
      <c r="H189" s="1" t="s">
        <v>882</v>
      </c>
      <c r="I189" s="8">
        <v>44495.75010833333</v>
      </c>
      <c r="J189" s="9">
        <f>+35953833393</f>
        <v>35953833393</v>
      </c>
      <c r="K189" s="4">
        <v>4.0</v>
      </c>
      <c r="L189" s="7">
        <v>5.0</v>
      </c>
      <c r="M189" s="1" t="s">
        <v>883</v>
      </c>
      <c r="N189" s="4">
        <v>639.0</v>
      </c>
      <c r="O189" s="4">
        <v>3.0</v>
      </c>
      <c r="P189" s="1" t="s">
        <v>28</v>
      </c>
      <c r="Q189" s="5" t="b">
        <v>0</v>
      </c>
      <c r="R189" s="5" t="b">
        <v>1</v>
      </c>
      <c r="S189" s="5" t="b">
        <v>0</v>
      </c>
      <c r="T189" s="4" t="s">
        <v>611</v>
      </c>
      <c r="U189" s="5" t="b">
        <v>0</v>
      </c>
      <c r="V189" s="11">
        <v>44895.0</v>
      </c>
      <c r="W189" s="10">
        <v>44872.0</v>
      </c>
    </row>
    <row r="190">
      <c r="A190" s="4">
        <v>54414.0</v>
      </c>
      <c r="B190" s="5" t="b">
        <v>1</v>
      </c>
      <c r="C190" s="6" t="s">
        <v>884</v>
      </c>
      <c r="D190" s="1" t="s">
        <v>885</v>
      </c>
      <c r="E190" s="7">
        <v>413745.0</v>
      </c>
      <c r="F190" s="7">
        <v>2158109.0</v>
      </c>
      <c r="G190" s="1" t="s">
        <v>182</v>
      </c>
      <c r="H190" s="1" t="s">
        <v>886</v>
      </c>
      <c r="I190" s="8">
        <v>44497.327975023145</v>
      </c>
      <c r="J190" s="8"/>
      <c r="K190" s="4">
        <v>9.0</v>
      </c>
      <c r="L190" s="7">
        <v>5.0</v>
      </c>
      <c r="M190" s="1" t="s">
        <v>887</v>
      </c>
      <c r="N190" s="4">
        <v>49.0</v>
      </c>
      <c r="O190" s="4">
        <v>2.0</v>
      </c>
      <c r="P190" s="1" t="s">
        <v>39</v>
      </c>
      <c r="Q190" s="5" t="b">
        <v>0</v>
      </c>
      <c r="R190" s="5" t="b">
        <v>1</v>
      </c>
      <c r="S190" s="5" t="b">
        <v>0</v>
      </c>
      <c r="T190" s="4" t="s">
        <v>576</v>
      </c>
      <c r="U190" s="5" t="b">
        <v>0</v>
      </c>
      <c r="V190" s="10">
        <v>44816.0</v>
      </c>
      <c r="W190" s="10">
        <v>44804.0</v>
      </c>
    </row>
    <row r="191">
      <c r="A191" s="4">
        <v>54460.0</v>
      </c>
      <c r="B191" s="5" t="b">
        <v>1</v>
      </c>
      <c r="C191" s="6" t="s">
        <v>888</v>
      </c>
      <c r="D191" s="1" t="s">
        <v>889</v>
      </c>
      <c r="E191" s="7">
        <v>4257421.0</v>
      </c>
      <c r="F191" s="7">
        <v>-54594.0</v>
      </c>
      <c r="G191" s="1" t="s">
        <v>890</v>
      </c>
      <c r="H191" s="1" t="s">
        <v>891</v>
      </c>
      <c r="I191" s="8">
        <v>44497.642636400466</v>
      </c>
      <c r="J191" s="9">
        <f>+35935093938</f>
        <v>35935093938</v>
      </c>
      <c r="K191" s="4">
        <v>97.0</v>
      </c>
      <c r="L191" s="7">
        <v>4989691.0</v>
      </c>
      <c r="M191" s="1" t="s">
        <v>892</v>
      </c>
      <c r="N191" s="4">
        <v>1427.0</v>
      </c>
      <c r="O191" s="4">
        <v>3.0</v>
      </c>
      <c r="P191" s="1" t="s">
        <v>33</v>
      </c>
      <c r="Q191" s="5" t="b">
        <v>0</v>
      </c>
      <c r="R191" s="5" t="b">
        <v>1</v>
      </c>
      <c r="S191" s="5" t="b">
        <v>0</v>
      </c>
      <c r="T191" s="4" t="s">
        <v>405</v>
      </c>
      <c r="U191" s="5" t="b">
        <v>0</v>
      </c>
      <c r="V191" s="10">
        <v>44694.0</v>
      </c>
      <c r="W191" s="11">
        <v>44887.0</v>
      </c>
    </row>
    <row r="192">
      <c r="A192" s="4">
        <v>543076.0</v>
      </c>
      <c r="B192" s="5" t="b">
        <v>1</v>
      </c>
      <c r="C192" s="6" t="s">
        <v>893</v>
      </c>
      <c r="D192" s="1" t="s">
        <v>894</v>
      </c>
      <c r="E192" s="7">
        <v>3921568.0</v>
      </c>
      <c r="F192" s="7">
        <v>9126436.0</v>
      </c>
      <c r="G192" s="1" t="s">
        <v>895</v>
      </c>
      <c r="H192" s="1" t="s">
        <v>896</v>
      </c>
      <c r="I192" s="8">
        <v>44504.49229446759</v>
      </c>
      <c r="J192" s="9">
        <f>+390305983988</f>
        <v>390305983988</v>
      </c>
      <c r="K192" s="4">
        <v>146.0</v>
      </c>
      <c r="L192" s="7">
        <v>4979452.0</v>
      </c>
      <c r="M192" s="1">
        <v>7.337363737E9</v>
      </c>
      <c r="N192" s="4">
        <v>20380.0</v>
      </c>
      <c r="O192" s="4">
        <v>19.0</v>
      </c>
      <c r="P192" s="1" t="s">
        <v>33</v>
      </c>
      <c r="Q192" s="5" t="b">
        <v>0</v>
      </c>
      <c r="R192" s="5" t="b">
        <v>0</v>
      </c>
      <c r="S192" s="5" t="b">
        <v>0</v>
      </c>
      <c r="T192" s="4" t="s">
        <v>34</v>
      </c>
      <c r="U192" s="5" t="b">
        <v>0</v>
      </c>
      <c r="V192" s="10">
        <v>44816.0</v>
      </c>
      <c r="W192" s="10">
        <v>44857.0</v>
      </c>
    </row>
    <row r="193">
      <c r="A193" s="4">
        <v>54756.0</v>
      </c>
      <c r="B193" s="5" t="b">
        <v>1</v>
      </c>
      <c r="C193" s="6" t="s">
        <v>897</v>
      </c>
      <c r="D193" s="1" t="s">
        <v>898</v>
      </c>
      <c r="E193" s="7">
        <v>4086971.0</v>
      </c>
      <c r="F193" s="7">
        <v>1423503.0</v>
      </c>
      <c r="G193" s="1" t="s">
        <v>143</v>
      </c>
      <c r="H193" s="1" t="s">
        <v>899</v>
      </c>
      <c r="I193" s="8">
        <v>44512.55137140046</v>
      </c>
      <c r="J193" s="9">
        <f>+393503035833</f>
        <v>393503035833</v>
      </c>
      <c r="K193" s="4">
        <v>46.0</v>
      </c>
      <c r="L193" s="7">
        <v>5.0</v>
      </c>
      <c r="M193" s="1">
        <v>6.733763336E9</v>
      </c>
      <c r="N193" s="4">
        <v>375.0</v>
      </c>
      <c r="O193" s="4">
        <v>2.0</v>
      </c>
      <c r="P193" s="1" t="s">
        <v>28</v>
      </c>
      <c r="Q193" s="5" t="b">
        <v>0</v>
      </c>
      <c r="R193" s="5" t="b">
        <v>1</v>
      </c>
      <c r="S193" s="5" t="b">
        <v>1</v>
      </c>
      <c r="T193" s="4" t="s">
        <v>900</v>
      </c>
      <c r="U193" s="5" t="b">
        <v>0</v>
      </c>
      <c r="V193" s="10">
        <v>44811.0</v>
      </c>
      <c r="W193" s="10">
        <v>44838.0</v>
      </c>
    </row>
    <row r="194">
      <c r="A194" s="4">
        <v>544550.0</v>
      </c>
      <c r="B194" s="5" t="b">
        <v>1</v>
      </c>
      <c r="C194" s="6" t="s">
        <v>901</v>
      </c>
      <c r="D194" s="1" t="s">
        <v>902</v>
      </c>
      <c r="E194" s="7">
        <v>3805471.0</v>
      </c>
      <c r="F194" s="7">
        <v>23811.0</v>
      </c>
      <c r="G194" s="1" t="s">
        <v>903</v>
      </c>
      <c r="H194" s="1" t="s">
        <v>904</v>
      </c>
      <c r="I194" s="8">
        <v>44517.42983050926</v>
      </c>
      <c r="J194" s="9">
        <f>+308335839399</f>
        <v>308335839399</v>
      </c>
      <c r="K194" s="4">
        <v>89.0</v>
      </c>
      <c r="L194" s="7">
        <v>4865169.0</v>
      </c>
      <c r="M194" s="1">
        <v>3337377.0</v>
      </c>
      <c r="N194" s="4">
        <v>852.0</v>
      </c>
      <c r="O194" s="4">
        <v>2.0</v>
      </c>
      <c r="P194" s="1" t="s">
        <v>28</v>
      </c>
      <c r="Q194" s="5" t="b">
        <v>0</v>
      </c>
      <c r="R194" s="5" t="b">
        <v>0</v>
      </c>
      <c r="S194" s="5" t="b">
        <v>0</v>
      </c>
      <c r="T194" s="4" t="s">
        <v>380</v>
      </c>
      <c r="U194" s="5" t="b">
        <v>0</v>
      </c>
      <c r="V194" s="10">
        <v>44799.0</v>
      </c>
      <c r="W194" s="10">
        <v>44867.0</v>
      </c>
    </row>
    <row r="195">
      <c r="A195" s="4">
        <v>544305.0</v>
      </c>
      <c r="B195" s="5" t="b">
        <v>1</v>
      </c>
      <c r="C195" s="6" t="s">
        <v>905</v>
      </c>
      <c r="D195" s="1" t="s">
        <v>906</v>
      </c>
      <c r="E195" s="7">
        <v>3794761.0</v>
      </c>
      <c r="F195" s="7">
        <v>2373785.0</v>
      </c>
      <c r="G195" s="1" t="s">
        <v>907</v>
      </c>
      <c r="H195" s="1" t="s">
        <v>908</v>
      </c>
      <c r="I195" s="8">
        <v>44518.57426267361</v>
      </c>
      <c r="J195" s="9">
        <f>+308003000803</f>
        <v>308003000803</v>
      </c>
      <c r="K195" s="4">
        <v>75.0</v>
      </c>
      <c r="L195" s="7">
        <v>4893333.0</v>
      </c>
      <c r="M195" s="1">
        <v>673733.0</v>
      </c>
      <c r="N195" s="4">
        <v>1490.0</v>
      </c>
      <c r="O195" s="4">
        <v>9.0</v>
      </c>
      <c r="P195" s="1" t="s">
        <v>28</v>
      </c>
      <c r="Q195" s="5" t="b">
        <v>0</v>
      </c>
      <c r="R195" s="5" t="b">
        <v>1</v>
      </c>
      <c r="S195" s="5" t="b">
        <v>0</v>
      </c>
      <c r="T195" s="4" t="s">
        <v>909</v>
      </c>
      <c r="U195" s="5" t="b">
        <v>0</v>
      </c>
      <c r="V195" s="10">
        <v>44792.0</v>
      </c>
      <c r="W195" s="10">
        <v>44806.0</v>
      </c>
    </row>
    <row r="196">
      <c r="A196" s="4">
        <v>54465.0</v>
      </c>
      <c r="B196" s="5" t="b">
        <v>1</v>
      </c>
      <c r="C196" s="6" t="s">
        <v>910</v>
      </c>
      <c r="D196" s="1" t="s">
        <v>911</v>
      </c>
      <c r="E196" s="7">
        <v>4496247.0</v>
      </c>
      <c r="F196" s="7">
        <v>1025767.0</v>
      </c>
      <c r="G196" s="1" t="s">
        <v>912</v>
      </c>
      <c r="H196" s="1" t="s">
        <v>913</v>
      </c>
      <c r="I196" s="8">
        <v>44518.702068900464</v>
      </c>
      <c r="J196" s="9">
        <f>+393393503953</f>
        <v>393393503953</v>
      </c>
      <c r="K196" s="4">
        <v>4.0</v>
      </c>
      <c r="L196" s="7">
        <v>5.0</v>
      </c>
      <c r="M196" s="1">
        <v>7.37333736E8</v>
      </c>
      <c r="N196" s="4">
        <v>526.0</v>
      </c>
      <c r="O196" s="4">
        <v>2.0</v>
      </c>
      <c r="P196" s="1" t="s">
        <v>28</v>
      </c>
      <c r="Q196" s="5" t="b">
        <v>0</v>
      </c>
      <c r="R196" s="5" t="b">
        <v>0</v>
      </c>
      <c r="S196" s="5" t="b">
        <v>0</v>
      </c>
      <c r="T196" s="4" t="s">
        <v>764</v>
      </c>
      <c r="U196" s="5" t="b">
        <v>0</v>
      </c>
      <c r="V196" s="11">
        <v>44886.0</v>
      </c>
      <c r="W196" s="10">
        <v>44801.0</v>
      </c>
    </row>
    <row r="197">
      <c r="A197" s="4">
        <v>544730.0</v>
      </c>
      <c r="B197" s="5" t="b">
        <v>1</v>
      </c>
      <c r="C197" s="6" t="s">
        <v>914</v>
      </c>
      <c r="D197" s="1" t="s">
        <v>915</v>
      </c>
      <c r="E197" s="7">
        <v>4044504.0</v>
      </c>
      <c r="F197" s="7">
        <v>-367515.0</v>
      </c>
      <c r="G197" s="1" t="s">
        <v>195</v>
      </c>
      <c r="H197" s="1" t="s">
        <v>916</v>
      </c>
      <c r="I197" s="8">
        <v>44519.36314792824</v>
      </c>
      <c r="J197" s="8"/>
      <c r="K197" s="4">
        <v>2.0</v>
      </c>
      <c r="L197" s="7" t="s">
        <v>917</v>
      </c>
      <c r="M197" s="1" t="s">
        <v>918</v>
      </c>
      <c r="N197" s="4">
        <v>103.0</v>
      </c>
      <c r="O197" s="4">
        <v>4.0</v>
      </c>
      <c r="P197" s="1" t="s">
        <v>39</v>
      </c>
      <c r="Q197" s="5" t="b">
        <v>0</v>
      </c>
      <c r="R197" s="5" t="b">
        <v>1</v>
      </c>
      <c r="S197" s="5" t="b">
        <v>0</v>
      </c>
      <c r="T197" s="4" t="s">
        <v>919</v>
      </c>
      <c r="U197" s="5" t="b">
        <v>0</v>
      </c>
      <c r="V197" s="11">
        <v>44849.0</v>
      </c>
      <c r="W197" s="10">
        <v>44902.0</v>
      </c>
    </row>
    <row r="198">
      <c r="A198" s="4">
        <v>544450.0</v>
      </c>
      <c r="B198" s="5" t="b">
        <v>1</v>
      </c>
      <c r="C198" s="6" t="s">
        <v>920</v>
      </c>
      <c r="D198" s="1" t="s">
        <v>921</v>
      </c>
      <c r="E198" s="7">
        <v>4545194.0</v>
      </c>
      <c r="F198" s="7">
        <v>918372.0</v>
      </c>
      <c r="G198" s="1" t="s">
        <v>37</v>
      </c>
      <c r="H198" s="1" t="s">
        <v>922</v>
      </c>
      <c r="I198" s="8">
        <v>44519.42874686343</v>
      </c>
      <c r="J198" s="9">
        <f>+390889509953</f>
        <v>390889509953</v>
      </c>
      <c r="K198" s="4">
        <v>82.0</v>
      </c>
      <c r="L198" s="7">
        <v>4865854.0</v>
      </c>
      <c r="M198" s="1">
        <v>7333763.0</v>
      </c>
      <c r="N198" s="4">
        <v>6773.0</v>
      </c>
      <c r="O198" s="4">
        <v>4.0</v>
      </c>
      <c r="P198" s="1" t="s">
        <v>28</v>
      </c>
      <c r="Q198" s="5" t="b">
        <v>0</v>
      </c>
      <c r="R198" s="5" t="b">
        <v>1</v>
      </c>
      <c r="S198" s="5" t="b">
        <v>1</v>
      </c>
      <c r="T198" s="4" t="s">
        <v>923</v>
      </c>
      <c r="U198" s="5" t="b">
        <v>1</v>
      </c>
      <c r="V198" s="11">
        <v>44887.0</v>
      </c>
      <c r="W198" s="10">
        <v>44774.0</v>
      </c>
    </row>
    <row r="199">
      <c r="A199" s="4">
        <v>54504.0</v>
      </c>
      <c r="B199" s="5" t="b">
        <v>1</v>
      </c>
      <c r="C199" s="6" t="s">
        <v>924</v>
      </c>
      <c r="D199" s="1" t="s">
        <v>925</v>
      </c>
      <c r="E199" s="7">
        <v>370837.0</v>
      </c>
      <c r="F199" s="7">
        <v>1528249.0</v>
      </c>
      <c r="G199" s="1" t="s">
        <v>926</v>
      </c>
      <c r="H199" s="1" t="s">
        <v>927</v>
      </c>
      <c r="I199" s="8">
        <v>44519.60441166667</v>
      </c>
      <c r="J199" s="9">
        <f>+393509885399</f>
        <v>393509885399</v>
      </c>
      <c r="K199" s="4">
        <v>15.0</v>
      </c>
      <c r="L199" s="7">
        <v>4866667.0</v>
      </c>
      <c r="M199" s="1">
        <v>7.63733373E8</v>
      </c>
      <c r="N199" s="4">
        <v>575.0</v>
      </c>
      <c r="O199" s="4">
        <v>6.0</v>
      </c>
      <c r="P199" s="1" t="s">
        <v>28</v>
      </c>
      <c r="Q199" s="5" t="b">
        <v>0</v>
      </c>
      <c r="R199" s="5" t="b">
        <v>1</v>
      </c>
      <c r="S199" s="5" t="b">
        <v>0</v>
      </c>
      <c r="T199" s="4" t="s">
        <v>375</v>
      </c>
      <c r="U199" s="5" t="b">
        <v>0</v>
      </c>
      <c r="V199" s="10">
        <v>44792.0</v>
      </c>
      <c r="W199" s="10">
        <v>44798.0</v>
      </c>
    </row>
    <row r="200">
      <c r="A200" s="4">
        <v>54506.0</v>
      </c>
      <c r="B200" s="5" t="b">
        <v>1</v>
      </c>
      <c r="C200" s="6" t="s">
        <v>928</v>
      </c>
      <c r="D200" s="1" t="s">
        <v>929</v>
      </c>
      <c r="E200" s="7">
        <v>4189473.0</v>
      </c>
      <c r="F200" s="7">
        <v>1256212.0</v>
      </c>
      <c r="G200" s="1" t="s">
        <v>25</v>
      </c>
      <c r="H200" s="1" t="s">
        <v>930</v>
      </c>
      <c r="I200" s="8">
        <v>44519.62888935185</v>
      </c>
      <c r="J200" s="9">
        <f>+393889588853</f>
        <v>393889588853</v>
      </c>
      <c r="K200" s="4">
        <v>33.0</v>
      </c>
      <c r="L200" s="7">
        <v>4878788.0</v>
      </c>
      <c r="M200" s="1">
        <v>7.73373333E8</v>
      </c>
      <c r="N200" s="4">
        <v>4672.0</v>
      </c>
      <c r="O200" s="4">
        <v>10.0</v>
      </c>
      <c r="P200" s="1" t="s">
        <v>33</v>
      </c>
      <c r="Q200" s="5" t="b">
        <v>0</v>
      </c>
      <c r="R200" s="5" t="b">
        <v>1</v>
      </c>
      <c r="S200" s="5" t="b">
        <v>0</v>
      </c>
      <c r="T200" s="4" t="s">
        <v>931</v>
      </c>
      <c r="U200" s="5" t="b">
        <v>0</v>
      </c>
      <c r="V200" s="10">
        <v>44896.0</v>
      </c>
      <c r="W200" s="10">
        <v>44877.0</v>
      </c>
    </row>
    <row r="201">
      <c r="A201" s="4">
        <v>54574.0</v>
      </c>
      <c r="B201" s="5" t="b">
        <v>1</v>
      </c>
      <c r="C201" s="6" t="s">
        <v>932</v>
      </c>
      <c r="D201" s="1" t="s">
        <v>933</v>
      </c>
      <c r="E201" s="7">
        <v>2848545.0</v>
      </c>
      <c r="F201" s="7">
        <v>-16319.0</v>
      </c>
      <c r="G201" s="1" t="s">
        <v>934</v>
      </c>
      <c r="H201" s="1" t="s">
        <v>935</v>
      </c>
      <c r="I201" s="8">
        <v>44523.63484116898</v>
      </c>
      <c r="J201" s="9">
        <f>+35988593333</f>
        <v>35988593333</v>
      </c>
      <c r="K201" s="4">
        <v>34.0</v>
      </c>
      <c r="L201" s="7">
        <v>5.0</v>
      </c>
      <c r="M201" s="1" t="s">
        <v>936</v>
      </c>
      <c r="N201" s="4">
        <v>718.0</v>
      </c>
      <c r="O201" s="4">
        <v>2.0</v>
      </c>
      <c r="P201" s="1" t="s">
        <v>28</v>
      </c>
      <c r="Q201" s="5" t="b">
        <v>0</v>
      </c>
      <c r="R201" s="5" t="b">
        <v>1</v>
      </c>
      <c r="S201" s="5" t="b">
        <v>0</v>
      </c>
      <c r="T201" s="4" t="s">
        <v>516</v>
      </c>
      <c r="U201" s="5" t="b">
        <v>0</v>
      </c>
      <c r="V201" s="10">
        <v>44897.0</v>
      </c>
      <c r="W201" s="10">
        <v>44674.0</v>
      </c>
    </row>
    <row r="202">
      <c r="A202" s="4">
        <v>54544.0</v>
      </c>
      <c r="B202" s="5" t="b">
        <v>1</v>
      </c>
      <c r="C202" s="6" t="s">
        <v>937</v>
      </c>
      <c r="D202" s="1" t="s">
        <v>938</v>
      </c>
      <c r="E202" s="7">
        <v>3898324.0</v>
      </c>
      <c r="F202" s="7">
        <v>1300852.0</v>
      </c>
      <c r="G202" s="1" t="s">
        <v>939</v>
      </c>
      <c r="H202" s="1" t="s">
        <v>940</v>
      </c>
      <c r="I202" s="8">
        <v>44524.388621527774</v>
      </c>
      <c r="J202" s="9">
        <f>+35955385538</f>
        <v>35955385538</v>
      </c>
      <c r="K202" s="4">
        <v>36.0</v>
      </c>
      <c r="L202" s="7">
        <v>4944444.0</v>
      </c>
      <c r="M202" s="1" t="s">
        <v>941</v>
      </c>
      <c r="N202" s="4">
        <v>803.0</v>
      </c>
      <c r="O202" s="4">
        <v>1.0</v>
      </c>
      <c r="P202" s="1" t="s">
        <v>39</v>
      </c>
      <c r="Q202" s="5" t="b">
        <v>0</v>
      </c>
      <c r="R202" s="5" t="b">
        <v>1</v>
      </c>
      <c r="S202" s="5" t="b">
        <v>0</v>
      </c>
      <c r="T202" s="4" t="s">
        <v>271</v>
      </c>
      <c r="U202" s="5" t="b">
        <v>0</v>
      </c>
      <c r="V202" s="10">
        <v>44839.0</v>
      </c>
      <c r="W202" s="10">
        <v>44826.0</v>
      </c>
    </row>
    <row r="203">
      <c r="A203" s="4">
        <v>55016.0</v>
      </c>
      <c r="B203" s="5" t="b">
        <v>1</v>
      </c>
      <c r="C203" s="6" t="s">
        <v>942</v>
      </c>
      <c r="D203" s="1" t="s">
        <v>943</v>
      </c>
      <c r="E203" s="7">
        <v>4548006.0</v>
      </c>
      <c r="F203" s="7">
        <v>920442.0</v>
      </c>
      <c r="G203" s="1" t="s">
        <v>37</v>
      </c>
      <c r="H203" s="1" t="s">
        <v>944</v>
      </c>
      <c r="I203" s="8">
        <v>44524.66512445602</v>
      </c>
      <c r="J203" s="9">
        <f>+390859585550</f>
        <v>390859585550</v>
      </c>
      <c r="K203" s="4">
        <v>28.0</v>
      </c>
      <c r="L203" s="7" t="s">
        <v>184</v>
      </c>
      <c r="M203" s="1">
        <v>7.3333737E7</v>
      </c>
      <c r="N203" s="4">
        <v>1417.0</v>
      </c>
      <c r="O203" s="4">
        <v>6.0</v>
      </c>
      <c r="P203" s="1" t="s">
        <v>33</v>
      </c>
      <c r="Q203" s="5" t="b">
        <v>0</v>
      </c>
      <c r="R203" s="5" t="b">
        <v>0</v>
      </c>
      <c r="S203" s="5" t="b">
        <v>0</v>
      </c>
      <c r="T203" s="4" t="s">
        <v>266</v>
      </c>
      <c r="U203" s="5" t="b">
        <v>0</v>
      </c>
      <c r="V203" s="10">
        <v>44872.0</v>
      </c>
      <c r="W203" s="10">
        <v>44835.0</v>
      </c>
    </row>
    <row r="204">
      <c r="A204" s="4">
        <v>55017.0</v>
      </c>
      <c r="B204" s="5" t="b">
        <v>1</v>
      </c>
      <c r="C204" s="6" t="s">
        <v>945</v>
      </c>
      <c r="D204" s="1" t="s">
        <v>946</v>
      </c>
      <c r="E204" s="7">
        <v>408998.0</v>
      </c>
      <c r="F204" s="7">
        <v>1427077.0</v>
      </c>
      <c r="G204" s="1" t="s">
        <v>947</v>
      </c>
      <c r="H204" s="1" t="s">
        <v>948</v>
      </c>
      <c r="I204" s="8">
        <v>44524.67582232639</v>
      </c>
      <c r="J204" s="8"/>
      <c r="K204" s="4">
        <v>20.0</v>
      </c>
      <c r="L204" s="7">
        <v>5.0</v>
      </c>
      <c r="M204" s="1">
        <v>3.7373333E7</v>
      </c>
      <c r="N204" s="4">
        <v>3463.0</v>
      </c>
      <c r="O204" s="4">
        <v>8.0</v>
      </c>
      <c r="P204" s="1" t="s">
        <v>28</v>
      </c>
      <c r="Q204" s="5" t="b">
        <v>0</v>
      </c>
      <c r="R204" s="5" t="b">
        <v>1</v>
      </c>
      <c r="S204" s="5" t="b">
        <v>0</v>
      </c>
      <c r="T204" s="4" t="s">
        <v>949</v>
      </c>
      <c r="U204" s="5" t="b">
        <v>0</v>
      </c>
      <c r="V204" s="10">
        <v>44814.0</v>
      </c>
      <c r="W204" s="10">
        <v>44855.0</v>
      </c>
    </row>
    <row r="205">
      <c r="A205" s="4">
        <v>55545.0</v>
      </c>
      <c r="B205" s="5" t="b">
        <v>1</v>
      </c>
      <c r="C205" s="6" t="s">
        <v>950</v>
      </c>
      <c r="D205" s="1" t="s">
        <v>951</v>
      </c>
      <c r="E205" s="7">
        <v>415863.0</v>
      </c>
      <c r="F205" s="7">
        <v>2240244.0</v>
      </c>
      <c r="G205" s="1" t="s">
        <v>952</v>
      </c>
      <c r="H205" s="1" t="s">
        <v>953</v>
      </c>
      <c r="I205" s="8">
        <v>44540.376504328706</v>
      </c>
      <c r="J205" s="9">
        <f>+35989553098</f>
        <v>35989553098</v>
      </c>
      <c r="K205" s="4">
        <v>47.0</v>
      </c>
      <c r="L205" s="7">
        <v>487234.0</v>
      </c>
      <c r="M205" s="1" t="s">
        <v>954</v>
      </c>
      <c r="N205" s="4">
        <v>305.0</v>
      </c>
      <c r="O205" s="4">
        <v>1.0</v>
      </c>
      <c r="P205" s="1" t="s">
        <v>28</v>
      </c>
      <c r="Q205" s="5" t="b">
        <v>0</v>
      </c>
      <c r="R205" s="5" t="b">
        <v>1</v>
      </c>
      <c r="S205" s="5" t="b">
        <v>0</v>
      </c>
      <c r="T205" s="4" t="s">
        <v>955</v>
      </c>
      <c r="U205" s="5" t="b">
        <v>0</v>
      </c>
      <c r="V205" s="11">
        <v>44890.0</v>
      </c>
      <c r="W205" s="10">
        <v>44896.0</v>
      </c>
    </row>
    <row r="206">
      <c r="A206" s="4">
        <v>555550.0</v>
      </c>
      <c r="B206" s="5" t="b">
        <v>1</v>
      </c>
      <c r="C206" s="6" t="s">
        <v>956</v>
      </c>
      <c r="D206" s="1" t="s">
        <v>957</v>
      </c>
      <c r="E206" s="7">
        <v>4882415.0</v>
      </c>
      <c r="F206" s="7">
        <v>2325051.0</v>
      </c>
      <c r="G206" s="1" t="s">
        <v>365</v>
      </c>
      <c r="H206" s="1" t="s">
        <v>958</v>
      </c>
      <c r="I206" s="8">
        <v>44540.41863673611</v>
      </c>
      <c r="J206" s="9">
        <f>+33988053583</f>
        <v>33988053583</v>
      </c>
      <c r="K206" s="4">
        <v>2.0</v>
      </c>
      <c r="L206" s="7" t="s">
        <v>782</v>
      </c>
      <c r="M206" s="1" t="s">
        <v>959</v>
      </c>
      <c r="N206" s="4">
        <v>70.0</v>
      </c>
      <c r="O206" s="4">
        <v>4.0</v>
      </c>
      <c r="P206" s="1" t="s">
        <v>28</v>
      </c>
      <c r="Q206" s="5" t="b">
        <v>0</v>
      </c>
      <c r="R206" s="5" t="b">
        <v>1</v>
      </c>
      <c r="S206" s="5" t="b">
        <v>0</v>
      </c>
      <c r="T206" s="4" t="s">
        <v>960</v>
      </c>
      <c r="U206" s="5" t="b">
        <v>0</v>
      </c>
      <c r="V206" s="11">
        <v>44852.0</v>
      </c>
      <c r="W206" s="11">
        <v>44885.0</v>
      </c>
    </row>
    <row r="207">
      <c r="A207" s="4">
        <v>55407.0</v>
      </c>
      <c r="B207" s="5" t="b">
        <v>1</v>
      </c>
      <c r="C207" s="6" t="s">
        <v>961</v>
      </c>
      <c r="D207" s="1" t="s">
        <v>962</v>
      </c>
      <c r="E207" s="7">
        <v>4336145.0</v>
      </c>
      <c r="F207" s="7">
        <v>-842201.0</v>
      </c>
      <c r="G207" s="1" t="s">
        <v>963</v>
      </c>
      <c r="H207" s="1" t="s">
        <v>964</v>
      </c>
      <c r="I207" s="8">
        <v>44547.486321006945</v>
      </c>
      <c r="J207" s="9">
        <f>+35930093955</f>
        <v>35930093955</v>
      </c>
      <c r="K207" s="4">
        <v>53.0</v>
      </c>
      <c r="L207" s="7">
        <v>4811321.0</v>
      </c>
      <c r="M207" s="1" t="s">
        <v>965</v>
      </c>
      <c r="N207" s="4">
        <v>2116.0</v>
      </c>
      <c r="O207" s="4">
        <v>4.0</v>
      </c>
      <c r="P207" s="1" t="s">
        <v>33</v>
      </c>
      <c r="Q207" s="5" t="b">
        <v>0</v>
      </c>
      <c r="R207" s="5" t="b">
        <v>1</v>
      </c>
      <c r="S207" s="5" t="b">
        <v>0</v>
      </c>
      <c r="T207" s="4" t="s">
        <v>966</v>
      </c>
      <c r="U207" s="5" t="b">
        <v>0</v>
      </c>
      <c r="V207" s="10">
        <v>44806.0</v>
      </c>
      <c r="W207" s="11">
        <v>44886.0</v>
      </c>
    </row>
    <row r="208">
      <c r="A208" s="4">
        <v>55405.0</v>
      </c>
      <c r="B208" s="5" t="b">
        <v>1</v>
      </c>
      <c r="C208" s="6" t="s">
        <v>967</v>
      </c>
      <c r="D208" s="1" t="s">
        <v>968</v>
      </c>
      <c r="E208" s="7">
        <v>4043596.0</v>
      </c>
      <c r="F208" s="7">
        <v>-367791.0</v>
      </c>
      <c r="G208" s="1" t="s">
        <v>195</v>
      </c>
      <c r="H208" s="1" t="s">
        <v>969</v>
      </c>
      <c r="I208" s="8">
        <v>44547.51356684028</v>
      </c>
      <c r="J208" s="9">
        <f>+35983855959</f>
        <v>35983855959</v>
      </c>
      <c r="K208" s="4">
        <v>33.0</v>
      </c>
      <c r="L208" s="7">
        <v>4818182.0</v>
      </c>
      <c r="M208" s="1" t="s">
        <v>970</v>
      </c>
      <c r="N208" s="4">
        <v>676.0</v>
      </c>
      <c r="O208" s="4">
        <v>5.0</v>
      </c>
      <c r="P208" s="1" t="s">
        <v>33</v>
      </c>
      <c r="Q208" s="5" t="b">
        <v>0</v>
      </c>
      <c r="R208" s="5" t="b">
        <v>1</v>
      </c>
      <c r="S208" s="5" t="b">
        <v>0</v>
      </c>
      <c r="T208" s="4" t="s">
        <v>971</v>
      </c>
      <c r="U208" s="5" t="b">
        <v>0</v>
      </c>
      <c r="V208" s="11">
        <v>44877.0</v>
      </c>
      <c r="W208" s="10">
        <v>44809.0</v>
      </c>
    </row>
    <row r="209">
      <c r="A209" s="4">
        <v>55410.0</v>
      </c>
      <c r="B209" s="5" t="b">
        <v>1</v>
      </c>
      <c r="C209" s="6" t="s">
        <v>972</v>
      </c>
      <c r="D209" s="1" t="s">
        <v>973</v>
      </c>
      <c r="E209" s="7">
        <v>4043177.0</v>
      </c>
      <c r="F209" s="7">
        <v>-368585.0</v>
      </c>
      <c r="G209" s="1" t="s">
        <v>195</v>
      </c>
      <c r="H209" s="1" t="s">
        <v>974</v>
      </c>
      <c r="I209" s="8">
        <v>44547.53242811342</v>
      </c>
      <c r="J209" s="9">
        <f>+35930888589</f>
        <v>35930888589</v>
      </c>
      <c r="K209" s="4">
        <v>38.0</v>
      </c>
      <c r="L209" s="7">
        <v>5.0</v>
      </c>
      <c r="M209" s="1" t="s">
        <v>975</v>
      </c>
      <c r="N209" s="4">
        <v>172.0</v>
      </c>
      <c r="O209" s="4">
        <v>3.0</v>
      </c>
      <c r="P209" s="1" t="s">
        <v>28</v>
      </c>
      <c r="Q209" s="5" t="b">
        <v>0</v>
      </c>
      <c r="R209" s="5" t="b">
        <v>1</v>
      </c>
      <c r="S209" s="5" t="b">
        <v>0</v>
      </c>
      <c r="T209" s="4" t="s">
        <v>976</v>
      </c>
      <c r="U209" s="5" t="b">
        <v>0</v>
      </c>
      <c r="V209" s="10">
        <v>44815.0</v>
      </c>
      <c r="W209" s="11">
        <v>44879.0</v>
      </c>
    </row>
    <row r="210">
      <c r="A210" s="4">
        <v>55416.0</v>
      </c>
      <c r="B210" s="5" t="b">
        <v>1</v>
      </c>
      <c r="C210" s="6" t="s">
        <v>977</v>
      </c>
      <c r="D210" s="1" t="s">
        <v>978</v>
      </c>
      <c r="E210" s="7">
        <v>433572.0</v>
      </c>
      <c r="F210" s="7">
        <v>-831806.0</v>
      </c>
      <c r="G210" s="1" t="s">
        <v>979</v>
      </c>
      <c r="H210" s="1" t="s">
        <v>980</v>
      </c>
      <c r="I210" s="8">
        <v>44547.80212700232</v>
      </c>
      <c r="J210" s="9">
        <f>+35905058099</f>
        <v>35905058099</v>
      </c>
      <c r="K210" s="4">
        <v>0.0</v>
      </c>
      <c r="L210" s="7">
        <v>0.0</v>
      </c>
      <c r="M210" s="1" t="s">
        <v>981</v>
      </c>
      <c r="N210" s="4">
        <v>183.0</v>
      </c>
      <c r="O210" s="4">
        <v>4.0</v>
      </c>
      <c r="P210" s="1" t="s">
        <v>28</v>
      </c>
      <c r="Q210" s="5" t="b">
        <v>0</v>
      </c>
      <c r="R210" s="5" t="b">
        <v>1</v>
      </c>
      <c r="S210" s="5" t="b">
        <v>0</v>
      </c>
      <c r="T210" s="4">
        <v>0.0</v>
      </c>
      <c r="U210" s="5" t="b">
        <v>0</v>
      </c>
      <c r="V210" s="10">
        <v>44792.0</v>
      </c>
      <c r="W210" s="11">
        <v>44861.0</v>
      </c>
    </row>
    <row r="211">
      <c r="A211" s="4">
        <v>554505.0</v>
      </c>
      <c r="B211" s="5" t="b">
        <v>1</v>
      </c>
      <c r="C211" s="6" t="s">
        <v>982</v>
      </c>
      <c r="D211" s="1" t="s">
        <v>983</v>
      </c>
      <c r="E211" s="7">
        <v>42147.0</v>
      </c>
      <c r="F211" s="7">
        <v>-42585.0</v>
      </c>
      <c r="G211" s="1" t="s">
        <v>984</v>
      </c>
      <c r="H211" s="1" t="s">
        <v>985</v>
      </c>
      <c r="I211" s="8">
        <v>44551.33652842593</v>
      </c>
      <c r="J211" s="9">
        <f>+35958388580</f>
        <v>35958388580</v>
      </c>
      <c r="K211" s="4">
        <v>32.0</v>
      </c>
      <c r="L211" s="7">
        <v>49375.0</v>
      </c>
      <c r="M211" s="1" t="s">
        <v>986</v>
      </c>
      <c r="N211" s="4">
        <v>743.0</v>
      </c>
      <c r="O211" s="4">
        <v>2.0</v>
      </c>
      <c r="P211" s="1" t="s">
        <v>39</v>
      </c>
      <c r="Q211" s="5" t="b">
        <v>0</v>
      </c>
      <c r="R211" s="5" t="b">
        <v>1</v>
      </c>
      <c r="S211" s="5" t="b">
        <v>0</v>
      </c>
      <c r="T211" s="4" t="s">
        <v>987</v>
      </c>
      <c r="U211" s="5" t="b">
        <v>0</v>
      </c>
      <c r="V211" s="10">
        <v>44777.0</v>
      </c>
      <c r="W211" s="11">
        <v>44894.0</v>
      </c>
    </row>
    <row r="212">
      <c r="A212" s="4">
        <v>554304.0</v>
      </c>
      <c r="B212" s="5" t="b">
        <v>1</v>
      </c>
      <c r="C212" s="6" t="s">
        <v>988</v>
      </c>
      <c r="D212" s="1" t="s">
        <v>989</v>
      </c>
      <c r="E212" s="7">
        <v>4150086.0</v>
      </c>
      <c r="F212" s="7">
        <v>1816091.0</v>
      </c>
      <c r="G212" s="1" t="s">
        <v>990</v>
      </c>
      <c r="H212" s="1" t="s">
        <v>991</v>
      </c>
      <c r="I212" s="8">
        <v>44551.623424143516</v>
      </c>
      <c r="J212" s="9">
        <f>+35935993330</f>
        <v>35935993330</v>
      </c>
      <c r="K212" s="4">
        <v>2.0</v>
      </c>
      <c r="L212" s="7">
        <v>5.0</v>
      </c>
      <c r="M212" s="1" t="s">
        <v>992</v>
      </c>
      <c r="N212" s="4">
        <v>251.0</v>
      </c>
      <c r="O212" s="4">
        <v>3.0</v>
      </c>
      <c r="P212" s="1" t="s">
        <v>28</v>
      </c>
      <c r="Q212" s="5" t="b">
        <v>0</v>
      </c>
      <c r="R212" s="5" t="b">
        <v>1</v>
      </c>
      <c r="S212" s="5" t="b">
        <v>0</v>
      </c>
      <c r="T212" s="4" t="s">
        <v>993</v>
      </c>
      <c r="U212" s="5" t="b">
        <v>0</v>
      </c>
      <c r="V212" s="11">
        <v>44861.0</v>
      </c>
      <c r="W212" s="10">
        <v>44813.0</v>
      </c>
    </row>
    <row r="213">
      <c r="A213" s="4">
        <v>55461.0</v>
      </c>
      <c r="B213" s="5" t="b">
        <v>1</v>
      </c>
      <c r="C213" s="6" t="s">
        <v>994</v>
      </c>
      <c r="D213" s="1" t="s">
        <v>995</v>
      </c>
      <c r="E213" s="7">
        <v>4041133.0</v>
      </c>
      <c r="F213" s="7">
        <v>-370779.0</v>
      </c>
      <c r="G213" s="1" t="s">
        <v>195</v>
      </c>
      <c r="H213" s="1" t="s">
        <v>996</v>
      </c>
      <c r="I213" s="8">
        <v>44551.67821605324</v>
      </c>
      <c r="J213" s="9">
        <f>+35935838933</f>
        <v>35935838933</v>
      </c>
      <c r="K213" s="4">
        <v>12.0</v>
      </c>
      <c r="L213" s="7">
        <v>5.0</v>
      </c>
      <c r="M213" s="1" t="s">
        <v>997</v>
      </c>
      <c r="N213" s="4">
        <v>420.0</v>
      </c>
      <c r="O213" s="4">
        <v>2.0</v>
      </c>
      <c r="P213" s="1" t="s">
        <v>28</v>
      </c>
      <c r="Q213" s="5" t="b">
        <v>0</v>
      </c>
      <c r="R213" s="5" t="b">
        <v>1</v>
      </c>
      <c r="S213" s="5" t="b">
        <v>0</v>
      </c>
      <c r="T213" s="4" t="s">
        <v>998</v>
      </c>
      <c r="U213" s="5" t="b">
        <v>0</v>
      </c>
      <c r="V213" s="10">
        <v>44834.0</v>
      </c>
      <c r="W213" s="11">
        <v>44883.0</v>
      </c>
    </row>
    <row r="214">
      <c r="A214" s="4">
        <v>55464.0</v>
      </c>
      <c r="B214" s="5" t="b">
        <v>1</v>
      </c>
      <c r="C214" s="6" t="s">
        <v>999</v>
      </c>
      <c r="D214" s="1" t="s">
        <v>1000</v>
      </c>
      <c r="E214" s="7">
        <v>4246631.0</v>
      </c>
      <c r="F214" s="7">
        <v>-245769.0</v>
      </c>
      <c r="G214" s="1" t="s">
        <v>1001</v>
      </c>
      <c r="H214" s="1" t="s">
        <v>1002</v>
      </c>
      <c r="I214" s="8">
        <v>44551.69911799768</v>
      </c>
      <c r="J214" s="9">
        <f>+35953030333</f>
        <v>35953030333</v>
      </c>
      <c r="K214" s="4">
        <v>13.0</v>
      </c>
      <c r="L214" s="7">
        <v>4538462.0</v>
      </c>
      <c r="M214" s="1" t="s">
        <v>1003</v>
      </c>
      <c r="N214" s="4">
        <v>358.0</v>
      </c>
      <c r="O214" s="4">
        <v>1.0</v>
      </c>
      <c r="P214" s="1" t="s">
        <v>33</v>
      </c>
      <c r="Q214" s="5" t="b">
        <v>0</v>
      </c>
      <c r="R214" s="5" t="b">
        <v>1</v>
      </c>
      <c r="S214" s="5" t="b">
        <v>0</v>
      </c>
      <c r="T214" s="4" t="s">
        <v>1004</v>
      </c>
      <c r="U214" s="5" t="b">
        <v>0</v>
      </c>
      <c r="V214" s="10">
        <v>44810.0</v>
      </c>
      <c r="W214" s="10">
        <v>44782.0</v>
      </c>
    </row>
    <row r="215">
      <c r="A215" s="4">
        <v>554630.0</v>
      </c>
      <c r="B215" s="5" t="b">
        <v>1</v>
      </c>
      <c r="C215" s="6" t="s">
        <v>1005</v>
      </c>
      <c r="D215" s="1" t="s">
        <v>1006</v>
      </c>
      <c r="E215" s="7">
        <v>3887414.0</v>
      </c>
      <c r="F215" s="7">
        <v>-697979.0</v>
      </c>
      <c r="G215" s="1" t="s">
        <v>1007</v>
      </c>
      <c r="H215" s="1" t="s">
        <v>1008</v>
      </c>
      <c r="I215" s="8">
        <v>44552.24208809028</v>
      </c>
      <c r="J215" s="9">
        <f>+35933535353</f>
        <v>35933535353</v>
      </c>
      <c r="K215" s="4">
        <v>5.0</v>
      </c>
      <c r="L215" s="7">
        <v>5.0</v>
      </c>
      <c r="M215" s="1" t="s">
        <v>1009</v>
      </c>
      <c r="N215" s="4">
        <v>163.0</v>
      </c>
      <c r="O215" s="4">
        <v>4.0</v>
      </c>
      <c r="P215" s="1" t="s">
        <v>39</v>
      </c>
      <c r="Q215" s="5" t="b">
        <v>0</v>
      </c>
      <c r="R215" s="5" t="b">
        <v>1</v>
      </c>
      <c r="S215" s="5" t="b">
        <v>0</v>
      </c>
      <c r="T215" s="4" t="s">
        <v>1010</v>
      </c>
      <c r="U215" s="5" t="b">
        <v>0</v>
      </c>
      <c r="V215" s="10">
        <v>44837.0</v>
      </c>
      <c r="W215" s="11">
        <v>44881.0</v>
      </c>
    </row>
    <row r="216">
      <c r="A216" s="4">
        <v>55465.0</v>
      </c>
      <c r="B216" s="5" t="b">
        <v>1</v>
      </c>
      <c r="C216" s="6" t="s">
        <v>1011</v>
      </c>
      <c r="D216" s="1" t="s">
        <v>1012</v>
      </c>
      <c r="E216" s="7">
        <v>4139501.0</v>
      </c>
      <c r="F216" s="7">
        <v>2163668.0</v>
      </c>
      <c r="G216" s="1" t="s">
        <v>182</v>
      </c>
      <c r="H216" s="1" t="s">
        <v>1013</v>
      </c>
      <c r="I216" s="8">
        <v>44552.34719920139</v>
      </c>
      <c r="J216" s="9">
        <f>+35985089393</f>
        <v>35985089393</v>
      </c>
      <c r="K216" s="4">
        <v>3.0</v>
      </c>
      <c r="L216" s="7">
        <v>5.0</v>
      </c>
      <c r="M216" s="1" t="s">
        <v>1014</v>
      </c>
      <c r="N216" s="4">
        <v>220.0</v>
      </c>
      <c r="O216" s="4">
        <v>3.0</v>
      </c>
      <c r="P216" s="1" t="s">
        <v>33</v>
      </c>
      <c r="Q216" s="5" t="b">
        <v>0</v>
      </c>
      <c r="R216" s="5" t="b">
        <v>1</v>
      </c>
      <c r="S216" s="5" t="b">
        <v>0</v>
      </c>
      <c r="T216" s="4" t="s">
        <v>354</v>
      </c>
      <c r="U216" s="5" t="b">
        <v>0</v>
      </c>
      <c r="V216" s="10">
        <v>44872.0</v>
      </c>
      <c r="W216" s="10">
        <v>44810.0</v>
      </c>
    </row>
    <row r="217">
      <c r="A217" s="4">
        <v>55470.0</v>
      </c>
      <c r="B217" s="5" t="b">
        <v>0</v>
      </c>
      <c r="C217" s="6" t="s">
        <v>1015</v>
      </c>
      <c r="D217" s="1" t="s">
        <v>1016</v>
      </c>
      <c r="E217" s="7">
        <v>4185473.0</v>
      </c>
      <c r="F217" s="7">
        <v>2820684.0</v>
      </c>
      <c r="G217" s="1" t="s">
        <v>1017</v>
      </c>
      <c r="H217" s="1" t="s">
        <v>1018</v>
      </c>
      <c r="I217" s="8">
        <v>44552.35557248843</v>
      </c>
      <c r="J217" s="9">
        <f>+35989385895</f>
        <v>35989385895</v>
      </c>
      <c r="K217" s="4">
        <v>160.0</v>
      </c>
      <c r="L217" s="7" t="s">
        <v>124</v>
      </c>
      <c r="M217" s="1" t="s">
        <v>1019</v>
      </c>
      <c r="N217" s="4">
        <v>894.0</v>
      </c>
      <c r="O217" s="4">
        <v>10.0</v>
      </c>
      <c r="P217" s="1" t="s">
        <v>33</v>
      </c>
      <c r="Q217" s="5" t="b">
        <v>0</v>
      </c>
      <c r="R217" s="5" t="b">
        <v>1</v>
      </c>
      <c r="S217" s="5" t="b">
        <v>0</v>
      </c>
      <c r="T217" s="4" t="s">
        <v>1020</v>
      </c>
      <c r="U217" s="5" t="b">
        <v>0</v>
      </c>
      <c r="V217" s="11">
        <v>44863.0</v>
      </c>
      <c r="W217" s="11">
        <v>44876.0</v>
      </c>
    </row>
    <row r="218">
      <c r="A218" s="4">
        <v>55444.0</v>
      </c>
      <c r="B218" s="5" t="b">
        <v>1</v>
      </c>
      <c r="C218" s="6" t="s">
        <v>1021</v>
      </c>
      <c r="D218" s="1" t="s">
        <v>1022</v>
      </c>
      <c r="E218" s="7">
        <v>4046456.0</v>
      </c>
      <c r="F218" s="7">
        <v>-363502.0</v>
      </c>
      <c r="G218" s="1" t="s">
        <v>195</v>
      </c>
      <c r="H218" s="1" t="s">
        <v>1023</v>
      </c>
      <c r="I218" s="8">
        <v>44552.49742519676</v>
      </c>
      <c r="J218" s="9">
        <f>+35938838339</f>
        <v>35938838339</v>
      </c>
      <c r="K218" s="4">
        <v>14.0</v>
      </c>
      <c r="L218" s="7">
        <v>4928571.0</v>
      </c>
      <c r="M218" s="1" t="s">
        <v>1024</v>
      </c>
      <c r="N218" s="4">
        <v>1187.0</v>
      </c>
      <c r="O218" s="4">
        <v>5.0</v>
      </c>
      <c r="P218" s="1" t="s">
        <v>28</v>
      </c>
      <c r="Q218" s="5" t="b">
        <v>0</v>
      </c>
      <c r="R218" s="5" t="b">
        <v>1</v>
      </c>
      <c r="S218" s="5" t="b">
        <v>0</v>
      </c>
      <c r="T218" s="4" t="s">
        <v>1025</v>
      </c>
      <c r="U218" s="5" t="b">
        <v>0</v>
      </c>
      <c r="V218" s="10">
        <v>44841.0</v>
      </c>
      <c r="W218" s="11">
        <v>44893.0</v>
      </c>
    </row>
    <row r="219">
      <c r="A219" s="4">
        <v>55455.0</v>
      </c>
      <c r="B219" s="5" t="b">
        <v>1</v>
      </c>
      <c r="C219" s="6" t="s">
        <v>1026</v>
      </c>
      <c r="D219" s="1" t="s">
        <v>1027</v>
      </c>
      <c r="E219" s="7">
        <v>4134802.0</v>
      </c>
      <c r="F219" s="7">
        <v>2108329.0</v>
      </c>
      <c r="G219" s="1" t="s">
        <v>1028</v>
      </c>
      <c r="H219" s="1" t="s">
        <v>1029</v>
      </c>
      <c r="I219" s="8">
        <v>44553.48359405093</v>
      </c>
      <c r="J219" s="9">
        <f>+35950958555</f>
        <v>35950958555</v>
      </c>
      <c r="K219" s="4">
        <v>9.0</v>
      </c>
      <c r="L219" s="7">
        <v>5.0</v>
      </c>
      <c r="M219" s="1" t="s">
        <v>1030</v>
      </c>
      <c r="N219" s="4">
        <v>2163.0</v>
      </c>
      <c r="O219" s="4">
        <v>1.0</v>
      </c>
      <c r="P219" s="1" t="s">
        <v>33</v>
      </c>
      <c r="Q219" s="5" t="b">
        <v>0</v>
      </c>
      <c r="R219" s="5" t="b">
        <v>1</v>
      </c>
      <c r="S219" s="5" t="b">
        <v>0</v>
      </c>
      <c r="T219" s="4" t="s">
        <v>576</v>
      </c>
      <c r="U219" s="5" t="b">
        <v>0</v>
      </c>
      <c r="V219" s="10">
        <v>44717.0</v>
      </c>
      <c r="W219" s="10">
        <v>44903.0</v>
      </c>
    </row>
    <row r="220">
      <c r="A220" s="4">
        <v>553017.0</v>
      </c>
      <c r="B220" s="5" t="b">
        <v>1</v>
      </c>
      <c r="C220" s="6" t="s">
        <v>1031</v>
      </c>
      <c r="D220" s="1" t="s">
        <v>1032</v>
      </c>
      <c r="E220" s="7">
        <v>3777845.0</v>
      </c>
      <c r="F220" s="7">
        <v>-379136.0</v>
      </c>
      <c r="G220" s="1" t="s">
        <v>1033</v>
      </c>
      <c r="H220" s="1" t="s">
        <v>1034</v>
      </c>
      <c r="I220" s="8">
        <v>44557.41079508102</v>
      </c>
      <c r="J220" s="9">
        <f>+35853895393</f>
        <v>35853895393</v>
      </c>
      <c r="K220" s="4">
        <v>16.0</v>
      </c>
      <c r="L220" s="7">
        <v>5.0</v>
      </c>
      <c r="M220" s="1" t="s">
        <v>1035</v>
      </c>
      <c r="N220" s="4">
        <v>455.0</v>
      </c>
      <c r="O220" s="4">
        <v>1.0</v>
      </c>
      <c r="P220" s="1" t="s">
        <v>28</v>
      </c>
      <c r="Q220" s="5" t="b">
        <v>0</v>
      </c>
      <c r="R220" s="5" t="b">
        <v>1</v>
      </c>
      <c r="S220" s="5" t="b">
        <v>0</v>
      </c>
      <c r="T220" s="4" t="s">
        <v>1036</v>
      </c>
      <c r="U220" s="5" t="b">
        <v>0</v>
      </c>
      <c r="V220" s="10">
        <v>44754.0</v>
      </c>
      <c r="W220" s="11">
        <v>44887.0</v>
      </c>
    </row>
    <row r="221">
      <c r="A221" s="4">
        <v>553051.0</v>
      </c>
      <c r="B221" s="5" t="b">
        <v>1</v>
      </c>
      <c r="C221" s="6" t="s">
        <v>1037</v>
      </c>
      <c r="D221" s="1" t="s">
        <v>1038</v>
      </c>
      <c r="E221" s="7">
        <v>4031686.0</v>
      </c>
      <c r="F221" s="7">
        <v>-387741.0</v>
      </c>
      <c r="G221" s="1" t="s">
        <v>1039</v>
      </c>
      <c r="H221" s="1" t="s">
        <v>1040</v>
      </c>
      <c r="I221" s="8">
        <v>44557.73677872685</v>
      </c>
      <c r="J221" s="9">
        <f>+35938393888</f>
        <v>35938393888</v>
      </c>
      <c r="K221" s="4">
        <v>21.0</v>
      </c>
      <c r="L221" s="7">
        <v>5.0</v>
      </c>
      <c r="M221" s="1" t="s">
        <v>1041</v>
      </c>
      <c r="N221" s="4">
        <v>1520.0</v>
      </c>
      <c r="O221" s="4">
        <v>2.0</v>
      </c>
      <c r="P221" s="1" t="s">
        <v>28</v>
      </c>
      <c r="Q221" s="5" t="b">
        <v>0</v>
      </c>
      <c r="R221" s="5" t="b">
        <v>1</v>
      </c>
      <c r="S221" s="5" t="b">
        <v>0</v>
      </c>
      <c r="T221" s="4" t="s">
        <v>774</v>
      </c>
      <c r="U221" s="5" t="b">
        <v>0</v>
      </c>
      <c r="V221" s="10">
        <v>44824.0</v>
      </c>
      <c r="W221" s="10">
        <v>44583.0</v>
      </c>
    </row>
    <row r="222">
      <c r="A222" s="4">
        <v>5530501.0</v>
      </c>
      <c r="B222" s="5" t="b">
        <v>1</v>
      </c>
      <c r="C222" s="6" t="s">
        <v>1042</v>
      </c>
      <c r="D222" s="1" t="s">
        <v>1043</v>
      </c>
      <c r="E222" s="7">
        <v>3950488.0</v>
      </c>
      <c r="F222" s="7">
        <v>-4397.0</v>
      </c>
      <c r="G222" s="1" t="s">
        <v>1044</v>
      </c>
      <c r="H222" s="1" t="s">
        <v>1045</v>
      </c>
      <c r="I222" s="8">
        <v>44558.61485790509</v>
      </c>
      <c r="J222" s="9">
        <f>+35993889398</f>
        <v>35993889398</v>
      </c>
      <c r="K222" s="4">
        <v>23.0</v>
      </c>
      <c r="L222" s="7">
        <v>4869565.0</v>
      </c>
      <c r="M222" s="1" t="s">
        <v>1046</v>
      </c>
      <c r="N222" s="4">
        <v>514.0</v>
      </c>
      <c r="O222" s="4">
        <v>4.0</v>
      </c>
      <c r="P222" s="1" t="s">
        <v>33</v>
      </c>
      <c r="Q222" s="5" t="b">
        <v>0</v>
      </c>
      <c r="R222" s="5" t="b">
        <v>0</v>
      </c>
      <c r="S222" s="5" t="b">
        <v>0</v>
      </c>
      <c r="T222" s="4" t="s">
        <v>512</v>
      </c>
      <c r="U222" s="5" t="b">
        <v>0</v>
      </c>
      <c r="V222" s="10">
        <v>44610.0</v>
      </c>
      <c r="W222" s="10">
        <v>44807.0</v>
      </c>
    </row>
    <row r="223">
      <c r="A223" s="4">
        <v>5530504.0</v>
      </c>
      <c r="B223" s="5" t="b">
        <v>1</v>
      </c>
      <c r="C223" s="6" t="s">
        <v>1047</v>
      </c>
      <c r="D223" s="1" t="s">
        <v>1048</v>
      </c>
      <c r="E223" s="7">
        <v>3717542.0</v>
      </c>
      <c r="F223" s="7">
        <v>-360749.0</v>
      </c>
      <c r="G223" s="1" t="s">
        <v>1049</v>
      </c>
      <c r="H223" s="1" t="s">
        <v>1050</v>
      </c>
      <c r="I223" s="8">
        <v>44559.47807081018</v>
      </c>
      <c r="J223" s="9">
        <f>+35958053055</f>
        <v>35958053055</v>
      </c>
      <c r="K223" s="4">
        <v>28.0</v>
      </c>
      <c r="L223" s="7">
        <v>4785714.0</v>
      </c>
      <c r="M223" s="1" t="s">
        <v>1051</v>
      </c>
      <c r="N223" s="4">
        <v>2085.0</v>
      </c>
      <c r="O223" s="4">
        <v>5.0</v>
      </c>
      <c r="P223" s="1" t="s">
        <v>33</v>
      </c>
      <c r="Q223" s="5" t="b">
        <v>0</v>
      </c>
      <c r="R223" s="5" t="b">
        <v>1</v>
      </c>
      <c r="S223" s="5" t="b">
        <v>0</v>
      </c>
      <c r="T223" s="4" t="s">
        <v>1052</v>
      </c>
      <c r="U223" s="5" t="b">
        <v>0</v>
      </c>
      <c r="V223" s="10">
        <v>44842.0</v>
      </c>
      <c r="W223" s="10">
        <v>44871.0</v>
      </c>
    </row>
    <row r="224">
      <c r="A224" s="4">
        <v>553044.0</v>
      </c>
      <c r="B224" s="5" t="b">
        <v>1</v>
      </c>
      <c r="C224" s="6" t="s">
        <v>171</v>
      </c>
      <c r="D224" s="1" t="s">
        <v>172</v>
      </c>
      <c r="E224" s="7">
        <v>4140294.0</v>
      </c>
      <c r="F224" s="7">
        <v>2179602.0</v>
      </c>
      <c r="G224" s="1" t="s">
        <v>182</v>
      </c>
      <c r="H224" s="1" t="s">
        <v>1053</v>
      </c>
      <c r="I224" s="8">
        <v>44559.73159012732</v>
      </c>
      <c r="J224" s="9">
        <f>+35989033595</f>
        <v>35989033595</v>
      </c>
      <c r="K224" s="4">
        <v>17.0</v>
      </c>
      <c r="L224" s="7">
        <v>5.0</v>
      </c>
      <c r="M224" s="1" t="s">
        <v>1054</v>
      </c>
      <c r="N224" s="4">
        <v>427.0</v>
      </c>
      <c r="O224" s="4">
        <v>2.0</v>
      </c>
      <c r="P224" s="1" t="s">
        <v>39</v>
      </c>
      <c r="Q224" s="5" t="b">
        <v>0</v>
      </c>
      <c r="R224" s="5" t="b">
        <v>1</v>
      </c>
      <c r="S224" s="5" t="b">
        <v>0</v>
      </c>
      <c r="T224" s="4" t="s">
        <v>462</v>
      </c>
      <c r="U224" s="5" t="b">
        <v>0</v>
      </c>
      <c r="V224" s="11">
        <v>44876.0</v>
      </c>
      <c r="W224" s="11">
        <v>44884.0</v>
      </c>
    </row>
    <row r="225">
      <c r="A225" s="4">
        <v>553066.0</v>
      </c>
      <c r="B225" s="5" t="b">
        <v>0</v>
      </c>
      <c r="C225" s="6" t="s">
        <v>1055</v>
      </c>
      <c r="D225" s="1" t="s">
        <v>1056</v>
      </c>
      <c r="E225" s="7">
        <v>4040128.0</v>
      </c>
      <c r="F225" s="7">
        <v>-366055.0</v>
      </c>
      <c r="G225" s="1" t="s">
        <v>195</v>
      </c>
      <c r="H225" s="1" t="s">
        <v>1057</v>
      </c>
      <c r="I225" s="8">
        <v>44561.33179967593</v>
      </c>
      <c r="J225" s="9">
        <f>+35998533598</f>
        <v>35998533598</v>
      </c>
      <c r="K225" s="4">
        <v>5.0</v>
      </c>
      <c r="L225" s="7">
        <v>5.0</v>
      </c>
      <c r="M225" s="1" t="s">
        <v>1058</v>
      </c>
      <c r="N225" s="4">
        <v>813.0</v>
      </c>
      <c r="O225" s="4">
        <v>1.0</v>
      </c>
      <c r="P225" s="1" t="s">
        <v>28</v>
      </c>
      <c r="Q225" s="5" t="b">
        <v>0</v>
      </c>
      <c r="R225" s="5" t="b">
        <v>1</v>
      </c>
      <c r="S225" s="5" t="b">
        <v>1</v>
      </c>
      <c r="T225" s="4" t="s">
        <v>1010</v>
      </c>
      <c r="U225" s="5" t="b">
        <v>0</v>
      </c>
      <c r="V225" s="10">
        <v>44775.0</v>
      </c>
      <c r="W225" s="11">
        <v>44892.0</v>
      </c>
    </row>
    <row r="226">
      <c r="A226" s="4">
        <v>553064.0</v>
      </c>
      <c r="B226" s="5" t="b">
        <v>1</v>
      </c>
      <c r="C226" s="6" t="s">
        <v>1059</v>
      </c>
      <c r="D226" s="1" t="s">
        <v>1060</v>
      </c>
      <c r="E226" s="7">
        <v>4137639.0</v>
      </c>
      <c r="F226" s="7">
        <v>2152919.0</v>
      </c>
      <c r="G226" s="1" t="s">
        <v>182</v>
      </c>
      <c r="H226" s="1" t="s">
        <v>1061</v>
      </c>
      <c r="I226" s="8">
        <v>44561.38535790509</v>
      </c>
      <c r="J226" s="9">
        <f>+35950838553</f>
        <v>35950838553</v>
      </c>
      <c r="K226" s="4">
        <v>9.0</v>
      </c>
      <c r="L226" s="7">
        <v>5.0</v>
      </c>
      <c r="M226" s="1" t="s">
        <v>1062</v>
      </c>
      <c r="N226" s="4">
        <v>38.0</v>
      </c>
      <c r="O226" s="4">
        <v>1.0</v>
      </c>
      <c r="P226" s="1" t="s">
        <v>39</v>
      </c>
      <c r="Q226" s="5" t="b">
        <v>0</v>
      </c>
      <c r="R226" s="5" t="b">
        <v>1</v>
      </c>
      <c r="S226" s="5" t="b">
        <v>0</v>
      </c>
      <c r="T226" s="4" t="s">
        <v>576</v>
      </c>
      <c r="U226" s="5" t="b">
        <v>0</v>
      </c>
      <c r="V226" s="10">
        <v>44869.0</v>
      </c>
      <c r="W226" s="11">
        <v>44852.0</v>
      </c>
    </row>
    <row r="227">
      <c r="A227" s="4">
        <v>553054.0</v>
      </c>
      <c r="B227" s="5" t="b">
        <v>1</v>
      </c>
      <c r="C227" s="6" t="s">
        <v>1063</v>
      </c>
      <c r="D227" s="1" t="s">
        <v>1064</v>
      </c>
      <c r="E227" s="7">
        <v>4044328.0</v>
      </c>
      <c r="F227" s="7">
        <v>-368008.0</v>
      </c>
      <c r="G227" s="1" t="s">
        <v>195</v>
      </c>
      <c r="H227" s="1" t="s">
        <v>1065</v>
      </c>
      <c r="I227" s="8">
        <v>44564.50392065972</v>
      </c>
      <c r="J227" s="9">
        <f>+35955908553</f>
        <v>35955908553</v>
      </c>
      <c r="K227" s="4">
        <v>9.0</v>
      </c>
      <c r="L227" s="7">
        <v>4666667.0</v>
      </c>
      <c r="M227" s="1" t="s">
        <v>1066</v>
      </c>
      <c r="N227" s="4">
        <v>237.0</v>
      </c>
      <c r="O227" s="4">
        <v>3.0</v>
      </c>
      <c r="P227" s="1" t="s">
        <v>28</v>
      </c>
      <c r="Q227" s="5" t="b">
        <v>0</v>
      </c>
      <c r="R227" s="5" t="b">
        <v>1</v>
      </c>
      <c r="S227" s="5" t="b">
        <v>0</v>
      </c>
      <c r="T227" s="4" t="s">
        <v>1067</v>
      </c>
      <c r="U227" s="5" t="b">
        <v>1</v>
      </c>
      <c r="V227" s="10">
        <v>44638.0</v>
      </c>
      <c r="W227" s="10">
        <v>44640.0</v>
      </c>
    </row>
    <row r="228">
      <c r="A228" s="4">
        <v>55617.0</v>
      </c>
      <c r="B228" s="5" t="b">
        <v>1</v>
      </c>
      <c r="C228" s="6" t="s">
        <v>1068</v>
      </c>
      <c r="D228" s="1" t="s">
        <v>1069</v>
      </c>
      <c r="E228" s="7">
        <v>4046905.0</v>
      </c>
      <c r="F228" s="7">
        <v>-366369.0</v>
      </c>
      <c r="G228" s="1" t="s">
        <v>195</v>
      </c>
      <c r="H228" s="1" t="s">
        <v>1070</v>
      </c>
      <c r="I228" s="8">
        <v>44565.51134324074</v>
      </c>
      <c r="J228" s="9">
        <f>+35930935535</f>
        <v>35930935535</v>
      </c>
      <c r="K228" s="4">
        <v>10.0</v>
      </c>
      <c r="L228" s="7">
        <v>5.0</v>
      </c>
      <c r="M228" s="1" t="s">
        <v>1071</v>
      </c>
      <c r="N228" s="4">
        <v>538.0</v>
      </c>
      <c r="O228" s="4">
        <v>3.0</v>
      </c>
      <c r="P228" s="1" t="s">
        <v>39</v>
      </c>
      <c r="Q228" s="5" t="b">
        <v>0</v>
      </c>
      <c r="R228" s="5" t="b">
        <v>1</v>
      </c>
      <c r="S228" s="5" t="b">
        <v>0</v>
      </c>
      <c r="T228" s="4" t="s">
        <v>1072</v>
      </c>
      <c r="U228" s="5" t="b">
        <v>0</v>
      </c>
      <c r="V228" s="10">
        <v>44683.0</v>
      </c>
      <c r="W228" s="10">
        <v>44627.0</v>
      </c>
    </row>
    <row r="229">
      <c r="A229" s="4">
        <v>556506.0</v>
      </c>
      <c r="B229" s="5" t="b">
        <v>1</v>
      </c>
      <c r="C229" s="6" t="s">
        <v>1073</v>
      </c>
      <c r="D229" s="1" t="s">
        <v>1074</v>
      </c>
      <c r="E229" s="7">
        <v>3651132.0</v>
      </c>
      <c r="F229" s="7">
        <v>-489088.0</v>
      </c>
      <c r="G229" s="1" t="s">
        <v>1075</v>
      </c>
      <c r="H229" s="1" t="s">
        <v>1076</v>
      </c>
      <c r="I229" s="8">
        <v>44566.50100740741</v>
      </c>
      <c r="J229" s="9">
        <f>+35958903599</f>
        <v>35958903599</v>
      </c>
      <c r="K229" s="4">
        <v>10.0</v>
      </c>
      <c r="L229" s="7">
        <v>5.0</v>
      </c>
      <c r="M229" s="1" t="s">
        <v>1077</v>
      </c>
      <c r="N229" s="4">
        <v>254.0</v>
      </c>
      <c r="O229" s="4">
        <v>2.0</v>
      </c>
      <c r="P229" s="1" t="s">
        <v>33</v>
      </c>
      <c r="Q229" s="5" t="b">
        <v>0</v>
      </c>
      <c r="R229" s="5" t="b">
        <v>1</v>
      </c>
      <c r="S229" s="5" t="b">
        <v>0</v>
      </c>
      <c r="T229" s="4" t="s">
        <v>1072</v>
      </c>
      <c r="U229" s="5" t="b">
        <v>0</v>
      </c>
      <c r="V229" s="10">
        <v>44675.0</v>
      </c>
      <c r="W229" s="10">
        <v>44708.0</v>
      </c>
    </row>
    <row r="230">
      <c r="A230" s="4">
        <v>55646.0</v>
      </c>
      <c r="B230" s="5" t="b">
        <v>1</v>
      </c>
      <c r="C230" s="6" t="s">
        <v>1078</v>
      </c>
      <c r="D230" s="1" t="s">
        <v>1079</v>
      </c>
      <c r="E230" s="7">
        <v>4045444.0</v>
      </c>
      <c r="F230" s="7">
        <v>-367847.0</v>
      </c>
      <c r="G230" s="1" t="s">
        <v>195</v>
      </c>
      <c r="H230" s="1" t="s">
        <v>1080</v>
      </c>
      <c r="I230" s="8">
        <v>44566.64838201389</v>
      </c>
      <c r="J230" s="9">
        <f>+35953393355</f>
        <v>35953393355</v>
      </c>
      <c r="K230" s="4">
        <v>8.0</v>
      </c>
      <c r="L230" s="7">
        <v>4875.0</v>
      </c>
      <c r="M230" s="1" t="s">
        <v>1081</v>
      </c>
      <c r="N230" s="4">
        <v>162.0</v>
      </c>
      <c r="O230" s="4">
        <v>1.0</v>
      </c>
      <c r="P230" s="1" t="s">
        <v>39</v>
      </c>
      <c r="Q230" s="5" t="b">
        <v>0</v>
      </c>
      <c r="R230" s="5" t="b">
        <v>1</v>
      </c>
      <c r="S230" s="5" t="b">
        <v>0</v>
      </c>
      <c r="T230" s="4" t="s">
        <v>345</v>
      </c>
      <c r="U230" s="5" t="b">
        <v>0</v>
      </c>
      <c r="V230" s="10">
        <v>44628.0</v>
      </c>
      <c r="W230" s="10">
        <v>44810.0</v>
      </c>
    </row>
    <row r="231">
      <c r="A231" s="4">
        <v>55665.0</v>
      </c>
      <c r="B231" s="5" t="b">
        <v>1</v>
      </c>
      <c r="C231" s="6" t="s">
        <v>1082</v>
      </c>
      <c r="D231" s="1" t="s">
        <v>1083</v>
      </c>
      <c r="E231" s="7">
        <v>4140121.0</v>
      </c>
      <c r="F231" s="7">
        <v>2183311.0</v>
      </c>
      <c r="G231" s="1" t="s">
        <v>182</v>
      </c>
      <c r="H231" s="1" t="s">
        <v>1084</v>
      </c>
      <c r="I231" s="8">
        <v>44568.46715142361</v>
      </c>
      <c r="J231" s="9">
        <f>+35933885003</f>
        <v>35933885003</v>
      </c>
      <c r="K231" s="4">
        <v>53.0</v>
      </c>
      <c r="L231" s="7">
        <v>4981132.0</v>
      </c>
      <c r="M231" s="1" t="s">
        <v>1085</v>
      </c>
      <c r="N231" s="4">
        <v>407.0</v>
      </c>
      <c r="O231" s="4">
        <v>1.0</v>
      </c>
      <c r="P231" s="1" t="s">
        <v>39</v>
      </c>
      <c r="Q231" s="5" t="b">
        <v>0</v>
      </c>
      <c r="R231" s="5" t="b">
        <v>1</v>
      </c>
      <c r="S231" s="5" t="b">
        <v>0</v>
      </c>
      <c r="T231" s="4" t="s">
        <v>1086</v>
      </c>
      <c r="U231" s="5" t="b">
        <v>0</v>
      </c>
      <c r="V231" s="10">
        <v>44632.0</v>
      </c>
      <c r="W231" s="10">
        <v>44752.0</v>
      </c>
    </row>
    <row r="232">
      <c r="A232" s="4">
        <v>55666.0</v>
      </c>
      <c r="B232" s="5" t="b">
        <v>1</v>
      </c>
      <c r="C232" s="6" t="s">
        <v>1087</v>
      </c>
      <c r="D232" s="1" t="s">
        <v>1088</v>
      </c>
      <c r="E232" s="7">
        <v>4091589.0</v>
      </c>
      <c r="F232" s="7">
        <v>1478702.0</v>
      </c>
      <c r="G232" s="1" t="s">
        <v>1089</v>
      </c>
      <c r="H232" s="1" t="s">
        <v>1090</v>
      </c>
      <c r="I232" s="8">
        <v>44568.525047627314</v>
      </c>
      <c r="J232" s="9">
        <f>+393393855505</f>
        <v>393393855505</v>
      </c>
      <c r="K232" s="4">
        <v>0.0</v>
      </c>
      <c r="L232" s="7">
        <v>0.0</v>
      </c>
      <c r="M232" s="9"/>
      <c r="N232" s="4">
        <v>392.0</v>
      </c>
      <c r="O232" s="4">
        <v>2.0</v>
      </c>
      <c r="P232" s="1" t="s">
        <v>33</v>
      </c>
      <c r="Q232" s="5" t="b">
        <v>0</v>
      </c>
      <c r="R232" s="5" t="b">
        <v>0</v>
      </c>
      <c r="S232" s="5" t="b">
        <v>0</v>
      </c>
      <c r="T232" s="4">
        <v>0.0</v>
      </c>
      <c r="U232" s="5" t="b">
        <v>0</v>
      </c>
      <c r="V232" s="10">
        <v>44827.0</v>
      </c>
      <c r="W232" s="10">
        <v>44890.0</v>
      </c>
    </row>
    <row r="233">
      <c r="A233" s="4">
        <v>55664.0</v>
      </c>
      <c r="B233" s="5" t="b">
        <v>1</v>
      </c>
      <c r="C233" s="6" t="s">
        <v>1091</v>
      </c>
      <c r="D233" s="1" t="s">
        <v>1092</v>
      </c>
      <c r="E233" s="7">
        <v>413744.0</v>
      </c>
      <c r="F233" s="7">
        <v>2147192.0</v>
      </c>
      <c r="G233" s="1" t="s">
        <v>182</v>
      </c>
      <c r="H233" s="1" t="s">
        <v>1093</v>
      </c>
      <c r="I233" s="8">
        <v>44568.54810346065</v>
      </c>
      <c r="J233" s="9">
        <f>+35988355883</f>
        <v>35988355883</v>
      </c>
      <c r="K233" s="4">
        <v>2.0</v>
      </c>
      <c r="L233" s="7">
        <v>5.0</v>
      </c>
      <c r="M233" s="1" t="s">
        <v>1094</v>
      </c>
      <c r="N233" s="4">
        <v>28.0</v>
      </c>
      <c r="O233" s="4">
        <v>1.0</v>
      </c>
      <c r="P233" s="1" t="s">
        <v>39</v>
      </c>
      <c r="Q233" s="5" t="b">
        <v>0</v>
      </c>
      <c r="R233" s="5" t="b">
        <v>1</v>
      </c>
      <c r="S233" s="5" t="b">
        <v>0</v>
      </c>
      <c r="T233" s="4" t="s">
        <v>993</v>
      </c>
      <c r="U233" s="5" t="b">
        <v>0</v>
      </c>
      <c r="V233" s="11">
        <v>44847.0</v>
      </c>
      <c r="W233" s="10">
        <v>44802.0</v>
      </c>
    </row>
    <row r="234">
      <c r="A234" s="4">
        <v>55754.0</v>
      </c>
      <c r="B234" s="5" t="b">
        <v>1</v>
      </c>
      <c r="C234" s="6" t="s">
        <v>1095</v>
      </c>
      <c r="D234" s="1" t="s">
        <v>1096</v>
      </c>
      <c r="E234" s="7">
        <v>451384.0</v>
      </c>
      <c r="F234" s="7">
        <v>7772754.0</v>
      </c>
      <c r="G234" s="1" t="s">
        <v>1097</v>
      </c>
      <c r="H234" s="1" t="s">
        <v>1098</v>
      </c>
      <c r="I234" s="8">
        <v>44573.38691277778</v>
      </c>
      <c r="J234" s="9">
        <f>+390338000999</f>
        <v>390338000999</v>
      </c>
      <c r="K234" s="4">
        <v>33.0</v>
      </c>
      <c r="L234" s="7">
        <v>496875.0</v>
      </c>
      <c r="M234" s="1">
        <v>7.3333333E7</v>
      </c>
      <c r="N234" s="4">
        <v>1028.0</v>
      </c>
      <c r="O234" s="4">
        <v>4.0</v>
      </c>
      <c r="P234" s="1" t="s">
        <v>39</v>
      </c>
      <c r="Q234" s="5" t="b">
        <v>0</v>
      </c>
      <c r="R234" s="5" t="b">
        <v>0</v>
      </c>
      <c r="S234" s="5" t="b">
        <v>0</v>
      </c>
      <c r="T234" s="4" t="s">
        <v>287</v>
      </c>
      <c r="U234" s="5" t="b">
        <v>0</v>
      </c>
      <c r="V234" s="10">
        <v>44842.0</v>
      </c>
      <c r="W234" s="10">
        <v>44756.0</v>
      </c>
    </row>
    <row r="235">
      <c r="A235" s="4">
        <v>55767.0</v>
      </c>
      <c r="B235" s="5" t="b">
        <v>1</v>
      </c>
      <c r="C235" s="6" t="s">
        <v>1099</v>
      </c>
      <c r="D235" s="1" t="s">
        <v>1100</v>
      </c>
      <c r="E235" s="7">
        <v>4280884.0</v>
      </c>
      <c r="F235" s="7">
        <v>-16585.0</v>
      </c>
      <c r="G235" s="1" t="s">
        <v>524</v>
      </c>
      <c r="H235" s="1" t="s">
        <v>1101</v>
      </c>
      <c r="I235" s="8">
        <v>44575.347383125</v>
      </c>
      <c r="J235" s="9">
        <f>+35999339999</f>
        <v>35999339999</v>
      </c>
      <c r="K235" s="4">
        <v>29.0</v>
      </c>
      <c r="L235" s="7">
        <v>5.0</v>
      </c>
      <c r="M235" s="1" t="s">
        <v>1102</v>
      </c>
      <c r="N235" s="4">
        <v>132.0</v>
      </c>
      <c r="O235" s="4">
        <v>1.0</v>
      </c>
      <c r="P235" s="1" t="s">
        <v>39</v>
      </c>
      <c r="Q235" s="5" t="b">
        <v>0</v>
      </c>
      <c r="R235" s="5" t="b">
        <v>1</v>
      </c>
      <c r="S235" s="5" t="b">
        <v>0</v>
      </c>
      <c r="T235" s="4" t="s">
        <v>1103</v>
      </c>
      <c r="U235" s="5" t="b">
        <v>1</v>
      </c>
      <c r="V235" s="10">
        <v>44818.0</v>
      </c>
      <c r="W235" s="10">
        <v>44796.0</v>
      </c>
    </row>
    <row r="236">
      <c r="A236" s="4">
        <v>55405.0</v>
      </c>
      <c r="B236" s="5" t="b">
        <v>1</v>
      </c>
      <c r="C236" s="6" t="s">
        <v>1104</v>
      </c>
      <c r="D236" s="1" t="s">
        <v>1105</v>
      </c>
      <c r="E236" s="7">
        <v>408466.0</v>
      </c>
      <c r="F236" s="7">
        <v>1419883.0</v>
      </c>
      <c r="G236" s="1" t="s">
        <v>143</v>
      </c>
      <c r="H236" s="1" t="s">
        <v>1106</v>
      </c>
      <c r="I236" s="8">
        <v>44578.95974138889</v>
      </c>
      <c r="J236" s="9">
        <f>+393333333395</f>
        <v>393333333395</v>
      </c>
      <c r="K236" s="4">
        <v>32.0</v>
      </c>
      <c r="L236" s="7">
        <v>484375.0</v>
      </c>
      <c r="M236" s="1">
        <v>7.337373333E9</v>
      </c>
      <c r="N236" s="4">
        <v>1677.0</v>
      </c>
      <c r="O236" s="4">
        <v>7.0</v>
      </c>
      <c r="P236" s="1" t="s">
        <v>33</v>
      </c>
      <c r="Q236" s="5" t="b">
        <v>0</v>
      </c>
      <c r="R236" s="5" t="b">
        <v>1</v>
      </c>
      <c r="S236" s="5" t="b">
        <v>0</v>
      </c>
      <c r="T236" s="4" t="s">
        <v>1107</v>
      </c>
      <c r="U236" s="5" t="b">
        <v>0</v>
      </c>
      <c r="V236" s="11">
        <v>44858.0</v>
      </c>
      <c r="W236" s="10">
        <v>44641.0</v>
      </c>
    </row>
    <row r="237">
      <c r="A237" s="4">
        <v>554305.0</v>
      </c>
      <c r="B237" s="5" t="b">
        <v>1</v>
      </c>
      <c r="C237" s="6" t="s">
        <v>1108</v>
      </c>
      <c r="D237" s="1" t="s">
        <v>1109</v>
      </c>
      <c r="E237" s="7">
        <v>4564401.0</v>
      </c>
      <c r="F237" s="7">
        <v>9135775.0</v>
      </c>
      <c r="G237" s="1" t="s">
        <v>1110</v>
      </c>
      <c r="H237" s="1" t="s">
        <v>1111</v>
      </c>
      <c r="I237" s="8">
        <v>44581.415036631945</v>
      </c>
      <c r="J237" s="9">
        <f>+393989805388</f>
        <v>393989805388</v>
      </c>
      <c r="K237" s="4">
        <v>217.0</v>
      </c>
      <c r="L237" s="7">
        <v>4935484.0</v>
      </c>
      <c r="M237" s="1">
        <v>7.377373766E9</v>
      </c>
      <c r="N237" s="4">
        <v>4399.0</v>
      </c>
      <c r="O237" s="4">
        <v>10.0</v>
      </c>
      <c r="P237" s="1" t="s">
        <v>39</v>
      </c>
      <c r="Q237" s="5" t="b">
        <v>0</v>
      </c>
      <c r="R237" s="5" t="b">
        <v>1</v>
      </c>
      <c r="S237" s="5" t="b">
        <v>0</v>
      </c>
      <c r="T237" s="4" t="s">
        <v>527</v>
      </c>
      <c r="U237" s="5" t="b">
        <v>0</v>
      </c>
      <c r="V237" s="10">
        <v>44669.0</v>
      </c>
      <c r="W237" s="10">
        <v>44867.0</v>
      </c>
    </row>
    <row r="238">
      <c r="A238" s="4">
        <v>554304.0</v>
      </c>
      <c r="B238" s="5" t="b">
        <v>1</v>
      </c>
      <c r="C238" s="6" t="s">
        <v>1112</v>
      </c>
      <c r="D238" s="1" t="s">
        <v>1113</v>
      </c>
      <c r="E238" s="7">
        <v>4556296.0</v>
      </c>
      <c r="F238" s="7">
        <v>1046362.0</v>
      </c>
      <c r="G238" s="1" t="s">
        <v>1114</v>
      </c>
      <c r="H238" s="1" t="s">
        <v>1115</v>
      </c>
      <c r="I238" s="8">
        <v>44581.43393050926</v>
      </c>
      <c r="J238" s="9">
        <f>+393803330885</f>
        <v>393803330885</v>
      </c>
      <c r="K238" s="4">
        <v>0.0</v>
      </c>
      <c r="L238" s="7">
        <v>0.0</v>
      </c>
      <c r="M238" s="1">
        <v>7.33333737E8</v>
      </c>
      <c r="N238" s="4">
        <v>1692.0</v>
      </c>
      <c r="O238" s="4">
        <v>8.0</v>
      </c>
      <c r="P238" s="1" t="s">
        <v>28</v>
      </c>
      <c r="Q238" s="5" t="b">
        <v>0</v>
      </c>
      <c r="R238" s="5" t="b">
        <v>1</v>
      </c>
      <c r="S238" s="5" t="b">
        <v>0</v>
      </c>
      <c r="T238" s="4">
        <v>0.0</v>
      </c>
      <c r="U238" s="5" t="b">
        <v>0</v>
      </c>
      <c r="V238" s="10">
        <v>44662.0</v>
      </c>
      <c r="W238" s="11">
        <v>44885.0</v>
      </c>
    </row>
    <row r="239">
      <c r="A239" s="4">
        <v>55457.0</v>
      </c>
      <c r="B239" s="5" t="b">
        <v>1</v>
      </c>
      <c r="C239" s="6" t="s">
        <v>1116</v>
      </c>
      <c r="D239" s="1" t="s">
        <v>1117</v>
      </c>
      <c r="E239" s="7">
        <v>3947118.0</v>
      </c>
      <c r="F239" s="7">
        <v>-38758.0</v>
      </c>
      <c r="G239" s="1" t="s">
        <v>417</v>
      </c>
      <c r="H239" s="1" t="s">
        <v>1118</v>
      </c>
      <c r="I239" s="8">
        <v>44585.38999616898</v>
      </c>
      <c r="J239" s="9">
        <f>+35980589893</f>
        <v>35980589893</v>
      </c>
      <c r="K239" s="4">
        <v>3.0</v>
      </c>
      <c r="L239" s="7">
        <v>3666667.0</v>
      </c>
      <c r="M239" s="1" t="s">
        <v>1119</v>
      </c>
      <c r="N239" s="4">
        <v>448.0</v>
      </c>
      <c r="O239" s="4">
        <v>3.0</v>
      </c>
      <c r="P239" s="1" t="s">
        <v>33</v>
      </c>
      <c r="Q239" s="5" t="b">
        <v>0</v>
      </c>
      <c r="R239" s="5" t="b">
        <v>1</v>
      </c>
      <c r="S239" s="5" t="b">
        <v>0</v>
      </c>
      <c r="T239" s="4" t="s">
        <v>1120</v>
      </c>
      <c r="U239" s="5" t="b">
        <v>0</v>
      </c>
      <c r="V239" s="10">
        <v>44833.0</v>
      </c>
      <c r="W239" s="10">
        <v>44664.0</v>
      </c>
    </row>
    <row r="240">
      <c r="A240" s="4">
        <v>555505.0</v>
      </c>
      <c r="B240" s="5" t="b">
        <v>0</v>
      </c>
      <c r="C240" s="6" t="s">
        <v>827</v>
      </c>
      <c r="D240" s="1" t="s">
        <v>828</v>
      </c>
      <c r="E240" s="7">
        <v>4884385.0</v>
      </c>
      <c r="F240" s="7">
        <v>2432172.0</v>
      </c>
      <c r="G240" s="1" t="s">
        <v>1121</v>
      </c>
      <c r="H240" s="1" t="s">
        <v>1122</v>
      </c>
      <c r="I240" s="8">
        <v>44587.332734375</v>
      </c>
      <c r="J240" s="9">
        <f>+33359353059</f>
        <v>33359353059</v>
      </c>
      <c r="K240" s="4">
        <v>41.0</v>
      </c>
      <c r="L240" s="7">
        <v>4878049.0</v>
      </c>
      <c r="M240" s="1" t="s">
        <v>1123</v>
      </c>
      <c r="N240" s="4">
        <v>739.0</v>
      </c>
      <c r="O240" s="4">
        <v>2.0</v>
      </c>
      <c r="P240" s="1" t="s">
        <v>39</v>
      </c>
      <c r="Q240" s="5" t="b">
        <v>0</v>
      </c>
      <c r="R240" s="5" t="b">
        <v>1</v>
      </c>
      <c r="S240" s="5" t="b">
        <v>0</v>
      </c>
      <c r="T240" s="4" t="s">
        <v>1124</v>
      </c>
      <c r="U240" s="5" t="b">
        <v>0</v>
      </c>
      <c r="V240" s="10">
        <v>44849.0</v>
      </c>
      <c r="W240" s="10">
        <v>44891.0</v>
      </c>
    </row>
    <row r="241">
      <c r="A241" s="4">
        <v>500141.0</v>
      </c>
      <c r="B241" s="5" t="b">
        <v>1</v>
      </c>
      <c r="C241" s="6" t="s">
        <v>1125</v>
      </c>
      <c r="D241" s="1" t="s">
        <v>1126</v>
      </c>
      <c r="E241" s="7">
        <v>4545667.0</v>
      </c>
      <c r="F241" s="7">
        <v>9169827.0</v>
      </c>
      <c r="G241" s="1" t="s">
        <v>37</v>
      </c>
      <c r="H241" s="1" t="s">
        <v>1127</v>
      </c>
      <c r="I241" s="8">
        <v>44596.3396553125</v>
      </c>
      <c r="J241" s="9">
        <f>+39088383339</f>
        <v>39088383339</v>
      </c>
      <c r="K241" s="4">
        <v>62.0</v>
      </c>
      <c r="L241" s="7">
        <v>4919355.0</v>
      </c>
      <c r="M241" s="1">
        <v>7.7733763E7</v>
      </c>
      <c r="N241" s="4">
        <v>744.0</v>
      </c>
      <c r="O241" s="4">
        <v>6.0</v>
      </c>
      <c r="P241" s="1" t="s">
        <v>28</v>
      </c>
      <c r="Q241" s="5" t="b">
        <v>0</v>
      </c>
      <c r="R241" s="5" t="b">
        <v>0</v>
      </c>
      <c r="S241" s="5" t="b">
        <v>0</v>
      </c>
      <c r="T241" s="4" t="s">
        <v>380</v>
      </c>
      <c r="U241" s="5" t="b">
        <v>0</v>
      </c>
      <c r="V241" s="10">
        <v>44693.0</v>
      </c>
      <c r="W241" s="11">
        <v>44862.0</v>
      </c>
    </row>
    <row r="242">
      <c r="A242" s="4">
        <v>500510.0</v>
      </c>
      <c r="B242" s="5" t="b">
        <v>1</v>
      </c>
      <c r="C242" s="6" t="s">
        <v>1128</v>
      </c>
      <c r="D242" s="1" t="s">
        <v>1129</v>
      </c>
      <c r="E242" s="7">
        <v>4038098.0</v>
      </c>
      <c r="F242" s="7">
        <v>-366301.0</v>
      </c>
      <c r="G242" s="1" t="s">
        <v>195</v>
      </c>
      <c r="H242" s="1" t="s">
        <v>1130</v>
      </c>
      <c r="I242" s="8">
        <v>44601.482862164354</v>
      </c>
      <c r="J242" s="9">
        <f>+35959383339</f>
        <v>35959383339</v>
      </c>
      <c r="K242" s="4">
        <v>10.0</v>
      </c>
      <c r="L242" s="7" t="s">
        <v>124</v>
      </c>
      <c r="M242" s="1" t="s">
        <v>1131</v>
      </c>
      <c r="N242" s="4">
        <v>92.0</v>
      </c>
      <c r="O242" s="4">
        <v>1.0</v>
      </c>
      <c r="P242" s="1" t="s">
        <v>28</v>
      </c>
      <c r="Q242" s="5" t="b">
        <v>0</v>
      </c>
      <c r="R242" s="5" t="b">
        <v>1</v>
      </c>
      <c r="S242" s="5" t="b">
        <v>0</v>
      </c>
      <c r="T242" s="4" t="s">
        <v>1132</v>
      </c>
      <c r="U242" s="5" t="b">
        <v>0</v>
      </c>
      <c r="V242" s="10">
        <v>44735.0</v>
      </c>
      <c r="W242" s="11">
        <v>44860.0</v>
      </c>
    </row>
    <row r="243">
      <c r="A243" s="4">
        <v>500515.0</v>
      </c>
      <c r="B243" s="5" t="b">
        <v>1</v>
      </c>
      <c r="C243" s="6" t="s">
        <v>1133</v>
      </c>
      <c r="D243" s="1" t="s">
        <v>1134</v>
      </c>
      <c r="E243" s="7">
        <v>3809577.0</v>
      </c>
      <c r="F243" s="7">
        <v>-116602.0</v>
      </c>
      <c r="G243" s="1" t="s">
        <v>1135</v>
      </c>
      <c r="H243" s="1" t="s">
        <v>1136</v>
      </c>
      <c r="I243" s="8">
        <v>44601.50738383102</v>
      </c>
      <c r="J243" s="9">
        <f>+35988388550</f>
        <v>35988388550</v>
      </c>
      <c r="K243" s="4">
        <v>8.0</v>
      </c>
      <c r="L243" s="7">
        <v>5.0</v>
      </c>
      <c r="M243" s="1" t="s">
        <v>1137</v>
      </c>
      <c r="N243" s="4">
        <v>3958.0</v>
      </c>
      <c r="O243" s="4">
        <v>2.0</v>
      </c>
      <c r="P243" s="1" t="s">
        <v>39</v>
      </c>
      <c r="Q243" s="5" t="b">
        <v>0</v>
      </c>
      <c r="R243" s="5" t="b">
        <v>1</v>
      </c>
      <c r="S243" s="5" t="b">
        <v>0</v>
      </c>
      <c r="T243" s="4" t="s">
        <v>213</v>
      </c>
      <c r="U243" s="5" t="b">
        <v>0</v>
      </c>
      <c r="V243" s="10">
        <v>44636.0</v>
      </c>
      <c r="W243" s="10">
        <v>44699.0</v>
      </c>
    </row>
    <row r="244">
      <c r="A244" s="4">
        <v>500571.0</v>
      </c>
      <c r="B244" s="5" t="b">
        <v>1</v>
      </c>
      <c r="C244" s="6" t="s">
        <v>1138</v>
      </c>
      <c r="D244" s="1" t="s">
        <v>1139</v>
      </c>
      <c r="E244" s="7">
        <v>4036874.0</v>
      </c>
      <c r="F244" s="7">
        <v>-3485.0</v>
      </c>
      <c r="G244" s="1" t="s">
        <v>1140</v>
      </c>
      <c r="H244" s="1" t="s">
        <v>1141</v>
      </c>
      <c r="I244" s="8">
        <v>44603.43139965278</v>
      </c>
      <c r="J244" s="9">
        <f>+35989933935</f>
        <v>35989933935</v>
      </c>
      <c r="K244" s="4">
        <v>16.0</v>
      </c>
      <c r="L244" s="7">
        <v>5.0</v>
      </c>
      <c r="M244" s="1" t="s">
        <v>1142</v>
      </c>
      <c r="N244" s="4">
        <v>1447.0</v>
      </c>
      <c r="O244" s="4">
        <v>6.0</v>
      </c>
      <c r="P244" s="1" t="s">
        <v>33</v>
      </c>
      <c r="Q244" s="5" t="b">
        <v>0</v>
      </c>
      <c r="R244" s="5" t="b">
        <v>1</v>
      </c>
      <c r="S244" s="5" t="b">
        <v>0</v>
      </c>
      <c r="T244" s="4" t="s">
        <v>1036</v>
      </c>
      <c r="U244" s="5" t="b">
        <v>0</v>
      </c>
      <c r="V244" s="11">
        <v>44819.0</v>
      </c>
      <c r="W244" s="10">
        <v>44698.0</v>
      </c>
    </row>
    <row r="245">
      <c r="A245" s="4">
        <v>5005430.0</v>
      </c>
      <c r="B245" s="5" t="b">
        <v>1</v>
      </c>
      <c r="C245" s="6" t="s">
        <v>1143</v>
      </c>
      <c r="D245" s="1" t="s">
        <v>1144</v>
      </c>
      <c r="E245" s="7">
        <v>4157241.0</v>
      </c>
      <c r="F245" s="7">
        <v>2036312.0</v>
      </c>
      <c r="G245" s="1" t="s">
        <v>1145</v>
      </c>
      <c r="H245" s="1" t="s">
        <v>1146</v>
      </c>
      <c r="I245" s="8">
        <v>44603.501700787034</v>
      </c>
      <c r="J245" s="9">
        <f>+35989839358</f>
        <v>35989839358</v>
      </c>
      <c r="K245" s="4">
        <v>12.0</v>
      </c>
      <c r="L245" s="7">
        <v>5.0</v>
      </c>
      <c r="M245" s="1" t="s">
        <v>1147</v>
      </c>
      <c r="N245" s="4">
        <v>517.0</v>
      </c>
      <c r="O245" s="4">
        <v>5.0</v>
      </c>
      <c r="P245" s="1" t="s">
        <v>28</v>
      </c>
      <c r="Q245" s="5" t="b">
        <v>0</v>
      </c>
      <c r="R245" s="5" t="b">
        <v>1</v>
      </c>
      <c r="S245" s="5" t="b">
        <v>0</v>
      </c>
      <c r="T245" s="4" t="s">
        <v>1148</v>
      </c>
      <c r="U245" s="5" t="b">
        <v>0</v>
      </c>
      <c r="V245" s="10">
        <v>44797.0</v>
      </c>
      <c r="W245" s="11">
        <v>44875.0</v>
      </c>
    </row>
    <row r="246">
      <c r="A246" s="4">
        <v>500401.0</v>
      </c>
      <c r="B246" s="5" t="b">
        <v>1</v>
      </c>
      <c r="C246" s="6" t="s">
        <v>1149</v>
      </c>
      <c r="D246" s="1" t="s">
        <v>1150</v>
      </c>
      <c r="E246" s="7">
        <v>3690735.0</v>
      </c>
      <c r="F246" s="7">
        <v>1513753.0</v>
      </c>
      <c r="G246" s="1" t="s">
        <v>505</v>
      </c>
      <c r="H246" s="1" t="s">
        <v>1151</v>
      </c>
      <c r="I246" s="8">
        <v>44608.62906584491</v>
      </c>
      <c r="J246" s="9">
        <f>+393533330939</f>
        <v>393533330939</v>
      </c>
      <c r="K246" s="4">
        <v>2.0</v>
      </c>
      <c r="L246" s="7">
        <v>5.0</v>
      </c>
      <c r="M246" s="1">
        <v>7333373.0</v>
      </c>
      <c r="N246" s="4">
        <v>147.0</v>
      </c>
      <c r="O246" s="4">
        <v>2.0</v>
      </c>
      <c r="P246" s="1" t="s">
        <v>28</v>
      </c>
      <c r="Q246" s="5" t="b">
        <v>0</v>
      </c>
      <c r="R246" s="5" t="b">
        <v>1</v>
      </c>
      <c r="S246" s="5" t="b">
        <v>0</v>
      </c>
      <c r="T246" s="4" t="s">
        <v>993</v>
      </c>
      <c r="U246" s="5" t="b">
        <v>0</v>
      </c>
      <c r="V246" s="10">
        <v>44762.0</v>
      </c>
      <c r="W246" s="10">
        <v>44646.0</v>
      </c>
    </row>
    <row r="247">
      <c r="A247" s="4">
        <v>5004450.0</v>
      </c>
      <c r="B247" s="5" t="b">
        <v>1</v>
      </c>
      <c r="C247" s="6" t="s">
        <v>1152</v>
      </c>
      <c r="D247" s="1" t="s">
        <v>1153</v>
      </c>
      <c r="E247" s="7">
        <v>4081309.0</v>
      </c>
      <c r="F247" s="7">
        <v>1433577.0</v>
      </c>
      <c r="G247" s="1" t="s">
        <v>1154</v>
      </c>
      <c r="H247" s="1" t="s">
        <v>1155</v>
      </c>
      <c r="I247" s="8">
        <v>44610.375183888886</v>
      </c>
      <c r="J247" s="9">
        <f>+393353930833</f>
        <v>393353930833</v>
      </c>
      <c r="K247" s="4">
        <v>0.0</v>
      </c>
      <c r="L247" s="7">
        <v>0.0</v>
      </c>
      <c r="M247" s="1">
        <v>7.377773333E9</v>
      </c>
      <c r="N247" s="4">
        <v>690.0</v>
      </c>
      <c r="O247" s="4">
        <v>6.0</v>
      </c>
      <c r="P247" s="1" t="s">
        <v>39</v>
      </c>
      <c r="Q247" s="5" t="b">
        <v>0</v>
      </c>
      <c r="R247" s="5" t="b">
        <v>0</v>
      </c>
      <c r="S247" s="5" t="b">
        <v>0</v>
      </c>
      <c r="T247" s="4">
        <v>0.0</v>
      </c>
      <c r="U247" s="5" t="b">
        <v>0</v>
      </c>
      <c r="V247" s="10">
        <v>44666.0</v>
      </c>
      <c r="W247" s="10">
        <v>44683.0</v>
      </c>
    </row>
    <row r="248">
      <c r="A248" s="4">
        <v>5004430.0</v>
      </c>
      <c r="B248" s="5" t="b">
        <v>1</v>
      </c>
      <c r="C248" s="6" t="s">
        <v>1156</v>
      </c>
      <c r="D248" s="1" t="s">
        <v>1157</v>
      </c>
      <c r="E248" s="7">
        <v>4885899.0</v>
      </c>
      <c r="F248" s="7">
        <v>2368906.0</v>
      </c>
      <c r="G248" s="1" t="s">
        <v>365</v>
      </c>
      <c r="H248" s="1" t="s">
        <v>1158</v>
      </c>
      <c r="I248" s="8">
        <v>44613.42516748843</v>
      </c>
      <c r="J248" s="9">
        <f>+33933935380</f>
        <v>33933935380</v>
      </c>
      <c r="K248" s="4">
        <v>12.0</v>
      </c>
      <c r="L248" s="7">
        <v>5.0</v>
      </c>
      <c r="M248" s="1">
        <v>3.73377373E8</v>
      </c>
      <c r="N248" s="4">
        <v>60.0</v>
      </c>
      <c r="O248" s="4">
        <v>1.0</v>
      </c>
      <c r="P248" s="1" t="s">
        <v>33</v>
      </c>
      <c r="Q248" s="5" t="b">
        <v>0</v>
      </c>
      <c r="R248" s="5" t="b">
        <v>0</v>
      </c>
      <c r="S248" s="5" t="b">
        <v>0</v>
      </c>
      <c r="T248" s="4" t="s">
        <v>1159</v>
      </c>
      <c r="U248" s="5" t="b">
        <v>0</v>
      </c>
      <c r="V248" s="10">
        <v>44835.0</v>
      </c>
      <c r="W248" s="10">
        <v>44755.0</v>
      </c>
    </row>
    <row r="249">
      <c r="A249" s="4">
        <v>500457.0</v>
      </c>
      <c r="B249" s="5" t="b">
        <v>1</v>
      </c>
      <c r="C249" s="6" t="s">
        <v>1160</v>
      </c>
      <c r="D249" s="1" t="s">
        <v>1161</v>
      </c>
      <c r="E249" s="7">
        <v>460516.0</v>
      </c>
      <c r="F249" s="7">
        <v>1112188.0</v>
      </c>
      <c r="G249" s="1" t="s">
        <v>81</v>
      </c>
      <c r="H249" s="1" t="s">
        <v>1162</v>
      </c>
      <c r="I249" s="8">
        <v>44613.545974050925</v>
      </c>
      <c r="J249" s="9">
        <f>+393999033985</f>
        <v>393999033985</v>
      </c>
      <c r="K249" s="4">
        <v>12.0</v>
      </c>
      <c r="L249" s="7">
        <v>5.0</v>
      </c>
      <c r="M249" s="1">
        <v>7.37363333E8</v>
      </c>
      <c r="N249" s="4">
        <v>617.0</v>
      </c>
      <c r="O249" s="4">
        <v>4.0</v>
      </c>
      <c r="P249" s="1" t="s">
        <v>33</v>
      </c>
      <c r="Q249" s="5" t="b">
        <v>0</v>
      </c>
      <c r="R249" s="5" t="b">
        <v>1</v>
      </c>
      <c r="S249" s="5" t="b">
        <v>0</v>
      </c>
      <c r="T249" s="4" t="s">
        <v>998</v>
      </c>
      <c r="U249" s="5" t="b">
        <v>0</v>
      </c>
      <c r="V249" s="11">
        <v>44846.0</v>
      </c>
      <c r="W249" s="10">
        <v>44686.0</v>
      </c>
    </row>
    <row r="250">
      <c r="A250" s="4">
        <v>5003057.0</v>
      </c>
      <c r="B250" s="5" t="b">
        <v>1</v>
      </c>
      <c r="C250" s="6" t="s">
        <v>1163</v>
      </c>
      <c r="D250" s="1" t="s">
        <v>1164</v>
      </c>
      <c r="E250" s="7">
        <v>4174435.0</v>
      </c>
      <c r="F250" s="7">
        <v>262734.0</v>
      </c>
      <c r="G250" s="1" t="s">
        <v>1165</v>
      </c>
      <c r="H250" s="1" t="s">
        <v>1166</v>
      </c>
      <c r="I250" s="8">
        <v>44615.33290706018</v>
      </c>
      <c r="J250" s="9">
        <f>+35938895998</f>
        <v>35938895998</v>
      </c>
      <c r="K250" s="4">
        <v>54.0</v>
      </c>
      <c r="L250" s="7">
        <v>5.0</v>
      </c>
      <c r="M250" s="1" t="s">
        <v>1167</v>
      </c>
      <c r="N250" s="4">
        <v>840.0</v>
      </c>
      <c r="O250" s="4">
        <v>3.0</v>
      </c>
      <c r="P250" s="1" t="s">
        <v>28</v>
      </c>
      <c r="Q250" s="5" t="b">
        <v>0</v>
      </c>
      <c r="R250" s="5" t="b">
        <v>1</v>
      </c>
      <c r="S250" s="5" t="b">
        <v>0</v>
      </c>
      <c r="T250" s="4" t="s">
        <v>1168</v>
      </c>
      <c r="U250" s="5" t="b">
        <v>1</v>
      </c>
      <c r="V250" s="10">
        <v>44743.0</v>
      </c>
      <c r="W250" s="10">
        <v>44787.0</v>
      </c>
    </row>
    <row r="251">
      <c r="A251" s="4">
        <v>5.0030305E8</v>
      </c>
      <c r="B251" s="5" t="b">
        <v>1</v>
      </c>
      <c r="C251" s="6" t="s">
        <v>1169</v>
      </c>
      <c r="D251" s="1" t="s">
        <v>1170</v>
      </c>
      <c r="E251" s="7">
        <v>4141918.0</v>
      </c>
      <c r="F251" s="7">
        <v>217257.0</v>
      </c>
      <c r="G251" s="1" t="s">
        <v>182</v>
      </c>
      <c r="H251" s="1" t="s">
        <v>1171</v>
      </c>
      <c r="I251" s="8">
        <v>44615.59015146991</v>
      </c>
      <c r="J251" s="9">
        <f>+35938583383</f>
        <v>35938583383</v>
      </c>
      <c r="K251" s="4">
        <v>52.0</v>
      </c>
      <c r="L251" s="7">
        <v>5.0</v>
      </c>
      <c r="M251" s="1" t="s">
        <v>1172</v>
      </c>
      <c r="N251" s="4">
        <v>477.0</v>
      </c>
      <c r="O251" s="4">
        <v>3.0</v>
      </c>
      <c r="P251" s="1" t="s">
        <v>28</v>
      </c>
      <c r="Q251" s="5" t="b">
        <v>0</v>
      </c>
      <c r="R251" s="5" t="b">
        <v>1</v>
      </c>
      <c r="S251" s="5" t="b">
        <v>0</v>
      </c>
      <c r="T251" s="4" t="s">
        <v>1173</v>
      </c>
      <c r="U251" s="5" t="b">
        <v>0</v>
      </c>
      <c r="V251" s="10">
        <v>44760.0</v>
      </c>
      <c r="W251" s="10">
        <v>44799.0</v>
      </c>
    </row>
    <row r="252">
      <c r="A252" s="4">
        <v>500667.0</v>
      </c>
      <c r="B252" s="5" t="b">
        <v>1</v>
      </c>
      <c r="C252" s="6" t="s">
        <v>1174</v>
      </c>
      <c r="D252" s="1" t="s">
        <v>1175</v>
      </c>
      <c r="E252" s="7">
        <v>4476163.0</v>
      </c>
      <c r="F252" s="7">
        <v>1077453.0</v>
      </c>
      <c r="G252" s="1" t="s">
        <v>1176</v>
      </c>
      <c r="H252" s="1" t="s">
        <v>1177</v>
      </c>
      <c r="I252" s="8">
        <v>44620.6262809375</v>
      </c>
      <c r="J252" s="9">
        <f>+393985853383</f>
        <v>393985853383</v>
      </c>
      <c r="K252" s="4">
        <v>0.0</v>
      </c>
      <c r="L252" s="7">
        <v>0.0</v>
      </c>
      <c r="M252" s="1">
        <v>773733.0</v>
      </c>
      <c r="N252" s="4">
        <v>153.0</v>
      </c>
      <c r="O252" s="4">
        <v>4.0</v>
      </c>
      <c r="P252" s="1" t="s">
        <v>28</v>
      </c>
      <c r="Q252" s="5" t="b">
        <v>0</v>
      </c>
      <c r="R252" s="5" t="b">
        <v>1</v>
      </c>
      <c r="S252" s="5" t="b">
        <v>0</v>
      </c>
      <c r="T252" s="4">
        <v>0.0</v>
      </c>
      <c r="U252" s="5" t="b">
        <v>0</v>
      </c>
      <c r="V252" s="10">
        <v>44811.0</v>
      </c>
      <c r="W252" s="10">
        <v>44778.0</v>
      </c>
    </row>
    <row r="253">
      <c r="A253" s="4">
        <v>500646.0</v>
      </c>
      <c r="B253" s="5" t="b">
        <v>1</v>
      </c>
      <c r="C253" s="6" t="s">
        <v>1178</v>
      </c>
      <c r="D253" s="1" t="s">
        <v>1179</v>
      </c>
      <c r="E253" s="7">
        <v>454773.0</v>
      </c>
      <c r="F253" s="7">
        <v>9203002.0</v>
      </c>
      <c r="G253" s="1" t="s">
        <v>37</v>
      </c>
      <c r="H253" s="1" t="s">
        <v>1180</v>
      </c>
      <c r="I253" s="8">
        <v>44621.37632287037</v>
      </c>
      <c r="J253" s="9">
        <f>+390839985355</f>
        <v>390839985355</v>
      </c>
      <c r="K253" s="4">
        <v>1.0</v>
      </c>
      <c r="L253" s="7">
        <v>5.0</v>
      </c>
      <c r="M253" s="1">
        <v>767.0</v>
      </c>
      <c r="N253" s="4">
        <v>243.0</v>
      </c>
      <c r="O253" s="4">
        <v>1.0</v>
      </c>
      <c r="P253" s="1" t="s">
        <v>33</v>
      </c>
      <c r="Q253" s="5" t="b">
        <v>0</v>
      </c>
      <c r="R253" s="5" t="b">
        <v>1</v>
      </c>
      <c r="S253" s="5" t="b">
        <v>0</v>
      </c>
      <c r="T253" s="4" t="s">
        <v>192</v>
      </c>
      <c r="U253" s="5" t="b">
        <v>0</v>
      </c>
      <c r="V253" s="10">
        <v>44824.0</v>
      </c>
      <c r="W253" s="11">
        <v>44845.0</v>
      </c>
    </row>
    <row r="254">
      <c r="A254" s="4">
        <v>500655.0</v>
      </c>
      <c r="B254" s="5" t="b">
        <v>1</v>
      </c>
      <c r="C254" s="6" t="s">
        <v>1181</v>
      </c>
      <c r="D254" s="1" t="s">
        <v>1182</v>
      </c>
      <c r="E254" s="7">
        <v>3793667.0</v>
      </c>
      <c r="F254" s="7">
        <v>2292424.0</v>
      </c>
      <c r="G254" s="1" t="s">
        <v>1183</v>
      </c>
      <c r="H254" s="1" t="s">
        <v>1184</v>
      </c>
      <c r="I254" s="8">
        <v>44621.43000759259</v>
      </c>
      <c r="J254" s="9">
        <f>+308353305998</f>
        <v>308353305998</v>
      </c>
      <c r="K254" s="4">
        <v>4.0</v>
      </c>
      <c r="L254" s="7">
        <v>5.0</v>
      </c>
      <c r="M254" s="1">
        <v>3.3733663E7</v>
      </c>
      <c r="N254" s="4">
        <v>691.0</v>
      </c>
      <c r="O254" s="4">
        <v>5.0</v>
      </c>
      <c r="P254" s="1" t="s">
        <v>28</v>
      </c>
      <c r="Q254" s="5" t="b">
        <v>0</v>
      </c>
      <c r="R254" s="5" t="b">
        <v>1</v>
      </c>
      <c r="S254" s="5" t="b">
        <v>0</v>
      </c>
      <c r="T254" s="4" t="s">
        <v>611</v>
      </c>
      <c r="U254" s="5" t="b">
        <v>0</v>
      </c>
      <c r="V254" s="11">
        <v>44882.0</v>
      </c>
      <c r="W254" s="11">
        <v>44853.0</v>
      </c>
    </row>
    <row r="255">
      <c r="A255" s="4">
        <v>5004150.0</v>
      </c>
      <c r="B255" s="5" t="b">
        <v>1</v>
      </c>
      <c r="C255" s="6" t="s">
        <v>1185</v>
      </c>
      <c r="D255" s="1" t="s">
        <v>1186</v>
      </c>
      <c r="E255" s="7">
        <v>4883687.0</v>
      </c>
      <c r="F255" s="7">
        <v>2289336.0</v>
      </c>
      <c r="G255" s="1" t="s">
        <v>365</v>
      </c>
      <c r="H255" s="1" t="s">
        <v>1187</v>
      </c>
      <c r="I255" s="8">
        <v>44627.48368037037</v>
      </c>
      <c r="J255" s="9">
        <f>+33983890338</f>
        <v>33983890338</v>
      </c>
      <c r="K255" s="4">
        <v>3.0</v>
      </c>
      <c r="L255" s="7">
        <v>5.0</v>
      </c>
      <c r="M255" s="1" t="s">
        <v>1188</v>
      </c>
      <c r="N255" s="4">
        <v>35.0</v>
      </c>
      <c r="O255" s="4">
        <v>2.0</v>
      </c>
      <c r="P255" s="1" t="s">
        <v>28</v>
      </c>
      <c r="Q255" s="5" t="b">
        <v>1</v>
      </c>
      <c r="R255" s="5" t="b">
        <v>0</v>
      </c>
      <c r="S255" s="5" t="b">
        <v>0</v>
      </c>
      <c r="T255" s="4" t="s">
        <v>354</v>
      </c>
      <c r="U255" s="5" t="b">
        <v>0</v>
      </c>
      <c r="V255" s="10">
        <v>44842.0</v>
      </c>
      <c r="W255" s="10">
        <v>44870.0</v>
      </c>
    </row>
    <row r="256">
      <c r="A256" s="4">
        <v>5004506.0</v>
      </c>
      <c r="B256" s="5" t="b">
        <v>0</v>
      </c>
      <c r="C256" s="6" t="s">
        <v>1189</v>
      </c>
      <c r="D256" s="1" t="s">
        <v>1190</v>
      </c>
      <c r="E256" s="7">
        <v>3921742.0</v>
      </c>
      <c r="F256" s="7">
        <v>9126415.0</v>
      </c>
      <c r="G256" s="1" t="s">
        <v>895</v>
      </c>
      <c r="H256" s="1" t="s">
        <v>1191</v>
      </c>
      <c r="I256" s="8">
        <v>44628.470683252315</v>
      </c>
      <c r="J256" s="9">
        <f>+393539039038</f>
        <v>393539039038</v>
      </c>
      <c r="K256" s="4">
        <v>14.0</v>
      </c>
      <c r="L256" s="7">
        <v>5.0</v>
      </c>
      <c r="M256" s="1">
        <v>7.377373737E9</v>
      </c>
      <c r="N256" s="4">
        <v>2268.0</v>
      </c>
      <c r="O256" s="4">
        <v>4.0</v>
      </c>
      <c r="P256" s="1" t="s">
        <v>28</v>
      </c>
      <c r="Q256" s="5" t="b">
        <v>0</v>
      </c>
      <c r="R256" s="5" t="b">
        <v>1</v>
      </c>
      <c r="S256" s="5" t="b">
        <v>0</v>
      </c>
      <c r="T256" s="4" t="s">
        <v>1192</v>
      </c>
      <c r="U256" s="5" t="b">
        <v>0</v>
      </c>
      <c r="V256" s="10">
        <v>44848.0</v>
      </c>
      <c r="W256" s="10">
        <v>44852.0</v>
      </c>
    </row>
    <row r="257">
      <c r="A257" s="4">
        <v>500447.0</v>
      </c>
      <c r="B257" s="5" t="b">
        <v>0</v>
      </c>
      <c r="C257" s="6" t="s">
        <v>1193</v>
      </c>
      <c r="D257" s="1" t="s">
        <v>1194</v>
      </c>
      <c r="E257" s="7">
        <v>4545658.0</v>
      </c>
      <c r="F257" s="7">
        <v>9187281.0</v>
      </c>
      <c r="G257" s="1" t="s">
        <v>37</v>
      </c>
      <c r="H257" s="1" t="s">
        <v>1195</v>
      </c>
      <c r="I257" s="8">
        <v>44630.42899396991</v>
      </c>
      <c r="J257" s="9">
        <f>+393393389833</f>
        <v>393393389833</v>
      </c>
      <c r="K257" s="4">
        <v>0.0</v>
      </c>
      <c r="L257" s="7">
        <v>0.0</v>
      </c>
      <c r="M257" s="1">
        <v>773763.0</v>
      </c>
      <c r="N257" s="4">
        <v>267.0</v>
      </c>
      <c r="O257" s="4">
        <v>1.0</v>
      </c>
      <c r="P257" s="1" t="s">
        <v>33</v>
      </c>
      <c r="Q257" s="5" t="b">
        <v>0</v>
      </c>
      <c r="R257" s="5" t="b">
        <v>0</v>
      </c>
      <c r="S257" s="5" t="b">
        <v>0</v>
      </c>
      <c r="T257" s="4">
        <v>0.0</v>
      </c>
      <c r="U257" s="5" t="b">
        <v>0</v>
      </c>
      <c r="V257" s="10">
        <v>44809.0</v>
      </c>
      <c r="W257" s="10">
        <v>44840.0</v>
      </c>
    </row>
    <row r="258">
      <c r="A258" s="4">
        <v>500444.0</v>
      </c>
      <c r="B258" s="5" t="b">
        <v>1</v>
      </c>
      <c r="C258" s="6" t="s">
        <v>1196</v>
      </c>
      <c r="D258" s="1" t="s">
        <v>1197</v>
      </c>
      <c r="E258" s="7">
        <v>404027.0</v>
      </c>
      <c r="F258" s="7">
        <v>17637.0</v>
      </c>
      <c r="G258" s="1" t="s">
        <v>1198</v>
      </c>
      <c r="H258" s="1" t="s">
        <v>1199</v>
      </c>
      <c r="I258" s="8">
        <v>44630.430172546294</v>
      </c>
      <c r="J258" s="9">
        <f>+393338938389</f>
        <v>393338938389</v>
      </c>
      <c r="K258" s="4">
        <v>3.0</v>
      </c>
      <c r="L258" s="7">
        <v>5.0</v>
      </c>
      <c r="M258" s="1">
        <v>733773.0</v>
      </c>
      <c r="N258" s="4">
        <v>1444.0</v>
      </c>
      <c r="O258" s="4">
        <v>6.0</v>
      </c>
      <c r="P258" s="1" t="s">
        <v>28</v>
      </c>
      <c r="Q258" s="5" t="b">
        <v>0</v>
      </c>
      <c r="R258" s="5" t="b">
        <v>1</v>
      </c>
      <c r="S258" s="5" t="b">
        <v>0</v>
      </c>
      <c r="T258" s="4" t="s">
        <v>354</v>
      </c>
      <c r="U258" s="5" t="b">
        <v>0</v>
      </c>
      <c r="V258" s="11">
        <v>44876.0</v>
      </c>
      <c r="W258" s="10">
        <v>44833.0</v>
      </c>
    </row>
    <row r="259">
      <c r="A259" s="4">
        <v>500554.0</v>
      </c>
      <c r="B259" s="5" t="b">
        <v>0</v>
      </c>
      <c r="C259" s="6" t="s">
        <v>1200</v>
      </c>
      <c r="D259" s="1" t="s">
        <v>1201</v>
      </c>
      <c r="E259" s="7">
        <v>3718782.0</v>
      </c>
      <c r="F259" s="7">
        <v>-57863.0</v>
      </c>
      <c r="G259" s="1" t="s">
        <v>1202</v>
      </c>
      <c r="H259" s="1" t="s">
        <v>1203</v>
      </c>
      <c r="I259" s="8">
        <v>44631.59056638889</v>
      </c>
      <c r="J259" s="9">
        <f>+35955593399</f>
        <v>35955593399</v>
      </c>
      <c r="K259" s="4">
        <v>13.0</v>
      </c>
      <c r="L259" s="7">
        <v>5.0</v>
      </c>
      <c r="M259" s="1" t="s">
        <v>1204</v>
      </c>
      <c r="N259" s="4">
        <v>673.0</v>
      </c>
      <c r="O259" s="4">
        <v>3.0</v>
      </c>
      <c r="P259" s="1" t="s">
        <v>39</v>
      </c>
      <c r="Q259" s="5" t="b">
        <v>0</v>
      </c>
      <c r="R259" s="5" t="b">
        <v>1</v>
      </c>
      <c r="S259" s="5" t="b">
        <v>0</v>
      </c>
      <c r="T259" s="4" t="s">
        <v>998</v>
      </c>
      <c r="U259" s="5" t="b">
        <v>0</v>
      </c>
      <c r="V259" s="11">
        <v>44888.0</v>
      </c>
      <c r="W259" s="10">
        <v>44826.0</v>
      </c>
    </row>
    <row r="260">
      <c r="A260" s="4">
        <v>5005450.0</v>
      </c>
      <c r="B260" s="5" t="b">
        <v>1</v>
      </c>
      <c r="C260" s="6" t="s">
        <v>1205</v>
      </c>
      <c r="D260" s="1" t="s">
        <v>1206</v>
      </c>
      <c r="E260" s="7">
        <v>455064.0</v>
      </c>
      <c r="F260" s="7">
        <v>9232015.0</v>
      </c>
      <c r="G260" s="1" t="s">
        <v>37</v>
      </c>
      <c r="H260" s="1" t="s">
        <v>1207</v>
      </c>
      <c r="I260" s="8">
        <v>44634.44095887731</v>
      </c>
      <c r="J260" s="9">
        <f>+390883000835</f>
        <v>390883000835</v>
      </c>
      <c r="K260" s="4">
        <v>113.0</v>
      </c>
      <c r="L260" s="7">
        <v>4769912.0</v>
      </c>
      <c r="M260" s="1">
        <v>7.333373766E9</v>
      </c>
      <c r="N260" s="4">
        <v>4287.0</v>
      </c>
      <c r="O260" s="4">
        <v>5.0</v>
      </c>
      <c r="P260" s="1" t="s">
        <v>39</v>
      </c>
      <c r="Q260" s="5" t="b">
        <v>0</v>
      </c>
      <c r="R260" s="5" t="b">
        <v>0</v>
      </c>
      <c r="S260" s="5" t="b">
        <v>1</v>
      </c>
      <c r="T260" s="4" t="s">
        <v>380</v>
      </c>
      <c r="U260" s="5" t="b">
        <v>0</v>
      </c>
      <c r="V260" s="11">
        <v>44883.0</v>
      </c>
      <c r="W260" s="10">
        <v>44812.0</v>
      </c>
    </row>
    <row r="261">
      <c r="A261" s="4">
        <v>500547.0</v>
      </c>
      <c r="B261" s="5" t="b">
        <v>1</v>
      </c>
      <c r="C261" s="6" t="s">
        <v>1208</v>
      </c>
      <c r="D261" s="1" t="s">
        <v>1209</v>
      </c>
      <c r="E261" s="7">
        <v>4094934.0</v>
      </c>
      <c r="F261" s="7">
        <v>-562901.0</v>
      </c>
      <c r="G261" s="1" t="s">
        <v>1210</v>
      </c>
      <c r="H261" s="1" t="s">
        <v>1211</v>
      </c>
      <c r="I261" s="8">
        <v>44634.47724625</v>
      </c>
      <c r="J261" s="9">
        <f>+35983000393</f>
        <v>35983000393</v>
      </c>
      <c r="K261" s="4">
        <v>3.0</v>
      </c>
      <c r="L261" s="7">
        <v>5.0</v>
      </c>
      <c r="M261" s="1" t="s">
        <v>1212</v>
      </c>
      <c r="N261" s="4">
        <v>528.0</v>
      </c>
      <c r="O261" s="4">
        <v>2.0</v>
      </c>
      <c r="P261" s="1" t="s">
        <v>39</v>
      </c>
      <c r="Q261" s="5" t="b">
        <v>0</v>
      </c>
      <c r="R261" s="5" t="b">
        <v>1</v>
      </c>
      <c r="S261" s="5" t="b">
        <v>0</v>
      </c>
      <c r="T261" s="4" t="s">
        <v>354</v>
      </c>
      <c r="U261" s="5" t="b">
        <v>0</v>
      </c>
      <c r="V261" s="11">
        <v>44854.0</v>
      </c>
      <c r="W261" s="11">
        <v>44856.0</v>
      </c>
    </row>
    <row r="262">
      <c r="A262" s="4">
        <v>5005750.0</v>
      </c>
      <c r="B262" s="5" t="b">
        <v>0</v>
      </c>
      <c r="C262" s="6" t="s">
        <v>1213</v>
      </c>
      <c r="D262" s="1" t="s">
        <v>1214</v>
      </c>
      <c r="E262" s="7">
        <v>4358031.0</v>
      </c>
      <c r="F262" s="7">
        <v>145723.0</v>
      </c>
      <c r="G262" s="1" t="s">
        <v>1215</v>
      </c>
      <c r="H262" s="1" t="s">
        <v>1216</v>
      </c>
      <c r="I262" s="8">
        <v>44635.615617662035</v>
      </c>
      <c r="J262" s="9">
        <f>+33388303585</f>
        <v>33388303585</v>
      </c>
      <c r="K262" s="4">
        <v>0.0</v>
      </c>
      <c r="L262" s="7">
        <v>0.0</v>
      </c>
      <c r="M262" s="1" t="s">
        <v>1217</v>
      </c>
      <c r="N262" s="4">
        <v>1628.0</v>
      </c>
      <c r="O262" s="4">
        <v>2.0</v>
      </c>
      <c r="P262" s="1" t="s">
        <v>33</v>
      </c>
      <c r="Q262" s="5" t="b">
        <v>0</v>
      </c>
      <c r="R262" s="5" t="b">
        <v>1</v>
      </c>
      <c r="S262" s="5" t="b">
        <v>0</v>
      </c>
      <c r="T262" s="4">
        <v>0.0</v>
      </c>
      <c r="U262" s="5" t="b">
        <v>0</v>
      </c>
      <c r="V262" s="10">
        <v>44820.0</v>
      </c>
      <c r="W262" s="10">
        <v>44836.0</v>
      </c>
    </row>
    <row r="263">
      <c r="A263" s="4">
        <v>501004.0</v>
      </c>
      <c r="B263" s="5" t="b">
        <v>1</v>
      </c>
      <c r="C263" s="6" t="s">
        <v>1218</v>
      </c>
      <c r="D263" s="1" t="s">
        <v>1219</v>
      </c>
      <c r="E263" s="7">
        <v>386776.0</v>
      </c>
      <c r="F263" s="7">
        <v>-91616.0</v>
      </c>
      <c r="G263" s="1" t="s">
        <v>1220</v>
      </c>
      <c r="H263" s="1" t="s">
        <v>1221</v>
      </c>
      <c r="I263" s="8">
        <v>44636.575173969904</v>
      </c>
      <c r="J263" s="9">
        <f>+353833935533</f>
        <v>353833935533</v>
      </c>
      <c r="K263" s="4">
        <v>34.0</v>
      </c>
      <c r="L263" s="7">
        <v>5.0</v>
      </c>
      <c r="M263" s="1">
        <v>3373333.0</v>
      </c>
      <c r="N263" s="4">
        <v>526.0</v>
      </c>
      <c r="O263" s="4">
        <v>6.0</v>
      </c>
      <c r="P263" s="1" t="s">
        <v>28</v>
      </c>
      <c r="Q263" s="5" t="b">
        <v>0</v>
      </c>
      <c r="R263" s="5" t="b">
        <v>1</v>
      </c>
      <c r="S263" s="5" t="b">
        <v>0</v>
      </c>
      <c r="T263" s="4" t="s">
        <v>516</v>
      </c>
      <c r="U263" s="5" t="b">
        <v>0</v>
      </c>
      <c r="V263" s="10">
        <v>44871.0</v>
      </c>
      <c r="W263" s="10">
        <v>44867.0</v>
      </c>
    </row>
    <row r="264">
      <c r="A264" s="4">
        <v>5010430.0</v>
      </c>
      <c r="B264" s="5" t="b">
        <v>1</v>
      </c>
      <c r="C264" s="6" t="s">
        <v>1222</v>
      </c>
      <c r="D264" s="1" t="s">
        <v>1223</v>
      </c>
      <c r="E264" s="7">
        <v>3998807.0</v>
      </c>
      <c r="F264" s="7">
        <v>-653737.0</v>
      </c>
      <c r="G264" s="1" t="s">
        <v>1224</v>
      </c>
      <c r="H264" s="1" t="s">
        <v>1225</v>
      </c>
      <c r="I264" s="8">
        <v>44641.34844905093</v>
      </c>
      <c r="J264" s="9">
        <f>+35989039989</f>
        <v>35989039989</v>
      </c>
      <c r="K264" s="4">
        <v>30.0</v>
      </c>
      <c r="L264" s="7">
        <v>4966667.0</v>
      </c>
      <c r="M264" s="1" t="s">
        <v>1226</v>
      </c>
      <c r="N264" s="4">
        <v>734.0</v>
      </c>
      <c r="O264" s="4">
        <v>4.0</v>
      </c>
      <c r="P264" s="1" t="s">
        <v>33</v>
      </c>
      <c r="Q264" s="5" t="b">
        <v>0</v>
      </c>
      <c r="R264" s="5" t="b">
        <v>1</v>
      </c>
      <c r="S264" s="5" t="b">
        <v>0</v>
      </c>
      <c r="T264" s="4" t="s">
        <v>1227</v>
      </c>
      <c r="U264" s="5" t="b">
        <v>0</v>
      </c>
      <c r="V264" s="11">
        <v>44885.0</v>
      </c>
      <c r="W264" s="10">
        <v>44901.0</v>
      </c>
    </row>
    <row r="265">
      <c r="A265" s="4">
        <v>5011050.0</v>
      </c>
      <c r="B265" s="5" t="b">
        <v>1</v>
      </c>
      <c r="C265" s="6" t="s">
        <v>1228</v>
      </c>
      <c r="D265" s="1" t="s">
        <v>1229</v>
      </c>
      <c r="E265" s="7">
        <v>4885013.0</v>
      </c>
      <c r="F265" s="7">
        <v>237459.0</v>
      </c>
      <c r="G265" s="1" t="s">
        <v>365</v>
      </c>
      <c r="H265" s="1" t="s">
        <v>1230</v>
      </c>
      <c r="I265" s="8">
        <v>44641.469495694444</v>
      </c>
      <c r="J265" s="9">
        <f>+33985533908</f>
        <v>33985533908</v>
      </c>
      <c r="K265" s="4">
        <v>47.0</v>
      </c>
      <c r="L265" s="7">
        <v>4744681.0</v>
      </c>
      <c r="M265" s="1" t="s">
        <v>1231</v>
      </c>
      <c r="N265" s="4">
        <v>1610.0</v>
      </c>
      <c r="O265" s="4">
        <v>2.0</v>
      </c>
      <c r="P265" s="1" t="s">
        <v>39</v>
      </c>
      <c r="Q265" s="5" t="b">
        <v>0</v>
      </c>
      <c r="R265" s="5" t="b">
        <v>1</v>
      </c>
      <c r="S265" s="5" t="b">
        <v>0</v>
      </c>
      <c r="T265" s="4" t="s">
        <v>1232</v>
      </c>
      <c r="U265" s="5" t="b">
        <v>0</v>
      </c>
      <c r="V265" s="11">
        <v>44876.0</v>
      </c>
      <c r="W265" s="10">
        <v>44830.0</v>
      </c>
    </row>
    <row r="266">
      <c r="A266" s="4">
        <v>5011504.0</v>
      </c>
      <c r="B266" s="5" t="b">
        <v>1</v>
      </c>
      <c r="C266" s="6" t="s">
        <v>1233</v>
      </c>
      <c r="D266" s="1" t="s">
        <v>1234</v>
      </c>
      <c r="E266" s="7">
        <v>4040291.0</v>
      </c>
      <c r="F266" s="7">
        <v>-389661.0</v>
      </c>
      <c r="G266" s="1" t="s">
        <v>1235</v>
      </c>
      <c r="H266" s="1" t="s">
        <v>1236</v>
      </c>
      <c r="I266" s="8">
        <v>44642.50284634259</v>
      </c>
      <c r="J266" s="9">
        <f>+35935903933</f>
        <v>35935903933</v>
      </c>
      <c r="K266" s="4">
        <v>6.0</v>
      </c>
      <c r="L266" s="7">
        <v>5.0</v>
      </c>
      <c r="M266" s="1" t="s">
        <v>1237</v>
      </c>
      <c r="N266" s="4">
        <v>146.0</v>
      </c>
      <c r="O266" s="4">
        <v>3.0</v>
      </c>
      <c r="P266" s="1" t="s">
        <v>28</v>
      </c>
      <c r="Q266" s="5" t="b">
        <v>0</v>
      </c>
      <c r="R266" s="5" t="b">
        <v>1</v>
      </c>
      <c r="S266" s="5" t="b">
        <v>0</v>
      </c>
      <c r="T266" s="4" t="s">
        <v>198</v>
      </c>
      <c r="U266" s="5" t="b">
        <v>0</v>
      </c>
      <c r="V266" s="11">
        <v>44901.0</v>
      </c>
      <c r="W266" s="10">
        <v>44890.0</v>
      </c>
    </row>
    <row r="267">
      <c r="A267" s="4">
        <v>501160.0</v>
      </c>
      <c r="B267" s="5" t="b">
        <v>1</v>
      </c>
      <c r="C267" s="6" t="s">
        <v>1238</v>
      </c>
      <c r="D267" s="1" t="s">
        <v>1239</v>
      </c>
      <c r="E267" s="7">
        <v>4183753.0</v>
      </c>
      <c r="F267" s="7">
        <v>1288039.0</v>
      </c>
      <c r="G267" s="1" t="s">
        <v>1240</v>
      </c>
      <c r="H267" s="1" t="s">
        <v>1241</v>
      </c>
      <c r="I267" s="8">
        <v>44643.4454296875</v>
      </c>
      <c r="J267" s="9">
        <f>+390983300953</f>
        <v>390983300953</v>
      </c>
      <c r="K267" s="4">
        <v>1.0</v>
      </c>
      <c r="L267" s="7">
        <v>5.0</v>
      </c>
      <c r="M267" s="1">
        <v>6.633773337E9</v>
      </c>
      <c r="N267" s="4">
        <v>573.0</v>
      </c>
      <c r="O267" s="4">
        <v>8.0</v>
      </c>
      <c r="P267" s="1" t="s">
        <v>33</v>
      </c>
      <c r="Q267" s="5" t="b">
        <v>0</v>
      </c>
      <c r="R267" s="5" t="b">
        <v>0</v>
      </c>
      <c r="S267" s="5" t="b">
        <v>0</v>
      </c>
      <c r="T267" s="4" t="s">
        <v>323</v>
      </c>
      <c r="U267" s="5" t="b">
        <v>0</v>
      </c>
      <c r="V267" s="11">
        <v>44859.0</v>
      </c>
      <c r="W267" s="10">
        <v>44821.0</v>
      </c>
    </row>
    <row r="268">
      <c r="A268" s="4">
        <v>501545.0</v>
      </c>
      <c r="B268" s="5" t="b">
        <v>0</v>
      </c>
      <c r="C268" s="6" t="s">
        <v>1242</v>
      </c>
      <c r="D268" s="1" t="s">
        <v>1243</v>
      </c>
      <c r="E268" s="7">
        <v>3998434.0</v>
      </c>
      <c r="F268" s="7">
        <v>-3245.0</v>
      </c>
      <c r="G268" s="1" t="s">
        <v>1244</v>
      </c>
      <c r="H268" s="1" t="s">
        <v>1245</v>
      </c>
      <c r="I268" s="8">
        <v>44645.64506313657</v>
      </c>
      <c r="J268" s="9">
        <f>+35995388539</f>
        <v>35995388539</v>
      </c>
      <c r="K268" s="4">
        <v>15.0</v>
      </c>
      <c r="L268" s="7">
        <v>4916667.0</v>
      </c>
      <c r="M268" s="1" t="s">
        <v>1246</v>
      </c>
      <c r="N268" s="4">
        <v>833.0</v>
      </c>
      <c r="O268" s="4">
        <v>5.0</v>
      </c>
      <c r="P268" s="1" t="s">
        <v>39</v>
      </c>
      <c r="Q268" s="5" t="b">
        <v>0</v>
      </c>
      <c r="R268" s="5" t="b">
        <v>1</v>
      </c>
      <c r="S268" s="5" t="b">
        <v>0</v>
      </c>
      <c r="T268" s="4" t="s">
        <v>1247</v>
      </c>
      <c r="U268" s="5" t="b">
        <v>0</v>
      </c>
      <c r="V268" s="11">
        <v>44862.0</v>
      </c>
      <c r="W268" s="11">
        <v>44888.0</v>
      </c>
    </row>
    <row r="269">
      <c r="A269" s="4">
        <v>501547.0</v>
      </c>
      <c r="B269" s="5" t="b">
        <v>1</v>
      </c>
      <c r="C269" s="6" t="s">
        <v>1248</v>
      </c>
      <c r="D269" s="1" t="s">
        <v>1249</v>
      </c>
      <c r="E269" s="7">
        <v>4544541.0</v>
      </c>
      <c r="F269" s="7">
        <v>1183418.0</v>
      </c>
      <c r="G269" s="1" t="s">
        <v>465</v>
      </c>
      <c r="H269" s="1" t="s">
        <v>1250</v>
      </c>
      <c r="I269" s="8">
        <v>44649.286571979166</v>
      </c>
      <c r="J269" s="9">
        <f>+393595080598</f>
        <v>393595080598</v>
      </c>
      <c r="K269" s="4">
        <v>11.0</v>
      </c>
      <c r="L269" s="7">
        <v>5.0</v>
      </c>
      <c r="M269" s="1">
        <v>3.337363337E9</v>
      </c>
      <c r="N269" s="4">
        <v>385.0</v>
      </c>
      <c r="O269" s="4">
        <v>2.0</v>
      </c>
      <c r="P269" s="1" t="s">
        <v>33</v>
      </c>
      <c r="Q269" s="5" t="b">
        <v>0</v>
      </c>
      <c r="R269" s="5" t="b">
        <v>1</v>
      </c>
      <c r="S269" s="5" t="b">
        <v>0</v>
      </c>
      <c r="T269" s="4" t="s">
        <v>1148</v>
      </c>
      <c r="U269" s="5" t="b">
        <v>0</v>
      </c>
      <c r="V269" s="10">
        <v>44823.0</v>
      </c>
      <c r="W269" s="10">
        <v>44874.0</v>
      </c>
    </row>
    <row r="270">
      <c r="A270" s="4">
        <v>5015050.0</v>
      </c>
      <c r="B270" s="5" t="b">
        <v>1</v>
      </c>
      <c r="C270" s="6" t="s">
        <v>1251</v>
      </c>
      <c r="D270" s="1" t="s">
        <v>1252</v>
      </c>
      <c r="E270" s="7">
        <v>3751454.0</v>
      </c>
      <c r="F270" s="7">
        <v>150877.0</v>
      </c>
      <c r="G270" s="1" t="s">
        <v>1253</v>
      </c>
      <c r="H270" s="1" t="s">
        <v>1254</v>
      </c>
      <c r="I270" s="8">
        <v>44650.52779429398</v>
      </c>
      <c r="J270" s="9">
        <f>+393338539835</f>
        <v>393338539835</v>
      </c>
      <c r="K270" s="4">
        <v>68.0</v>
      </c>
      <c r="L270" s="7">
        <v>4985294.0</v>
      </c>
      <c r="M270" s="1">
        <v>3.333733377E9</v>
      </c>
      <c r="N270" s="4">
        <v>7723.0</v>
      </c>
      <c r="O270" s="4">
        <v>6.0</v>
      </c>
      <c r="P270" s="1" t="s">
        <v>33</v>
      </c>
      <c r="Q270" s="5" t="b">
        <v>0</v>
      </c>
      <c r="R270" s="5" t="b">
        <v>1</v>
      </c>
      <c r="S270" s="5" t="b">
        <v>0</v>
      </c>
      <c r="T270" s="4" t="s">
        <v>1255</v>
      </c>
      <c r="U270" s="5" t="b">
        <v>0</v>
      </c>
      <c r="V270" s="10">
        <v>44833.0</v>
      </c>
      <c r="W270" s="10">
        <v>44871.0</v>
      </c>
    </row>
    <row r="271">
      <c r="A271" s="4">
        <v>501416.0</v>
      </c>
      <c r="B271" s="5" t="b">
        <v>1</v>
      </c>
      <c r="C271" s="6" t="s">
        <v>1256</v>
      </c>
      <c r="D271" s="1" t="s">
        <v>1257</v>
      </c>
      <c r="E271" s="7">
        <v>3922945.0</v>
      </c>
      <c r="F271" s="7">
        <v>9122144.0</v>
      </c>
      <c r="G271" s="1" t="s">
        <v>895</v>
      </c>
      <c r="H271" s="1" t="s">
        <v>1258</v>
      </c>
      <c r="I271" s="8">
        <v>44652.66849430556</v>
      </c>
      <c r="J271" s="9">
        <f>+393995395953</f>
        <v>393995395953</v>
      </c>
      <c r="K271" s="4">
        <v>15.0</v>
      </c>
      <c r="L271" s="7">
        <v>5.0</v>
      </c>
      <c r="M271" s="1">
        <v>7.633333737E9</v>
      </c>
      <c r="N271" s="4">
        <v>378.0</v>
      </c>
      <c r="O271" s="4">
        <v>3.0</v>
      </c>
      <c r="P271" s="1" t="s">
        <v>33</v>
      </c>
      <c r="Q271" s="5" t="b">
        <v>0</v>
      </c>
      <c r="R271" s="5" t="b">
        <v>1</v>
      </c>
      <c r="S271" s="5" t="b">
        <v>1</v>
      </c>
      <c r="T271" s="4" t="s">
        <v>302</v>
      </c>
      <c r="U271" s="5" t="b">
        <v>0</v>
      </c>
      <c r="V271" s="10">
        <v>44826.0</v>
      </c>
      <c r="W271" s="11">
        <v>44863.0</v>
      </c>
    </row>
    <row r="272">
      <c r="A272" s="4">
        <v>5014550.0</v>
      </c>
      <c r="B272" s="5" t="b">
        <v>1</v>
      </c>
      <c r="C272" s="6" t="s">
        <v>1259</v>
      </c>
      <c r="D272" s="1" t="s">
        <v>1260</v>
      </c>
      <c r="E272" s="7">
        <v>4044496.0</v>
      </c>
      <c r="F272" s="7">
        <v>-380865.0</v>
      </c>
      <c r="G272" s="1" t="s">
        <v>195</v>
      </c>
      <c r="H272" s="1" t="s">
        <v>1261</v>
      </c>
      <c r="I272" s="8">
        <v>44655.27440883102</v>
      </c>
      <c r="J272" s="9">
        <f>+35933535855</f>
        <v>35933535855</v>
      </c>
      <c r="K272" s="4">
        <v>7.0</v>
      </c>
      <c r="L272" s="7">
        <v>4857143.0</v>
      </c>
      <c r="M272" s="1" t="s">
        <v>1262</v>
      </c>
      <c r="N272" s="4">
        <v>5045.0</v>
      </c>
      <c r="O272" s="4">
        <v>7.0</v>
      </c>
      <c r="P272" s="1" t="s">
        <v>33</v>
      </c>
      <c r="Q272" s="5" t="b">
        <v>0</v>
      </c>
      <c r="R272" s="5" t="b">
        <v>1</v>
      </c>
      <c r="S272" s="5" t="b">
        <v>0</v>
      </c>
      <c r="T272" s="4" t="s">
        <v>1263</v>
      </c>
      <c r="U272" s="5" t="b">
        <v>0</v>
      </c>
      <c r="V272" s="11">
        <v>44863.0</v>
      </c>
      <c r="W272" s="10">
        <v>44817.0</v>
      </c>
    </row>
    <row r="273">
      <c r="A273" s="4">
        <v>501447.0</v>
      </c>
      <c r="B273" s="5" t="b">
        <v>1</v>
      </c>
      <c r="C273" s="6" t="s">
        <v>1264</v>
      </c>
      <c r="D273" s="1" t="s">
        <v>1265</v>
      </c>
      <c r="E273" s="7">
        <v>2839735.0</v>
      </c>
      <c r="F273" s="7">
        <v>-165537.0</v>
      </c>
      <c r="G273" s="1" t="s">
        <v>1266</v>
      </c>
      <c r="H273" s="1" t="s">
        <v>1267</v>
      </c>
      <c r="I273" s="8">
        <v>44656.31756659722</v>
      </c>
      <c r="J273" s="9">
        <f>+35988385899</f>
        <v>35988385899</v>
      </c>
      <c r="K273" s="4">
        <v>33.0</v>
      </c>
      <c r="L273" s="7">
        <v>4969697.0</v>
      </c>
      <c r="M273" s="1" t="s">
        <v>1268</v>
      </c>
      <c r="N273" s="4">
        <v>327.0</v>
      </c>
      <c r="O273" s="4">
        <v>2.0</v>
      </c>
      <c r="P273" s="1" t="s">
        <v>33</v>
      </c>
      <c r="Q273" s="5" t="b">
        <v>0</v>
      </c>
      <c r="R273" s="5" t="b">
        <v>1</v>
      </c>
      <c r="S273" s="5" t="b">
        <v>0</v>
      </c>
      <c r="T273" s="4" t="s">
        <v>271</v>
      </c>
      <c r="U273" s="5" t="b">
        <v>0</v>
      </c>
      <c r="V273" s="10">
        <v>44900.0</v>
      </c>
      <c r="W273" s="10">
        <v>44812.0</v>
      </c>
    </row>
    <row r="274">
      <c r="A274" s="4">
        <v>5013047.0</v>
      </c>
      <c r="B274" s="5" t="b">
        <v>1</v>
      </c>
      <c r="C274" s="6" t="s">
        <v>1269</v>
      </c>
      <c r="D274" s="1" t="s">
        <v>1270</v>
      </c>
      <c r="E274" s="7">
        <v>5348884.0</v>
      </c>
      <c r="F274" s="7">
        <v>-232619.0</v>
      </c>
      <c r="G274" s="1" t="s">
        <v>1271</v>
      </c>
      <c r="H274" s="1" t="s">
        <v>1272</v>
      </c>
      <c r="I274" s="8">
        <v>44658.5805272338</v>
      </c>
      <c r="J274" s="9">
        <f>+553359098095</f>
        <v>553359098095</v>
      </c>
      <c r="K274" s="4">
        <v>37.0</v>
      </c>
      <c r="L274" s="7">
        <v>5.0</v>
      </c>
      <c r="M274" s="9"/>
      <c r="N274" s="4">
        <v>159.0</v>
      </c>
      <c r="O274" s="4">
        <v>3.0</v>
      </c>
      <c r="P274" s="1" t="s">
        <v>28</v>
      </c>
      <c r="Q274" s="5" t="b">
        <v>0</v>
      </c>
      <c r="R274" s="5" t="b">
        <v>1</v>
      </c>
      <c r="S274" s="5" t="b">
        <v>0</v>
      </c>
      <c r="T274" s="4" t="s">
        <v>1273</v>
      </c>
      <c r="U274" s="5" t="b">
        <v>0</v>
      </c>
      <c r="V274" s="11">
        <v>44864.0</v>
      </c>
      <c r="W274" s="10">
        <v>44840.0</v>
      </c>
    </row>
    <row r="275">
      <c r="A275" s="4">
        <v>5013050.0</v>
      </c>
      <c r="B275" s="5" t="b">
        <v>1</v>
      </c>
      <c r="C275" s="6" t="s">
        <v>1274</v>
      </c>
      <c r="D275" s="1" t="s">
        <v>1275</v>
      </c>
      <c r="E275" s="7">
        <v>4888766.0</v>
      </c>
      <c r="F275" s="7">
        <v>2309868.0</v>
      </c>
      <c r="G275" s="1" t="s">
        <v>365</v>
      </c>
      <c r="H275" s="1" t="s">
        <v>1276</v>
      </c>
      <c r="I275" s="8">
        <v>44659.63163960648</v>
      </c>
      <c r="J275" s="9">
        <f>+33958858930</f>
        <v>33958858930</v>
      </c>
      <c r="K275" s="4">
        <v>17.0</v>
      </c>
      <c r="L275" s="7">
        <v>4882353.0</v>
      </c>
      <c r="M275" s="1" t="s">
        <v>1277</v>
      </c>
      <c r="N275" s="4">
        <v>232.0</v>
      </c>
      <c r="O275" s="4">
        <v>1.0</v>
      </c>
      <c r="P275" s="1" t="s">
        <v>39</v>
      </c>
      <c r="Q275" s="5" t="b">
        <v>0</v>
      </c>
      <c r="R275" s="5" t="b">
        <v>1</v>
      </c>
      <c r="S275" s="5" t="b">
        <v>1</v>
      </c>
      <c r="T275" s="4" t="s">
        <v>165</v>
      </c>
      <c r="U275" s="5" t="b">
        <v>0</v>
      </c>
      <c r="V275" s="11">
        <v>44853.0</v>
      </c>
      <c r="W275" s="10">
        <v>44807.0</v>
      </c>
    </row>
    <row r="276">
      <c r="A276" s="4">
        <v>501674.0</v>
      </c>
      <c r="B276" s="5" t="b">
        <v>1</v>
      </c>
      <c r="C276" s="6" t="s">
        <v>1278</v>
      </c>
      <c r="D276" s="1" t="s">
        <v>1279</v>
      </c>
      <c r="E276" s="7">
        <v>4144691.0</v>
      </c>
      <c r="F276" s="7">
        <v>2210637.0</v>
      </c>
      <c r="G276" s="1" t="s">
        <v>1280</v>
      </c>
      <c r="H276" s="1" t="s">
        <v>1281</v>
      </c>
      <c r="I276" s="8">
        <v>44664.41818673611</v>
      </c>
      <c r="J276" s="9">
        <f>+35935980838</f>
        <v>35935980838</v>
      </c>
      <c r="K276" s="4">
        <v>13.0</v>
      </c>
      <c r="L276" s="7">
        <v>4846154.0</v>
      </c>
      <c r="M276" s="1" t="s">
        <v>1282</v>
      </c>
      <c r="N276" s="4">
        <v>1860.0</v>
      </c>
      <c r="O276" s="4">
        <v>5.0</v>
      </c>
      <c r="P276" s="1" t="s">
        <v>39</v>
      </c>
      <c r="Q276" s="5" t="b">
        <v>0</v>
      </c>
      <c r="R276" s="5" t="b">
        <v>1</v>
      </c>
      <c r="S276" s="5" t="b">
        <v>0</v>
      </c>
      <c r="T276" s="4" t="s">
        <v>1283</v>
      </c>
      <c r="U276" s="5" t="b">
        <v>0</v>
      </c>
      <c r="V276" s="11">
        <v>44889.0</v>
      </c>
      <c r="W276" s="10">
        <v>44843.0</v>
      </c>
    </row>
    <row r="277">
      <c r="A277" s="4">
        <v>501757.0</v>
      </c>
      <c r="B277" s="5" t="b">
        <v>1</v>
      </c>
      <c r="C277" s="6" t="s">
        <v>1284</v>
      </c>
      <c r="D277" s="1" t="s">
        <v>1285</v>
      </c>
      <c r="E277" s="7">
        <v>4223763.0</v>
      </c>
      <c r="F277" s="7">
        <v>-871832.0</v>
      </c>
      <c r="G277" s="1" t="s">
        <v>1286</v>
      </c>
      <c r="H277" s="1" t="s">
        <v>1287</v>
      </c>
      <c r="I277" s="8">
        <v>44665.318618530095</v>
      </c>
      <c r="J277" s="9">
        <f>+35993885058</f>
        <v>35993885058</v>
      </c>
      <c r="K277" s="4">
        <v>16.0</v>
      </c>
      <c r="L277" s="7">
        <v>5.0</v>
      </c>
      <c r="M277" s="1" t="s">
        <v>1288</v>
      </c>
      <c r="N277" s="4">
        <v>401.0</v>
      </c>
      <c r="O277" s="4">
        <v>5.0</v>
      </c>
      <c r="P277" s="1" t="s">
        <v>39</v>
      </c>
      <c r="Q277" s="5" t="b">
        <v>0</v>
      </c>
      <c r="R277" s="5" t="b">
        <v>1</v>
      </c>
      <c r="S277" s="5" t="b">
        <v>0</v>
      </c>
      <c r="T277" s="4" t="s">
        <v>1036</v>
      </c>
      <c r="U277" s="5" t="b">
        <v>0</v>
      </c>
      <c r="V277" s="10">
        <v>44807.0</v>
      </c>
      <c r="W277" s="10">
        <v>44868.0</v>
      </c>
    </row>
    <row r="278">
      <c r="A278" s="4">
        <v>501771.0</v>
      </c>
      <c r="B278" s="5" t="b">
        <v>1</v>
      </c>
      <c r="C278" s="6" t="s">
        <v>1289</v>
      </c>
      <c r="D278" s="1" t="s">
        <v>1290</v>
      </c>
      <c r="E278" s="7">
        <v>3917746.0</v>
      </c>
      <c r="F278" s="7">
        <v>8969197.0</v>
      </c>
      <c r="G278" s="1" t="s">
        <v>1291</v>
      </c>
      <c r="H278" s="1" t="s">
        <v>1292</v>
      </c>
      <c r="I278" s="8">
        <v>44665.65894383102</v>
      </c>
      <c r="J278" s="9">
        <f>+393509339939</f>
        <v>393509339939</v>
      </c>
      <c r="K278" s="4">
        <v>107.0</v>
      </c>
      <c r="L278" s="7">
        <v>4971963.0</v>
      </c>
      <c r="M278" s="1">
        <v>7.373733737E9</v>
      </c>
      <c r="N278" s="4">
        <v>1286.0</v>
      </c>
      <c r="O278" s="4">
        <v>7.0</v>
      </c>
      <c r="P278" s="1" t="s">
        <v>33</v>
      </c>
      <c r="Q278" s="5" t="b">
        <v>0</v>
      </c>
      <c r="R278" s="5" t="b">
        <v>1</v>
      </c>
      <c r="S278" s="5" t="b">
        <v>0</v>
      </c>
      <c r="T278" s="4" t="s">
        <v>1293</v>
      </c>
      <c r="U278" s="5" t="b">
        <v>0</v>
      </c>
      <c r="V278" s="10">
        <v>44809.0</v>
      </c>
      <c r="W278" s="10">
        <v>44834.0</v>
      </c>
    </row>
    <row r="279">
      <c r="A279" s="4">
        <v>5017730.0</v>
      </c>
      <c r="B279" s="5" t="b">
        <v>1</v>
      </c>
      <c r="C279" s="6" t="s">
        <v>1294</v>
      </c>
      <c r="D279" s="1" t="s">
        <v>1295</v>
      </c>
      <c r="E279" s="7">
        <v>4892328.0</v>
      </c>
      <c r="F279" s="7">
        <v>2205977.0</v>
      </c>
      <c r="G279" s="1" t="s">
        <v>1296</v>
      </c>
      <c r="H279" s="1" t="s">
        <v>1297</v>
      </c>
      <c r="I279" s="8">
        <v>44666.34974208333</v>
      </c>
      <c r="J279" s="9">
        <f>+33955988399</f>
        <v>33955988399</v>
      </c>
      <c r="K279" s="4">
        <v>0.0</v>
      </c>
      <c r="L279" s="7">
        <v>0.0</v>
      </c>
      <c r="M279" s="1">
        <v>7337373.0</v>
      </c>
      <c r="N279" s="4">
        <v>396.0</v>
      </c>
      <c r="O279" s="4">
        <v>2.0</v>
      </c>
      <c r="P279" s="1" t="s">
        <v>39</v>
      </c>
      <c r="Q279" s="5" t="b">
        <v>1</v>
      </c>
      <c r="R279" s="5" t="b">
        <v>0</v>
      </c>
      <c r="S279" s="5" t="b">
        <v>0</v>
      </c>
      <c r="T279" s="4">
        <v>0.0</v>
      </c>
      <c r="U279" s="5" t="b">
        <v>1</v>
      </c>
      <c r="V279" s="10">
        <v>44821.0</v>
      </c>
      <c r="W279" s="11">
        <v>44853.0</v>
      </c>
    </row>
    <row r="280">
      <c r="A280" s="4">
        <v>5.014305E7</v>
      </c>
      <c r="B280" s="5" t="b">
        <v>1</v>
      </c>
      <c r="C280" s="6" t="s">
        <v>1298</v>
      </c>
      <c r="D280" s="1" t="s">
        <v>1299</v>
      </c>
      <c r="E280" s="7">
        <v>3943702.0</v>
      </c>
      <c r="F280" s="7">
        <v>-46465.0</v>
      </c>
      <c r="G280" s="1" t="s">
        <v>1300</v>
      </c>
      <c r="H280" s="1" t="s">
        <v>1301</v>
      </c>
      <c r="I280" s="8">
        <v>44670.263777569446</v>
      </c>
      <c r="J280" s="9">
        <f>+35935338983</f>
        <v>35935338983</v>
      </c>
      <c r="K280" s="4">
        <v>9.0</v>
      </c>
      <c r="L280" s="7">
        <v>5.0</v>
      </c>
      <c r="M280" s="1" t="s">
        <v>1302</v>
      </c>
      <c r="N280" s="4">
        <v>559.0</v>
      </c>
      <c r="O280" s="4">
        <v>4.0</v>
      </c>
      <c r="P280" s="1" t="s">
        <v>33</v>
      </c>
      <c r="Q280" s="5" t="b">
        <v>0</v>
      </c>
      <c r="R280" s="5" t="b">
        <v>1</v>
      </c>
      <c r="S280" s="5" t="b">
        <v>0</v>
      </c>
      <c r="T280" s="4" t="s">
        <v>576</v>
      </c>
      <c r="U280" s="5" t="b">
        <v>0</v>
      </c>
      <c r="V280" s="10">
        <v>44897.0</v>
      </c>
      <c r="W280" s="10">
        <v>44822.0</v>
      </c>
    </row>
    <row r="281">
      <c r="A281" s="4">
        <v>501464.0</v>
      </c>
      <c r="B281" s="5" t="b">
        <v>1</v>
      </c>
      <c r="C281" s="6" t="s">
        <v>1303</v>
      </c>
      <c r="D281" s="1" t="s">
        <v>1304</v>
      </c>
      <c r="E281" s="7">
        <v>4191116.0</v>
      </c>
      <c r="F281" s="7">
        <v>1253778.0</v>
      </c>
      <c r="G281" s="1" t="s">
        <v>25</v>
      </c>
      <c r="H281" s="1" t="s">
        <v>1305</v>
      </c>
      <c r="I281" s="8">
        <v>44670.35852420139</v>
      </c>
      <c r="J281" s="9">
        <f>+393535338339</f>
        <v>393535338339</v>
      </c>
      <c r="K281" s="4">
        <v>20.0</v>
      </c>
      <c r="L281" s="7" t="s">
        <v>124</v>
      </c>
      <c r="M281" s="1">
        <v>3.333333333E9</v>
      </c>
      <c r="N281" s="4">
        <v>254.0</v>
      </c>
      <c r="O281" s="4">
        <v>1.0</v>
      </c>
      <c r="P281" s="1" t="s">
        <v>39</v>
      </c>
      <c r="Q281" s="5" t="b">
        <v>0</v>
      </c>
      <c r="R281" s="5" t="b">
        <v>1</v>
      </c>
      <c r="S281" s="5" t="b">
        <v>1</v>
      </c>
      <c r="T281" s="4" t="s">
        <v>1306</v>
      </c>
      <c r="U281" s="5" t="b">
        <v>0</v>
      </c>
      <c r="V281" s="10">
        <v>44812.0</v>
      </c>
      <c r="W281" s="11">
        <v>44893.0</v>
      </c>
    </row>
    <row r="282">
      <c r="A282" s="4">
        <v>501550.0</v>
      </c>
      <c r="B282" s="5" t="b">
        <v>1</v>
      </c>
      <c r="C282" s="6" t="s">
        <v>1307</v>
      </c>
      <c r="D282" s="1" t="s">
        <v>1308</v>
      </c>
      <c r="E282" s="7">
        <v>3946573.0</v>
      </c>
      <c r="F282" s="7">
        <v>-35269.0</v>
      </c>
      <c r="G282" s="1" t="s">
        <v>1309</v>
      </c>
      <c r="H282" s="1" t="s">
        <v>1310</v>
      </c>
      <c r="I282" s="8">
        <v>44671.26112402778</v>
      </c>
      <c r="J282" s="9">
        <f>+35990880983</f>
        <v>35990880983</v>
      </c>
      <c r="K282" s="4">
        <v>42.0</v>
      </c>
      <c r="L282" s="7">
        <v>5.0</v>
      </c>
      <c r="M282" s="1" t="s">
        <v>1311</v>
      </c>
      <c r="N282" s="4">
        <v>484.0</v>
      </c>
      <c r="O282" s="4">
        <v>4.0</v>
      </c>
      <c r="P282" s="1" t="s">
        <v>33</v>
      </c>
      <c r="Q282" s="5" t="b">
        <v>0</v>
      </c>
      <c r="R282" s="5" t="b">
        <v>1</v>
      </c>
      <c r="S282" s="5" t="b">
        <v>0</v>
      </c>
      <c r="T282" s="4" t="s">
        <v>1312</v>
      </c>
      <c r="U282" s="5" t="b">
        <v>0</v>
      </c>
      <c r="V282" s="10">
        <v>44860.0</v>
      </c>
      <c r="W282" s="10">
        <v>44876.0</v>
      </c>
    </row>
    <row r="283">
      <c r="A283" s="4">
        <v>5015550.0</v>
      </c>
      <c r="B283" s="5" t="b">
        <v>1</v>
      </c>
      <c r="C283" s="6" t="s">
        <v>1313</v>
      </c>
      <c r="D283" s="1" t="s">
        <v>1314</v>
      </c>
      <c r="E283" s="7">
        <v>3876094.0</v>
      </c>
      <c r="F283" s="7">
        <v>-917803.0</v>
      </c>
      <c r="G283" s="1" t="s">
        <v>321</v>
      </c>
      <c r="H283" s="1" t="s">
        <v>1315</v>
      </c>
      <c r="I283" s="8">
        <v>44671.28775527778</v>
      </c>
      <c r="J283" s="9">
        <f>+353838538903</f>
        <v>353838538903</v>
      </c>
      <c r="K283" s="4">
        <v>1.0</v>
      </c>
      <c r="L283" s="7">
        <v>5.0</v>
      </c>
      <c r="M283" s="1">
        <v>3.36363373E8</v>
      </c>
      <c r="N283" s="4">
        <v>43.0</v>
      </c>
      <c r="O283" s="4">
        <v>6.0</v>
      </c>
      <c r="P283" s="1" t="s">
        <v>33</v>
      </c>
      <c r="Q283" s="5" t="b">
        <v>0</v>
      </c>
      <c r="R283" s="5" t="b">
        <v>0</v>
      </c>
      <c r="S283" s="5" t="b">
        <v>0</v>
      </c>
      <c r="T283" s="4" t="s">
        <v>323</v>
      </c>
      <c r="U283" s="5" t="b">
        <v>0</v>
      </c>
      <c r="V283" s="10">
        <v>44836.0</v>
      </c>
      <c r="W283" s="10">
        <v>44871.0</v>
      </c>
    </row>
    <row r="284">
      <c r="A284" s="4">
        <v>5015504.0</v>
      </c>
      <c r="B284" s="5" t="b">
        <v>1</v>
      </c>
      <c r="C284" s="6" t="s">
        <v>1316</v>
      </c>
      <c r="D284" s="1" t="s">
        <v>1317</v>
      </c>
      <c r="E284" s="7">
        <v>4889324.0</v>
      </c>
      <c r="F284" s="7">
        <v>2338221.0</v>
      </c>
      <c r="G284" s="1" t="s">
        <v>365</v>
      </c>
      <c r="H284" s="1" t="s">
        <v>1318</v>
      </c>
      <c r="I284" s="8">
        <v>44671.35061120371</v>
      </c>
      <c r="J284" s="9">
        <f>+33998098993</f>
        <v>33998098993</v>
      </c>
      <c r="K284" s="4">
        <v>0.0</v>
      </c>
      <c r="L284" s="7">
        <v>0.0</v>
      </c>
      <c r="M284" s="1" t="s">
        <v>1319</v>
      </c>
      <c r="N284" s="4">
        <v>1486.0</v>
      </c>
      <c r="O284" s="4">
        <v>2.0</v>
      </c>
      <c r="P284" s="1" t="s">
        <v>39</v>
      </c>
      <c r="Q284" s="5" t="b">
        <v>1</v>
      </c>
      <c r="R284" s="5" t="b">
        <v>0</v>
      </c>
      <c r="S284" s="5" t="b">
        <v>0</v>
      </c>
      <c r="T284" s="4">
        <v>0.0</v>
      </c>
      <c r="U284" s="5" t="b">
        <v>0</v>
      </c>
      <c r="V284" s="10">
        <v>44840.0</v>
      </c>
      <c r="W284" s="10">
        <v>44822.0</v>
      </c>
    </row>
    <row r="285">
      <c r="A285" s="4">
        <v>505054.0</v>
      </c>
      <c r="B285" s="5" t="b">
        <v>1</v>
      </c>
      <c r="C285" s="6" t="s">
        <v>1005</v>
      </c>
      <c r="D285" s="1" t="s">
        <v>1006</v>
      </c>
      <c r="E285" s="7">
        <v>4549636.0</v>
      </c>
      <c r="F285" s="7">
        <v>101635.0</v>
      </c>
      <c r="G285" s="1" t="s">
        <v>1320</v>
      </c>
      <c r="H285" s="1" t="s">
        <v>1321</v>
      </c>
      <c r="I285" s="8">
        <v>44672.56849440972</v>
      </c>
      <c r="J285" s="9">
        <f>+393599955305</f>
        <v>393599955305</v>
      </c>
      <c r="K285" s="4">
        <v>24.0</v>
      </c>
      <c r="L285" s="7">
        <v>4916667.0</v>
      </c>
      <c r="M285" s="1">
        <v>6.77333377E8</v>
      </c>
      <c r="N285" s="4">
        <v>510.0</v>
      </c>
      <c r="O285" s="4">
        <v>4.0</v>
      </c>
      <c r="P285" s="1" t="s">
        <v>33</v>
      </c>
      <c r="Q285" s="5" t="b">
        <v>0</v>
      </c>
      <c r="R285" s="5" t="b">
        <v>0</v>
      </c>
      <c r="S285" s="5" t="b">
        <v>0</v>
      </c>
      <c r="T285" s="4" t="s">
        <v>1322</v>
      </c>
      <c r="U285" s="5" t="b">
        <v>0</v>
      </c>
      <c r="V285" s="10">
        <v>44819.0</v>
      </c>
      <c r="W285" s="10">
        <v>44817.0</v>
      </c>
    </row>
    <row r="286">
      <c r="A286" s="4">
        <v>505504.0</v>
      </c>
      <c r="B286" s="5" t="b">
        <v>1</v>
      </c>
      <c r="C286" s="6" t="s">
        <v>1323</v>
      </c>
      <c r="D286" s="1" t="s">
        <v>1324</v>
      </c>
      <c r="E286" s="7">
        <v>3674494.0</v>
      </c>
      <c r="F286" s="7">
        <v>-352031.0</v>
      </c>
      <c r="G286" s="1" t="s">
        <v>1325</v>
      </c>
      <c r="H286" s="1" t="s">
        <v>1326</v>
      </c>
      <c r="I286" s="8">
        <v>44680.34566965278</v>
      </c>
      <c r="J286" s="9">
        <f>+35959399988</f>
        <v>35959399988</v>
      </c>
      <c r="K286" s="4">
        <v>24.0</v>
      </c>
      <c r="L286" s="7">
        <v>5.0</v>
      </c>
      <c r="M286" s="1" t="s">
        <v>1327</v>
      </c>
      <c r="N286" s="4">
        <v>1530.0</v>
      </c>
      <c r="O286" s="4">
        <v>6.0</v>
      </c>
      <c r="P286" s="1" t="s">
        <v>39</v>
      </c>
      <c r="Q286" s="5" t="b">
        <v>0</v>
      </c>
      <c r="R286" s="5" t="b">
        <v>1</v>
      </c>
      <c r="S286" s="5" t="b">
        <v>0</v>
      </c>
      <c r="T286" s="4" t="s">
        <v>1328</v>
      </c>
      <c r="U286" s="5" t="b">
        <v>0</v>
      </c>
      <c r="V286" s="10">
        <v>44821.0</v>
      </c>
      <c r="W286" s="10">
        <v>44806.0</v>
      </c>
    </row>
    <row r="287">
      <c r="A287" s="4">
        <v>505504.0</v>
      </c>
      <c r="B287" s="5" t="b">
        <v>1</v>
      </c>
      <c r="C287" s="6" t="s">
        <v>1329</v>
      </c>
      <c r="D287" s="1" t="s">
        <v>1330</v>
      </c>
      <c r="E287" s="7">
        <v>5348682.0</v>
      </c>
      <c r="F287" s="7">
        <v>1018028.0</v>
      </c>
      <c r="G287" s="1" t="s">
        <v>1331</v>
      </c>
      <c r="H287" s="1" t="s">
        <v>1332</v>
      </c>
      <c r="I287" s="8">
        <v>44680.37611376157</v>
      </c>
      <c r="J287" s="9">
        <f>+595030030350</f>
        <v>595030030350</v>
      </c>
      <c r="K287" s="4">
        <v>9.0</v>
      </c>
      <c r="L287" s="7">
        <v>5.0</v>
      </c>
      <c r="M287" s="9"/>
      <c r="N287" s="4">
        <v>1570.0</v>
      </c>
      <c r="O287" s="4">
        <v>5.0</v>
      </c>
      <c r="P287" s="1" t="s">
        <v>39</v>
      </c>
      <c r="Q287" s="5" t="b">
        <v>0</v>
      </c>
      <c r="R287" s="5" t="b">
        <v>0</v>
      </c>
      <c r="S287" s="5" t="b">
        <v>1</v>
      </c>
      <c r="T287" s="4" t="s">
        <v>788</v>
      </c>
      <c r="U287" s="5" t="b">
        <v>0</v>
      </c>
      <c r="V287" s="10">
        <v>44831.0</v>
      </c>
      <c r="W287" s="10">
        <v>44843.0</v>
      </c>
    </row>
    <row r="288">
      <c r="A288" s="4">
        <v>505514.0</v>
      </c>
      <c r="B288" s="5" t="b">
        <v>1</v>
      </c>
      <c r="C288" s="6" t="s">
        <v>1333</v>
      </c>
      <c r="D288" s="1" t="s">
        <v>1334</v>
      </c>
      <c r="E288" s="7">
        <v>4592265.0</v>
      </c>
      <c r="F288" s="7">
        <v>1022991.0</v>
      </c>
      <c r="G288" s="1" t="s">
        <v>1335</v>
      </c>
      <c r="H288" s="1" t="s">
        <v>1336</v>
      </c>
      <c r="I288" s="8">
        <v>44680.40399545139</v>
      </c>
      <c r="J288" s="9">
        <f>+393333998553</f>
        <v>393333998553</v>
      </c>
      <c r="K288" s="4">
        <v>0.0</v>
      </c>
      <c r="L288" s="7">
        <v>0.0</v>
      </c>
      <c r="M288" s="1">
        <v>7.76373733E8</v>
      </c>
      <c r="N288" s="4">
        <v>9.0</v>
      </c>
      <c r="O288" s="4">
        <v>5.0</v>
      </c>
      <c r="P288" s="1" t="s">
        <v>33</v>
      </c>
      <c r="Q288" s="5" t="b">
        <v>0</v>
      </c>
      <c r="R288" s="5" t="b">
        <v>0</v>
      </c>
      <c r="S288" s="5" t="b">
        <v>0</v>
      </c>
      <c r="T288" s="4">
        <v>0.0</v>
      </c>
      <c r="U288" s="5" t="b">
        <v>0</v>
      </c>
      <c r="V288" s="10">
        <v>44805.0</v>
      </c>
      <c r="W288" s="10">
        <v>44807.0</v>
      </c>
    </row>
    <row r="289">
      <c r="A289" s="4">
        <v>505574.0</v>
      </c>
      <c r="B289" s="5" t="b">
        <v>1</v>
      </c>
      <c r="C289" s="6" t="s">
        <v>1337</v>
      </c>
      <c r="D289" s="1" t="s">
        <v>1338</v>
      </c>
      <c r="E289" s="7">
        <v>3870901.0</v>
      </c>
      <c r="F289" s="7">
        <v>-46441.0</v>
      </c>
      <c r="G289" s="1" t="s">
        <v>1339</v>
      </c>
      <c r="H289" s="1" t="s">
        <v>1340</v>
      </c>
      <c r="I289" s="8">
        <v>44683.45651224537</v>
      </c>
      <c r="J289" s="9">
        <f>+35995335988</f>
        <v>35995335988</v>
      </c>
      <c r="K289" s="4">
        <v>67.0</v>
      </c>
      <c r="L289" s="7">
        <v>4985075.0</v>
      </c>
      <c r="M289" s="1" t="s">
        <v>1341</v>
      </c>
      <c r="N289" s="4">
        <v>7951.0</v>
      </c>
      <c r="O289" s="4">
        <v>5.0</v>
      </c>
      <c r="P289" s="1" t="s">
        <v>39</v>
      </c>
      <c r="Q289" s="5" t="b">
        <v>0</v>
      </c>
      <c r="R289" s="5" t="b">
        <v>1</v>
      </c>
      <c r="S289" s="5" t="b">
        <v>0</v>
      </c>
      <c r="T289" s="4" t="s">
        <v>1342</v>
      </c>
      <c r="U289" s="5" t="b">
        <v>0</v>
      </c>
      <c r="V289" s="10">
        <v>44835.0</v>
      </c>
      <c r="W289" s="11">
        <v>44855.0</v>
      </c>
    </row>
    <row r="290">
      <c r="A290" s="4">
        <v>505576.0</v>
      </c>
      <c r="B290" s="5" t="b">
        <v>1</v>
      </c>
      <c r="C290" s="6" t="s">
        <v>1343</v>
      </c>
      <c r="D290" s="1" t="s">
        <v>1344</v>
      </c>
      <c r="E290" s="7">
        <v>3869411.0</v>
      </c>
      <c r="F290" s="7">
        <v>-48655.0</v>
      </c>
      <c r="G290" s="1" t="s">
        <v>1339</v>
      </c>
      <c r="H290" s="1" t="s">
        <v>1345</v>
      </c>
      <c r="I290" s="8">
        <v>44683.47912769676</v>
      </c>
      <c r="J290" s="9">
        <f>+35999588598</f>
        <v>35999588598</v>
      </c>
      <c r="K290" s="4">
        <v>29.0</v>
      </c>
      <c r="L290" s="7">
        <v>4896552.0</v>
      </c>
      <c r="M290" s="1" t="s">
        <v>1341</v>
      </c>
      <c r="N290" s="4">
        <v>8270.0</v>
      </c>
      <c r="O290" s="4">
        <v>7.0</v>
      </c>
      <c r="P290" s="1" t="s">
        <v>33</v>
      </c>
      <c r="Q290" s="5" t="b">
        <v>0</v>
      </c>
      <c r="R290" s="5" t="b">
        <v>1</v>
      </c>
      <c r="S290" s="5" t="b">
        <v>1</v>
      </c>
      <c r="T290" s="4" t="s">
        <v>1346</v>
      </c>
      <c r="U290" s="5" t="b">
        <v>0</v>
      </c>
      <c r="V290" s="11">
        <v>44846.0</v>
      </c>
      <c r="W290" s="10">
        <v>44813.0</v>
      </c>
    </row>
    <row r="291">
      <c r="A291" s="4">
        <v>5055060.0</v>
      </c>
      <c r="B291" s="5" t="b">
        <v>1</v>
      </c>
      <c r="C291" s="6" t="s">
        <v>1347</v>
      </c>
      <c r="D291" s="1" t="s">
        <v>1348</v>
      </c>
      <c r="E291" s="7">
        <v>4587451.0</v>
      </c>
      <c r="F291" s="7">
        <v>1213216.0</v>
      </c>
      <c r="G291" s="1" t="s">
        <v>1349</v>
      </c>
      <c r="H291" s="1" t="s">
        <v>1350</v>
      </c>
      <c r="I291" s="8">
        <v>44686.34135974537</v>
      </c>
      <c r="J291" s="9">
        <f>+393535099809</f>
        <v>393535099809</v>
      </c>
      <c r="K291" s="4">
        <v>2.0</v>
      </c>
      <c r="L291" s="7">
        <v>5.0</v>
      </c>
      <c r="M291" s="1" t="s">
        <v>1351</v>
      </c>
      <c r="N291" s="4">
        <v>271.0</v>
      </c>
      <c r="O291" s="4">
        <v>1.0</v>
      </c>
      <c r="P291" s="1" t="s">
        <v>28</v>
      </c>
      <c r="Q291" s="5" t="b">
        <v>0</v>
      </c>
      <c r="R291" s="5" t="b">
        <v>1</v>
      </c>
      <c r="S291" s="5" t="b">
        <v>0</v>
      </c>
      <c r="T291" s="4" t="s">
        <v>993</v>
      </c>
      <c r="U291" s="5" t="b">
        <v>0</v>
      </c>
      <c r="V291" s="11">
        <v>44857.0</v>
      </c>
      <c r="W291" s="10">
        <v>44827.0</v>
      </c>
    </row>
    <row r="292">
      <c r="A292" s="4">
        <v>5055054.0</v>
      </c>
      <c r="B292" s="5" t="b">
        <v>1</v>
      </c>
      <c r="C292" s="6" t="s">
        <v>1352</v>
      </c>
      <c r="D292" s="1" t="s">
        <v>1353</v>
      </c>
      <c r="E292" s="7">
        <v>4448024.0</v>
      </c>
      <c r="F292" s="7">
        <v>7505368.0</v>
      </c>
      <c r="G292" s="1" t="s">
        <v>1354</v>
      </c>
      <c r="H292" s="1" t="s">
        <v>1355</v>
      </c>
      <c r="I292" s="8">
        <v>44686.55556085648</v>
      </c>
      <c r="J292" s="9">
        <f>+393553039983</f>
        <v>393553039983</v>
      </c>
      <c r="K292" s="4">
        <v>1.0</v>
      </c>
      <c r="L292" s="7">
        <v>5.0</v>
      </c>
      <c r="M292" s="1">
        <v>7.776373333E9</v>
      </c>
      <c r="N292" s="4">
        <v>154.0</v>
      </c>
      <c r="O292" s="4">
        <v>1.0</v>
      </c>
      <c r="P292" s="1" t="s">
        <v>28</v>
      </c>
      <c r="Q292" s="5" t="b">
        <v>0</v>
      </c>
      <c r="R292" s="5" t="b">
        <v>1</v>
      </c>
      <c r="S292" s="5" t="b">
        <v>0</v>
      </c>
      <c r="T292" s="4" t="s">
        <v>192</v>
      </c>
      <c r="U292" s="5" t="b">
        <v>1</v>
      </c>
      <c r="V292" s="11">
        <v>44894.0</v>
      </c>
      <c r="W292" s="10">
        <v>44838.0</v>
      </c>
    </row>
    <row r="293">
      <c r="A293" s="4">
        <v>5054500.0</v>
      </c>
      <c r="B293" s="5" t="b">
        <v>1</v>
      </c>
      <c r="C293" s="6" t="s">
        <v>1356</v>
      </c>
      <c r="D293" s="1" t="s">
        <v>1357</v>
      </c>
      <c r="E293" s="7">
        <v>4532357.0</v>
      </c>
      <c r="F293" s="7">
        <v>8851795.0</v>
      </c>
      <c r="G293" s="1" t="s">
        <v>1358</v>
      </c>
      <c r="H293" s="1" t="s">
        <v>1359</v>
      </c>
      <c r="I293" s="8">
        <v>44687.32525663194</v>
      </c>
      <c r="J293" s="9">
        <f>+39038335005</f>
        <v>39038335005</v>
      </c>
      <c r="K293" s="4">
        <v>0.0</v>
      </c>
      <c r="L293" s="7">
        <v>0.0</v>
      </c>
      <c r="M293" s="1">
        <v>7.33733333E8</v>
      </c>
      <c r="N293" s="4">
        <v>201.0</v>
      </c>
      <c r="O293" s="4">
        <v>4.0</v>
      </c>
      <c r="P293" s="1" t="s">
        <v>33</v>
      </c>
      <c r="Q293" s="5" t="b">
        <v>0</v>
      </c>
      <c r="R293" s="5" t="b">
        <v>1</v>
      </c>
      <c r="S293" s="5" t="b">
        <v>0</v>
      </c>
      <c r="T293" s="4">
        <v>0.0</v>
      </c>
      <c r="U293" s="5" t="b">
        <v>0</v>
      </c>
      <c r="V293" s="11">
        <v>44893.0</v>
      </c>
      <c r="W293" s="10">
        <v>44871.0</v>
      </c>
    </row>
    <row r="294">
      <c r="A294" s="4">
        <v>5054650.0</v>
      </c>
      <c r="B294" s="5" t="b">
        <v>1</v>
      </c>
      <c r="C294" s="6" t="s">
        <v>1360</v>
      </c>
      <c r="D294" s="1" t="s">
        <v>1361</v>
      </c>
      <c r="E294" s="7">
        <v>3795061.0</v>
      </c>
      <c r="F294" s="7">
        <v>2400709.0</v>
      </c>
      <c r="G294" s="1" t="s">
        <v>1362</v>
      </c>
      <c r="H294" s="1" t="s">
        <v>1363</v>
      </c>
      <c r="I294" s="8">
        <v>44689.88670440972</v>
      </c>
      <c r="J294" s="9">
        <f>+308895305390</f>
        <v>308895305390</v>
      </c>
      <c r="K294" s="4">
        <v>9.0</v>
      </c>
      <c r="L294" s="7">
        <v>4777778.0</v>
      </c>
      <c r="M294" s="1">
        <v>3737.0</v>
      </c>
      <c r="N294" s="4">
        <v>810.0</v>
      </c>
      <c r="O294" s="4">
        <v>4.0</v>
      </c>
      <c r="P294" s="1" t="s">
        <v>33</v>
      </c>
      <c r="Q294" s="5" t="b">
        <v>0</v>
      </c>
      <c r="R294" s="5" t="b">
        <v>1</v>
      </c>
      <c r="S294" s="5" t="b">
        <v>0</v>
      </c>
      <c r="T294" s="4" t="s">
        <v>1364</v>
      </c>
      <c r="U294" s="5" t="b">
        <v>0</v>
      </c>
      <c r="V294" s="10">
        <v>44806.0</v>
      </c>
      <c r="W294" s="11">
        <v>44888.0</v>
      </c>
    </row>
    <row r="295">
      <c r="A295" s="4">
        <v>5053010.0</v>
      </c>
      <c r="B295" s="5" t="b">
        <v>1</v>
      </c>
      <c r="C295" s="6" t="s">
        <v>1365</v>
      </c>
      <c r="D295" s="1" t="s">
        <v>1366</v>
      </c>
      <c r="E295" s="7">
        <v>5151726.0</v>
      </c>
      <c r="F295" s="7">
        <v>-8097.0</v>
      </c>
      <c r="G295" s="1" t="s">
        <v>1367</v>
      </c>
      <c r="H295" s="1" t="s">
        <v>1368</v>
      </c>
      <c r="I295" s="8">
        <v>44691.42441846065</v>
      </c>
      <c r="J295" s="9">
        <f>+553589085355</f>
        <v>553589085355</v>
      </c>
      <c r="K295" s="4">
        <v>13.0</v>
      </c>
      <c r="L295" s="7">
        <v>5.0</v>
      </c>
      <c r="M295" s="9"/>
      <c r="N295" s="4">
        <v>152.0</v>
      </c>
      <c r="O295" s="4">
        <v>3.0</v>
      </c>
      <c r="P295" s="1" t="s">
        <v>28</v>
      </c>
      <c r="Q295" s="5" t="b">
        <v>0</v>
      </c>
      <c r="R295" s="5" t="b">
        <v>1</v>
      </c>
      <c r="S295" s="5" t="b">
        <v>0</v>
      </c>
      <c r="T295" s="4" t="s">
        <v>292</v>
      </c>
      <c r="U295" s="5" t="b">
        <v>0</v>
      </c>
      <c r="V295" s="10">
        <v>44866.0</v>
      </c>
      <c r="W295" s="10">
        <v>44867.0</v>
      </c>
    </row>
    <row r="296">
      <c r="A296" s="4">
        <v>5056530.0</v>
      </c>
      <c r="B296" s="5" t="b">
        <v>1</v>
      </c>
      <c r="C296" s="6" t="s">
        <v>1369</v>
      </c>
      <c r="D296" s="1" t="s">
        <v>1370</v>
      </c>
      <c r="E296" s="7">
        <v>4183145.0</v>
      </c>
      <c r="F296" s="7">
        <v>1289913.0</v>
      </c>
      <c r="G296" s="1" t="s">
        <v>1240</v>
      </c>
      <c r="H296" s="1" t="s">
        <v>1371</v>
      </c>
      <c r="I296" s="8">
        <v>44693.40678824074</v>
      </c>
      <c r="J296" s="9">
        <f>+393330988838</f>
        <v>393330988838</v>
      </c>
      <c r="K296" s="4">
        <v>16.0</v>
      </c>
      <c r="L296" s="7">
        <v>4875.0</v>
      </c>
      <c r="M296" s="1">
        <v>6.376373333E9</v>
      </c>
      <c r="N296" s="4">
        <v>385.0</v>
      </c>
      <c r="O296" s="4">
        <v>7.0</v>
      </c>
      <c r="P296" s="1" t="s">
        <v>39</v>
      </c>
      <c r="Q296" s="5" t="b">
        <v>0</v>
      </c>
      <c r="R296" s="5" t="b">
        <v>0</v>
      </c>
      <c r="S296" s="5" t="b">
        <v>0</v>
      </c>
      <c r="T296" s="4" t="s">
        <v>174</v>
      </c>
      <c r="U296" s="5" t="b">
        <v>0</v>
      </c>
      <c r="V296" s="11">
        <v>44861.0</v>
      </c>
      <c r="W296" s="11">
        <v>44828.0</v>
      </c>
    </row>
    <row r="297">
      <c r="A297" s="4">
        <v>505641.0</v>
      </c>
      <c r="B297" s="5" t="b">
        <v>1</v>
      </c>
      <c r="C297" s="6" t="s">
        <v>1372</v>
      </c>
      <c r="D297" s="1" t="s">
        <v>1373</v>
      </c>
      <c r="E297" s="7">
        <v>4206259.0</v>
      </c>
      <c r="F297" s="7">
        <v>-160383.0</v>
      </c>
      <c r="G297" s="1" t="s">
        <v>1374</v>
      </c>
      <c r="H297" s="1" t="s">
        <v>1375</v>
      </c>
      <c r="I297" s="8">
        <v>44694.511440497685</v>
      </c>
      <c r="J297" s="9">
        <f>+35958339038</f>
        <v>35958339038</v>
      </c>
      <c r="K297" s="4">
        <v>2.0</v>
      </c>
      <c r="L297" s="7">
        <v>5.0</v>
      </c>
      <c r="M297" s="1" t="s">
        <v>1376</v>
      </c>
      <c r="N297" s="4">
        <v>282.0</v>
      </c>
      <c r="O297" s="4">
        <v>2.0</v>
      </c>
      <c r="P297" s="1" t="s">
        <v>28</v>
      </c>
      <c r="Q297" s="5" t="b">
        <v>0</v>
      </c>
      <c r="R297" s="5" t="b">
        <v>1</v>
      </c>
      <c r="S297" s="5" t="b">
        <v>0</v>
      </c>
      <c r="T297" s="4" t="s">
        <v>993</v>
      </c>
      <c r="U297" s="5" t="b">
        <v>0</v>
      </c>
      <c r="V297" s="10">
        <v>44815.0</v>
      </c>
      <c r="W297" s="11">
        <v>44864.0</v>
      </c>
    </row>
    <row r="298">
      <c r="A298" s="4">
        <v>505704.0</v>
      </c>
      <c r="B298" s="5" t="b">
        <v>1</v>
      </c>
      <c r="C298" s="6" t="s">
        <v>1377</v>
      </c>
      <c r="D298" s="1" t="s">
        <v>1378</v>
      </c>
      <c r="E298" s="7">
        <v>3946556.0</v>
      </c>
      <c r="F298" s="7">
        <v>-36978.0</v>
      </c>
      <c r="G298" s="1" t="s">
        <v>417</v>
      </c>
      <c r="H298" s="1" t="s">
        <v>1379</v>
      </c>
      <c r="I298" s="8">
        <v>44697.274710798614</v>
      </c>
      <c r="J298" s="9">
        <f>+35993338555</f>
        <v>35993338555</v>
      </c>
      <c r="K298" s="4">
        <v>18.0</v>
      </c>
      <c r="L298" s="7">
        <v>5.0</v>
      </c>
      <c r="M298" s="1" t="s">
        <v>1380</v>
      </c>
      <c r="N298" s="4">
        <v>1831.0</v>
      </c>
      <c r="O298" s="4">
        <v>6.0</v>
      </c>
      <c r="P298" s="1" t="s">
        <v>28</v>
      </c>
      <c r="Q298" s="5" t="b">
        <v>0</v>
      </c>
      <c r="R298" s="5" t="b">
        <v>1</v>
      </c>
      <c r="S298" s="5" t="b">
        <v>0</v>
      </c>
      <c r="T298" s="4" t="s">
        <v>1381</v>
      </c>
      <c r="U298" s="5" t="b">
        <v>0</v>
      </c>
      <c r="V298" s="11">
        <v>44850.0</v>
      </c>
      <c r="W298" s="10">
        <v>44896.0</v>
      </c>
    </row>
    <row r="299">
      <c r="A299" s="4">
        <v>505741.0</v>
      </c>
      <c r="B299" s="5" t="b">
        <v>1</v>
      </c>
      <c r="C299" s="6" t="s">
        <v>1382</v>
      </c>
      <c r="D299" s="1" t="s">
        <v>1383</v>
      </c>
      <c r="E299" s="7">
        <v>5149025.0</v>
      </c>
      <c r="F299" s="7">
        <v>7500521.0</v>
      </c>
      <c r="G299" s="1" t="s">
        <v>1384</v>
      </c>
      <c r="H299" s="1" t="s">
        <v>1385</v>
      </c>
      <c r="I299" s="8">
        <v>44697.46008162037</v>
      </c>
      <c r="J299" s="9">
        <f>+59833539359</f>
        <v>59833539359</v>
      </c>
      <c r="K299" s="4">
        <v>4.0</v>
      </c>
      <c r="L299" s="7">
        <v>5.0</v>
      </c>
      <c r="M299" s="1">
        <v>7.3333633663E10</v>
      </c>
      <c r="N299" s="4">
        <v>2450.0</v>
      </c>
      <c r="O299" s="4">
        <v>3.0</v>
      </c>
      <c r="P299" s="1" t="s">
        <v>28</v>
      </c>
      <c r="Q299" s="5" t="b">
        <v>0</v>
      </c>
      <c r="R299" s="5" t="b">
        <v>1</v>
      </c>
      <c r="S299" s="5" t="b">
        <v>0</v>
      </c>
      <c r="T299" s="4" t="s">
        <v>611</v>
      </c>
      <c r="U299" s="5" t="b">
        <v>0</v>
      </c>
      <c r="V299" s="10">
        <v>44874.0</v>
      </c>
      <c r="W299" s="10">
        <v>44829.0</v>
      </c>
    </row>
    <row r="300">
      <c r="A300" s="4">
        <v>505400.0</v>
      </c>
      <c r="B300" s="5" t="b">
        <v>1</v>
      </c>
      <c r="C300" s="6" t="s">
        <v>1386</v>
      </c>
      <c r="D300" s="1" t="s">
        <v>1387</v>
      </c>
      <c r="E300" s="7">
        <v>4038364.0</v>
      </c>
      <c r="F300" s="7">
        <v>-372711.0</v>
      </c>
      <c r="G300" s="1" t="s">
        <v>195</v>
      </c>
      <c r="H300" s="1" t="s">
        <v>1388</v>
      </c>
      <c r="I300" s="8">
        <v>44699.31007068287</v>
      </c>
      <c r="J300" s="9">
        <f>+35903338393</f>
        <v>35903338393</v>
      </c>
      <c r="K300" s="4">
        <v>4.0</v>
      </c>
      <c r="L300" s="7">
        <v>5.0</v>
      </c>
      <c r="M300" s="1" t="s">
        <v>1389</v>
      </c>
      <c r="N300" s="4">
        <v>1196.0</v>
      </c>
      <c r="O300" s="4">
        <v>1.0</v>
      </c>
      <c r="P300" s="1" t="s">
        <v>39</v>
      </c>
      <c r="Q300" s="5" t="b">
        <v>0</v>
      </c>
      <c r="R300" s="5" t="b">
        <v>1</v>
      </c>
      <c r="S300" s="5" t="b">
        <v>0</v>
      </c>
      <c r="T300" s="4" t="s">
        <v>611</v>
      </c>
      <c r="U300" s="5" t="b">
        <v>0</v>
      </c>
      <c r="V300" s="10">
        <v>44881.0</v>
      </c>
      <c r="W300" s="10">
        <v>44850.0</v>
      </c>
    </row>
    <row r="301">
      <c r="A301" s="4">
        <v>505414.0</v>
      </c>
      <c r="B301" s="5" t="b">
        <v>1</v>
      </c>
      <c r="C301" s="6" t="s">
        <v>1390</v>
      </c>
      <c r="D301" s="1" t="s">
        <v>1391</v>
      </c>
      <c r="E301" s="7">
        <v>419047.0</v>
      </c>
      <c r="F301" s="7">
        <v>1250443.0</v>
      </c>
      <c r="G301" s="1" t="s">
        <v>25</v>
      </c>
      <c r="H301" s="1" t="s">
        <v>1392</v>
      </c>
      <c r="I301" s="8">
        <v>44699.40089135417</v>
      </c>
      <c r="J301" s="9">
        <f>+390988803859</f>
        <v>390988803859</v>
      </c>
      <c r="K301" s="4">
        <v>0.0</v>
      </c>
      <c r="L301" s="7">
        <v>0.0</v>
      </c>
      <c r="M301" s="1">
        <v>7.363763333E9</v>
      </c>
      <c r="N301" s="4">
        <v>225.0</v>
      </c>
      <c r="O301" s="4">
        <v>5.0</v>
      </c>
      <c r="P301" s="1" t="s">
        <v>39</v>
      </c>
      <c r="Q301" s="5" t="b">
        <v>0</v>
      </c>
      <c r="R301" s="5" t="b">
        <v>0</v>
      </c>
      <c r="S301" s="5" t="b">
        <v>0</v>
      </c>
      <c r="T301" s="4">
        <v>0.0</v>
      </c>
      <c r="U301" s="5" t="b">
        <v>0</v>
      </c>
      <c r="V301" s="10">
        <v>44837.0</v>
      </c>
      <c r="W301" s="10">
        <v>44812.0</v>
      </c>
    </row>
    <row r="302">
      <c r="A302" s="4">
        <v>5.0500505E7</v>
      </c>
      <c r="B302" s="5" t="b">
        <v>1</v>
      </c>
      <c r="C302" s="6" t="s">
        <v>1393</v>
      </c>
      <c r="D302" s="1" t="s">
        <v>1394</v>
      </c>
      <c r="E302" s="7">
        <v>4074997.0</v>
      </c>
      <c r="F302" s="7">
        <v>1451808.0</v>
      </c>
      <c r="G302" s="1" t="s">
        <v>1395</v>
      </c>
      <c r="H302" s="1" t="s">
        <v>1396</v>
      </c>
      <c r="I302" s="8">
        <v>44705.55390486111</v>
      </c>
      <c r="J302" s="9">
        <f>+393393855505</f>
        <v>393393855505</v>
      </c>
      <c r="K302" s="4">
        <v>23.0</v>
      </c>
      <c r="L302" s="7">
        <v>4826087.0</v>
      </c>
      <c r="M302" s="1">
        <v>7.77773336E8</v>
      </c>
      <c r="N302" s="4">
        <v>384.0</v>
      </c>
      <c r="O302" s="4">
        <v>2.0</v>
      </c>
      <c r="P302" s="1" t="s">
        <v>33</v>
      </c>
      <c r="Q302" s="5" t="b">
        <v>1</v>
      </c>
      <c r="R302" s="5" t="b">
        <v>0</v>
      </c>
      <c r="S302" s="5" t="b">
        <v>0</v>
      </c>
      <c r="T302" s="4" t="s">
        <v>73</v>
      </c>
      <c r="U302" s="5" t="b">
        <v>0</v>
      </c>
      <c r="V302" s="10">
        <v>44839.0</v>
      </c>
      <c r="W302" s="10">
        <v>44881.0</v>
      </c>
    </row>
    <row r="303">
      <c r="A303" s="4">
        <v>5050077.0</v>
      </c>
      <c r="B303" s="5" t="b">
        <v>1</v>
      </c>
      <c r="C303" s="6" t="s">
        <v>1397</v>
      </c>
      <c r="D303" s="1" t="s">
        <v>1398</v>
      </c>
      <c r="E303" s="7">
        <v>3901075.0</v>
      </c>
      <c r="F303" s="7">
        <v>9002267.0</v>
      </c>
      <c r="G303" s="1" t="s">
        <v>1399</v>
      </c>
      <c r="H303" s="1" t="s">
        <v>1400</v>
      </c>
      <c r="I303" s="8">
        <v>44706.511669189815</v>
      </c>
      <c r="J303" s="9">
        <f>+393539333039</f>
        <v>393539333039</v>
      </c>
      <c r="K303" s="4">
        <v>0.0</v>
      </c>
      <c r="L303" s="7">
        <v>0.0</v>
      </c>
      <c r="M303" s="1">
        <v>7.363333737E9</v>
      </c>
      <c r="N303" s="4">
        <v>2488.0</v>
      </c>
      <c r="O303" s="4">
        <v>10.0</v>
      </c>
      <c r="P303" s="1" t="s">
        <v>39</v>
      </c>
      <c r="Q303" s="5" t="b">
        <v>0</v>
      </c>
      <c r="R303" s="5" t="b">
        <v>0</v>
      </c>
      <c r="S303" s="5" t="b">
        <v>0</v>
      </c>
      <c r="T303" s="4">
        <v>0.0</v>
      </c>
      <c r="U303" s="5" t="b">
        <v>0</v>
      </c>
      <c r="V303" s="10">
        <v>44842.0</v>
      </c>
      <c r="W303" s="10">
        <v>44822.0</v>
      </c>
    </row>
    <row r="304">
      <c r="A304" s="4">
        <v>5.050143E7</v>
      </c>
      <c r="B304" s="5" t="b">
        <v>1</v>
      </c>
      <c r="C304" s="6" t="s">
        <v>1401</v>
      </c>
      <c r="D304" s="1" t="s">
        <v>1402</v>
      </c>
      <c r="E304" s="7">
        <v>3642264.0</v>
      </c>
      <c r="F304" s="7">
        <v>-514827.0</v>
      </c>
      <c r="G304" s="1" t="s">
        <v>1403</v>
      </c>
      <c r="H304" s="1" t="s">
        <v>1404</v>
      </c>
      <c r="I304" s="8">
        <v>44708.293952789354</v>
      </c>
      <c r="J304" s="9">
        <f>+35953983083</f>
        <v>35953983083</v>
      </c>
      <c r="K304" s="4">
        <v>3.0</v>
      </c>
      <c r="L304" s="7">
        <v>5.0</v>
      </c>
      <c r="M304" s="1" t="s">
        <v>1405</v>
      </c>
      <c r="N304" s="4">
        <v>634.0</v>
      </c>
      <c r="O304" s="4">
        <v>3.0</v>
      </c>
      <c r="P304" s="1" t="s">
        <v>28</v>
      </c>
      <c r="Q304" s="5" t="b">
        <v>0</v>
      </c>
      <c r="R304" s="5" t="b">
        <v>1</v>
      </c>
      <c r="S304" s="5" t="b">
        <v>0</v>
      </c>
      <c r="T304" s="4" t="s">
        <v>354</v>
      </c>
      <c r="U304" s="5" t="b">
        <v>1</v>
      </c>
      <c r="V304" s="11">
        <v>44863.0</v>
      </c>
      <c r="W304" s="11">
        <v>44894.0</v>
      </c>
    </row>
    <row r="305">
      <c r="A305" s="4">
        <v>5050145.0</v>
      </c>
      <c r="B305" s="5" t="b">
        <v>1</v>
      </c>
      <c r="C305" s="6" t="s">
        <v>1406</v>
      </c>
      <c r="D305" s="1" t="s">
        <v>1407</v>
      </c>
      <c r="E305" s="7">
        <v>3914681.0</v>
      </c>
      <c r="F305" s="7">
        <v>-42889.0</v>
      </c>
      <c r="G305" s="1" t="s">
        <v>1408</v>
      </c>
      <c r="H305" s="1" t="s">
        <v>1409</v>
      </c>
      <c r="I305" s="8">
        <v>44711.266431296295</v>
      </c>
      <c r="J305" s="9">
        <f>+35933580093</f>
        <v>35933580093</v>
      </c>
      <c r="K305" s="4">
        <v>4.0</v>
      </c>
      <c r="L305" s="7">
        <v>5.0</v>
      </c>
      <c r="M305" s="1" t="s">
        <v>1410</v>
      </c>
      <c r="N305" s="4">
        <v>224.0</v>
      </c>
      <c r="O305" s="4">
        <v>3.0</v>
      </c>
      <c r="P305" s="1" t="s">
        <v>28</v>
      </c>
      <c r="Q305" s="5" t="b">
        <v>0</v>
      </c>
      <c r="R305" s="5" t="b">
        <v>1</v>
      </c>
      <c r="S305" s="5" t="b">
        <v>0</v>
      </c>
      <c r="T305" s="4" t="s">
        <v>611</v>
      </c>
      <c r="U305" s="5" t="b">
        <v>0</v>
      </c>
      <c r="V305" s="10">
        <v>44831.0</v>
      </c>
      <c r="W305" s="10">
        <v>44829.0</v>
      </c>
    </row>
    <row r="306">
      <c r="A306" s="4">
        <v>5.050143E7</v>
      </c>
      <c r="B306" s="5" t="b">
        <v>1</v>
      </c>
      <c r="C306" s="6" t="s">
        <v>1411</v>
      </c>
      <c r="D306" s="1" t="s">
        <v>1412</v>
      </c>
      <c r="E306" s="7">
        <v>3671933.0</v>
      </c>
      <c r="F306" s="7">
        <v>-441015.0</v>
      </c>
      <c r="G306" s="1" t="s">
        <v>1413</v>
      </c>
      <c r="H306" s="1" t="s">
        <v>1414</v>
      </c>
      <c r="I306" s="8">
        <v>44711.294488252315</v>
      </c>
      <c r="J306" s="9">
        <f>+35958833933</f>
        <v>35958833933</v>
      </c>
      <c r="K306" s="4">
        <v>1.0</v>
      </c>
      <c r="L306" s="7">
        <v>5.0</v>
      </c>
      <c r="M306" s="1" t="s">
        <v>1415</v>
      </c>
      <c r="N306" s="4">
        <v>272.0</v>
      </c>
      <c r="O306" s="4">
        <v>2.0</v>
      </c>
      <c r="P306" s="1" t="s">
        <v>28</v>
      </c>
      <c r="Q306" s="5" t="b">
        <v>0</v>
      </c>
      <c r="R306" s="5" t="b">
        <v>1</v>
      </c>
      <c r="S306" s="5" t="b">
        <v>0</v>
      </c>
      <c r="T306" s="4" t="s">
        <v>192</v>
      </c>
      <c r="U306" s="5" t="b">
        <v>0</v>
      </c>
      <c r="V306" s="10">
        <v>44902.0</v>
      </c>
      <c r="W306" s="11">
        <v>44880.0</v>
      </c>
    </row>
    <row r="307">
      <c r="A307" s="4">
        <v>5.0505014E7</v>
      </c>
      <c r="B307" s="5" t="b">
        <v>1</v>
      </c>
      <c r="C307" s="6" t="s">
        <v>1416</v>
      </c>
      <c r="D307" s="1" t="s">
        <v>1417</v>
      </c>
      <c r="E307" s="7">
        <v>4162733.0</v>
      </c>
      <c r="F307" s="7">
        <v>62935.0</v>
      </c>
      <c r="G307" s="1" t="s">
        <v>1418</v>
      </c>
      <c r="H307" s="1" t="s">
        <v>1419</v>
      </c>
      <c r="I307" s="8">
        <v>44713.45129150463</v>
      </c>
      <c r="J307" s="9">
        <f>+35998359338</f>
        <v>35998359338</v>
      </c>
      <c r="K307" s="4">
        <v>0.0</v>
      </c>
      <c r="L307" s="7">
        <v>0.0</v>
      </c>
      <c r="M307" s="1" t="s">
        <v>1420</v>
      </c>
      <c r="N307" s="4">
        <v>0.0</v>
      </c>
      <c r="O307" s="4">
        <v>4.0</v>
      </c>
      <c r="P307" s="1" t="s">
        <v>28</v>
      </c>
      <c r="Q307" s="5" t="b">
        <v>1</v>
      </c>
      <c r="R307" s="5" t="b">
        <v>0</v>
      </c>
      <c r="S307" s="5" t="b">
        <v>0</v>
      </c>
      <c r="T307" s="4">
        <v>0.0</v>
      </c>
      <c r="U307" s="5" t="b">
        <v>0</v>
      </c>
      <c r="V307" s="10">
        <v>44820.0</v>
      </c>
      <c r="W307" s="11">
        <v>44858.0</v>
      </c>
    </row>
    <row r="308">
      <c r="A308" s="4">
        <v>5.050506E7</v>
      </c>
      <c r="B308" s="5" t="b">
        <v>1</v>
      </c>
      <c r="C308" s="6" t="s">
        <v>1421</v>
      </c>
      <c r="D308" s="1" t="s">
        <v>1422</v>
      </c>
      <c r="E308" s="7">
        <v>538374.0</v>
      </c>
      <c r="F308" s="7">
        <v>-162075.0</v>
      </c>
      <c r="G308" s="1" t="s">
        <v>1423</v>
      </c>
      <c r="H308" s="1" t="s">
        <v>1424</v>
      </c>
      <c r="I308" s="8">
        <v>44714.473593449075</v>
      </c>
      <c r="J308" s="9">
        <f>+553953958983</f>
        <v>553953958983</v>
      </c>
      <c r="K308" s="4">
        <v>16.0</v>
      </c>
      <c r="L308" s="7">
        <v>5.0</v>
      </c>
      <c r="M308" s="9"/>
      <c r="N308" s="4">
        <v>139.0</v>
      </c>
      <c r="O308" s="4">
        <v>1.0</v>
      </c>
      <c r="P308" s="1" t="s">
        <v>28</v>
      </c>
      <c r="Q308" s="5" t="b">
        <v>0</v>
      </c>
      <c r="R308" s="5" t="b">
        <v>0</v>
      </c>
      <c r="S308" s="5" t="b">
        <v>0</v>
      </c>
      <c r="T308" s="4" t="s">
        <v>266</v>
      </c>
      <c r="U308" s="5" t="b">
        <v>0</v>
      </c>
      <c r="V308" s="11">
        <v>44864.0</v>
      </c>
      <c r="W308" s="11">
        <v>44890.0</v>
      </c>
    </row>
    <row r="309">
      <c r="A309" s="4">
        <v>5.0505063E8</v>
      </c>
      <c r="B309" s="5" t="b">
        <v>1</v>
      </c>
      <c r="C309" s="6" t="s">
        <v>1425</v>
      </c>
      <c r="D309" s="1" t="s">
        <v>1426</v>
      </c>
      <c r="E309" s="7">
        <v>412362.0</v>
      </c>
      <c r="F309" s="7">
        <v>18114.0</v>
      </c>
      <c r="G309" s="1" t="s">
        <v>1427</v>
      </c>
      <c r="H309" s="1" t="s">
        <v>1428</v>
      </c>
      <c r="I309" s="8">
        <v>44714.577840300924</v>
      </c>
      <c r="J309" s="9">
        <f>+35935303883</f>
        <v>35935303883</v>
      </c>
      <c r="K309" s="4">
        <v>2.0</v>
      </c>
      <c r="L309" s="7">
        <v>5.0</v>
      </c>
      <c r="M309" s="1" t="s">
        <v>1429</v>
      </c>
      <c r="N309" s="4">
        <v>283.0</v>
      </c>
      <c r="O309" s="4">
        <v>1.0</v>
      </c>
      <c r="P309" s="1" t="s">
        <v>28</v>
      </c>
      <c r="Q309" s="5" t="b">
        <v>0</v>
      </c>
      <c r="R309" s="5" t="b">
        <v>1</v>
      </c>
      <c r="S309" s="5" t="b">
        <v>0</v>
      </c>
      <c r="T309" s="4" t="s">
        <v>993</v>
      </c>
      <c r="U309" s="5" t="b">
        <v>0</v>
      </c>
      <c r="V309" s="10">
        <v>44840.0</v>
      </c>
      <c r="W309" s="11">
        <v>44848.0</v>
      </c>
    </row>
    <row r="310">
      <c r="A310" s="4">
        <v>5.0505074E7</v>
      </c>
      <c r="B310" s="5" t="b">
        <v>1</v>
      </c>
      <c r="C310" s="6" t="s">
        <v>1430</v>
      </c>
      <c r="D310" s="1" t="s">
        <v>1431</v>
      </c>
      <c r="E310" s="7">
        <v>3946777.0</v>
      </c>
      <c r="F310" s="7">
        <v>-36824.0</v>
      </c>
      <c r="G310" s="1" t="s">
        <v>417</v>
      </c>
      <c r="H310" s="1" t="s">
        <v>1432</v>
      </c>
      <c r="I310" s="8">
        <v>44714.66892362269</v>
      </c>
      <c r="J310" s="9">
        <f>+35983880955</f>
        <v>35983880955</v>
      </c>
      <c r="K310" s="4">
        <v>0.0</v>
      </c>
      <c r="L310" s="7">
        <v>0.0</v>
      </c>
      <c r="M310" s="1" t="s">
        <v>1433</v>
      </c>
      <c r="N310" s="4">
        <v>0.0</v>
      </c>
      <c r="O310" s="4">
        <v>4.0</v>
      </c>
      <c r="P310" s="1" t="s">
        <v>33</v>
      </c>
      <c r="Q310" s="5" t="b">
        <v>0</v>
      </c>
      <c r="R310" s="5" t="b">
        <v>1</v>
      </c>
      <c r="S310" s="5" t="b">
        <v>0</v>
      </c>
      <c r="T310" s="4">
        <v>0.0</v>
      </c>
      <c r="U310" s="5" t="b">
        <v>0</v>
      </c>
      <c r="V310" s="10">
        <v>44896.0</v>
      </c>
      <c r="W310" s="11">
        <v>44846.0</v>
      </c>
    </row>
    <row r="311">
      <c r="A311" s="4">
        <v>5.0505041E7</v>
      </c>
      <c r="B311" s="5" t="b">
        <v>1</v>
      </c>
      <c r="C311" s="6" t="s">
        <v>1434</v>
      </c>
      <c r="D311" s="1" t="s">
        <v>1435</v>
      </c>
      <c r="E311" s="7">
        <v>3797667.0</v>
      </c>
      <c r="F311" s="7">
        <v>1295981.0</v>
      </c>
      <c r="G311" s="1" t="s">
        <v>1436</v>
      </c>
      <c r="H311" s="1" t="s">
        <v>1437</v>
      </c>
      <c r="I311" s="8">
        <v>44715.426548842595</v>
      </c>
      <c r="J311" s="9">
        <f>+393393599933</f>
        <v>393393599933</v>
      </c>
      <c r="K311" s="4">
        <v>0.0</v>
      </c>
      <c r="L311" s="7">
        <v>0.0</v>
      </c>
      <c r="M311" s="1">
        <v>7.33333337E8</v>
      </c>
      <c r="N311" s="4">
        <v>345.0</v>
      </c>
      <c r="O311" s="4">
        <v>9.0</v>
      </c>
      <c r="P311" s="1" t="s">
        <v>28</v>
      </c>
      <c r="Q311" s="5" t="b">
        <v>0</v>
      </c>
      <c r="R311" s="5" t="b">
        <v>1</v>
      </c>
      <c r="S311" s="5" t="b">
        <v>0</v>
      </c>
      <c r="T311" s="4">
        <v>0.0</v>
      </c>
      <c r="U311" s="5" t="b">
        <v>0</v>
      </c>
      <c r="V311" s="10">
        <v>44833.0</v>
      </c>
      <c r="W311" s="11">
        <v>44882.0</v>
      </c>
    </row>
    <row r="312">
      <c r="A312" s="4">
        <v>5.0503054E7</v>
      </c>
      <c r="B312" s="5" t="b">
        <v>1</v>
      </c>
      <c r="C312" s="6" t="s">
        <v>1438</v>
      </c>
      <c r="D312" s="1" t="s">
        <v>1439</v>
      </c>
      <c r="E312" s="7">
        <v>5084707.0</v>
      </c>
      <c r="F312" s="7">
        <v>429809.0</v>
      </c>
      <c r="G312" s="1" t="s">
        <v>1440</v>
      </c>
      <c r="H312" s="1" t="s">
        <v>1441</v>
      </c>
      <c r="I312" s="8">
        <v>44722.53232475695</v>
      </c>
      <c r="J312" s="9">
        <f>+38533889338</f>
        <v>38533889338</v>
      </c>
      <c r="K312" s="4">
        <v>0.0</v>
      </c>
      <c r="L312" s="7">
        <v>0.0</v>
      </c>
      <c r="M312" s="1" t="s">
        <v>1442</v>
      </c>
      <c r="N312" s="4">
        <v>8.0</v>
      </c>
      <c r="O312" s="4">
        <v>1.0</v>
      </c>
      <c r="P312" s="1" t="s">
        <v>39</v>
      </c>
      <c r="Q312" s="5" t="b">
        <v>0</v>
      </c>
      <c r="R312" s="5" t="b">
        <v>1</v>
      </c>
      <c r="S312" s="5" t="b">
        <v>0</v>
      </c>
      <c r="T312" s="4">
        <v>0.0</v>
      </c>
      <c r="U312" s="5" t="b">
        <v>0</v>
      </c>
      <c r="V312" s="10">
        <v>44824.0</v>
      </c>
      <c r="W312" s="10">
        <v>44828.0</v>
      </c>
    </row>
    <row r="313">
      <c r="A313" s="4">
        <v>5.05030504E8</v>
      </c>
      <c r="B313" s="5" t="b">
        <v>1</v>
      </c>
      <c r="C313" s="6" t="s">
        <v>1443</v>
      </c>
      <c r="D313" s="1" t="s">
        <v>1444</v>
      </c>
      <c r="E313" s="7">
        <v>4140665.0</v>
      </c>
      <c r="F313" s="7">
        <v>219082.0</v>
      </c>
      <c r="G313" s="1" t="s">
        <v>182</v>
      </c>
      <c r="H313" s="1" t="s">
        <v>1445</v>
      </c>
      <c r="I313" s="8">
        <v>44722.632160416666</v>
      </c>
      <c r="J313" s="9">
        <f>+35985333350</f>
        <v>35985333350</v>
      </c>
      <c r="K313" s="4">
        <v>1.0</v>
      </c>
      <c r="L313" s="7">
        <v>4.0</v>
      </c>
      <c r="M313" s="1" t="s">
        <v>1446</v>
      </c>
      <c r="N313" s="4">
        <v>1111.0</v>
      </c>
      <c r="O313" s="4">
        <v>3.0</v>
      </c>
      <c r="P313" s="1" t="s">
        <v>28</v>
      </c>
      <c r="Q313" s="5" t="b">
        <v>0</v>
      </c>
      <c r="R313" s="5" t="b">
        <v>1</v>
      </c>
      <c r="S313" s="5" t="b">
        <v>0</v>
      </c>
      <c r="T313" s="4" t="s">
        <v>1447</v>
      </c>
      <c r="U313" s="5" t="b">
        <v>0</v>
      </c>
      <c r="V313" s="11">
        <v>44884.0</v>
      </c>
      <c r="W313" s="11">
        <v>44857.0</v>
      </c>
    </row>
    <row r="314">
      <c r="A314" s="4">
        <v>5.0506504E7</v>
      </c>
      <c r="B314" s="5" t="b">
        <v>1</v>
      </c>
      <c r="C314" s="6" t="s">
        <v>1448</v>
      </c>
      <c r="D314" s="1" t="s">
        <v>1449</v>
      </c>
      <c r="E314" s="7">
        <v>4431041.0</v>
      </c>
      <c r="F314" s="7">
        <v>8484848.0</v>
      </c>
      <c r="G314" s="1" t="s">
        <v>609</v>
      </c>
      <c r="H314" s="1" t="s">
        <v>1450</v>
      </c>
      <c r="I314" s="8">
        <v>44727.43407935185</v>
      </c>
      <c r="J314" s="9">
        <f>+393399939353</f>
        <v>393399939353</v>
      </c>
      <c r="K314" s="4">
        <v>4.0</v>
      </c>
      <c r="L314" s="7">
        <v>5.0</v>
      </c>
      <c r="M314" s="1">
        <v>733373.0</v>
      </c>
      <c r="N314" s="4">
        <v>525.0</v>
      </c>
      <c r="O314" s="4">
        <v>2.0</v>
      </c>
      <c r="P314" s="1" t="s">
        <v>33</v>
      </c>
      <c r="Q314" s="5" t="b">
        <v>0</v>
      </c>
      <c r="R314" s="5" t="b">
        <v>1</v>
      </c>
      <c r="S314" s="5" t="b">
        <v>0</v>
      </c>
      <c r="T314" s="4" t="s">
        <v>611</v>
      </c>
      <c r="U314" s="5" t="b">
        <v>0</v>
      </c>
      <c r="V314" s="11">
        <v>44844.0</v>
      </c>
      <c r="W314" s="11">
        <v>44895.0</v>
      </c>
    </row>
    <row r="315">
      <c r="A315" s="4">
        <v>5050664.0</v>
      </c>
      <c r="B315" s="5" t="b">
        <v>0</v>
      </c>
      <c r="C315" s="6" t="s">
        <v>1451</v>
      </c>
      <c r="D315" s="1" t="s">
        <v>1452</v>
      </c>
      <c r="E315" s="7">
        <v>5150596.0</v>
      </c>
      <c r="F315" s="7">
        <v>-14745.0</v>
      </c>
      <c r="G315" s="1" t="s">
        <v>1367</v>
      </c>
      <c r="H315" s="1" t="s">
        <v>1453</v>
      </c>
      <c r="I315" s="8">
        <v>44728.43784760417</v>
      </c>
      <c r="J315" s="9">
        <f>+553888358888</f>
        <v>553888358888</v>
      </c>
      <c r="K315" s="4">
        <v>1.0</v>
      </c>
      <c r="L315" s="7">
        <v>5.0</v>
      </c>
      <c r="M315" s="9"/>
      <c r="N315" s="4">
        <v>46.0</v>
      </c>
      <c r="O315" s="4">
        <v>2.0</v>
      </c>
      <c r="P315" s="1" t="s">
        <v>39</v>
      </c>
      <c r="Q315" s="5" t="b">
        <v>0</v>
      </c>
      <c r="R315" s="5" t="b">
        <v>1</v>
      </c>
      <c r="S315" s="5" t="b">
        <v>0</v>
      </c>
      <c r="T315" s="4" t="s">
        <v>192</v>
      </c>
      <c r="U315" s="5" t="b">
        <v>0</v>
      </c>
      <c r="V315" s="11">
        <v>44885.0</v>
      </c>
      <c r="W315" s="11">
        <v>44861.0</v>
      </c>
    </row>
    <row r="316">
      <c r="A316" s="4">
        <v>5050745.0</v>
      </c>
      <c r="B316" s="5" t="b">
        <v>1</v>
      </c>
      <c r="C316" s="6" t="s">
        <v>1454</v>
      </c>
      <c r="D316" s="1" t="s">
        <v>1455</v>
      </c>
      <c r="E316" s="7">
        <v>4884581.0</v>
      </c>
      <c r="F316" s="7">
        <v>2402776.0</v>
      </c>
      <c r="G316" s="1" t="s">
        <v>365</v>
      </c>
      <c r="H316" s="1" t="s">
        <v>1456</v>
      </c>
      <c r="I316" s="8">
        <v>44732.330227708335</v>
      </c>
      <c r="J316" s="9">
        <f>+33988383833</f>
        <v>33988383833</v>
      </c>
      <c r="K316" s="4">
        <v>12.0</v>
      </c>
      <c r="L316" s="7">
        <v>4083333.0</v>
      </c>
      <c r="M316" s="1" t="s">
        <v>1457</v>
      </c>
      <c r="N316" s="4">
        <v>124.0</v>
      </c>
      <c r="O316" s="4">
        <v>1.0</v>
      </c>
      <c r="P316" s="1" t="s">
        <v>33</v>
      </c>
      <c r="Q316" s="5" t="b">
        <v>0</v>
      </c>
      <c r="R316" s="5" t="b">
        <v>1</v>
      </c>
      <c r="S316" s="5" t="b">
        <v>0</v>
      </c>
      <c r="T316" s="4" t="s">
        <v>1458</v>
      </c>
      <c r="U316" s="5" t="b">
        <v>0</v>
      </c>
      <c r="V316" s="10">
        <v>44810.0</v>
      </c>
      <c r="W316" s="10">
        <v>44823.0</v>
      </c>
    </row>
    <row r="317">
      <c r="A317" s="4">
        <v>5050740.0</v>
      </c>
      <c r="B317" s="5" t="b">
        <v>1</v>
      </c>
      <c r="C317" s="6" t="s">
        <v>1459</v>
      </c>
      <c r="D317" s="1" t="s">
        <v>1460</v>
      </c>
      <c r="E317" s="7">
        <v>4062235.0</v>
      </c>
      <c r="F317" s="7">
        <v>224436.0</v>
      </c>
      <c r="G317" s="1" t="s">
        <v>1461</v>
      </c>
      <c r="H317" s="1" t="s">
        <v>1462</v>
      </c>
      <c r="I317" s="8">
        <v>44732.57544700232</v>
      </c>
      <c r="J317" s="9">
        <f>+308333305308</f>
        <v>308333305308</v>
      </c>
      <c r="K317" s="4">
        <v>0.0</v>
      </c>
      <c r="L317" s="7">
        <v>0.0</v>
      </c>
      <c r="M317" s="1">
        <v>7733763.0</v>
      </c>
      <c r="N317" s="4">
        <v>629.0</v>
      </c>
      <c r="O317" s="4">
        <v>2.0</v>
      </c>
      <c r="P317" s="1" t="s">
        <v>33</v>
      </c>
      <c r="Q317" s="5" t="b">
        <v>0</v>
      </c>
      <c r="R317" s="5" t="b">
        <v>1</v>
      </c>
      <c r="S317" s="5" t="b">
        <v>0</v>
      </c>
      <c r="T317" s="4">
        <v>0.0</v>
      </c>
      <c r="U317" s="5" t="b">
        <v>0</v>
      </c>
      <c r="V317" s="11">
        <v>44890.0</v>
      </c>
      <c r="W317" s="11">
        <v>44846.0</v>
      </c>
    </row>
    <row r="318">
      <c r="A318" s="4">
        <v>5.050455E7</v>
      </c>
      <c r="B318" s="5" t="b">
        <v>1</v>
      </c>
      <c r="C318" s="6" t="s">
        <v>1463</v>
      </c>
      <c r="D318" s="1" t="s">
        <v>1464</v>
      </c>
      <c r="E318" s="7">
        <v>5160079.0</v>
      </c>
      <c r="F318" s="7">
        <v>-19431.0</v>
      </c>
      <c r="G318" s="1" t="s">
        <v>1367</v>
      </c>
      <c r="H318" s="1" t="s">
        <v>1465</v>
      </c>
      <c r="I318" s="8">
        <v>44733.472089016206</v>
      </c>
      <c r="J318" s="9">
        <f>+553555539833</f>
        <v>553555539833</v>
      </c>
      <c r="K318" s="4">
        <v>11.0</v>
      </c>
      <c r="L318" s="7">
        <v>5.0</v>
      </c>
      <c r="M318" s="9"/>
      <c r="N318" s="4">
        <v>19.0</v>
      </c>
      <c r="O318" s="4">
        <v>1.0</v>
      </c>
      <c r="P318" s="1" t="s">
        <v>39</v>
      </c>
      <c r="Q318" s="5" t="b">
        <v>0</v>
      </c>
      <c r="R318" s="5" t="b">
        <v>1</v>
      </c>
      <c r="S318" s="5" t="b">
        <v>0</v>
      </c>
      <c r="T318" s="4" t="s">
        <v>1148</v>
      </c>
      <c r="U318" s="5" t="b">
        <v>0</v>
      </c>
      <c r="V318" s="10">
        <v>44818.0</v>
      </c>
      <c r="W318" s="11">
        <v>44889.0</v>
      </c>
    </row>
    <row r="319">
      <c r="A319" s="4">
        <v>5050446.0</v>
      </c>
      <c r="B319" s="5" t="b">
        <v>1</v>
      </c>
      <c r="C319" s="6" t="s">
        <v>1466</v>
      </c>
      <c r="D319" s="1" t="s">
        <v>1467</v>
      </c>
      <c r="E319" s="7">
        <v>4891115.0</v>
      </c>
      <c r="F319" s="7">
        <v>2537011.0</v>
      </c>
      <c r="G319" s="1" t="s">
        <v>1468</v>
      </c>
      <c r="H319" s="1" t="s">
        <v>1469</v>
      </c>
      <c r="I319" s="8">
        <v>44734.31637039352</v>
      </c>
      <c r="J319" s="9">
        <f>+33358833883</f>
        <v>33358833883</v>
      </c>
      <c r="K319" s="4">
        <v>9.0</v>
      </c>
      <c r="L319" s="7">
        <v>5.0</v>
      </c>
      <c r="M319" s="1" t="s">
        <v>1470</v>
      </c>
      <c r="N319" s="4">
        <v>114.0</v>
      </c>
      <c r="O319" s="4">
        <v>1.0</v>
      </c>
      <c r="P319" s="1" t="s">
        <v>39</v>
      </c>
      <c r="Q319" s="5" t="b">
        <v>0</v>
      </c>
      <c r="R319" s="5" t="b">
        <v>1</v>
      </c>
      <c r="S319" s="5" t="b">
        <v>0</v>
      </c>
      <c r="T319" s="4" t="s">
        <v>213</v>
      </c>
      <c r="U319" s="5" t="b">
        <v>0</v>
      </c>
      <c r="V319" s="10">
        <v>44826.0</v>
      </c>
      <c r="W319" s="10">
        <v>44810.0</v>
      </c>
    </row>
    <row r="320">
      <c r="A320" s="4">
        <v>5.0504305E7</v>
      </c>
      <c r="B320" s="5" t="b">
        <v>1</v>
      </c>
      <c r="C320" s="6" t="s">
        <v>1471</v>
      </c>
      <c r="D320" s="1" t="s">
        <v>1472</v>
      </c>
      <c r="E320" s="7">
        <v>4864328.0</v>
      </c>
      <c r="F320" s="7">
        <v>244045.0</v>
      </c>
      <c r="G320" s="1" t="s">
        <v>1473</v>
      </c>
      <c r="H320" s="1" t="s">
        <v>1474</v>
      </c>
      <c r="I320" s="8">
        <v>44734.40370282407</v>
      </c>
      <c r="J320" s="9">
        <f>+33359583398</f>
        <v>33359583398</v>
      </c>
      <c r="K320" s="4">
        <v>4.0</v>
      </c>
      <c r="L320" s="7" t="s">
        <v>1475</v>
      </c>
      <c r="M320" s="1" t="s">
        <v>1476</v>
      </c>
      <c r="N320" s="4">
        <v>56.0</v>
      </c>
      <c r="O320" s="4">
        <v>1.0</v>
      </c>
      <c r="P320" s="1" t="s">
        <v>28</v>
      </c>
      <c r="Q320" s="5" t="b">
        <v>0</v>
      </c>
      <c r="R320" s="5" t="b">
        <v>1</v>
      </c>
      <c r="S320" s="5" t="b">
        <v>0</v>
      </c>
      <c r="T320" s="4" t="s">
        <v>1477</v>
      </c>
      <c r="U320" s="5" t="b">
        <v>0</v>
      </c>
      <c r="V320" s="11">
        <v>44851.0</v>
      </c>
      <c r="W320" s="11">
        <v>44884.0</v>
      </c>
    </row>
    <row r="321">
      <c r="A321" s="4">
        <v>5050506.0</v>
      </c>
      <c r="B321" s="5" t="b">
        <v>1</v>
      </c>
      <c r="C321" s="6" t="s">
        <v>1478</v>
      </c>
      <c r="D321" s="1" t="s">
        <v>1479</v>
      </c>
      <c r="E321" s="7">
        <v>3935975.0</v>
      </c>
      <c r="F321" s="7">
        <v>9006526.0</v>
      </c>
      <c r="G321" s="1" t="s">
        <v>1480</v>
      </c>
      <c r="H321" s="1" t="s">
        <v>1481</v>
      </c>
      <c r="I321" s="8">
        <v>44735.31903409722</v>
      </c>
      <c r="J321" s="9">
        <f>+390309900853</f>
        <v>390309900853</v>
      </c>
      <c r="K321" s="4">
        <v>0.0</v>
      </c>
      <c r="L321" s="7">
        <v>0.0</v>
      </c>
      <c r="M321" s="1">
        <v>3.63333736E8</v>
      </c>
      <c r="N321" s="4">
        <v>786.0</v>
      </c>
      <c r="O321" s="4">
        <v>3.0</v>
      </c>
      <c r="P321" s="1" t="s">
        <v>39</v>
      </c>
      <c r="Q321" s="5" t="b">
        <v>0</v>
      </c>
      <c r="R321" s="5" t="b">
        <v>0</v>
      </c>
      <c r="S321" s="5" t="b">
        <v>0</v>
      </c>
      <c r="T321" s="4">
        <v>0.0</v>
      </c>
      <c r="U321" s="5" t="b">
        <v>0</v>
      </c>
      <c r="V321" s="11">
        <v>44858.0</v>
      </c>
      <c r="W321" s="10">
        <v>44868.0</v>
      </c>
    </row>
    <row r="322">
      <c r="A322" s="4">
        <v>5050511.0</v>
      </c>
      <c r="B322" s="5" t="b">
        <v>1</v>
      </c>
      <c r="C322" s="6" t="s">
        <v>1482</v>
      </c>
      <c r="D322" s="1" t="s">
        <v>1483</v>
      </c>
      <c r="E322" s="7">
        <v>4168905.0</v>
      </c>
      <c r="F322" s="7">
        <v>24908.0</v>
      </c>
      <c r="G322" s="1" t="s">
        <v>1484</v>
      </c>
      <c r="H322" s="1" t="s">
        <v>1485</v>
      </c>
      <c r="I322" s="8">
        <v>44735.36281302083</v>
      </c>
      <c r="J322" s="9">
        <f>+35938835858</f>
        <v>35938835858</v>
      </c>
      <c r="K322" s="4">
        <v>2.0</v>
      </c>
      <c r="L322" s="7">
        <v>3.0</v>
      </c>
      <c r="M322" s="1" t="s">
        <v>1486</v>
      </c>
      <c r="N322" s="4">
        <v>270.0</v>
      </c>
      <c r="O322" s="4">
        <v>2.0</v>
      </c>
      <c r="P322" s="1" t="s">
        <v>28</v>
      </c>
      <c r="Q322" s="5" t="b">
        <v>0</v>
      </c>
      <c r="R322" s="5" t="b">
        <v>1</v>
      </c>
      <c r="S322" s="5" t="b">
        <v>0</v>
      </c>
      <c r="T322" s="4" t="s">
        <v>1487</v>
      </c>
      <c r="U322" s="5" t="b">
        <v>0</v>
      </c>
      <c r="V322" s="11">
        <v>44858.0</v>
      </c>
      <c r="W322" s="10">
        <v>44828.0</v>
      </c>
    </row>
    <row r="323">
      <c r="A323" s="4">
        <v>5040504.0</v>
      </c>
      <c r="B323" s="5" t="b">
        <v>1</v>
      </c>
      <c r="C323" s="6" t="s">
        <v>1488</v>
      </c>
      <c r="D323" s="1" t="s">
        <v>1489</v>
      </c>
      <c r="E323" s="7">
        <v>463054.0</v>
      </c>
      <c r="F323" s="7">
        <v>1665326.0</v>
      </c>
      <c r="G323" s="1" t="s">
        <v>1490</v>
      </c>
      <c r="H323" s="1" t="s">
        <v>1491</v>
      </c>
      <c r="I323" s="8">
        <v>44739.59243837963</v>
      </c>
      <c r="J323" s="9">
        <f>+33933333339</f>
        <v>33933333339</v>
      </c>
      <c r="K323" s="4">
        <v>0.0</v>
      </c>
      <c r="L323" s="7">
        <v>0.0</v>
      </c>
      <c r="M323" s="1" t="s">
        <v>1492</v>
      </c>
      <c r="N323" s="4">
        <v>62.0</v>
      </c>
      <c r="O323" s="4">
        <v>2.0</v>
      </c>
      <c r="P323" s="1" t="s">
        <v>39</v>
      </c>
      <c r="Q323" s="5" t="b">
        <v>0</v>
      </c>
      <c r="R323" s="5" t="b">
        <v>1</v>
      </c>
      <c r="S323" s="5" t="b">
        <v>0</v>
      </c>
      <c r="T323" s="4">
        <v>0.0</v>
      </c>
      <c r="U323" s="5" t="b">
        <v>1</v>
      </c>
      <c r="V323" s="11">
        <v>44889.0</v>
      </c>
      <c r="W323" s="11">
        <v>44860.0</v>
      </c>
    </row>
    <row r="324">
      <c r="A324" s="4">
        <v>504054.0</v>
      </c>
      <c r="B324" s="5" t="b">
        <v>1</v>
      </c>
      <c r="C324" s="6" t="s">
        <v>1493</v>
      </c>
      <c r="D324" s="1" t="s">
        <v>1494</v>
      </c>
      <c r="E324" s="7">
        <v>5298405.0</v>
      </c>
      <c r="F324" s="7">
        <v>-112133.0</v>
      </c>
      <c r="G324" s="1" t="s">
        <v>1495</v>
      </c>
      <c r="H324" s="1" t="s">
        <v>1496</v>
      </c>
      <c r="I324" s="8">
        <v>44741.39284712963</v>
      </c>
      <c r="J324" s="9">
        <f>+553959390933</f>
        <v>553959390933</v>
      </c>
      <c r="K324" s="4">
        <v>15.0</v>
      </c>
      <c r="L324" s="7">
        <v>5.0</v>
      </c>
      <c r="M324" s="9"/>
      <c r="N324" s="4">
        <v>203.0</v>
      </c>
      <c r="O324" s="4">
        <v>2.0</v>
      </c>
      <c r="P324" s="1" t="s">
        <v>28</v>
      </c>
      <c r="Q324" s="5" t="b">
        <v>1</v>
      </c>
      <c r="R324" s="5" t="b">
        <v>0</v>
      </c>
      <c r="S324" s="5" t="b">
        <v>0</v>
      </c>
      <c r="T324" s="4" t="s">
        <v>302</v>
      </c>
      <c r="U324" s="5" t="b">
        <v>1</v>
      </c>
      <c r="V324" s="10">
        <v>44815.0</v>
      </c>
      <c r="W324" s="10">
        <v>44874.0</v>
      </c>
    </row>
    <row r="325">
      <c r="A325" s="4">
        <v>504554.0</v>
      </c>
      <c r="B325" s="5" t="b">
        <v>1</v>
      </c>
      <c r="C325" s="6" t="s">
        <v>1497</v>
      </c>
      <c r="D325" s="1" t="s">
        <v>1498</v>
      </c>
      <c r="E325" s="7">
        <v>514412.0</v>
      </c>
      <c r="F325" s="7">
        <v>-260218.0</v>
      </c>
      <c r="G325" s="1" t="s">
        <v>1499</v>
      </c>
      <c r="H325" s="1" t="s">
        <v>1500</v>
      </c>
      <c r="I325" s="8">
        <v>44746.311521261574</v>
      </c>
      <c r="J325" s="9">
        <f>+553333890900</f>
        <v>553333890900</v>
      </c>
      <c r="K325" s="4">
        <v>7.0</v>
      </c>
      <c r="L325" s="7">
        <v>4714286.0</v>
      </c>
      <c r="M325" s="9"/>
      <c r="N325" s="4">
        <v>102.0</v>
      </c>
      <c r="O325" s="4">
        <v>4.0</v>
      </c>
      <c r="P325" s="1" t="s">
        <v>33</v>
      </c>
      <c r="Q325" s="5" t="b">
        <v>0</v>
      </c>
      <c r="R325" s="5" t="b">
        <v>0</v>
      </c>
      <c r="S325" s="5" t="b">
        <v>0</v>
      </c>
      <c r="T325" s="4" t="s">
        <v>1501</v>
      </c>
      <c r="U325" s="5" t="b">
        <v>0</v>
      </c>
      <c r="V325" s="10">
        <v>44826.0</v>
      </c>
      <c r="W325" s="11">
        <v>44865.0</v>
      </c>
    </row>
    <row r="326">
      <c r="A326" s="4">
        <v>5045307.0</v>
      </c>
      <c r="B326" s="5" t="b">
        <v>1</v>
      </c>
      <c r="C326" s="6" t="s">
        <v>1502</v>
      </c>
      <c r="D326" s="1" t="s">
        <v>1503</v>
      </c>
      <c r="E326" s="7">
        <v>3733677.0</v>
      </c>
      <c r="F326" s="7">
        <v>-613741.0</v>
      </c>
      <c r="G326" s="1" t="s">
        <v>1504</v>
      </c>
      <c r="H326" s="1" t="s">
        <v>1505</v>
      </c>
      <c r="I326" s="8">
        <v>44746.45671547454</v>
      </c>
      <c r="J326" s="9">
        <f>+35955338933</f>
        <v>35955338933</v>
      </c>
      <c r="K326" s="4">
        <v>22.0</v>
      </c>
      <c r="L326" s="7">
        <v>4909091.0</v>
      </c>
      <c r="M326" s="1" t="s">
        <v>1506</v>
      </c>
      <c r="N326" s="4">
        <v>1071.0</v>
      </c>
      <c r="O326" s="4">
        <v>3.0</v>
      </c>
      <c r="P326" s="1" t="s">
        <v>33</v>
      </c>
      <c r="Q326" s="5" t="b">
        <v>0</v>
      </c>
      <c r="R326" s="5" t="b">
        <v>1</v>
      </c>
      <c r="S326" s="5" t="b">
        <v>0</v>
      </c>
      <c r="T326" s="4" t="s">
        <v>1507</v>
      </c>
      <c r="U326" s="5" t="b">
        <v>0</v>
      </c>
      <c r="V326" s="10">
        <v>44853.0</v>
      </c>
      <c r="W326" s="10">
        <v>44816.0</v>
      </c>
    </row>
    <row r="327">
      <c r="A327" s="4">
        <v>5045046.0</v>
      </c>
      <c r="B327" s="5" t="b">
        <v>1</v>
      </c>
      <c r="C327" s="6" t="s">
        <v>1508</v>
      </c>
      <c r="D327" s="1" t="s">
        <v>1509</v>
      </c>
      <c r="E327" s="7">
        <v>3671331.0</v>
      </c>
      <c r="F327" s="7">
        <v>-44386.0</v>
      </c>
      <c r="G327" s="1" t="s">
        <v>1413</v>
      </c>
      <c r="H327" s="1" t="s">
        <v>1510</v>
      </c>
      <c r="I327" s="8">
        <v>44748.57097881944</v>
      </c>
      <c r="J327" s="9">
        <f>+35938058095</f>
        <v>35938058095</v>
      </c>
      <c r="K327" s="4">
        <v>5.0</v>
      </c>
      <c r="L327" s="7">
        <v>5.0</v>
      </c>
      <c r="M327" s="1" t="s">
        <v>1511</v>
      </c>
      <c r="N327" s="4">
        <v>133.0</v>
      </c>
      <c r="O327" s="4">
        <v>1.0</v>
      </c>
      <c r="P327" s="1" t="s">
        <v>28</v>
      </c>
      <c r="Q327" s="5" t="b">
        <v>0</v>
      </c>
      <c r="R327" s="5" t="b">
        <v>1</v>
      </c>
      <c r="S327" s="5" t="b">
        <v>0</v>
      </c>
      <c r="T327" s="4" t="s">
        <v>1010</v>
      </c>
      <c r="U327" s="5" t="b">
        <v>0</v>
      </c>
      <c r="V327" s="10">
        <v>44822.0</v>
      </c>
      <c r="W327" s="10">
        <v>44839.0</v>
      </c>
    </row>
    <row r="328">
      <c r="A328" s="4">
        <v>5045070.0</v>
      </c>
      <c r="B328" s="5" t="b">
        <v>1</v>
      </c>
      <c r="C328" s="6" t="s">
        <v>1512</v>
      </c>
      <c r="D328" s="1" t="s">
        <v>1513</v>
      </c>
      <c r="E328" s="7">
        <v>4891023.0</v>
      </c>
      <c r="F328" s="7">
        <v>2256057.0</v>
      </c>
      <c r="G328" s="1" t="s">
        <v>1514</v>
      </c>
      <c r="H328" s="1" t="s">
        <v>1515</v>
      </c>
      <c r="I328" s="8">
        <v>44749.49734446759</v>
      </c>
      <c r="J328" s="9">
        <f>+33359835835</f>
        <v>33359835835</v>
      </c>
      <c r="K328" s="4">
        <v>4.0</v>
      </c>
      <c r="L328" s="7">
        <v>5.0</v>
      </c>
      <c r="M328" s="1">
        <v>7.33333773E8</v>
      </c>
      <c r="N328" s="4">
        <v>45.0</v>
      </c>
      <c r="O328" s="4">
        <v>1.0</v>
      </c>
      <c r="P328" s="1" t="s">
        <v>28</v>
      </c>
      <c r="Q328" s="5" t="b">
        <v>0</v>
      </c>
      <c r="R328" s="5" t="b">
        <v>0</v>
      </c>
      <c r="S328" s="5" t="b">
        <v>0</v>
      </c>
      <c r="T328" s="4" t="s">
        <v>764</v>
      </c>
      <c r="U328" s="5" t="b">
        <v>1</v>
      </c>
      <c r="V328" s="11">
        <v>44890.0</v>
      </c>
      <c r="W328" s="10">
        <v>44816.0</v>
      </c>
    </row>
    <row r="329">
      <c r="A329" s="4">
        <v>5044030.0</v>
      </c>
      <c r="B329" s="5" t="b">
        <v>1</v>
      </c>
      <c r="C329" s="6" t="s">
        <v>1516</v>
      </c>
      <c r="D329" s="1" t="s">
        <v>1517</v>
      </c>
      <c r="E329" s="7">
        <v>5235247.0</v>
      </c>
      <c r="F329" s="7">
        <v>4885339.0</v>
      </c>
      <c r="G329" s="1" t="s">
        <v>1518</v>
      </c>
      <c r="H329" s="1" t="s">
        <v>1519</v>
      </c>
      <c r="I329" s="8">
        <v>44753.31411969908</v>
      </c>
      <c r="J329" s="9">
        <f>+33985095305</f>
        <v>33985095305</v>
      </c>
      <c r="K329" s="4">
        <v>15.0</v>
      </c>
      <c r="L329" s="7">
        <v>4933333.0</v>
      </c>
      <c r="M329" s="1" t="s">
        <v>1520</v>
      </c>
      <c r="N329" s="4">
        <v>126.0</v>
      </c>
      <c r="O329" s="4">
        <v>1.0</v>
      </c>
      <c r="P329" s="1" t="s">
        <v>33</v>
      </c>
      <c r="Q329" s="5" t="b">
        <v>0</v>
      </c>
      <c r="R329" s="5" t="b">
        <v>1</v>
      </c>
      <c r="S329" s="5" t="b">
        <v>0</v>
      </c>
      <c r="T329" s="4" t="s">
        <v>1521</v>
      </c>
      <c r="U329" s="5" t="b">
        <v>0</v>
      </c>
      <c r="V329" s="10">
        <v>44828.0</v>
      </c>
      <c r="W329" s="11">
        <v>44859.0</v>
      </c>
    </row>
    <row r="330">
      <c r="A330" s="4">
        <v>504475.0</v>
      </c>
      <c r="B330" s="5" t="b">
        <v>1</v>
      </c>
      <c r="C330" s="6" t="s">
        <v>131</v>
      </c>
      <c r="D330" s="1" t="s">
        <v>132</v>
      </c>
      <c r="E330" s="7">
        <v>4421517.0</v>
      </c>
      <c r="F330" s="7">
        <v>1203742.0</v>
      </c>
      <c r="G330" s="1" t="s">
        <v>1522</v>
      </c>
      <c r="H330" s="1" t="s">
        <v>1523</v>
      </c>
      <c r="I330" s="8">
        <v>44755.289720243054</v>
      </c>
      <c r="J330" s="9">
        <f>+390553558983</f>
        <v>390553558983</v>
      </c>
      <c r="K330" s="4">
        <v>0.0</v>
      </c>
      <c r="L330" s="7">
        <v>0.0</v>
      </c>
      <c r="M330" s="1">
        <v>7.377373333E9</v>
      </c>
      <c r="N330" s="4">
        <v>0.0</v>
      </c>
      <c r="O330" s="4">
        <v>0.0</v>
      </c>
      <c r="P330" s="1" t="s">
        <v>39</v>
      </c>
      <c r="Q330" s="5" t="b">
        <v>1</v>
      </c>
      <c r="R330" s="5" t="b">
        <v>0</v>
      </c>
      <c r="S330" s="5" t="b">
        <v>0</v>
      </c>
      <c r="T330" s="4">
        <v>0.0</v>
      </c>
      <c r="U330" s="5" t="b">
        <v>0</v>
      </c>
      <c r="V330" s="11">
        <v>44895.0</v>
      </c>
      <c r="W330" s="11">
        <v>44887.0</v>
      </c>
    </row>
    <row r="331">
      <c r="A331" s="4">
        <v>5044450.0</v>
      </c>
      <c r="B331" s="5" t="b">
        <v>1</v>
      </c>
      <c r="C331" s="6" t="s">
        <v>253</v>
      </c>
      <c r="D331" s="1" t="s">
        <v>254</v>
      </c>
      <c r="E331" s="7">
        <v>5247468.0</v>
      </c>
      <c r="F331" s="7">
        <v>1345374.0</v>
      </c>
      <c r="G331" s="1" t="s">
        <v>1524</v>
      </c>
      <c r="H331" s="1" t="s">
        <v>1525</v>
      </c>
      <c r="I331" s="8">
        <v>44755.31254008102</v>
      </c>
      <c r="J331" s="9">
        <f>+5933993883595</f>
        <v>5933993883595</v>
      </c>
      <c r="K331" s="4">
        <v>0.0</v>
      </c>
      <c r="L331" s="7">
        <v>0.0</v>
      </c>
      <c r="M331" s="9"/>
      <c r="N331" s="4">
        <v>15.0</v>
      </c>
      <c r="O331" s="4">
        <v>3.0</v>
      </c>
      <c r="P331" s="1" t="s">
        <v>28</v>
      </c>
      <c r="Q331" s="5" t="b">
        <v>0</v>
      </c>
      <c r="R331" s="5" t="b">
        <v>0</v>
      </c>
      <c r="S331" s="5" t="b">
        <v>0</v>
      </c>
      <c r="T331" s="4">
        <v>0.0</v>
      </c>
      <c r="U331" s="5" t="b">
        <v>0</v>
      </c>
      <c r="V331" s="10">
        <v>44898.0</v>
      </c>
      <c r="W331" s="10">
        <v>44821.0</v>
      </c>
    </row>
    <row r="332">
      <c r="A332" s="4">
        <v>5043050.0</v>
      </c>
      <c r="B332" s="5" t="b">
        <v>1</v>
      </c>
      <c r="C332" s="6" t="s">
        <v>1526</v>
      </c>
      <c r="D332" s="1" t="s">
        <v>1527</v>
      </c>
      <c r="E332" s="7">
        <v>3794801.0</v>
      </c>
      <c r="F332" s="7">
        <v>2365378.0</v>
      </c>
      <c r="G332" s="1" t="s">
        <v>554</v>
      </c>
      <c r="H332" s="1" t="s">
        <v>1528</v>
      </c>
      <c r="I332" s="8">
        <v>44756.35301528935</v>
      </c>
      <c r="J332" s="9">
        <f>+308333395805</f>
        <v>308333395805</v>
      </c>
      <c r="K332" s="4">
        <v>0.0</v>
      </c>
      <c r="L332" s="7">
        <v>0.0</v>
      </c>
      <c r="M332" s="1">
        <v>3.3377337E7</v>
      </c>
      <c r="N332" s="4">
        <v>336.0</v>
      </c>
      <c r="O332" s="4">
        <v>2.0</v>
      </c>
      <c r="P332" s="1" t="s">
        <v>28</v>
      </c>
      <c r="Q332" s="5" t="b">
        <v>0</v>
      </c>
      <c r="R332" s="5" t="b">
        <v>1</v>
      </c>
      <c r="S332" s="5" t="b">
        <v>0</v>
      </c>
      <c r="T332" s="4">
        <v>0.0</v>
      </c>
      <c r="U332" s="5" t="b">
        <v>0</v>
      </c>
      <c r="V332" s="10">
        <v>44902.0</v>
      </c>
      <c r="W332" s="10">
        <v>44901.0</v>
      </c>
    </row>
    <row r="333">
      <c r="A333" s="4">
        <v>5046501.0</v>
      </c>
      <c r="B333" s="5" t="b">
        <v>1</v>
      </c>
      <c r="C333" s="6" t="s">
        <v>1529</v>
      </c>
      <c r="D333" s="1" t="s">
        <v>1530</v>
      </c>
      <c r="E333" s="7">
        <v>4411208.0</v>
      </c>
      <c r="F333" s="7">
        <v>9963475.0</v>
      </c>
      <c r="G333" s="1" t="s">
        <v>1531</v>
      </c>
      <c r="H333" s="1" t="s">
        <v>1532</v>
      </c>
      <c r="I333" s="8">
        <v>44760.580115439814</v>
      </c>
      <c r="J333" s="9">
        <f>+390383903383</f>
        <v>390383903383</v>
      </c>
      <c r="K333" s="4">
        <v>0.0</v>
      </c>
      <c r="L333" s="7">
        <v>0.0</v>
      </c>
      <c r="M333" s="1">
        <v>3.37733333E8</v>
      </c>
      <c r="N333" s="4">
        <v>1345.0</v>
      </c>
      <c r="O333" s="4">
        <v>2.0</v>
      </c>
      <c r="P333" s="1" t="s">
        <v>28</v>
      </c>
      <c r="Q333" s="5" t="b">
        <v>1</v>
      </c>
      <c r="R333" s="5" t="b">
        <v>0</v>
      </c>
      <c r="S333" s="5" t="b">
        <v>0</v>
      </c>
      <c r="T333" s="4">
        <v>0.0</v>
      </c>
      <c r="U333" s="5" t="b">
        <v>0</v>
      </c>
      <c r="V333" s="11">
        <v>44876.0</v>
      </c>
      <c r="W333" s="10">
        <v>44898.0</v>
      </c>
    </row>
    <row r="334">
      <c r="A334" s="4">
        <v>5.046303E7</v>
      </c>
      <c r="B334" s="5" t="b">
        <v>1</v>
      </c>
      <c r="C334" s="6" t="s">
        <v>1533</v>
      </c>
      <c r="D334" s="1" t="s">
        <v>1534</v>
      </c>
      <c r="E334" s="7">
        <v>4126929.0</v>
      </c>
      <c r="F334" s="7">
        <v>1641956.0</v>
      </c>
      <c r="G334" s="1" t="s">
        <v>1535</v>
      </c>
      <c r="H334" s="1" t="s">
        <v>1536</v>
      </c>
      <c r="I334" s="8">
        <v>44761.39039951389</v>
      </c>
      <c r="J334" s="9">
        <f>+390883580888</f>
        <v>390883580888</v>
      </c>
      <c r="K334" s="4">
        <v>8.0</v>
      </c>
      <c r="L334" s="7">
        <v>5.0</v>
      </c>
      <c r="M334" s="1">
        <v>6.373733733E9</v>
      </c>
      <c r="N334" s="4">
        <v>1112.0</v>
      </c>
      <c r="O334" s="4">
        <v>12.0</v>
      </c>
      <c r="P334" s="1" t="s">
        <v>33</v>
      </c>
      <c r="Q334" s="5" t="b">
        <v>0</v>
      </c>
      <c r="R334" s="5" t="b">
        <v>0</v>
      </c>
      <c r="S334" s="5" t="b">
        <v>0</v>
      </c>
      <c r="T334" s="4" t="s">
        <v>1537</v>
      </c>
      <c r="U334" s="5" t="b">
        <v>0</v>
      </c>
      <c r="V334" s="11">
        <v>44818.0</v>
      </c>
      <c r="W334" s="10">
        <v>44851.0</v>
      </c>
    </row>
    <row r="335">
      <c r="A335" s="4">
        <v>5047430.0</v>
      </c>
      <c r="B335" s="5" t="b">
        <v>1</v>
      </c>
      <c r="C335" s="6" t="s">
        <v>1538</v>
      </c>
      <c r="D335" s="1" t="s">
        <v>1539</v>
      </c>
      <c r="E335" s="7">
        <v>4098691.0</v>
      </c>
      <c r="F335" s="7">
        <v>1417078.0</v>
      </c>
      <c r="G335" s="1" t="s">
        <v>1540</v>
      </c>
      <c r="H335" s="1" t="s">
        <v>1541</v>
      </c>
      <c r="I335" s="8">
        <v>44763.446742210646</v>
      </c>
      <c r="J335" s="9">
        <f>+393983985938</f>
        <v>393983985938</v>
      </c>
      <c r="K335" s="4">
        <v>0.0</v>
      </c>
      <c r="L335" s="7">
        <v>0.0</v>
      </c>
      <c r="M335" s="1">
        <v>7.337733633E9</v>
      </c>
      <c r="N335" s="4">
        <v>115.0</v>
      </c>
      <c r="O335" s="4">
        <v>3.0</v>
      </c>
      <c r="P335" s="1" t="s">
        <v>33</v>
      </c>
      <c r="Q335" s="5" t="b">
        <v>1</v>
      </c>
      <c r="R335" s="5" t="b">
        <v>0</v>
      </c>
      <c r="S335" s="5" t="b">
        <v>0</v>
      </c>
      <c r="T335" s="4">
        <v>0.0</v>
      </c>
      <c r="U335" s="5" t="b">
        <v>0</v>
      </c>
      <c r="V335" s="11">
        <v>44850.0</v>
      </c>
      <c r="W335" s="11">
        <v>44863.0</v>
      </c>
    </row>
    <row r="336">
      <c r="A336" s="4">
        <v>5047301.0</v>
      </c>
      <c r="B336" s="5" t="b">
        <v>1</v>
      </c>
      <c r="C336" s="6" t="s">
        <v>1542</v>
      </c>
      <c r="D336" s="1" t="s">
        <v>1543</v>
      </c>
      <c r="E336" s="7">
        <v>4546955.0</v>
      </c>
      <c r="F336" s="7">
        <v>9235215.0</v>
      </c>
      <c r="G336" s="1" t="s">
        <v>37</v>
      </c>
      <c r="H336" s="1" t="s">
        <v>1544</v>
      </c>
      <c r="I336" s="8">
        <v>44763.47696353009</v>
      </c>
      <c r="J336" s="9">
        <f>+390855593935</f>
        <v>390855593935</v>
      </c>
      <c r="K336" s="4">
        <v>0.0</v>
      </c>
      <c r="L336" s="7">
        <v>0.0</v>
      </c>
      <c r="M336" s="1">
        <v>7.3373763E7</v>
      </c>
      <c r="N336" s="4">
        <v>5.0</v>
      </c>
      <c r="O336" s="4">
        <v>1.0</v>
      </c>
      <c r="P336" s="1" t="s">
        <v>28</v>
      </c>
      <c r="Q336" s="5" t="b">
        <v>0</v>
      </c>
      <c r="R336" s="5" t="b">
        <v>1</v>
      </c>
      <c r="S336" s="5" t="b">
        <v>0</v>
      </c>
      <c r="T336" s="4">
        <v>0.0</v>
      </c>
      <c r="U336" s="5" t="b">
        <v>0</v>
      </c>
      <c r="V336" s="11">
        <v>44865.0</v>
      </c>
      <c r="W336" s="11">
        <v>44884.0</v>
      </c>
    </row>
    <row r="337">
      <c r="A337" s="4">
        <v>504404.0</v>
      </c>
      <c r="B337" s="5" t="b">
        <v>0</v>
      </c>
      <c r="C337" s="6" t="s">
        <v>1545</v>
      </c>
      <c r="D337" s="1" t="s">
        <v>1546</v>
      </c>
      <c r="E337" s="7">
        <v>3888837.0</v>
      </c>
      <c r="F337" s="7">
        <v>1659364.0</v>
      </c>
      <c r="G337" s="1" t="s">
        <v>631</v>
      </c>
      <c r="H337" s="1" t="s">
        <v>1547</v>
      </c>
      <c r="I337" s="8">
        <v>44767.279929375</v>
      </c>
      <c r="J337" s="9">
        <f>+393505998383</f>
        <v>393505998383</v>
      </c>
      <c r="K337" s="4">
        <v>0.0</v>
      </c>
      <c r="L337" s="7">
        <v>0.0</v>
      </c>
      <c r="M337" s="1">
        <v>7.377333773E9</v>
      </c>
      <c r="N337" s="4">
        <v>81.0</v>
      </c>
      <c r="O337" s="4">
        <v>3.0</v>
      </c>
      <c r="P337" s="1" t="s">
        <v>39</v>
      </c>
      <c r="Q337" s="5" t="b">
        <v>1</v>
      </c>
      <c r="R337" s="5" t="b">
        <v>0</v>
      </c>
      <c r="S337" s="5" t="b">
        <v>0</v>
      </c>
      <c r="T337" s="4">
        <v>0.0</v>
      </c>
      <c r="U337" s="5" t="b">
        <v>1</v>
      </c>
      <c r="V337" s="11">
        <v>44865.0</v>
      </c>
      <c r="W337" s="10">
        <v>44842.0</v>
      </c>
    </row>
    <row r="338">
      <c r="A338" s="4">
        <v>5044506.0</v>
      </c>
      <c r="B338" s="5" t="b">
        <v>1</v>
      </c>
      <c r="C338" s="6" t="s">
        <v>1548</v>
      </c>
      <c r="D338" s="1" t="s">
        <v>1549</v>
      </c>
      <c r="E338" s="7">
        <v>4190801.0</v>
      </c>
      <c r="F338" s="7">
        <v>1244476.0</v>
      </c>
      <c r="G338" s="1" t="s">
        <v>25</v>
      </c>
      <c r="H338" s="1" t="s">
        <v>1550</v>
      </c>
      <c r="I338" s="8">
        <v>44767.640600810184</v>
      </c>
      <c r="J338" s="9">
        <f>+393385580893</f>
        <v>393385580893</v>
      </c>
      <c r="K338" s="4">
        <v>0.0</v>
      </c>
      <c r="L338" s="7">
        <v>0.0</v>
      </c>
      <c r="M338" s="1">
        <v>3.373333337E9</v>
      </c>
      <c r="N338" s="4">
        <v>8.0</v>
      </c>
      <c r="O338" s="4">
        <v>1.0</v>
      </c>
      <c r="P338" s="1" t="s">
        <v>33</v>
      </c>
      <c r="Q338" s="5" t="b">
        <v>1</v>
      </c>
      <c r="R338" s="5" t="b">
        <v>0</v>
      </c>
      <c r="S338" s="5" t="b">
        <v>0</v>
      </c>
      <c r="T338" s="4">
        <v>0.0</v>
      </c>
      <c r="U338" s="5" t="b">
        <v>0</v>
      </c>
      <c r="V338" s="11">
        <v>44886.0</v>
      </c>
      <c r="W338" s="11">
        <v>44853.0</v>
      </c>
    </row>
    <row r="339">
      <c r="A339" s="4">
        <v>5044450.0</v>
      </c>
      <c r="B339" s="5" t="b">
        <v>1</v>
      </c>
      <c r="C339" s="6" t="s">
        <v>1551</v>
      </c>
      <c r="D339" s="1" t="s">
        <v>1552</v>
      </c>
      <c r="E339" s="7">
        <v>3796519.0</v>
      </c>
      <c r="F339" s="7">
        <v>2356469.0</v>
      </c>
      <c r="G339" s="1" t="s">
        <v>1553</v>
      </c>
      <c r="H339" s="1" t="s">
        <v>1554</v>
      </c>
      <c r="I339" s="8">
        <v>44768.29591221065</v>
      </c>
      <c r="J339" s="9">
        <f>+308305088850</f>
        <v>308305088850</v>
      </c>
      <c r="K339" s="4">
        <v>0.0</v>
      </c>
      <c r="L339" s="7">
        <v>0.0</v>
      </c>
      <c r="M339" s="1">
        <v>7733336.0</v>
      </c>
      <c r="N339" s="4">
        <v>427.0</v>
      </c>
      <c r="O339" s="4">
        <v>3.0</v>
      </c>
      <c r="P339" s="1" t="s">
        <v>33</v>
      </c>
      <c r="Q339" s="5" t="b">
        <v>0</v>
      </c>
      <c r="R339" s="5" t="b">
        <v>1</v>
      </c>
      <c r="S339" s="5" t="b">
        <v>0</v>
      </c>
      <c r="T339" s="4">
        <v>0.0</v>
      </c>
      <c r="U339" s="5" t="b">
        <v>0</v>
      </c>
      <c r="V339" s="10">
        <v>44805.0</v>
      </c>
      <c r="W339" s="11">
        <v>44879.0</v>
      </c>
    </row>
    <row r="340">
      <c r="A340" s="4">
        <v>504464.0</v>
      </c>
      <c r="B340" s="5" t="b">
        <v>1</v>
      </c>
      <c r="C340" s="6" t="s">
        <v>1555</v>
      </c>
      <c r="D340" s="1" t="s">
        <v>1556</v>
      </c>
      <c r="E340" s="7">
        <v>4064971.0</v>
      </c>
      <c r="F340" s="7">
        <v>-469951.0</v>
      </c>
      <c r="G340" s="1" t="s">
        <v>1557</v>
      </c>
      <c r="H340" s="1" t="s">
        <v>1558</v>
      </c>
      <c r="I340" s="8">
        <v>44768.48381650463</v>
      </c>
      <c r="J340" s="9">
        <f>+35958388583</f>
        <v>35958388583</v>
      </c>
      <c r="K340" s="4">
        <v>2.0</v>
      </c>
      <c r="L340" s="7">
        <v>5.0</v>
      </c>
      <c r="M340" s="1" t="s">
        <v>1559</v>
      </c>
      <c r="N340" s="4">
        <v>272.0</v>
      </c>
      <c r="O340" s="4">
        <v>1.0</v>
      </c>
      <c r="P340" s="1" t="s">
        <v>33</v>
      </c>
      <c r="Q340" s="5" t="b">
        <v>0</v>
      </c>
      <c r="R340" s="5" t="b">
        <v>1</v>
      </c>
      <c r="S340" s="5" t="b">
        <v>0</v>
      </c>
      <c r="T340" s="4" t="s">
        <v>993</v>
      </c>
      <c r="U340" s="5" t="b">
        <v>0</v>
      </c>
      <c r="V340" s="10">
        <v>44814.0</v>
      </c>
      <c r="W340" s="10">
        <v>44830.0</v>
      </c>
    </row>
    <row r="341">
      <c r="A341" s="4">
        <v>504451.0</v>
      </c>
      <c r="B341" s="5" t="b">
        <v>1</v>
      </c>
      <c r="C341" s="6" t="s">
        <v>1560</v>
      </c>
      <c r="D341" s="1" t="s">
        <v>1561</v>
      </c>
      <c r="E341" s="7">
        <v>5142681.0</v>
      </c>
      <c r="F341" s="7">
        <v>-33425.0</v>
      </c>
      <c r="G341" s="1" t="s">
        <v>1367</v>
      </c>
      <c r="H341" s="1" t="s">
        <v>1562</v>
      </c>
      <c r="I341" s="8">
        <v>44769.39611518518</v>
      </c>
      <c r="J341" s="9">
        <f>+553908555895</f>
        <v>553908555895</v>
      </c>
      <c r="K341" s="4">
        <v>0.0</v>
      </c>
      <c r="L341" s="7">
        <v>0.0</v>
      </c>
      <c r="M341" s="9"/>
      <c r="N341" s="4">
        <v>128.0</v>
      </c>
      <c r="O341" s="4">
        <v>1.0</v>
      </c>
      <c r="P341" s="1" t="s">
        <v>33</v>
      </c>
      <c r="Q341" s="5" t="b">
        <v>1</v>
      </c>
      <c r="R341" s="5" t="b">
        <v>0</v>
      </c>
      <c r="S341" s="5" t="b">
        <v>0</v>
      </c>
      <c r="T341" s="4">
        <v>0.0</v>
      </c>
      <c r="U341" s="5" t="b">
        <v>0</v>
      </c>
      <c r="V341" s="10">
        <v>44866.0</v>
      </c>
      <c r="W341" s="10">
        <v>44813.0</v>
      </c>
    </row>
    <row r="342">
      <c r="A342" s="4">
        <v>504455.0</v>
      </c>
      <c r="B342" s="5" t="b">
        <v>1</v>
      </c>
      <c r="C342" s="6" t="s">
        <v>1563</v>
      </c>
      <c r="D342" s="1" t="s">
        <v>1564</v>
      </c>
      <c r="E342" s="7">
        <v>5162289.0</v>
      </c>
      <c r="F342" s="7">
        <v>-5866.0</v>
      </c>
      <c r="G342" s="1" t="s">
        <v>1367</v>
      </c>
      <c r="H342" s="1" t="s">
        <v>1565</v>
      </c>
      <c r="I342" s="8">
        <v>44769.41051715278</v>
      </c>
      <c r="J342" s="9">
        <f>+553595339889</f>
        <v>553595339889</v>
      </c>
      <c r="K342" s="4">
        <v>1.0</v>
      </c>
      <c r="L342" s="7">
        <v>5.0</v>
      </c>
      <c r="M342" s="1">
        <v>7.73333373E8</v>
      </c>
      <c r="N342" s="4">
        <v>385.0</v>
      </c>
      <c r="O342" s="4">
        <v>5.0</v>
      </c>
      <c r="P342" s="1" t="s">
        <v>28</v>
      </c>
      <c r="Q342" s="5" t="b">
        <v>0</v>
      </c>
      <c r="R342" s="5" t="b">
        <v>0</v>
      </c>
      <c r="S342" s="5" t="b">
        <v>0</v>
      </c>
      <c r="T342" s="4" t="s">
        <v>323</v>
      </c>
      <c r="U342" s="5" t="b">
        <v>0</v>
      </c>
      <c r="V342" s="11">
        <v>44862.0</v>
      </c>
      <c r="W342" s="10">
        <v>44838.0</v>
      </c>
    </row>
    <row r="343">
      <c r="A343" s="4">
        <v>504545.0</v>
      </c>
      <c r="B343" s="5" t="b">
        <v>1</v>
      </c>
      <c r="C343" s="6" t="s">
        <v>1566</v>
      </c>
      <c r="D343" s="1" t="s">
        <v>1567</v>
      </c>
      <c r="E343" s="7">
        <v>4738222.0</v>
      </c>
      <c r="F343" s="7">
        <v>8531176.0</v>
      </c>
      <c r="G343" s="1" t="s">
        <v>1568</v>
      </c>
      <c r="H343" s="1" t="s">
        <v>1569</v>
      </c>
      <c r="I343" s="8">
        <v>44770.5536565625</v>
      </c>
      <c r="J343" s="9">
        <f>+53398330909</f>
        <v>53398330909</v>
      </c>
      <c r="K343" s="4">
        <v>2.0</v>
      </c>
      <c r="L343" s="7">
        <v>5.0</v>
      </c>
      <c r="M343" s="9"/>
      <c r="N343" s="4">
        <v>18.0</v>
      </c>
      <c r="O343" s="4">
        <v>1.0</v>
      </c>
      <c r="P343" s="1" t="s">
        <v>28</v>
      </c>
      <c r="Q343" s="5" t="b">
        <v>0</v>
      </c>
      <c r="R343" s="5" t="b">
        <v>0</v>
      </c>
      <c r="S343" s="5" t="b">
        <v>0</v>
      </c>
      <c r="T343" s="4" t="s">
        <v>323</v>
      </c>
      <c r="U343" s="5" t="b">
        <v>0</v>
      </c>
      <c r="V343" s="10">
        <v>44814.0</v>
      </c>
      <c r="W343" s="11">
        <v>44882.0</v>
      </c>
    </row>
    <row r="344">
      <c r="A344" s="4">
        <v>5045304.0</v>
      </c>
      <c r="B344" s="5" t="b">
        <v>0</v>
      </c>
      <c r="C344" s="6" t="s">
        <v>1570</v>
      </c>
      <c r="D344" s="1" t="s">
        <v>1571</v>
      </c>
      <c r="E344" s="7">
        <v>51533.0</v>
      </c>
      <c r="F344" s="7">
        <v>-11959.0</v>
      </c>
      <c r="G344" s="1" t="s">
        <v>1367</v>
      </c>
      <c r="H344" s="1" t="s">
        <v>1572</v>
      </c>
      <c r="I344" s="8">
        <v>44771.33725732639</v>
      </c>
      <c r="J344" s="9">
        <f>+553583958803</f>
        <v>553583958803</v>
      </c>
      <c r="K344" s="4">
        <v>0.0</v>
      </c>
      <c r="L344" s="7">
        <v>0.0</v>
      </c>
      <c r="M344" s="9"/>
      <c r="N344" s="4">
        <v>3499.0</v>
      </c>
      <c r="O344" s="4">
        <v>4.0</v>
      </c>
      <c r="P344" s="1" t="s">
        <v>28</v>
      </c>
      <c r="Q344" s="5" t="b">
        <v>0</v>
      </c>
      <c r="R344" s="5" t="b">
        <v>0</v>
      </c>
      <c r="S344" s="5" t="b">
        <v>0</v>
      </c>
      <c r="T344" s="4">
        <v>0.0</v>
      </c>
      <c r="U344" s="5" t="b">
        <v>0</v>
      </c>
      <c r="V344" s="11">
        <v>44844.0</v>
      </c>
      <c r="W344" s="10">
        <v>44840.0</v>
      </c>
    </row>
    <row r="345">
      <c r="A345" s="4">
        <v>504540.0</v>
      </c>
      <c r="B345" s="5" t="b">
        <v>1</v>
      </c>
      <c r="C345" s="6" t="s">
        <v>1573</v>
      </c>
      <c r="D345" s="1" t="s">
        <v>1574</v>
      </c>
      <c r="E345" s="7">
        <v>4448057.0</v>
      </c>
      <c r="F345" s="7">
        <v>1137016.0</v>
      </c>
      <c r="G345" s="1" t="s">
        <v>1575</v>
      </c>
      <c r="H345" s="1" t="s">
        <v>1576</v>
      </c>
      <c r="I345" s="8">
        <v>44771.46255613426</v>
      </c>
      <c r="J345" s="9">
        <f>+393393508999</f>
        <v>393393508999</v>
      </c>
      <c r="K345" s="4">
        <v>1.0</v>
      </c>
      <c r="L345" s="7">
        <v>5.0</v>
      </c>
      <c r="M345" s="1">
        <v>7.736733333E9</v>
      </c>
      <c r="N345" s="4">
        <v>197.0</v>
      </c>
      <c r="O345" s="4">
        <v>2.0</v>
      </c>
      <c r="P345" s="1" t="s">
        <v>33</v>
      </c>
      <c r="Q345" s="5" t="b">
        <v>0</v>
      </c>
      <c r="R345" s="5" t="b">
        <v>0</v>
      </c>
      <c r="S345" s="5" t="b">
        <v>0</v>
      </c>
      <c r="T345" s="4" t="s">
        <v>323</v>
      </c>
      <c r="U345" s="5" t="b">
        <v>0</v>
      </c>
      <c r="V345" s="11">
        <v>44875.0</v>
      </c>
      <c r="W345" s="11">
        <v>44854.0</v>
      </c>
    </row>
    <row r="346">
      <c r="A346" s="4">
        <v>5045530.0</v>
      </c>
      <c r="B346" s="5" t="b">
        <v>1</v>
      </c>
      <c r="C346" s="6" t="s">
        <v>1577</v>
      </c>
      <c r="D346" s="1" t="s">
        <v>1578</v>
      </c>
      <c r="E346" s="7">
        <v>3835286.0</v>
      </c>
      <c r="F346" s="7">
        <v>1608217.0</v>
      </c>
      <c r="G346" s="1" t="s">
        <v>1579</v>
      </c>
      <c r="H346" s="1" t="s">
        <v>1580</v>
      </c>
      <c r="I346" s="8">
        <v>44771.546692511576</v>
      </c>
      <c r="J346" s="8"/>
      <c r="K346" s="4">
        <v>0.0</v>
      </c>
      <c r="L346" s="7">
        <v>0.0</v>
      </c>
      <c r="M346" s="1">
        <v>7.33333337E8</v>
      </c>
      <c r="N346" s="4">
        <v>142.0</v>
      </c>
      <c r="O346" s="4">
        <v>4.0</v>
      </c>
      <c r="P346" s="1" t="s">
        <v>33</v>
      </c>
      <c r="Q346" s="5" t="b">
        <v>0</v>
      </c>
      <c r="R346" s="5" t="b">
        <v>1</v>
      </c>
      <c r="S346" s="5" t="b">
        <v>0</v>
      </c>
      <c r="T346" s="4">
        <v>0.0</v>
      </c>
      <c r="U346" s="5" t="b">
        <v>1</v>
      </c>
      <c r="V346" s="10">
        <v>44818.0</v>
      </c>
      <c r="W346" s="11">
        <v>44855.0</v>
      </c>
    </row>
    <row r="347">
      <c r="A347" s="4">
        <v>5.0300304E7</v>
      </c>
      <c r="B347" s="5" t="b">
        <v>1</v>
      </c>
      <c r="C347" s="6" t="s">
        <v>1581</v>
      </c>
      <c r="D347" s="1" t="s">
        <v>1582</v>
      </c>
      <c r="E347" s="7">
        <v>4234097.0</v>
      </c>
      <c r="F347" s="7">
        <v>-786392.0</v>
      </c>
      <c r="G347" s="1" t="s">
        <v>1583</v>
      </c>
      <c r="H347" s="1" t="s">
        <v>1584</v>
      </c>
      <c r="I347" s="8">
        <v>44774.59005997685</v>
      </c>
      <c r="J347" s="9">
        <f>+35993090383</f>
        <v>35993090383</v>
      </c>
      <c r="K347" s="4">
        <v>0.0</v>
      </c>
      <c r="L347" s="7">
        <v>0.0</v>
      </c>
      <c r="M347" s="1" t="s">
        <v>1585</v>
      </c>
      <c r="N347" s="4">
        <v>0.0</v>
      </c>
      <c r="O347" s="4">
        <v>2.0</v>
      </c>
      <c r="P347" s="1" t="s">
        <v>39</v>
      </c>
      <c r="Q347" s="5" t="b">
        <v>0</v>
      </c>
      <c r="R347" s="5" t="b">
        <v>1</v>
      </c>
      <c r="S347" s="5" t="b">
        <v>0</v>
      </c>
      <c r="T347" s="4">
        <v>0.0</v>
      </c>
      <c r="U347" s="5" t="b">
        <v>0</v>
      </c>
      <c r="V347" s="10">
        <v>44819.0</v>
      </c>
      <c r="W347" s="10">
        <v>44819.0</v>
      </c>
    </row>
    <row r="348">
      <c r="A348" s="4">
        <v>5.030045E7</v>
      </c>
      <c r="B348" s="5" t="b">
        <v>1</v>
      </c>
      <c r="C348" s="6" t="s">
        <v>1586</v>
      </c>
      <c r="D348" s="1" t="s">
        <v>1587</v>
      </c>
      <c r="E348" s="7">
        <v>5195508.0</v>
      </c>
      <c r="F348" s="7">
        <v>7631921.0</v>
      </c>
      <c r="G348" s="1" t="s">
        <v>1588</v>
      </c>
      <c r="H348" s="1" t="s">
        <v>1589</v>
      </c>
      <c r="I348" s="8">
        <v>44775.50791763889</v>
      </c>
      <c r="J348" s="9">
        <f>+593385899985</f>
        <v>593385899985</v>
      </c>
      <c r="K348" s="4">
        <v>1.0</v>
      </c>
      <c r="L348" s="7">
        <v>5.0</v>
      </c>
      <c r="M348" s="9"/>
      <c r="N348" s="4">
        <v>4.0</v>
      </c>
      <c r="O348" s="4">
        <v>1.0</v>
      </c>
      <c r="P348" s="1" t="s">
        <v>39</v>
      </c>
      <c r="Q348" s="5" t="b">
        <v>1</v>
      </c>
      <c r="R348" s="5" t="b">
        <v>0</v>
      </c>
      <c r="S348" s="5" t="b">
        <v>0</v>
      </c>
      <c r="T348" s="4">
        <v>0.0</v>
      </c>
      <c r="U348" s="5" t="b">
        <v>0</v>
      </c>
      <c r="V348" s="10">
        <v>44820.0</v>
      </c>
      <c r="W348" s="10">
        <v>44820.0</v>
      </c>
    </row>
    <row r="349">
      <c r="A349" s="4">
        <v>5.0301507E7</v>
      </c>
      <c r="B349" s="5" t="b">
        <v>1</v>
      </c>
      <c r="C349" s="6" t="s">
        <v>1590</v>
      </c>
      <c r="D349" s="1" t="s">
        <v>1591</v>
      </c>
      <c r="E349" s="7">
        <v>435839.0</v>
      </c>
      <c r="F349" s="7">
        <v>1334307.0</v>
      </c>
      <c r="G349" s="1" t="s">
        <v>1592</v>
      </c>
      <c r="H349" s="1" t="s">
        <v>1593</v>
      </c>
      <c r="I349" s="8">
        <v>44776.61807881945</v>
      </c>
      <c r="J349" s="9">
        <f>+33535598095</f>
        <v>33535598095</v>
      </c>
      <c r="K349" s="4">
        <v>9.0</v>
      </c>
      <c r="L349" s="7">
        <v>5.0</v>
      </c>
      <c r="M349" s="1">
        <v>3.3736373333336E13</v>
      </c>
      <c r="N349" s="4">
        <v>2507.0</v>
      </c>
      <c r="O349" s="4">
        <v>4.0</v>
      </c>
      <c r="P349" s="1" t="s">
        <v>28</v>
      </c>
      <c r="Q349" s="5" t="b">
        <v>0</v>
      </c>
      <c r="R349" s="5" t="b">
        <v>1</v>
      </c>
      <c r="S349" s="5" t="b">
        <v>0</v>
      </c>
      <c r="T349" s="4" t="s">
        <v>576</v>
      </c>
      <c r="U349" s="5" t="b">
        <v>0</v>
      </c>
      <c r="V349" s="10">
        <v>44821.0</v>
      </c>
      <c r="W349" s="10">
        <v>44667.0</v>
      </c>
    </row>
    <row r="350">
      <c r="A350" s="4">
        <v>5030144.0</v>
      </c>
      <c r="B350" s="5" t="b">
        <v>1</v>
      </c>
      <c r="C350" s="6" t="s">
        <v>757</v>
      </c>
      <c r="D350" s="1" t="s">
        <v>758</v>
      </c>
      <c r="E350" s="7">
        <v>4147798.0</v>
      </c>
      <c r="F350" s="7">
        <v>1918187.0</v>
      </c>
      <c r="G350" s="1" t="s">
        <v>1594</v>
      </c>
      <c r="H350" s="1" t="s">
        <v>1595</v>
      </c>
      <c r="I350" s="8">
        <v>44777.3200441088</v>
      </c>
      <c r="J350" s="9">
        <f>+35950039339</f>
        <v>35950039339</v>
      </c>
      <c r="K350" s="4">
        <v>0.0</v>
      </c>
      <c r="L350" s="7">
        <v>0.0</v>
      </c>
      <c r="M350" s="1" t="s">
        <v>1596</v>
      </c>
      <c r="N350" s="4">
        <v>29.0</v>
      </c>
      <c r="O350" s="4">
        <v>4.0</v>
      </c>
      <c r="P350" s="1" t="s">
        <v>33</v>
      </c>
      <c r="Q350" s="5" t="b">
        <v>0</v>
      </c>
      <c r="R350" s="5" t="b">
        <v>1</v>
      </c>
      <c r="S350" s="5" t="b">
        <v>0</v>
      </c>
      <c r="T350" s="4">
        <v>0.0</v>
      </c>
      <c r="U350" s="5" t="b">
        <v>0</v>
      </c>
      <c r="V350" s="10">
        <v>44822.0</v>
      </c>
      <c r="W350" s="10">
        <v>44668.0</v>
      </c>
    </row>
    <row r="351">
      <c r="A351" s="4">
        <v>5030144.0</v>
      </c>
      <c r="B351" s="5" t="b">
        <v>1</v>
      </c>
      <c r="C351" s="6" t="s">
        <v>1597</v>
      </c>
      <c r="D351" s="1" t="s">
        <v>1598</v>
      </c>
      <c r="E351" s="7">
        <v>4822524.0</v>
      </c>
      <c r="F351" s="7">
        <v>1635594.0</v>
      </c>
      <c r="G351" s="1" t="s">
        <v>1599</v>
      </c>
      <c r="H351" s="1" t="s">
        <v>1600</v>
      </c>
      <c r="I351" s="8">
        <v>44777.33746255787</v>
      </c>
      <c r="J351" s="9">
        <f>+539395393333</f>
        <v>539395393333</v>
      </c>
      <c r="K351" s="4">
        <v>2.0</v>
      </c>
      <c r="L351" s="7">
        <v>5.0</v>
      </c>
      <c r="M351" s="9"/>
      <c r="N351" s="4">
        <v>22.0</v>
      </c>
      <c r="O351" s="4">
        <v>6.0</v>
      </c>
      <c r="P351" s="1" t="s">
        <v>28</v>
      </c>
      <c r="Q351" s="5" t="b">
        <v>0</v>
      </c>
      <c r="R351" s="5" t="b">
        <v>0</v>
      </c>
      <c r="S351" s="5" t="b">
        <v>0</v>
      </c>
      <c r="T351" s="4" t="s">
        <v>1601</v>
      </c>
      <c r="U351" s="5" t="b">
        <v>0</v>
      </c>
      <c r="V351" s="10">
        <v>44823.0</v>
      </c>
      <c r="W351" s="10">
        <v>44669.0</v>
      </c>
    </row>
    <row r="352">
      <c r="A352" s="4">
        <v>5.0301305E7</v>
      </c>
      <c r="B352" s="5" t="b">
        <v>1</v>
      </c>
      <c r="C352" s="6" t="s">
        <v>1602</v>
      </c>
      <c r="D352" s="1" t="s">
        <v>1603</v>
      </c>
      <c r="E352" s="7">
        <v>4242825.0</v>
      </c>
      <c r="F352" s="7">
        <v>-864097.0</v>
      </c>
      <c r="G352" s="1" t="s">
        <v>1604</v>
      </c>
      <c r="H352" s="1" t="s">
        <v>1605</v>
      </c>
      <c r="I352" s="8">
        <v>44777.3500715162</v>
      </c>
      <c r="J352" s="9">
        <f>+35939383998</f>
        <v>35939383998</v>
      </c>
      <c r="K352" s="4">
        <v>4.0</v>
      </c>
      <c r="L352" s="7">
        <v>5.0</v>
      </c>
      <c r="M352" s="1" t="s">
        <v>1606</v>
      </c>
      <c r="N352" s="4">
        <v>4144.0</v>
      </c>
      <c r="O352" s="4">
        <v>4.0</v>
      </c>
      <c r="P352" s="1" t="s">
        <v>39</v>
      </c>
      <c r="Q352" s="5" t="b">
        <v>0</v>
      </c>
      <c r="R352" s="5" t="b">
        <v>1</v>
      </c>
      <c r="S352" s="5" t="b">
        <v>0</v>
      </c>
      <c r="T352" s="4" t="s">
        <v>611</v>
      </c>
      <c r="U352" s="5" t="b">
        <v>0</v>
      </c>
      <c r="V352" s="10">
        <v>44824.0</v>
      </c>
      <c r="W352" s="10">
        <v>44670.0</v>
      </c>
    </row>
    <row r="353">
      <c r="A353" s="4">
        <v>5030170.0</v>
      </c>
      <c r="B353" s="5" t="b">
        <v>1</v>
      </c>
      <c r="C353" s="6" t="s">
        <v>1607</v>
      </c>
      <c r="D353" s="1" t="s">
        <v>1608</v>
      </c>
      <c r="E353" s="7">
        <v>4564725.0</v>
      </c>
      <c r="F353" s="7">
        <v>8792689.0</v>
      </c>
      <c r="G353" s="1" t="s">
        <v>1609</v>
      </c>
      <c r="H353" s="1" t="s">
        <v>1610</v>
      </c>
      <c r="I353" s="8">
        <v>44777.42384775463</v>
      </c>
      <c r="J353" s="9">
        <f>+390333383535</f>
        <v>390333383535</v>
      </c>
      <c r="K353" s="4">
        <v>11.0</v>
      </c>
      <c r="L353" s="7">
        <v>4909091.0</v>
      </c>
      <c r="M353" s="1">
        <v>7.67373333E8</v>
      </c>
      <c r="N353" s="4">
        <v>445.0</v>
      </c>
      <c r="O353" s="4">
        <v>1.0</v>
      </c>
      <c r="P353" s="1" t="s">
        <v>33</v>
      </c>
      <c r="Q353" s="5" t="b">
        <v>0</v>
      </c>
      <c r="R353" s="5" t="b">
        <v>1</v>
      </c>
      <c r="S353" s="5" t="b">
        <v>0</v>
      </c>
      <c r="T353" s="4" t="s">
        <v>1611</v>
      </c>
      <c r="U353" s="5" t="b">
        <v>0</v>
      </c>
      <c r="V353" s="10">
        <v>44825.0</v>
      </c>
      <c r="W353" s="10">
        <v>44671.0</v>
      </c>
    </row>
    <row r="354">
      <c r="A354" s="4">
        <v>5.030173E7</v>
      </c>
      <c r="B354" s="5" t="b">
        <v>1</v>
      </c>
      <c r="C354" s="6" t="s">
        <v>1612</v>
      </c>
      <c r="D354" s="1" t="s">
        <v>1613</v>
      </c>
      <c r="E354" s="7">
        <v>4181459.0</v>
      </c>
      <c r="F354" s="7">
        <v>1261741.0</v>
      </c>
      <c r="G354" s="1" t="s">
        <v>25</v>
      </c>
      <c r="H354" s="1" t="s">
        <v>1614</v>
      </c>
      <c r="I354" s="8">
        <v>44777.51231655093</v>
      </c>
      <c r="J354" s="8"/>
      <c r="K354" s="4">
        <v>0.0</v>
      </c>
      <c r="L354" s="7">
        <v>0.0</v>
      </c>
      <c r="M354" s="1">
        <v>6.333773333E9</v>
      </c>
      <c r="N354" s="4">
        <v>95.0</v>
      </c>
      <c r="O354" s="4">
        <v>2.0</v>
      </c>
      <c r="P354" s="1" t="s">
        <v>28</v>
      </c>
      <c r="Q354" s="5" t="b">
        <v>0</v>
      </c>
      <c r="R354" s="5" t="b">
        <v>1</v>
      </c>
      <c r="S354" s="5" t="b">
        <v>0</v>
      </c>
      <c r="T354" s="4">
        <v>0.0</v>
      </c>
      <c r="U354" s="5" t="b">
        <v>0</v>
      </c>
      <c r="V354" s="10">
        <v>44826.0</v>
      </c>
      <c r="W354" s="11">
        <v>44855.0</v>
      </c>
    </row>
    <row r="355">
      <c r="A355" s="4">
        <v>5030154.0</v>
      </c>
      <c r="B355" s="5" t="b">
        <v>1</v>
      </c>
      <c r="C355" s="6" t="s">
        <v>1615</v>
      </c>
      <c r="D355" s="1" t="s">
        <v>1616</v>
      </c>
      <c r="E355" s="7">
        <v>543599.0</v>
      </c>
      <c r="F355" s="7">
        <v>1370353.0</v>
      </c>
      <c r="G355" s="1" t="s">
        <v>1617</v>
      </c>
      <c r="H355" s="1" t="s">
        <v>1618</v>
      </c>
      <c r="I355" s="8">
        <v>44778.371445</v>
      </c>
      <c r="J355" s="9">
        <f>+5938303388500</f>
        <v>5938303388500</v>
      </c>
      <c r="K355" s="4">
        <v>0.0</v>
      </c>
      <c r="L355" s="7">
        <v>0.0</v>
      </c>
      <c r="M355" s="9"/>
      <c r="N355" s="4">
        <v>28.0</v>
      </c>
      <c r="O355" s="4">
        <v>3.0</v>
      </c>
      <c r="P355" s="1" t="s">
        <v>28</v>
      </c>
      <c r="Q355" s="5" t="b">
        <v>0</v>
      </c>
      <c r="R355" s="5" t="b">
        <v>0</v>
      </c>
      <c r="S355" s="5" t="b">
        <v>0</v>
      </c>
      <c r="T355" s="4">
        <v>0.0</v>
      </c>
      <c r="U355" s="5" t="b">
        <v>0</v>
      </c>
      <c r="V355" s="10">
        <v>44827.0</v>
      </c>
      <c r="W355" s="11">
        <v>44856.0</v>
      </c>
    </row>
    <row r="356">
      <c r="A356" s="4">
        <v>5030504.0</v>
      </c>
      <c r="B356" s="5" t="b">
        <v>1</v>
      </c>
      <c r="C356" s="6" t="s">
        <v>1619</v>
      </c>
      <c r="D356" s="1" t="s">
        <v>1620</v>
      </c>
      <c r="E356" s="7">
        <v>415429.0</v>
      </c>
      <c r="F356" s="7">
        <v>1896722.0</v>
      </c>
      <c r="G356" s="1" t="s">
        <v>1621</v>
      </c>
      <c r="H356" s="1" t="s">
        <v>1622</v>
      </c>
      <c r="I356" s="8">
        <v>44778.5462871875</v>
      </c>
      <c r="J356" s="9">
        <f>+35933008385</f>
        <v>35933008385</v>
      </c>
      <c r="K356" s="4">
        <v>0.0</v>
      </c>
      <c r="L356" s="7">
        <v>0.0</v>
      </c>
      <c r="M356" s="1" t="s">
        <v>1623</v>
      </c>
      <c r="N356" s="4">
        <v>418.0</v>
      </c>
      <c r="O356" s="4">
        <v>2.0</v>
      </c>
      <c r="P356" s="1" t="s">
        <v>33</v>
      </c>
      <c r="Q356" s="5" t="b">
        <v>0</v>
      </c>
      <c r="R356" s="5" t="b">
        <v>1</v>
      </c>
      <c r="S356" s="5" t="b">
        <v>0</v>
      </c>
      <c r="T356" s="4">
        <v>0.0</v>
      </c>
      <c r="U356" s="5" t="b">
        <v>0</v>
      </c>
      <c r="V356" s="10">
        <v>44828.0</v>
      </c>
      <c r="W356" s="11">
        <v>44857.0</v>
      </c>
    </row>
    <row r="357">
      <c r="A357" s="4">
        <v>5.0305505E7</v>
      </c>
      <c r="B357" s="5" t="b">
        <v>1</v>
      </c>
      <c r="C357" s="6" t="s">
        <v>1624</v>
      </c>
      <c r="D357" s="1" t="s">
        <v>1625</v>
      </c>
      <c r="E357" s="7">
        <v>5153358.0</v>
      </c>
      <c r="F357" s="7">
        <v>-10943.0</v>
      </c>
      <c r="G357" s="1" t="s">
        <v>1367</v>
      </c>
      <c r="H357" s="1" t="s">
        <v>1626</v>
      </c>
      <c r="I357" s="8">
        <v>44781.50911209491</v>
      </c>
      <c r="J357" s="9">
        <f>+553555885530</f>
        <v>553555885530</v>
      </c>
      <c r="K357" s="4">
        <v>24.0</v>
      </c>
      <c r="L357" s="7">
        <v>4916667.0</v>
      </c>
      <c r="M357" s="9"/>
      <c r="N357" s="4">
        <v>121.0</v>
      </c>
      <c r="O357" s="4">
        <v>1.0</v>
      </c>
      <c r="P357" s="1" t="s">
        <v>39</v>
      </c>
      <c r="Q357" s="5" t="b">
        <v>0</v>
      </c>
      <c r="R357" s="5" t="b">
        <v>0</v>
      </c>
      <c r="S357" s="5" t="b">
        <v>0</v>
      </c>
      <c r="T357" s="4" t="s">
        <v>1322</v>
      </c>
      <c r="U357" s="5" t="b">
        <v>0</v>
      </c>
      <c r="V357" s="10">
        <v>44829.0</v>
      </c>
      <c r="W357" s="11">
        <v>44858.0</v>
      </c>
    </row>
    <row r="358">
      <c r="A358" s="4">
        <v>5.0305307E7</v>
      </c>
      <c r="B358" s="5" t="b">
        <v>1</v>
      </c>
      <c r="C358" s="6" t="s">
        <v>1627</v>
      </c>
      <c r="D358" s="1" t="s">
        <v>1628</v>
      </c>
      <c r="E358" s="7">
        <v>5013498.0</v>
      </c>
      <c r="F358" s="7">
        <v>4832272.0</v>
      </c>
      <c r="G358" s="1" t="s">
        <v>1629</v>
      </c>
      <c r="H358" s="1" t="s">
        <v>1630</v>
      </c>
      <c r="I358" s="8">
        <v>44782.36967502315</v>
      </c>
      <c r="J358" s="9">
        <f>+33953055399</f>
        <v>33953055399</v>
      </c>
      <c r="K358" s="4">
        <v>43.0</v>
      </c>
      <c r="L358" s="7">
        <v>4976744.0</v>
      </c>
      <c r="M358" s="1" t="s">
        <v>1631</v>
      </c>
      <c r="N358" s="4">
        <v>4942.0</v>
      </c>
      <c r="O358" s="4">
        <v>2.0</v>
      </c>
      <c r="P358" s="1" t="s">
        <v>39</v>
      </c>
      <c r="Q358" s="5" t="b">
        <v>0</v>
      </c>
      <c r="R358" s="5" t="b">
        <v>0</v>
      </c>
      <c r="S358" s="5" t="b">
        <v>0</v>
      </c>
      <c r="T358" s="4">
        <v>0.0</v>
      </c>
      <c r="U358" s="5" t="b">
        <v>0</v>
      </c>
      <c r="V358" s="10">
        <v>44830.0</v>
      </c>
      <c r="W358" s="10">
        <v>44768.0</v>
      </c>
    </row>
    <row r="359">
      <c r="A359" s="4">
        <v>5.030553E7</v>
      </c>
      <c r="B359" s="5" t="b">
        <v>1</v>
      </c>
      <c r="C359" s="6" t="s">
        <v>1632</v>
      </c>
      <c r="D359" s="1" t="s">
        <v>1633</v>
      </c>
      <c r="E359" s="7">
        <v>5073641.0</v>
      </c>
      <c r="F359" s="7">
        <v>7102525.0</v>
      </c>
      <c r="G359" s="1" t="s">
        <v>1634</v>
      </c>
      <c r="H359" s="1" t="s">
        <v>1635</v>
      </c>
      <c r="I359" s="8">
        <v>44783.4277140162</v>
      </c>
      <c r="J359" s="9">
        <f>+5935358389095</f>
        <v>5935358389095</v>
      </c>
      <c r="K359" s="4">
        <v>0.0</v>
      </c>
      <c r="L359" s="7">
        <v>0.0</v>
      </c>
      <c r="M359" s="9"/>
      <c r="N359" s="4">
        <v>23.0</v>
      </c>
      <c r="O359" s="4">
        <v>2.0</v>
      </c>
      <c r="P359" s="1" t="s">
        <v>33</v>
      </c>
      <c r="Q359" s="5" t="b">
        <v>0</v>
      </c>
      <c r="R359" s="5" t="b">
        <v>0</v>
      </c>
      <c r="S359" s="5" t="b">
        <v>0</v>
      </c>
      <c r="T359" s="4">
        <v>0.0</v>
      </c>
      <c r="U359" s="5" t="b">
        <v>0</v>
      </c>
      <c r="V359" s="10">
        <v>44831.0</v>
      </c>
      <c r="W359" s="11">
        <v>44855.0</v>
      </c>
    </row>
    <row r="360">
      <c r="A360" s="4">
        <v>5.0305017E7</v>
      </c>
      <c r="B360" s="5" t="b">
        <v>1</v>
      </c>
      <c r="C360" s="6" t="s">
        <v>1636</v>
      </c>
      <c r="D360" s="1" t="s">
        <v>1637</v>
      </c>
      <c r="E360" s="7">
        <v>5236033.0</v>
      </c>
      <c r="F360" s="7">
        <v>1406188.0</v>
      </c>
      <c r="G360" s="1" t="s">
        <v>1638</v>
      </c>
      <c r="H360" s="1" t="s">
        <v>1639</v>
      </c>
      <c r="I360" s="8">
        <v>44783.67354153935</v>
      </c>
      <c r="J360" s="9">
        <f>+5935805953333</f>
        <v>5935805953333</v>
      </c>
      <c r="K360" s="4">
        <v>0.0</v>
      </c>
      <c r="L360" s="7">
        <v>0.0</v>
      </c>
      <c r="M360" s="9"/>
      <c r="N360" s="4">
        <v>93.0</v>
      </c>
      <c r="O360" s="4">
        <v>2.0</v>
      </c>
      <c r="P360" s="1" t="s">
        <v>33</v>
      </c>
      <c r="Q360" s="5" t="b">
        <v>0</v>
      </c>
      <c r="R360" s="5" t="b">
        <v>0</v>
      </c>
      <c r="S360" s="5" t="b">
        <v>0</v>
      </c>
      <c r="T360" s="4">
        <v>0.0</v>
      </c>
      <c r="U360" s="5" t="b">
        <v>0</v>
      </c>
      <c r="V360" s="10">
        <v>44832.0</v>
      </c>
      <c r="W360" s="11">
        <v>44856.0</v>
      </c>
    </row>
    <row r="361">
      <c r="A361" s="4">
        <v>5.0305055E8</v>
      </c>
      <c r="B361" s="5" t="b">
        <v>1</v>
      </c>
      <c r="C361" s="6" t="s">
        <v>1640</v>
      </c>
      <c r="D361" s="1" t="s">
        <v>1641</v>
      </c>
      <c r="E361" s="7">
        <v>4881379.0</v>
      </c>
      <c r="F361" s="7">
        <v>2360732.0</v>
      </c>
      <c r="G361" s="1" t="s">
        <v>1642</v>
      </c>
      <c r="H361" s="1" t="s">
        <v>1643</v>
      </c>
      <c r="I361" s="8">
        <v>44784.3213221875</v>
      </c>
      <c r="J361" s="9">
        <f>+33995393805</f>
        <v>33995393805</v>
      </c>
      <c r="K361" s="4">
        <v>0.0</v>
      </c>
      <c r="L361" s="7">
        <v>0.0</v>
      </c>
      <c r="M361" s="1" t="s">
        <v>1644</v>
      </c>
      <c r="N361" s="4">
        <v>1.0</v>
      </c>
      <c r="O361" s="4">
        <v>4.0</v>
      </c>
      <c r="P361" s="1" t="s">
        <v>39</v>
      </c>
      <c r="Q361" s="5" t="b">
        <v>1</v>
      </c>
      <c r="R361" s="5" t="b">
        <v>0</v>
      </c>
      <c r="S361" s="5" t="b">
        <v>0</v>
      </c>
      <c r="T361" s="4">
        <v>0.0</v>
      </c>
      <c r="U361" s="5" t="b">
        <v>0</v>
      </c>
      <c r="V361" s="10">
        <v>44833.0</v>
      </c>
      <c r="W361" s="11">
        <v>44857.0</v>
      </c>
    </row>
    <row r="362">
      <c r="A362" s="4">
        <v>5.0305047E7</v>
      </c>
      <c r="B362" s="5" t="b">
        <v>0</v>
      </c>
      <c r="C362" s="6" t="s">
        <v>1645</v>
      </c>
      <c r="D362" s="1" t="s">
        <v>1646</v>
      </c>
      <c r="E362" s="7">
        <v>3948721.0</v>
      </c>
      <c r="F362" s="7">
        <v>-36268.0</v>
      </c>
      <c r="G362" s="1" t="s">
        <v>417</v>
      </c>
      <c r="H362" s="1" t="s">
        <v>1647</v>
      </c>
      <c r="I362" s="8">
        <v>44784.58333579861</v>
      </c>
      <c r="J362" s="8"/>
      <c r="K362" s="4">
        <v>0.0</v>
      </c>
      <c r="L362" s="7">
        <v>0.0</v>
      </c>
      <c r="M362" s="1" t="s">
        <v>1648</v>
      </c>
      <c r="N362" s="4">
        <v>10.0</v>
      </c>
      <c r="O362" s="4">
        <v>5.0</v>
      </c>
      <c r="P362" s="1" t="s">
        <v>33</v>
      </c>
      <c r="Q362" s="5" t="b">
        <v>0</v>
      </c>
      <c r="R362" s="5" t="b">
        <v>1</v>
      </c>
      <c r="S362" s="5" t="b">
        <v>0</v>
      </c>
      <c r="T362" s="4">
        <v>0.0</v>
      </c>
      <c r="U362" s="5" t="b">
        <v>0</v>
      </c>
      <c r="V362" s="10">
        <v>44834.0</v>
      </c>
      <c r="W362" s="11">
        <v>44856.0</v>
      </c>
    </row>
    <row r="363">
      <c r="A363" s="4">
        <v>5.030503E8</v>
      </c>
      <c r="B363" s="5" t="b">
        <v>1</v>
      </c>
      <c r="C363" s="6" t="s">
        <v>1649</v>
      </c>
      <c r="D363" s="1" t="s">
        <v>1650</v>
      </c>
      <c r="E363" s="7">
        <v>483085.0</v>
      </c>
      <c r="F363" s="7">
        <v>1186367.0</v>
      </c>
      <c r="G363" s="1" t="s">
        <v>1651</v>
      </c>
      <c r="H363" s="1" t="s">
        <v>1652</v>
      </c>
      <c r="I363" s="8">
        <v>44784.62415013889</v>
      </c>
      <c r="J363" s="9">
        <f>+5935903858993</f>
        <v>5935903858993</v>
      </c>
      <c r="K363" s="4">
        <v>0.0</v>
      </c>
      <c r="L363" s="7">
        <v>0.0</v>
      </c>
      <c r="M363" s="9"/>
      <c r="N363" s="4">
        <v>13.0</v>
      </c>
      <c r="O363" s="4">
        <v>1.0</v>
      </c>
      <c r="P363" s="1" t="s">
        <v>39</v>
      </c>
      <c r="Q363" s="5" t="b">
        <v>0</v>
      </c>
      <c r="R363" s="5" t="b">
        <v>0</v>
      </c>
      <c r="S363" s="5" t="b">
        <v>0</v>
      </c>
      <c r="T363" s="4">
        <v>0.0</v>
      </c>
      <c r="U363" s="5" t="b">
        <v>0</v>
      </c>
      <c r="V363" s="10">
        <v>44835.0</v>
      </c>
      <c r="W363" s="10">
        <v>44826.0</v>
      </c>
    </row>
    <row r="364">
      <c r="A364" s="4">
        <v>5030400.0</v>
      </c>
      <c r="B364" s="5" t="b">
        <v>1</v>
      </c>
      <c r="C364" s="6" t="s">
        <v>1653</v>
      </c>
      <c r="D364" s="1" t="s">
        <v>1654</v>
      </c>
      <c r="E364" s="7">
        <v>5347764.0</v>
      </c>
      <c r="F364" s="7">
        <v>102052.0</v>
      </c>
      <c r="G364" s="1" t="s">
        <v>1331</v>
      </c>
      <c r="H364" s="1" t="s">
        <v>1655</v>
      </c>
      <c r="I364" s="8">
        <v>44789.48040890046</v>
      </c>
      <c r="J364" s="9">
        <f>+5933985383888</f>
        <v>5933985383888</v>
      </c>
      <c r="K364" s="4">
        <v>0.0</v>
      </c>
      <c r="L364" s="7">
        <v>0.0</v>
      </c>
      <c r="M364" s="9"/>
      <c r="N364" s="4">
        <v>19.0</v>
      </c>
      <c r="O364" s="4">
        <v>1.0</v>
      </c>
      <c r="P364" s="1" t="s">
        <v>33</v>
      </c>
      <c r="Q364" s="5" t="b">
        <v>0</v>
      </c>
      <c r="R364" s="5" t="b">
        <v>0</v>
      </c>
      <c r="S364" s="5" t="b">
        <v>0</v>
      </c>
      <c r="T364" s="4">
        <v>0.0</v>
      </c>
      <c r="U364" s="5" t="b">
        <v>0</v>
      </c>
      <c r="V364" s="10">
        <v>44836.0</v>
      </c>
      <c r="W364" s="10">
        <v>44827.0</v>
      </c>
    </row>
    <row r="365">
      <c r="A365" s="4">
        <v>5030404.0</v>
      </c>
      <c r="B365" s="5" t="b">
        <v>1</v>
      </c>
      <c r="C365" s="6" t="s">
        <v>1656</v>
      </c>
      <c r="D365" s="1" t="s">
        <v>1657</v>
      </c>
      <c r="E365" s="7">
        <v>5014002.0</v>
      </c>
      <c r="F365" s="7">
        <v>8751614.0</v>
      </c>
      <c r="G365" s="1" t="s">
        <v>1658</v>
      </c>
      <c r="H365" s="1" t="s">
        <v>1659</v>
      </c>
      <c r="I365" s="8">
        <v>44789.5010596412</v>
      </c>
      <c r="J365" s="9">
        <f>+5933983859383</f>
        <v>5933983859383</v>
      </c>
      <c r="K365" s="4">
        <v>0.0</v>
      </c>
      <c r="L365" s="7">
        <v>0.0</v>
      </c>
      <c r="M365" s="9"/>
      <c r="N365" s="4">
        <v>43.0</v>
      </c>
      <c r="O365" s="4">
        <v>2.0</v>
      </c>
      <c r="P365" s="1" t="s">
        <v>33</v>
      </c>
      <c r="Q365" s="5" t="b">
        <v>0</v>
      </c>
      <c r="R365" s="5" t="b">
        <v>0</v>
      </c>
      <c r="S365" s="5" t="b">
        <v>0</v>
      </c>
      <c r="T365" s="4">
        <v>0.0</v>
      </c>
      <c r="U365" s="5" t="b">
        <v>0</v>
      </c>
      <c r="V365" s="11">
        <v>44893.0</v>
      </c>
      <c r="W365" s="10">
        <v>44843.0</v>
      </c>
    </row>
    <row r="366">
      <c r="A366" s="4">
        <v>5030444.0</v>
      </c>
      <c r="B366" s="5" t="b">
        <v>1</v>
      </c>
      <c r="C366" s="6" t="s">
        <v>1660</v>
      </c>
      <c r="D366" s="1" t="s">
        <v>1661</v>
      </c>
      <c r="E366" s="7">
        <v>5587062.0</v>
      </c>
      <c r="F366" s="7">
        <v>-43113.0</v>
      </c>
      <c r="G366" s="1" t="s">
        <v>1662</v>
      </c>
      <c r="H366" s="1" t="s">
        <v>1663</v>
      </c>
      <c r="I366" s="8">
        <v>44792.49727950231</v>
      </c>
      <c r="J366" s="9">
        <f>+553538385858</f>
        <v>553538385858</v>
      </c>
      <c r="K366" s="4">
        <v>2.0</v>
      </c>
      <c r="L366" s="7">
        <v>5.0</v>
      </c>
      <c r="M366" s="9"/>
      <c r="N366" s="4">
        <v>55.0</v>
      </c>
      <c r="O366" s="4">
        <v>1.0</v>
      </c>
      <c r="P366" s="1" t="s">
        <v>28</v>
      </c>
      <c r="Q366" s="5" t="b">
        <v>0</v>
      </c>
      <c r="R366" s="5" t="b">
        <v>0</v>
      </c>
      <c r="S366" s="5" t="b">
        <v>0</v>
      </c>
      <c r="T366" s="4" t="s">
        <v>1601</v>
      </c>
      <c r="U366" s="5" t="b">
        <v>0</v>
      </c>
      <c r="V366" s="11">
        <v>44855.0</v>
      </c>
      <c r="W366" s="11">
        <v>44878.0</v>
      </c>
    </row>
    <row r="367">
      <c r="A367" s="4">
        <v>5.0303005E7</v>
      </c>
      <c r="B367" s="5" t="b">
        <v>1</v>
      </c>
      <c r="C367" s="6" t="s">
        <v>1664</v>
      </c>
      <c r="D367" s="1" t="s">
        <v>1665</v>
      </c>
      <c r="E367" s="7">
        <v>523741.0</v>
      </c>
      <c r="F367" s="7">
        <v>4874559.0</v>
      </c>
      <c r="G367" s="1" t="s">
        <v>1518</v>
      </c>
      <c r="H367" s="1" t="s">
        <v>1666</v>
      </c>
      <c r="I367" s="8">
        <v>44795.30311434028</v>
      </c>
      <c r="J367" s="9">
        <f>+33955933533</f>
        <v>33955933533</v>
      </c>
      <c r="K367" s="4">
        <v>38.0</v>
      </c>
      <c r="L367" s="7">
        <v>5.0</v>
      </c>
      <c r="M367" s="1" t="s">
        <v>1667</v>
      </c>
      <c r="N367" s="4">
        <v>77.0</v>
      </c>
      <c r="O367" s="4">
        <v>1.0</v>
      </c>
      <c r="P367" s="1" t="s">
        <v>39</v>
      </c>
      <c r="Q367" s="5" t="b">
        <v>0</v>
      </c>
      <c r="R367" s="5" t="b">
        <v>1</v>
      </c>
      <c r="S367" s="5" t="b">
        <v>0</v>
      </c>
      <c r="T367" s="4" t="s">
        <v>976</v>
      </c>
      <c r="U367" s="5" t="b">
        <v>0</v>
      </c>
      <c r="V367" s="11">
        <v>44855.0</v>
      </c>
      <c r="W367" s="11">
        <v>44859.0</v>
      </c>
    </row>
    <row r="368">
      <c r="A368" s="4">
        <v>5.0303016E7</v>
      </c>
      <c r="B368" s="5" t="b">
        <v>1</v>
      </c>
      <c r="C368" s="6" t="s">
        <v>1668</v>
      </c>
      <c r="D368" s="1" t="s">
        <v>1669</v>
      </c>
      <c r="E368" s="7">
        <v>4879829.0</v>
      </c>
      <c r="F368" s="7">
        <v>2482325.0</v>
      </c>
      <c r="G368" s="1" t="s">
        <v>1670</v>
      </c>
      <c r="H368" s="1" t="s">
        <v>1671</v>
      </c>
      <c r="I368" s="8">
        <v>44795.53418883102</v>
      </c>
      <c r="J368" s="9">
        <f>+33353038800</f>
        <v>33353038800</v>
      </c>
      <c r="K368" s="4">
        <v>1.0</v>
      </c>
      <c r="L368" s="7">
        <v>5.0</v>
      </c>
      <c r="M368" s="1" t="s">
        <v>1672</v>
      </c>
      <c r="N368" s="4">
        <v>63.0</v>
      </c>
      <c r="O368" s="4">
        <v>2.0</v>
      </c>
      <c r="P368" s="1" t="s">
        <v>28</v>
      </c>
      <c r="Q368" s="5" t="b">
        <v>0</v>
      </c>
      <c r="R368" s="5" t="b">
        <v>1</v>
      </c>
      <c r="S368" s="5" t="b">
        <v>0</v>
      </c>
      <c r="T368" s="4" t="s">
        <v>192</v>
      </c>
      <c r="U368" s="5" t="b">
        <v>0</v>
      </c>
      <c r="V368" s="10">
        <v>44897.0</v>
      </c>
      <c r="W368" s="10">
        <v>44897.0</v>
      </c>
    </row>
    <row r="369">
      <c r="A369" s="4">
        <v>5.03030505E8</v>
      </c>
      <c r="B369" s="5" t="b">
        <v>1</v>
      </c>
      <c r="C369" s="6" t="s">
        <v>1673</v>
      </c>
      <c r="D369" s="1" t="s">
        <v>1674</v>
      </c>
      <c r="E369" s="7">
        <v>4889923.0</v>
      </c>
      <c r="F369" s="7">
        <v>2344619.0</v>
      </c>
      <c r="G369" s="1" t="s">
        <v>365</v>
      </c>
      <c r="H369" s="1" t="s">
        <v>1675</v>
      </c>
      <c r="I369" s="8">
        <v>44796.58523178241</v>
      </c>
      <c r="J369" s="9">
        <f>+33998899588</f>
        <v>33998899588</v>
      </c>
      <c r="K369" s="4">
        <v>0.0</v>
      </c>
      <c r="L369" s="7">
        <v>0.0</v>
      </c>
      <c r="M369" s="9"/>
      <c r="N369" s="4">
        <v>1.0</v>
      </c>
      <c r="O369" s="4">
        <v>1.0</v>
      </c>
      <c r="P369" s="1" t="s">
        <v>39</v>
      </c>
      <c r="Q369" s="5" t="b">
        <v>0</v>
      </c>
      <c r="R369" s="5" t="b">
        <v>1</v>
      </c>
      <c r="S369" s="5" t="b">
        <v>0</v>
      </c>
      <c r="T369" s="4">
        <v>0.0</v>
      </c>
      <c r="U369" s="5" t="b">
        <v>0</v>
      </c>
      <c r="V369" s="11">
        <v>44861.0</v>
      </c>
      <c r="W369" s="11">
        <v>44850.0</v>
      </c>
    </row>
    <row r="370">
      <c r="A370" s="4">
        <v>5030604.0</v>
      </c>
      <c r="B370" s="5" t="b">
        <v>1</v>
      </c>
      <c r="C370" s="6" t="s">
        <v>1676</v>
      </c>
      <c r="D370" s="1" t="s">
        <v>1677</v>
      </c>
      <c r="E370" s="7">
        <v>4885606.0</v>
      </c>
      <c r="F370" s="7">
        <v>2316862.0</v>
      </c>
      <c r="G370" s="1" t="s">
        <v>365</v>
      </c>
      <c r="H370" s="1" t="s">
        <v>1678</v>
      </c>
      <c r="I370" s="8">
        <v>44799.337369155095</v>
      </c>
      <c r="J370" s="9">
        <f>+33938533938</f>
        <v>33938533938</v>
      </c>
      <c r="K370" s="4">
        <v>0.0</v>
      </c>
      <c r="L370" s="7">
        <v>0.0</v>
      </c>
      <c r="M370" s="1" t="s">
        <v>1679</v>
      </c>
      <c r="N370" s="4">
        <v>1.0</v>
      </c>
      <c r="O370" s="4">
        <v>2.0</v>
      </c>
      <c r="P370" s="1" t="s">
        <v>28</v>
      </c>
      <c r="Q370" s="5" t="b">
        <v>0</v>
      </c>
      <c r="R370" s="5" t="b">
        <v>1</v>
      </c>
      <c r="S370" s="5" t="b">
        <v>0</v>
      </c>
      <c r="T370" s="4">
        <v>0.0</v>
      </c>
      <c r="U370" s="5" t="b">
        <v>0</v>
      </c>
      <c r="V370" s="11">
        <v>44887.0</v>
      </c>
      <c r="W370" s="11">
        <v>44855.0</v>
      </c>
    </row>
    <row r="371">
      <c r="A371" s="4">
        <v>5030617.0</v>
      </c>
      <c r="B371" s="5" t="b">
        <v>1</v>
      </c>
      <c r="C371" s="6" t="s">
        <v>1680</v>
      </c>
      <c r="D371" s="1" t="s">
        <v>1681</v>
      </c>
      <c r="E371" s="7">
        <v>5151476.0</v>
      </c>
      <c r="F371" s="7">
        <v>6849248.0</v>
      </c>
      <c r="G371" s="1" t="s">
        <v>1682</v>
      </c>
      <c r="H371" s="1" t="s">
        <v>1683</v>
      </c>
      <c r="I371" s="8">
        <v>44799.580408090274</v>
      </c>
      <c r="J371" s="9">
        <f>+5933983938558</f>
        <v>5933983938558</v>
      </c>
      <c r="K371" s="4">
        <v>0.0</v>
      </c>
      <c r="L371" s="7">
        <v>0.0</v>
      </c>
      <c r="M371" s="9"/>
      <c r="N371" s="4">
        <v>33.0</v>
      </c>
      <c r="O371" s="4">
        <v>2.0</v>
      </c>
      <c r="P371" s="1" t="s">
        <v>28</v>
      </c>
      <c r="Q371" s="5" t="b">
        <v>0</v>
      </c>
      <c r="R371" s="5" t="b">
        <v>0</v>
      </c>
      <c r="S371" s="5" t="b">
        <v>0</v>
      </c>
      <c r="T371" s="4">
        <v>0.0</v>
      </c>
      <c r="U371" s="5" t="b">
        <v>0</v>
      </c>
      <c r="V371" s="10">
        <v>44840.0</v>
      </c>
      <c r="W371" s="11">
        <v>44852.0</v>
      </c>
    </row>
    <row r="372">
      <c r="A372" s="4">
        <v>5.0306505E7</v>
      </c>
      <c r="B372" s="5" t="b">
        <v>1</v>
      </c>
      <c r="C372" s="6" t="s">
        <v>1684</v>
      </c>
      <c r="D372" s="1" t="s">
        <v>1685</v>
      </c>
      <c r="E372" s="7">
        <v>4353735.0</v>
      </c>
      <c r="F372" s="7">
        <v>5420833.0</v>
      </c>
      <c r="G372" s="1" t="s">
        <v>1686</v>
      </c>
      <c r="H372" s="1" t="s">
        <v>1687</v>
      </c>
      <c r="I372" s="8">
        <v>44802.40665297454</v>
      </c>
      <c r="J372" s="9">
        <f>+33938539385</f>
        <v>33938539385</v>
      </c>
      <c r="K372" s="4">
        <v>1.0</v>
      </c>
      <c r="L372" s="7">
        <v>5.0</v>
      </c>
      <c r="M372" s="1" t="s">
        <v>1688</v>
      </c>
      <c r="N372" s="4">
        <v>43.0</v>
      </c>
      <c r="O372" s="4">
        <v>1.0</v>
      </c>
      <c r="P372" s="1" t="s">
        <v>33</v>
      </c>
      <c r="Q372" s="5" t="b">
        <v>1</v>
      </c>
      <c r="R372" s="5" t="b">
        <v>0</v>
      </c>
      <c r="S372" s="5" t="b">
        <v>0</v>
      </c>
      <c r="T372" s="4">
        <v>0.0</v>
      </c>
      <c r="U372" s="5" t="b">
        <v>0</v>
      </c>
      <c r="V372" s="11">
        <v>44862.0</v>
      </c>
      <c r="W372" s="10">
        <v>44836.0</v>
      </c>
    </row>
    <row r="373">
      <c r="A373" s="4">
        <v>5030641.0</v>
      </c>
      <c r="B373" s="5" t="b">
        <v>1</v>
      </c>
      <c r="C373" s="6" t="s">
        <v>1689</v>
      </c>
      <c r="D373" s="1" t="s">
        <v>1690</v>
      </c>
      <c r="E373" s="7">
        <v>4743468.0</v>
      </c>
      <c r="F373" s="7">
        <v>856711.0</v>
      </c>
      <c r="G373" s="1" t="s">
        <v>1691</v>
      </c>
      <c r="H373" s="1" t="s">
        <v>1692</v>
      </c>
      <c r="I373" s="8">
        <v>44802.46458449074</v>
      </c>
      <c r="J373" s="9">
        <f>+53388359993</f>
        <v>53388359993</v>
      </c>
      <c r="K373" s="4">
        <v>2.0</v>
      </c>
      <c r="L373" s="7">
        <v>5.0</v>
      </c>
      <c r="M373" s="9"/>
      <c r="N373" s="4">
        <v>6.0</v>
      </c>
      <c r="O373" s="4">
        <v>2.0</v>
      </c>
      <c r="P373" s="1" t="s">
        <v>28</v>
      </c>
      <c r="Q373" s="5" t="b">
        <v>0</v>
      </c>
      <c r="R373" s="5" t="b">
        <v>0</v>
      </c>
      <c r="S373" s="5" t="b">
        <v>0</v>
      </c>
      <c r="T373" s="4" t="s">
        <v>1601</v>
      </c>
      <c r="U373" s="5" t="b">
        <v>1</v>
      </c>
      <c r="V373" s="11">
        <v>44887.0</v>
      </c>
      <c r="W373" s="10">
        <v>44839.0</v>
      </c>
    </row>
    <row r="374">
      <c r="A374" s="4">
        <v>5030644.0</v>
      </c>
      <c r="B374" s="5" t="b">
        <v>1</v>
      </c>
      <c r="C374" s="6" t="s">
        <v>1693</v>
      </c>
      <c r="D374" s="1" t="s">
        <v>1694</v>
      </c>
      <c r="E374" s="7">
        <v>4045994.0</v>
      </c>
      <c r="F374" s="7">
        <v>1725812.0</v>
      </c>
      <c r="G374" s="1" t="s">
        <v>646</v>
      </c>
      <c r="H374" s="1" t="s">
        <v>1695</v>
      </c>
      <c r="I374" s="8">
        <v>44802.558655</v>
      </c>
      <c r="J374" s="9">
        <f>+393883393503</f>
        <v>393883393503</v>
      </c>
      <c r="K374" s="4">
        <v>0.0</v>
      </c>
      <c r="L374" s="7">
        <v>0.0</v>
      </c>
      <c r="M374" s="1">
        <v>7.377333773E9</v>
      </c>
      <c r="N374" s="4">
        <v>167.0</v>
      </c>
      <c r="O374" s="4">
        <v>9.0</v>
      </c>
      <c r="P374" s="1" t="s">
        <v>33</v>
      </c>
      <c r="Q374" s="5" t="b">
        <v>0</v>
      </c>
      <c r="R374" s="5" t="b">
        <v>1</v>
      </c>
      <c r="S374" s="5" t="b">
        <v>1</v>
      </c>
      <c r="T374" s="4">
        <v>0.0</v>
      </c>
      <c r="U374" s="5" t="b">
        <v>0</v>
      </c>
      <c r="V374" s="10">
        <v>44867.0</v>
      </c>
      <c r="W374" s="10">
        <v>44855.0</v>
      </c>
    </row>
    <row r="375">
      <c r="A375" s="4">
        <v>5030646.0</v>
      </c>
      <c r="B375" s="5" t="b">
        <v>1</v>
      </c>
      <c r="C375" s="6" t="s">
        <v>1696</v>
      </c>
      <c r="D375" s="1" t="s">
        <v>1697</v>
      </c>
      <c r="E375" s="7">
        <v>4722608.0</v>
      </c>
      <c r="F375" s="7">
        <v>8991138.0</v>
      </c>
      <c r="G375" s="1" t="s">
        <v>1698</v>
      </c>
      <c r="H375" s="1" t="s">
        <v>1699</v>
      </c>
      <c r="I375" s="8">
        <v>44804.388614675925</v>
      </c>
      <c r="J375" s="9">
        <f>+53395935500</f>
        <v>53395935500</v>
      </c>
      <c r="K375" s="4">
        <v>0.0</v>
      </c>
      <c r="L375" s="7">
        <v>0.0</v>
      </c>
      <c r="M375" s="9"/>
      <c r="N375" s="4">
        <v>34.0</v>
      </c>
      <c r="O375" s="4">
        <v>1.0</v>
      </c>
      <c r="P375" s="1" t="s">
        <v>28</v>
      </c>
      <c r="Q375" s="5" t="b">
        <v>0</v>
      </c>
      <c r="R375" s="5" t="b">
        <v>0</v>
      </c>
      <c r="S375" s="5" t="b">
        <v>0</v>
      </c>
      <c r="T375" s="4">
        <v>0.0</v>
      </c>
      <c r="U375" s="5" t="b">
        <v>0</v>
      </c>
      <c r="V375" s="10">
        <v>44897.0</v>
      </c>
      <c r="W375" s="10">
        <v>44843.0</v>
      </c>
    </row>
    <row r="376">
      <c r="A376" s="4">
        <v>5030655.0</v>
      </c>
      <c r="B376" s="5" t="b">
        <v>1</v>
      </c>
      <c r="C376" s="6" t="s">
        <v>1700</v>
      </c>
      <c r="D376" s="1" t="s">
        <v>1701</v>
      </c>
      <c r="E376" s="7">
        <v>4733677.0</v>
      </c>
      <c r="F376" s="7">
        <v>8525842.0</v>
      </c>
      <c r="G376" s="1" t="s">
        <v>1568</v>
      </c>
      <c r="H376" s="1" t="s">
        <v>1702</v>
      </c>
      <c r="I376" s="8">
        <v>44804.418965069446</v>
      </c>
      <c r="J376" s="9">
        <f>+53393555985</f>
        <v>53393555985</v>
      </c>
      <c r="K376" s="4">
        <v>4.0</v>
      </c>
      <c r="L376" s="7">
        <v>5.0</v>
      </c>
      <c r="M376" s="9"/>
      <c r="N376" s="4">
        <v>23.0</v>
      </c>
      <c r="O376" s="4">
        <v>1.0</v>
      </c>
      <c r="P376" s="1" t="s">
        <v>33</v>
      </c>
      <c r="Q376" s="5" t="b">
        <v>0</v>
      </c>
      <c r="R376" s="5" t="b">
        <v>0</v>
      </c>
      <c r="S376" s="5" t="b">
        <v>0</v>
      </c>
      <c r="T376" s="4" t="s">
        <v>764</v>
      </c>
      <c r="U376" s="5" t="b">
        <v>0</v>
      </c>
      <c r="V376" s="10">
        <v>44837.0</v>
      </c>
      <c r="W376" s="11">
        <v>44865.0</v>
      </c>
    </row>
    <row r="377">
      <c r="A377" s="4">
        <v>5.030705E7</v>
      </c>
      <c r="B377" s="5" t="b">
        <v>1</v>
      </c>
      <c r="C377" s="6" t="s">
        <v>1703</v>
      </c>
      <c r="D377" s="1" t="s">
        <v>1704</v>
      </c>
      <c r="E377" s="7">
        <v>4738011.0</v>
      </c>
      <c r="F377" s="7">
        <v>852724.0</v>
      </c>
      <c r="G377" s="1" t="s">
        <v>1568</v>
      </c>
      <c r="H377" s="1" t="s">
        <v>1705</v>
      </c>
      <c r="I377" s="8">
        <v>44804.605640092595</v>
      </c>
      <c r="J377" s="9">
        <f>+53393033853</f>
        <v>53393033853</v>
      </c>
      <c r="K377" s="4">
        <v>0.0</v>
      </c>
      <c r="L377" s="7">
        <v>0.0</v>
      </c>
      <c r="M377" s="9"/>
      <c r="N377" s="4">
        <v>2.0</v>
      </c>
      <c r="O377" s="4">
        <v>1.0</v>
      </c>
      <c r="P377" s="1" t="s">
        <v>33</v>
      </c>
      <c r="Q377" s="5" t="b">
        <v>1</v>
      </c>
      <c r="R377" s="5" t="b">
        <v>0</v>
      </c>
      <c r="S377" s="5" t="b">
        <v>0</v>
      </c>
      <c r="T377" s="4">
        <v>0.0</v>
      </c>
      <c r="U377" s="5" t="b">
        <v>0</v>
      </c>
      <c r="V377" s="11">
        <v>44859.0</v>
      </c>
      <c r="W377" s="11">
        <v>44860.0</v>
      </c>
    </row>
    <row r="378">
      <c r="A378" s="4">
        <v>5.030753E7</v>
      </c>
      <c r="B378" s="5" t="b">
        <v>1</v>
      </c>
      <c r="C378" s="6" t="s">
        <v>1706</v>
      </c>
      <c r="D378" s="1" t="s">
        <v>1707</v>
      </c>
      <c r="E378" s="7">
        <v>5359439.0</v>
      </c>
      <c r="F378" s="7">
        <v>1000253.0</v>
      </c>
      <c r="G378" s="1" t="s">
        <v>1331</v>
      </c>
      <c r="H378" s="1" t="s">
        <v>1708</v>
      </c>
      <c r="I378" s="8">
        <v>44805.4050102662</v>
      </c>
      <c r="J378" s="9">
        <f>+595083983995</f>
        <v>595083983995</v>
      </c>
      <c r="K378" s="4">
        <v>0.0</v>
      </c>
      <c r="L378" s="7">
        <v>0.0</v>
      </c>
      <c r="M378" s="9"/>
      <c r="N378" s="4">
        <v>23.0</v>
      </c>
      <c r="O378" s="4">
        <v>4.0</v>
      </c>
      <c r="P378" s="1" t="s">
        <v>39</v>
      </c>
      <c r="Q378" s="5" t="b">
        <v>0</v>
      </c>
      <c r="R378" s="5" t="b">
        <v>0</v>
      </c>
      <c r="S378" s="5" t="b">
        <v>0</v>
      </c>
      <c r="T378" s="4">
        <v>0.0</v>
      </c>
      <c r="U378" s="5" t="b">
        <v>0</v>
      </c>
      <c r="V378" s="10">
        <v>44891.0</v>
      </c>
      <c r="W378" s="10">
        <v>44869.0</v>
      </c>
    </row>
    <row r="379">
      <c r="A379" s="4">
        <v>5030740.0</v>
      </c>
      <c r="B379" s="5" t="b">
        <v>1</v>
      </c>
      <c r="C379" s="6" t="s">
        <v>1709</v>
      </c>
      <c r="D379" s="1" t="s">
        <v>1710</v>
      </c>
      <c r="E379" s="7">
        <v>486094.0</v>
      </c>
      <c r="F379" s="7">
        <v>2305167.0</v>
      </c>
      <c r="G379" s="1" t="s">
        <v>1711</v>
      </c>
      <c r="H379" s="1" t="s">
        <v>1712</v>
      </c>
      <c r="I379" s="8">
        <v>44805.53139015046</v>
      </c>
      <c r="J379" s="9">
        <f>+33995358038</f>
        <v>33995358038</v>
      </c>
      <c r="K379" s="4">
        <v>0.0</v>
      </c>
      <c r="L379" s="7">
        <v>0.0</v>
      </c>
      <c r="M379" s="9"/>
      <c r="N379" s="4">
        <v>5.0</v>
      </c>
      <c r="O379" s="4">
        <v>3.0</v>
      </c>
      <c r="P379" s="1" t="s">
        <v>28</v>
      </c>
      <c r="Q379" s="5" t="b">
        <v>0</v>
      </c>
      <c r="R379" s="5" t="b">
        <v>0</v>
      </c>
      <c r="S379" s="5" t="b">
        <v>0</v>
      </c>
      <c r="T379" s="4">
        <v>0.0</v>
      </c>
      <c r="U379" s="5" t="b">
        <v>0</v>
      </c>
      <c r="V379" s="10">
        <v>44903.0</v>
      </c>
      <c r="W379" s="11">
        <v>44880.0</v>
      </c>
    </row>
    <row r="380">
      <c r="A380" s="4">
        <v>5.0307304E7</v>
      </c>
      <c r="B380" s="5" t="b">
        <v>1</v>
      </c>
      <c r="C380" s="6" t="s">
        <v>1713</v>
      </c>
      <c r="D380" s="1" t="s">
        <v>1714</v>
      </c>
      <c r="E380" s="7">
        <v>423506.0</v>
      </c>
      <c r="F380" s="7">
        <v>1339364.0</v>
      </c>
      <c r="G380" s="1" t="s">
        <v>1715</v>
      </c>
      <c r="H380" s="1" t="s">
        <v>1716</v>
      </c>
      <c r="I380" s="8">
        <v>44806.34518336805</v>
      </c>
      <c r="J380" s="9">
        <f>+393935989393</f>
        <v>393935989393</v>
      </c>
      <c r="K380" s="4">
        <v>0.0</v>
      </c>
      <c r="L380" s="7">
        <v>0.0</v>
      </c>
      <c r="M380" s="1">
        <v>7733663.0</v>
      </c>
      <c r="N380" s="4">
        <v>168.0</v>
      </c>
      <c r="O380" s="4">
        <v>7.0</v>
      </c>
      <c r="P380" s="1" t="s">
        <v>39</v>
      </c>
      <c r="Q380" s="5" t="b">
        <v>1</v>
      </c>
      <c r="R380" s="5" t="b">
        <v>0</v>
      </c>
      <c r="S380" s="5" t="b">
        <v>0</v>
      </c>
      <c r="T380" s="4">
        <v>0.0</v>
      </c>
      <c r="U380" s="5" t="b">
        <v>0</v>
      </c>
      <c r="V380" s="11">
        <v>44884.0</v>
      </c>
      <c r="W380" s="11">
        <v>44875.0</v>
      </c>
    </row>
    <row r="381">
      <c r="A381" s="4">
        <v>5.030775E7</v>
      </c>
      <c r="B381" s="5" t="b">
        <v>1</v>
      </c>
      <c r="C381" s="6" t="s">
        <v>1717</v>
      </c>
      <c r="D381" s="1" t="s">
        <v>1718</v>
      </c>
      <c r="E381" s="7">
        <v>4155708.0</v>
      </c>
      <c r="F381" s="7">
        <v>146661.0</v>
      </c>
      <c r="G381" s="1" t="s">
        <v>1719</v>
      </c>
      <c r="H381" s="1" t="s">
        <v>1720</v>
      </c>
      <c r="I381" s="8">
        <v>44806.39143935185</v>
      </c>
      <c r="J381" s="9">
        <f>+3908353953383</f>
        <v>3908353953383</v>
      </c>
      <c r="K381" s="4">
        <v>2.0</v>
      </c>
      <c r="L381" s="7">
        <v>5.0</v>
      </c>
      <c r="M381" s="1">
        <v>7333733.0</v>
      </c>
      <c r="N381" s="4">
        <v>355.0</v>
      </c>
      <c r="O381" s="4">
        <v>7.0</v>
      </c>
      <c r="P381" s="1" t="s">
        <v>39</v>
      </c>
      <c r="Q381" s="5" t="b">
        <v>0</v>
      </c>
      <c r="R381" s="5" t="b">
        <v>0</v>
      </c>
      <c r="S381" s="5" t="b">
        <v>0</v>
      </c>
      <c r="T381" s="4" t="s">
        <v>1601</v>
      </c>
      <c r="U381" s="5" t="b">
        <v>0</v>
      </c>
      <c r="V381" s="11">
        <v>44848.0</v>
      </c>
      <c r="W381" s="11">
        <v>44876.0</v>
      </c>
    </row>
    <row r="382">
      <c r="A382" s="4">
        <v>5030744.0</v>
      </c>
      <c r="B382" s="5" t="b">
        <v>1</v>
      </c>
      <c r="C382" s="6" t="s">
        <v>1721</v>
      </c>
      <c r="D382" s="1" t="s">
        <v>1722</v>
      </c>
      <c r="E382" s="7">
        <v>456827.0</v>
      </c>
      <c r="F382" s="7">
        <v>1194114.0</v>
      </c>
      <c r="G382" s="1" t="s">
        <v>1723</v>
      </c>
      <c r="H382" s="1" t="s">
        <v>1724</v>
      </c>
      <c r="I382" s="8">
        <v>44806.41327278935</v>
      </c>
      <c r="J382" s="9">
        <f>+393383988858</f>
        <v>393383988858</v>
      </c>
      <c r="K382" s="4">
        <v>0.0</v>
      </c>
      <c r="L382" s="7">
        <v>0.0</v>
      </c>
      <c r="M382" s="1">
        <v>3.337773337E9</v>
      </c>
      <c r="N382" s="4">
        <v>55.0</v>
      </c>
      <c r="O382" s="4">
        <v>2.0</v>
      </c>
      <c r="P382" s="1" t="s">
        <v>33</v>
      </c>
      <c r="Q382" s="5" t="b">
        <v>1</v>
      </c>
      <c r="R382" s="5" t="b">
        <v>0</v>
      </c>
      <c r="S382" s="5" t="b">
        <v>0</v>
      </c>
      <c r="T382" s="4">
        <v>0.0</v>
      </c>
      <c r="U382" s="5" t="b">
        <v>0</v>
      </c>
      <c r="V382" s="11">
        <v>44890.0</v>
      </c>
      <c r="W382" s="10">
        <v>44880.0</v>
      </c>
    </row>
    <row r="383">
      <c r="A383" s="4">
        <v>5.030753E7</v>
      </c>
      <c r="B383" s="5" t="b">
        <v>1</v>
      </c>
      <c r="C383" s="6" t="s">
        <v>1725</v>
      </c>
      <c r="D383" s="1" t="s">
        <v>1726</v>
      </c>
      <c r="E383" s="7">
        <v>4551819.0</v>
      </c>
      <c r="F383" s="7">
        <v>1022325.0</v>
      </c>
      <c r="G383" s="1" t="s">
        <v>295</v>
      </c>
      <c r="H383" s="1" t="s">
        <v>1727</v>
      </c>
      <c r="I383" s="8">
        <v>44806.46236391204</v>
      </c>
      <c r="J383" s="9">
        <f>+390303538555</f>
        <v>390303538555</v>
      </c>
      <c r="K383" s="4">
        <v>0.0</v>
      </c>
      <c r="L383" s="7">
        <v>0.0</v>
      </c>
      <c r="M383" s="1">
        <v>633737.0</v>
      </c>
      <c r="N383" s="4">
        <v>20.0</v>
      </c>
      <c r="O383" s="4">
        <v>2.0</v>
      </c>
      <c r="P383" s="1" t="s">
        <v>28</v>
      </c>
      <c r="Q383" s="5" t="b">
        <v>0</v>
      </c>
      <c r="R383" s="5" t="b">
        <v>1</v>
      </c>
      <c r="S383" s="5" t="b">
        <v>0</v>
      </c>
      <c r="T383" s="4">
        <v>0.0</v>
      </c>
      <c r="U383" s="5" t="b">
        <v>0</v>
      </c>
      <c r="V383" s="11">
        <v>44887.0</v>
      </c>
      <c r="W383" s="11">
        <v>44844.0</v>
      </c>
    </row>
    <row r="384">
      <c r="A384" s="4">
        <v>5030756.0</v>
      </c>
      <c r="B384" s="5" t="b">
        <v>1</v>
      </c>
      <c r="C384" s="6" t="s">
        <v>1728</v>
      </c>
      <c r="D384" s="1" t="s">
        <v>1729</v>
      </c>
      <c r="E384" s="7">
        <v>4902795.0</v>
      </c>
      <c r="F384" s="7">
        <v>2222315.0</v>
      </c>
      <c r="G384" s="1" t="s">
        <v>1730</v>
      </c>
      <c r="H384" s="1" t="s">
        <v>1731</v>
      </c>
      <c r="I384" s="8">
        <v>44806.46713267361</v>
      </c>
      <c r="J384" s="9">
        <f>+33989393838</f>
        <v>33989393838</v>
      </c>
      <c r="K384" s="4">
        <v>0.0</v>
      </c>
      <c r="L384" s="7">
        <v>0.0</v>
      </c>
      <c r="M384" s="1" t="s">
        <v>1732</v>
      </c>
      <c r="N384" s="4">
        <v>0.0</v>
      </c>
      <c r="O384" s="4">
        <v>1.0</v>
      </c>
      <c r="P384" s="1" t="s">
        <v>39</v>
      </c>
      <c r="Q384" s="5" t="b">
        <v>1</v>
      </c>
      <c r="R384" s="5" t="b">
        <v>0</v>
      </c>
      <c r="S384" s="5" t="b">
        <v>0</v>
      </c>
      <c r="T384" s="4">
        <v>0.0</v>
      </c>
      <c r="U384" s="5" t="b">
        <v>1</v>
      </c>
      <c r="V384" s="11">
        <v>44846.0</v>
      </c>
      <c r="W384" s="10">
        <v>44840.0</v>
      </c>
    </row>
    <row r="385">
      <c r="A385" s="4">
        <v>5030414.0</v>
      </c>
      <c r="B385" s="5" t="b">
        <v>1</v>
      </c>
      <c r="C385" s="6" t="s">
        <v>298</v>
      </c>
      <c r="D385" s="1" t="s">
        <v>299</v>
      </c>
      <c r="E385" s="7">
        <v>4145661.0</v>
      </c>
      <c r="F385" s="7">
        <v>1290878.0</v>
      </c>
      <c r="G385" s="1" t="s">
        <v>1733</v>
      </c>
      <c r="H385" s="1" t="s">
        <v>1734</v>
      </c>
      <c r="I385" s="8">
        <v>44806.56878548611</v>
      </c>
      <c r="J385" s="9">
        <f>+393899008985</f>
        <v>393899008985</v>
      </c>
      <c r="K385" s="4">
        <v>0.0</v>
      </c>
      <c r="L385" s="7">
        <v>0.0</v>
      </c>
      <c r="M385" s="1">
        <v>7.333333377E9</v>
      </c>
      <c r="N385" s="4">
        <v>67.0</v>
      </c>
      <c r="O385" s="4">
        <v>1.0</v>
      </c>
      <c r="P385" s="1" t="s">
        <v>39</v>
      </c>
      <c r="Q385" s="5" t="b">
        <v>1</v>
      </c>
      <c r="R385" s="5" t="b">
        <v>0</v>
      </c>
      <c r="S385" s="5" t="b">
        <v>0</v>
      </c>
      <c r="T385" s="4">
        <v>0.0</v>
      </c>
      <c r="U385" s="5" t="b">
        <v>0</v>
      </c>
      <c r="V385" s="11">
        <v>44881.0</v>
      </c>
      <c r="W385" s="11">
        <v>44857.0</v>
      </c>
    </row>
    <row r="386">
      <c r="A386" s="4">
        <v>5030454.0</v>
      </c>
      <c r="B386" s="5" t="b">
        <v>1</v>
      </c>
      <c r="C386" s="6" t="s">
        <v>1735</v>
      </c>
      <c r="D386" s="1" t="s">
        <v>1736</v>
      </c>
      <c r="E386" s="7">
        <v>4186115.0</v>
      </c>
      <c r="F386" s="7">
        <v>1255511.0</v>
      </c>
      <c r="G386" s="1" t="s">
        <v>25</v>
      </c>
      <c r="H386" s="1" t="s">
        <v>1737</v>
      </c>
      <c r="I386" s="8">
        <v>44806.61299236111</v>
      </c>
      <c r="J386" s="9">
        <f>+390980939833</f>
        <v>390980939833</v>
      </c>
      <c r="K386" s="4">
        <v>0.0</v>
      </c>
      <c r="L386" s="7">
        <v>0.0</v>
      </c>
      <c r="M386" s="1">
        <v>6.337733333E9</v>
      </c>
      <c r="N386" s="4">
        <v>215.0</v>
      </c>
      <c r="O386" s="4">
        <v>4.0</v>
      </c>
      <c r="P386" s="1" t="s">
        <v>39</v>
      </c>
      <c r="Q386" s="5" t="b">
        <v>0</v>
      </c>
      <c r="R386" s="5" t="b">
        <v>1</v>
      </c>
      <c r="S386" s="5" t="b">
        <v>0</v>
      </c>
      <c r="T386" s="4">
        <v>0.0</v>
      </c>
      <c r="U386" s="5" t="b">
        <v>0</v>
      </c>
      <c r="V386" s="11">
        <v>44862.0</v>
      </c>
      <c r="W386" s="10">
        <v>44897.0</v>
      </c>
    </row>
    <row r="387">
      <c r="A387" s="4">
        <v>5030444.0</v>
      </c>
      <c r="B387" s="5" t="b">
        <v>0</v>
      </c>
      <c r="C387" s="6" t="s">
        <v>1738</v>
      </c>
      <c r="D387" s="1" t="s">
        <v>1739</v>
      </c>
      <c r="E387" s="7">
        <v>450718.0</v>
      </c>
      <c r="F387" s="7">
        <v>755377.0</v>
      </c>
      <c r="G387" s="1" t="s">
        <v>1740</v>
      </c>
      <c r="H387" s="1" t="s">
        <v>1741</v>
      </c>
      <c r="I387" s="8">
        <v>44809.38152783565</v>
      </c>
      <c r="J387" s="9">
        <f>+393595355355</f>
        <v>393595355355</v>
      </c>
      <c r="K387" s="4">
        <v>0.0</v>
      </c>
      <c r="L387" s="7">
        <v>0.0</v>
      </c>
      <c r="M387" s="1">
        <v>7.37333333E8</v>
      </c>
      <c r="N387" s="4">
        <v>4.0</v>
      </c>
      <c r="O387" s="4">
        <v>1.0</v>
      </c>
      <c r="P387" s="1" t="s">
        <v>39</v>
      </c>
      <c r="Q387" s="5" t="b">
        <v>1</v>
      </c>
      <c r="R387" s="5" t="b">
        <v>0</v>
      </c>
      <c r="S387" s="5" t="b">
        <v>0</v>
      </c>
      <c r="T387" s="4">
        <v>0.0</v>
      </c>
      <c r="U387" s="5" t="b">
        <v>0</v>
      </c>
      <c r="V387" s="11">
        <v>44846.0</v>
      </c>
      <c r="W387" s="11">
        <v>44860.0</v>
      </c>
    </row>
    <row r="388">
      <c r="A388" s="4">
        <v>5030454.0</v>
      </c>
      <c r="B388" s="5" t="b">
        <v>1</v>
      </c>
      <c r="C388" s="6" t="s">
        <v>1742</v>
      </c>
      <c r="D388" s="1" t="s">
        <v>1743</v>
      </c>
      <c r="E388" s="7">
        <v>3875461.0</v>
      </c>
      <c r="F388" s="7">
        <v>-895981.0</v>
      </c>
      <c r="G388" s="1" t="s">
        <v>1744</v>
      </c>
      <c r="H388" s="1" t="s">
        <v>1745</v>
      </c>
      <c r="I388" s="8">
        <v>44810.523151712965</v>
      </c>
      <c r="J388" s="9">
        <f>+353933393855</f>
        <v>353933393855</v>
      </c>
      <c r="K388" s="4">
        <v>0.0</v>
      </c>
      <c r="L388" s="7">
        <v>0.0</v>
      </c>
      <c r="M388" s="1">
        <v>3337377.0</v>
      </c>
      <c r="N388" s="4">
        <v>0.0</v>
      </c>
      <c r="O388" s="4">
        <v>1.0</v>
      </c>
      <c r="P388" s="1" t="s">
        <v>39</v>
      </c>
      <c r="Q388" s="5" t="b">
        <v>0</v>
      </c>
      <c r="R388" s="5" t="b">
        <v>1</v>
      </c>
      <c r="S388" s="5" t="b">
        <v>0</v>
      </c>
      <c r="T388" s="4">
        <v>0.0</v>
      </c>
      <c r="U388" s="5" t="b">
        <v>0</v>
      </c>
      <c r="V388" s="10">
        <v>44900.0</v>
      </c>
      <c r="W388" s="10">
        <v>44836.0</v>
      </c>
    </row>
    <row r="389">
      <c r="A389" s="4">
        <v>5030507.0</v>
      </c>
      <c r="B389" s="5" t="b">
        <v>1</v>
      </c>
      <c r="C389" s="6" t="s">
        <v>222</v>
      </c>
      <c r="D389" s="1" t="s">
        <v>223</v>
      </c>
      <c r="E389" s="7">
        <v>5473806.0</v>
      </c>
      <c r="F389" s="7">
        <v>2526615.0</v>
      </c>
      <c r="G389" s="1" t="s">
        <v>1746</v>
      </c>
      <c r="H389" s="1" t="s">
        <v>1747</v>
      </c>
      <c r="I389" s="8">
        <v>44810.60213128472</v>
      </c>
      <c r="J389" s="9">
        <f>+33098090333</f>
        <v>33098090333</v>
      </c>
      <c r="K389" s="4">
        <v>4.0</v>
      </c>
      <c r="L389" s="7" t="s">
        <v>184</v>
      </c>
      <c r="M389" s="9"/>
      <c r="N389" s="4">
        <v>358.0</v>
      </c>
      <c r="O389" s="4">
        <v>6.0</v>
      </c>
      <c r="P389" s="1" t="s">
        <v>28</v>
      </c>
      <c r="Q389" s="5" t="b">
        <v>0</v>
      </c>
      <c r="R389" s="5" t="b">
        <v>0</v>
      </c>
      <c r="S389" s="5" t="b">
        <v>0</v>
      </c>
      <c r="T389" s="4" t="s">
        <v>1748</v>
      </c>
      <c r="U389" s="5" t="b">
        <v>0</v>
      </c>
      <c r="V389" s="11">
        <v>44860.0</v>
      </c>
      <c r="W389" s="11">
        <v>44858.0</v>
      </c>
    </row>
    <row r="390">
      <c r="A390" s="4">
        <v>5.030515E7</v>
      </c>
      <c r="B390" s="5" t="b">
        <v>1</v>
      </c>
      <c r="C390" s="6" t="s">
        <v>1749</v>
      </c>
      <c r="D390" s="1" t="s">
        <v>1750</v>
      </c>
      <c r="E390" s="7">
        <v>5160598.0</v>
      </c>
      <c r="F390" s="7">
        <v>52957.0</v>
      </c>
      <c r="G390" s="1" t="s">
        <v>1751</v>
      </c>
      <c r="H390" s="1" t="s">
        <v>1752</v>
      </c>
      <c r="I390" s="8">
        <v>44811.31270530092</v>
      </c>
      <c r="J390" s="9">
        <f>+553383003593</f>
        <v>553383003593</v>
      </c>
      <c r="K390" s="4">
        <v>0.0</v>
      </c>
      <c r="L390" s="7">
        <v>0.0</v>
      </c>
      <c r="M390" s="9"/>
      <c r="N390" s="4">
        <v>14.0</v>
      </c>
      <c r="O390" s="4">
        <v>5.0</v>
      </c>
      <c r="P390" s="1" t="s">
        <v>33</v>
      </c>
      <c r="Q390" s="5" t="b">
        <v>1</v>
      </c>
      <c r="R390" s="5" t="b">
        <v>0</v>
      </c>
      <c r="S390" s="5" t="b">
        <v>0</v>
      </c>
      <c r="T390" s="4">
        <v>0.0</v>
      </c>
      <c r="U390" s="5" t="b">
        <v>0</v>
      </c>
      <c r="V390" s="10">
        <v>44866.0</v>
      </c>
      <c r="W390" s="11">
        <v>44894.0</v>
      </c>
    </row>
    <row r="391">
      <c r="A391" s="4">
        <v>5030515.0</v>
      </c>
      <c r="B391" s="5" t="b">
        <v>1</v>
      </c>
      <c r="C391" s="6" t="s">
        <v>1753</v>
      </c>
      <c r="D391" s="1" t="s">
        <v>1754</v>
      </c>
      <c r="E391" s="7">
        <v>4138575.0</v>
      </c>
      <c r="F391" s="7">
        <v>2158795.0</v>
      </c>
      <c r="G391" s="1" t="s">
        <v>182</v>
      </c>
      <c r="H391" s="1" t="s">
        <v>1755</v>
      </c>
      <c r="I391" s="8">
        <v>44811.393719074076</v>
      </c>
      <c r="J391" s="9">
        <f>+35900358859</f>
        <v>35900358859</v>
      </c>
      <c r="K391" s="4">
        <v>0.0</v>
      </c>
      <c r="L391" s="7">
        <v>0.0</v>
      </c>
      <c r="M391" s="1" t="s">
        <v>1756</v>
      </c>
      <c r="N391" s="4">
        <v>120.0</v>
      </c>
      <c r="O391" s="4">
        <v>4.0</v>
      </c>
      <c r="P391" s="1" t="s">
        <v>39</v>
      </c>
      <c r="Q391" s="5" t="b">
        <v>0</v>
      </c>
      <c r="R391" s="5" t="b">
        <v>1</v>
      </c>
      <c r="S391" s="5" t="b">
        <v>0</v>
      </c>
      <c r="T391" s="4">
        <v>0.0</v>
      </c>
      <c r="U391" s="5" t="b">
        <v>0</v>
      </c>
      <c r="V391" s="10">
        <v>44873.0</v>
      </c>
      <c r="W391" s="10">
        <v>44842.0</v>
      </c>
    </row>
    <row r="392">
      <c r="A392" s="4">
        <v>5030550.0</v>
      </c>
      <c r="B392" s="5" t="b">
        <v>1</v>
      </c>
      <c r="C392" s="6" t="s">
        <v>1757</v>
      </c>
      <c r="D392" s="1" t="s">
        <v>1758</v>
      </c>
      <c r="E392" s="7">
        <v>4157657.0</v>
      </c>
      <c r="F392" s="7">
        <v>2019856.0</v>
      </c>
      <c r="G392" s="1" t="s">
        <v>1145</v>
      </c>
      <c r="H392" s="1" t="s">
        <v>1759</v>
      </c>
      <c r="I392" s="8">
        <v>44811.40806513889</v>
      </c>
      <c r="J392" s="9">
        <f>+35958389533</f>
        <v>35958389533</v>
      </c>
      <c r="K392" s="4">
        <v>0.0</v>
      </c>
      <c r="L392" s="7">
        <v>0.0</v>
      </c>
      <c r="M392" s="1" t="s">
        <v>1760</v>
      </c>
      <c r="N392" s="4">
        <v>54.0</v>
      </c>
      <c r="O392" s="4">
        <v>4.0</v>
      </c>
      <c r="P392" s="1" t="s">
        <v>28</v>
      </c>
      <c r="Q392" s="5" t="b">
        <v>0</v>
      </c>
      <c r="R392" s="5" t="b">
        <v>1</v>
      </c>
      <c r="S392" s="5" t="b">
        <v>0</v>
      </c>
      <c r="T392" s="4">
        <v>0.0</v>
      </c>
      <c r="U392" s="5" t="b">
        <v>1</v>
      </c>
      <c r="V392" s="10">
        <v>44880.0</v>
      </c>
      <c r="W392" s="10">
        <v>44860.0</v>
      </c>
    </row>
    <row r="393">
      <c r="A393" s="4">
        <v>5.030543E7</v>
      </c>
      <c r="B393" s="5" t="b">
        <v>1</v>
      </c>
      <c r="C393" s="6" t="s">
        <v>1761</v>
      </c>
      <c r="D393" s="1" t="s">
        <v>1762</v>
      </c>
      <c r="E393" s="7">
        <v>5155359.0</v>
      </c>
      <c r="F393" s="7">
        <v>-4503.0</v>
      </c>
      <c r="G393" s="1" t="s">
        <v>1367</v>
      </c>
      <c r="H393" s="1" t="s">
        <v>1763</v>
      </c>
      <c r="I393" s="8">
        <v>44812.29374326389</v>
      </c>
      <c r="J393" s="9">
        <f>+553858939330</f>
        <v>553858939330</v>
      </c>
      <c r="K393" s="4">
        <v>0.0</v>
      </c>
      <c r="L393" s="7">
        <v>0.0</v>
      </c>
      <c r="M393" s="9"/>
      <c r="N393" s="4">
        <v>21.0</v>
      </c>
      <c r="O393" s="4">
        <v>2.0</v>
      </c>
      <c r="P393" s="1" t="s">
        <v>39</v>
      </c>
      <c r="Q393" s="5" t="b">
        <v>0</v>
      </c>
      <c r="R393" s="5" t="b">
        <v>0</v>
      </c>
      <c r="S393" s="5" t="b">
        <v>0</v>
      </c>
      <c r="T393" s="4">
        <v>0.0</v>
      </c>
      <c r="U393" s="5" t="b">
        <v>0</v>
      </c>
      <c r="V393" s="10">
        <v>44862.0</v>
      </c>
      <c r="W393" s="10">
        <v>44839.0</v>
      </c>
    </row>
    <row r="394">
      <c r="A394" s="4">
        <v>5030577.0</v>
      </c>
      <c r="B394" s="5" t="b">
        <v>1</v>
      </c>
      <c r="C394" s="6" t="s">
        <v>1764</v>
      </c>
      <c r="D394" s="1" t="s">
        <v>1765</v>
      </c>
      <c r="E394" s="7">
        <v>5064203.0</v>
      </c>
      <c r="F394" s="7">
        <v>5574812.0</v>
      </c>
      <c r="G394" s="1" t="s">
        <v>1766</v>
      </c>
      <c r="H394" s="1" t="s">
        <v>1767</v>
      </c>
      <c r="I394" s="8">
        <v>44812.488582962964</v>
      </c>
      <c r="J394" s="9">
        <f>+38588899998</f>
        <v>38588899998</v>
      </c>
      <c r="K394" s="4">
        <v>0.0</v>
      </c>
      <c r="L394" s="7">
        <v>0.0</v>
      </c>
      <c r="M394" s="9"/>
      <c r="N394" s="4">
        <v>58.0</v>
      </c>
      <c r="O394" s="4">
        <v>1.0</v>
      </c>
      <c r="P394" s="1" t="s">
        <v>28</v>
      </c>
      <c r="Q394" s="5" t="b">
        <v>1</v>
      </c>
      <c r="R394" s="5" t="b">
        <v>0</v>
      </c>
      <c r="S394" s="5" t="b">
        <v>0</v>
      </c>
      <c r="T394" s="4">
        <v>0.0</v>
      </c>
      <c r="U394" s="5" t="b">
        <v>0</v>
      </c>
      <c r="V394" s="11">
        <v>44892.0</v>
      </c>
      <c r="W394" s="11">
        <v>44845.0</v>
      </c>
    </row>
    <row r="395">
      <c r="A395" s="4">
        <v>5030540.0</v>
      </c>
      <c r="B395" s="5" t="b">
        <v>1</v>
      </c>
      <c r="C395" s="6" t="s">
        <v>1768</v>
      </c>
      <c r="D395" s="1" t="s">
        <v>1769</v>
      </c>
      <c r="E395" s="7">
        <v>4173971.0</v>
      </c>
      <c r="F395" s="7">
        <v>1235958.0</v>
      </c>
      <c r="G395" s="1" t="s">
        <v>25</v>
      </c>
      <c r="H395" s="1" t="s">
        <v>1770</v>
      </c>
      <c r="I395" s="8">
        <v>44812.5129818287</v>
      </c>
      <c r="J395" s="9">
        <f>+393883383505</f>
        <v>393883383505</v>
      </c>
      <c r="K395" s="4">
        <v>0.0</v>
      </c>
      <c r="L395" s="7">
        <v>0.0</v>
      </c>
      <c r="M395" s="1" t="s">
        <v>1771</v>
      </c>
      <c r="N395" s="4">
        <v>6.0</v>
      </c>
      <c r="O395" s="4">
        <v>1.0</v>
      </c>
      <c r="P395" s="1" t="s">
        <v>33</v>
      </c>
      <c r="Q395" s="5" t="b">
        <v>0</v>
      </c>
      <c r="R395" s="5" t="b">
        <v>1</v>
      </c>
      <c r="S395" s="5" t="b">
        <v>0</v>
      </c>
      <c r="T395" s="4">
        <v>0.0</v>
      </c>
      <c r="U395" s="5" t="b">
        <v>0</v>
      </c>
      <c r="V395" s="11">
        <v>44876.0</v>
      </c>
      <c r="W395" s="10">
        <v>44873.0</v>
      </c>
    </row>
    <row r="396">
      <c r="A396" s="4">
        <v>5030545.0</v>
      </c>
      <c r="B396" s="5" t="b">
        <v>1</v>
      </c>
      <c r="C396" s="6" t="s">
        <v>1772</v>
      </c>
      <c r="D396" s="1" t="s">
        <v>1773</v>
      </c>
      <c r="E396" s="7">
        <v>5151587.0</v>
      </c>
      <c r="F396" s="7">
        <v>-13176.0</v>
      </c>
      <c r="G396" s="1" t="s">
        <v>1367</v>
      </c>
      <c r="H396" s="1" t="s">
        <v>1774</v>
      </c>
      <c r="I396" s="8">
        <v>44812.547197569445</v>
      </c>
      <c r="J396" s="9">
        <f>+553389538553</f>
        <v>553389538553</v>
      </c>
      <c r="K396" s="4">
        <v>35.0</v>
      </c>
      <c r="L396" s="7">
        <v>5.0</v>
      </c>
      <c r="M396" s="9"/>
      <c r="N396" s="4">
        <v>65.0</v>
      </c>
      <c r="O396" s="4">
        <v>1.0</v>
      </c>
      <c r="P396" s="1" t="s">
        <v>28</v>
      </c>
      <c r="Q396" s="5" t="b">
        <v>0</v>
      </c>
      <c r="R396" s="5" t="b">
        <v>0</v>
      </c>
      <c r="S396" s="5" t="b">
        <v>0</v>
      </c>
      <c r="T396" s="4" t="s">
        <v>287</v>
      </c>
      <c r="U396" s="5" t="b">
        <v>0</v>
      </c>
      <c r="V396" s="10">
        <v>44886.0</v>
      </c>
      <c r="W396" s="11">
        <v>44855.0</v>
      </c>
    </row>
    <row r="397">
      <c r="A397" s="4">
        <v>5030544.0</v>
      </c>
      <c r="B397" s="5" t="b">
        <v>1</v>
      </c>
      <c r="C397" s="6" t="s">
        <v>1775</v>
      </c>
      <c r="D397" s="1" t="s">
        <v>1776</v>
      </c>
      <c r="E397" s="7">
        <v>5241679.0</v>
      </c>
      <c r="F397" s="7">
        <v>-196989.0</v>
      </c>
      <c r="G397" s="1" t="s">
        <v>1777</v>
      </c>
      <c r="H397" s="1" t="s">
        <v>1778</v>
      </c>
      <c r="I397" s="8">
        <v>44812.55798247685</v>
      </c>
      <c r="J397" s="9">
        <f>+553398030853</f>
        <v>553398030853</v>
      </c>
      <c r="K397" s="4">
        <v>0.0</v>
      </c>
      <c r="L397" s="7">
        <v>0.0</v>
      </c>
      <c r="M397" s="9"/>
      <c r="N397" s="4">
        <v>42.0</v>
      </c>
      <c r="O397" s="4">
        <v>1.0</v>
      </c>
      <c r="P397" s="1" t="s">
        <v>33</v>
      </c>
      <c r="Q397" s="5" t="b">
        <v>0</v>
      </c>
      <c r="R397" s="5" t="b">
        <v>0</v>
      </c>
      <c r="S397" s="5" t="b">
        <v>0</v>
      </c>
      <c r="T397" s="4">
        <v>0.0</v>
      </c>
      <c r="U397" s="5" t="b">
        <v>1</v>
      </c>
      <c r="V397" s="11">
        <v>44884.0</v>
      </c>
      <c r="W397" s="10">
        <v>44903.0</v>
      </c>
    </row>
    <row r="398">
      <c r="A398" s="4">
        <v>5030547.0</v>
      </c>
      <c r="B398" s="5" t="b">
        <v>1</v>
      </c>
      <c r="C398" s="6" t="s">
        <v>1779</v>
      </c>
      <c r="D398" s="1" t="s">
        <v>1780</v>
      </c>
      <c r="E398" s="7">
        <v>5587099.0</v>
      </c>
      <c r="F398" s="7">
        <v>-430921.0</v>
      </c>
      <c r="G398" s="1" t="s">
        <v>1781</v>
      </c>
      <c r="H398" s="1" t="s">
        <v>1782</v>
      </c>
      <c r="I398" s="8">
        <v>44812.59370605324</v>
      </c>
      <c r="J398" s="9">
        <f>+553983830988</f>
        <v>553983830988</v>
      </c>
      <c r="K398" s="4">
        <v>2.0</v>
      </c>
      <c r="L398" s="7">
        <v>5.0</v>
      </c>
      <c r="M398" s="9"/>
      <c r="N398" s="4">
        <v>37.0</v>
      </c>
      <c r="O398" s="4">
        <v>1.0</v>
      </c>
      <c r="P398" s="1" t="s">
        <v>33</v>
      </c>
      <c r="Q398" s="5" t="b">
        <v>0</v>
      </c>
      <c r="R398" s="5" t="b">
        <v>0</v>
      </c>
      <c r="S398" s="5" t="b">
        <v>0</v>
      </c>
      <c r="T398" s="4" t="s">
        <v>1601</v>
      </c>
      <c r="U398" s="5" t="b">
        <v>0</v>
      </c>
      <c r="V398" s="11">
        <v>44884.0</v>
      </c>
      <c r="W398" s="10">
        <v>44898.0</v>
      </c>
    </row>
    <row r="399">
      <c r="A399" s="4">
        <v>5030556.0</v>
      </c>
      <c r="B399" s="5" t="b">
        <v>1</v>
      </c>
      <c r="C399" s="6" t="s">
        <v>1783</v>
      </c>
      <c r="D399" s="1" t="s">
        <v>1784</v>
      </c>
      <c r="E399" s="7">
        <v>4062633.0</v>
      </c>
      <c r="F399" s="7">
        <v>1794175.0</v>
      </c>
      <c r="G399" s="1" t="s">
        <v>1785</v>
      </c>
      <c r="H399" s="1" t="s">
        <v>1786</v>
      </c>
      <c r="I399" s="8">
        <v>44813.35940269676</v>
      </c>
      <c r="J399" s="9">
        <f>+393809099085</f>
        <v>393809099085</v>
      </c>
      <c r="K399" s="4">
        <v>0.0</v>
      </c>
      <c r="L399" s="7">
        <v>0.0</v>
      </c>
      <c r="M399" s="1">
        <v>6.33333733E8</v>
      </c>
      <c r="N399" s="4">
        <v>52.0</v>
      </c>
      <c r="O399" s="4">
        <v>3.0</v>
      </c>
      <c r="P399" s="1" t="s">
        <v>39</v>
      </c>
      <c r="Q399" s="5" t="b">
        <v>0</v>
      </c>
      <c r="R399" s="5" t="b">
        <v>1</v>
      </c>
      <c r="S399" s="5" t="b">
        <v>1</v>
      </c>
      <c r="T399" s="4">
        <v>0.0</v>
      </c>
      <c r="U399" s="5" t="b">
        <v>1</v>
      </c>
      <c r="V399" s="10">
        <v>44899.0</v>
      </c>
      <c r="W399" s="11">
        <v>44870.0</v>
      </c>
    </row>
    <row r="400">
      <c r="A400" s="4">
        <v>5030555.0</v>
      </c>
      <c r="B400" s="5" t="b">
        <v>0</v>
      </c>
      <c r="C400" s="6" t="s">
        <v>1735</v>
      </c>
      <c r="D400" s="1" t="s">
        <v>1736</v>
      </c>
      <c r="E400" s="7">
        <v>5346206.0</v>
      </c>
      <c r="F400" s="7">
        <v>-217329.0</v>
      </c>
      <c r="G400" s="1" t="s">
        <v>1271</v>
      </c>
      <c r="H400" s="1" t="s">
        <v>1787</v>
      </c>
      <c r="I400" s="8">
        <v>44813.37285328704</v>
      </c>
      <c r="J400" s="9">
        <f>+553939339890</f>
        <v>553939339890</v>
      </c>
      <c r="K400" s="4">
        <v>1.0</v>
      </c>
      <c r="L400" s="7">
        <v>5.0</v>
      </c>
      <c r="M400" s="9"/>
      <c r="N400" s="4">
        <v>29.0</v>
      </c>
      <c r="O400" s="4">
        <v>2.0</v>
      </c>
      <c r="P400" s="1" t="s">
        <v>33</v>
      </c>
      <c r="Q400" s="5" t="b">
        <v>0</v>
      </c>
      <c r="R400" s="5" t="b">
        <v>0</v>
      </c>
      <c r="S400" s="5" t="b">
        <v>0</v>
      </c>
      <c r="T400" s="4" t="s">
        <v>323</v>
      </c>
      <c r="U400" s="5" t="b">
        <v>0</v>
      </c>
      <c r="V400" s="10">
        <v>44900.0</v>
      </c>
      <c r="W400" s="11">
        <v>44849.0</v>
      </c>
    </row>
    <row r="401">
      <c r="A401" s="4">
        <v>5060150.0</v>
      </c>
      <c r="B401" s="5" t="b">
        <v>1</v>
      </c>
      <c r="C401" s="6" t="s">
        <v>1788</v>
      </c>
      <c r="D401" s="1" t="s">
        <v>1789</v>
      </c>
      <c r="E401" s="7">
        <v>5167397.0</v>
      </c>
      <c r="F401" s="7">
        <v>-33074.0</v>
      </c>
      <c r="G401" s="1" t="s">
        <v>1790</v>
      </c>
      <c r="H401" s="1" t="s">
        <v>1791</v>
      </c>
      <c r="I401" s="8">
        <v>44813.480383368056</v>
      </c>
      <c r="J401" s="9">
        <f>+553833338339</f>
        <v>553833338339</v>
      </c>
      <c r="K401" s="4">
        <v>0.0</v>
      </c>
      <c r="L401" s="7">
        <v>0.0</v>
      </c>
      <c r="M401" s="9"/>
      <c r="N401" s="4">
        <v>0.0</v>
      </c>
      <c r="O401" s="4">
        <v>0.0</v>
      </c>
      <c r="P401" s="1" t="s">
        <v>28</v>
      </c>
      <c r="Q401" s="5" t="b">
        <v>1</v>
      </c>
      <c r="R401" s="5" t="b">
        <v>0</v>
      </c>
      <c r="S401" s="5" t="b">
        <v>0</v>
      </c>
      <c r="T401" s="4">
        <v>0.0</v>
      </c>
      <c r="U401" s="5" t="b">
        <v>0</v>
      </c>
      <c r="V401" s="10">
        <v>44900.0</v>
      </c>
      <c r="W401" s="10">
        <v>44900.0</v>
      </c>
    </row>
    <row r="402">
      <c r="A402" s="4">
        <v>5.060305E7</v>
      </c>
      <c r="B402" s="5" t="b">
        <v>1</v>
      </c>
      <c r="C402" s="6" t="s">
        <v>1792</v>
      </c>
      <c r="D402" s="1" t="s">
        <v>1793</v>
      </c>
      <c r="E402" s="7">
        <v>3805542.0</v>
      </c>
      <c r="F402" s="7">
        <v>2380421.0</v>
      </c>
      <c r="G402" s="1" t="s">
        <v>903</v>
      </c>
      <c r="H402" s="1" t="s">
        <v>1794</v>
      </c>
      <c r="I402" s="8">
        <v>44816.571914837965</v>
      </c>
      <c r="J402" s="9">
        <f>+308309353385</f>
        <v>308309353385</v>
      </c>
      <c r="K402" s="4">
        <v>0.0</v>
      </c>
      <c r="L402" s="7">
        <v>0.0</v>
      </c>
      <c r="M402" s="1">
        <v>7.3736377E7</v>
      </c>
      <c r="N402" s="4">
        <v>1156.0</v>
      </c>
      <c r="O402" s="4">
        <v>2.0</v>
      </c>
      <c r="P402" s="1" t="s">
        <v>39</v>
      </c>
      <c r="Q402" s="5" t="b">
        <v>0</v>
      </c>
      <c r="R402" s="5" t="b">
        <v>1</v>
      </c>
      <c r="S402" s="5" t="b">
        <v>0</v>
      </c>
      <c r="T402" s="4">
        <v>0.0</v>
      </c>
      <c r="U402" s="5" t="b">
        <v>0</v>
      </c>
      <c r="V402" s="11">
        <v>44894.0</v>
      </c>
      <c r="W402" s="11">
        <v>44851.0</v>
      </c>
    </row>
    <row r="403">
      <c r="A403" s="4">
        <v>506074.0</v>
      </c>
      <c r="B403" s="5" t="b">
        <v>1</v>
      </c>
      <c r="C403" s="6" t="s">
        <v>1795</v>
      </c>
      <c r="D403" s="1" t="s">
        <v>1796</v>
      </c>
      <c r="E403" s="7">
        <v>4565026.0</v>
      </c>
      <c r="F403" s="7">
        <v>1377898.0</v>
      </c>
      <c r="G403" s="1" t="s">
        <v>1797</v>
      </c>
      <c r="H403" s="1" t="s">
        <v>1798</v>
      </c>
      <c r="I403" s="8">
        <v>44817.41632927083</v>
      </c>
      <c r="J403" s="9">
        <f>+393580803883</f>
        <v>393580803883</v>
      </c>
      <c r="K403" s="4">
        <v>0.0</v>
      </c>
      <c r="L403" s="7">
        <v>0.0</v>
      </c>
      <c r="M403" s="1">
        <v>7.7373736E7</v>
      </c>
      <c r="N403" s="4">
        <v>296.0</v>
      </c>
      <c r="O403" s="4">
        <v>1.0</v>
      </c>
      <c r="P403" s="1" t="s">
        <v>39</v>
      </c>
      <c r="Q403" s="5" t="b">
        <v>0</v>
      </c>
      <c r="R403" s="5" t="b">
        <v>1</v>
      </c>
      <c r="S403" s="5" t="b">
        <v>0</v>
      </c>
      <c r="T403" s="4">
        <v>0.0</v>
      </c>
      <c r="U403" s="5" t="b">
        <v>0</v>
      </c>
      <c r="V403" s="10">
        <v>44868.0</v>
      </c>
      <c r="W403" s="10">
        <v>44845.0</v>
      </c>
    </row>
    <row r="404">
      <c r="A404" s="4">
        <v>506044.0</v>
      </c>
      <c r="B404" s="5" t="b">
        <v>1</v>
      </c>
      <c r="C404" s="6" t="s">
        <v>272</v>
      </c>
      <c r="D404" s="1" t="s">
        <v>273</v>
      </c>
      <c r="E404" s="7">
        <v>4176931.0</v>
      </c>
      <c r="F404" s="7">
        <v>1266087.0</v>
      </c>
      <c r="G404" s="1" t="s">
        <v>1799</v>
      </c>
      <c r="H404" s="1" t="s">
        <v>1800</v>
      </c>
      <c r="I404" s="8">
        <v>44817.525280601854</v>
      </c>
      <c r="J404" s="9">
        <f>+390933039939</f>
        <v>390933039939</v>
      </c>
      <c r="K404" s="4">
        <v>0.0</v>
      </c>
      <c r="L404" s="7">
        <v>0.0</v>
      </c>
      <c r="M404" s="1">
        <v>6.733763333E9</v>
      </c>
      <c r="N404" s="4">
        <v>1.0</v>
      </c>
      <c r="O404" s="4">
        <v>4.0</v>
      </c>
      <c r="P404" s="1" t="s">
        <v>33</v>
      </c>
      <c r="Q404" s="5" t="b">
        <v>1</v>
      </c>
      <c r="R404" s="5" t="b">
        <v>0</v>
      </c>
      <c r="S404" s="5" t="b">
        <v>0</v>
      </c>
      <c r="T404" s="4">
        <v>0.0</v>
      </c>
      <c r="U404" s="5" t="b">
        <v>0</v>
      </c>
      <c r="V404" s="11">
        <v>44857.0</v>
      </c>
      <c r="W404" s="11">
        <v>44884.0</v>
      </c>
    </row>
    <row r="405">
      <c r="A405" s="4">
        <v>506046.0</v>
      </c>
      <c r="B405" s="5" t="b">
        <v>1</v>
      </c>
      <c r="C405" s="6" t="s">
        <v>1801</v>
      </c>
      <c r="D405" s="1" t="s">
        <v>1802</v>
      </c>
      <c r="E405" s="7">
        <v>4886664.0</v>
      </c>
      <c r="F405" s="7">
        <v>2285022.0</v>
      </c>
      <c r="G405" s="1" t="s">
        <v>365</v>
      </c>
      <c r="H405" s="1" t="s">
        <v>1803</v>
      </c>
      <c r="I405" s="8">
        <v>44817.5377274537</v>
      </c>
      <c r="J405" s="9">
        <f>+33358858880</f>
        <v>33358858880</v>
      </c>
      <c r="K405" s="4">
        <v>0.0</v>
      </c>
      <c r="L405" s="7">
        <v>0.0</v>
      </c>
      <c r="M405" s="1" t="s">
        <v>1804</v>
      </c>
      <c r="N405" s="4">
        <v>30.0</v>
      </c>
      <c r="O405" s="4">
        <v>2.0</v>
      </c>
      <c r="P405" s="1" t="s">
        <v>39</v>
      </c>
      <c r="Q405" s="5" t="b">
        <v>0</v>
      </c>
      <c r="R405" s="5" t="b">
        <v>1</v>
      </c>
      <c r="S405" s="5" t="b">
        <v>0</v>
      </c>
      <c r="T405" s="4">
        <v>0.0</v>
      </c>
      <c r="U405" s="5" t="b">
        <v>0</v>
      </c>
      <c r="V405" s="11">
        <v>44837.0</v>
      </c>
      <c r="W405" s="10">
        <v>44867.0</v>
      </c>
    </row>
    <row r="406">
      <c r="A406" s="4">
        <v>506110.0</v>
      </c>
      <c r="B406" s="5" t="b">
        <v>1</v>
      </c>
      <c r="C406" s="6" t="s">
        <v>1805</v>
      </c>
      <c r="D406" s="1" t="s">
        <v>1806</v>
      </c>
      <c r="E406" s="7">
        <v>5156745.0</v>
      </c>
      <c r="F406" s="7">
        <v>-12217.0</v>
      </c>
      <c r="G406" s="1" t="s">
        <v>1367</v>
      </c>
      <c r="H406" s="1" t="s">
        <v>1807</v>
      </c>
      <c r="I406" s="8">
        <v>44818.3888516088</v>
      </c>
      <c r="J406" s="9">
        <f>+553380535353</f>
        <v>553380535353</v>
      </c>
      <c r="K406" s="4">
        <v>0.0</v>
      </c>
      <c r="L406" s="7">
        <v>0.0</v>
      </c>
      <c r="M406" s="9"/>
      <c r="N406" s="4">
        <v>73.0</v>
      </c>
      <c r="O406" s="4">
        <v>3.0</v>
      </c>
      <c r="P406" s="1" t="s">
        <v>33</v>
      </c>
      <c r="Q406" s="5" t="b">
        <v>0</v>
      </c>
      <c r="R406" s="5" t="b">
        <v>1</v>
      </c>
      <c r="S406" s="5" t="b">
        <v>0</v>
      </c>
      <c r="T406" s="4">
        <v>0.0</v>
      </c>
      <c r="U406" s="5" t="b">
        <v>0</v>
      </c>
      <c r="V406" s="11">
        <v>44881.0</v>
      </c>
      <c r="W406" s="11">
        <v>44850.0</v>
      </c>
    </row>
    <row r="407">
      <c r="A407" s="4">
        <v>506115.0</v>
      </c>
      <c r="B407" s="5" t="b">
        <v>1</v>
      </c>
      <c r="C407" s="6" t="s">
        <v>1808</v>
      </c>
      <c r="D407" s="1" t="s">
        <v>1809</v>
      </c>
      <c r="E407" s="7">
        <v>5147903.0</v>
      </c>
      <c r="F407" s="7">
        <v>-19951.0</v>
      </c>
      <c r="G407" s="1" t="s">
        <v>1367</v>
      </c>
      <c r="H407" s="1" t="s">
        <v>1810</v>
      </c>
      <c r="I407" s="8">
        <v>44818.44383037037</v>
      </c>
      <c r="J407" s="9">
        <f>+558035330800</f>
        <v>558035330800</v>
      </c>
      <c r="K407" s="4">
        <v>0.0</v>
      </c>
      <c r="L407" s="7">
        <v>0.0</v>
      </c>
      <c r="M407" s="9"/>
      <c r="N407" s="4">
        <v>0.0</v>
      </c>
      <c r="O407" s="4">
        <v>4.0</v>
      </c>
      <c r="P407" s="1" t="s">
        <v>28</v>
      </c>
      <c r="Q407" s="5" t="b">
        <v>1</v>
      </c>
      <c r="R407" s="5" t="b">
        <v>0</v>
      </c>
      <c r="S407" s="5" t="b">
        <v>1</v>
      </c>
      <c r="T407" s="4">
        <v>0.0</v>
      </c>
      <c r="U407" s="5" t="b">
        <v>0</v>
      </c>
      <c r="V407" s="10">
        <v>44835.0</v>
      </c>
      <c r="W407" s="10">
        <v>44839.0</v>
      </c>
    </row>
    <row r="408">
      <c r="A408" s="4">
        <v>5061501.0</v>
      </c>
      <c r="B408" s="5" t="b">
        <v>1</v>
      </c>
      <c r="C408" s="6" t="s">
        <v>1811</v>
      </c>
      <c r="D408" s="1" t="s">
        <v>1812</v>
      </c>
      <c r="E408" s="7">
        <v>5337868.0</v>
      </c>
      <c r="F408" s="7">
        <v>-147057.0</v>
      </c>
      <c r="G408" s="1" t="s">
        <v>1813</v>
      </c>
      <c r="H408" s="1" t="s">
        <v>1814</v>
      </c>
      <c r="I408" s="8">
        <v>44818.561473518515</v>
      </c>
      <c r="J408" s="9">
        <f>+553390900909</f>
        <v>553390900909</v>
      </c>
      <c r="K408" s="4">
        <v>2.0</v>
      </c>
      <c r="L408" s="7">
        <v>5.0</v>
      </c>
      <c r="M408" s="9"/>
      <c r="N408" s="4">
        <v>5.0</v>
      </c>
      <c r="O408" s="4">
        <v>2.0</v>
      </c>
      <c r="P408" s="1" t="s">
        <v>33</v>
      </c>
      <c r="Q408" s="5" t="b">
        <v>1</v>
      </c>
      <c r="R408" s="5" t="b">
        <v>0</v>
      </c>
      <c r="S408" s="5" t="b">
        <v>0</v>
      </c>
      <c r="T408" s="4">
        <v>0.0</v>
      </c>
      <c r="U408" s="5" t="b">
        <v>0</v>
      </c>
      <c r="V408" s="11">
        <v>44894.0</v>
      </c>
      <c r="W408" s="11">
        <v>44863.0</v>
      </c>
    </row>
    <row r="409">
      <c r="A409" s="4">
        <v>506146.0</v>
      </c>
      <c r="B409" s="5" t="b">
        <v>1</v>
      </c>
      <c r="C409" s="6" t="s">
        <v>1815</v>
      </c>
      <c r="D409" s="1" t="s">
        <v>1816</v>
      </c>
      <c r="E409" s="7">
        <v>404113.0</v>
      </c>
      <c r="F409" s="7">
        <v>-370369.0</v>
      </c>
      <c r="G409" s="1" t="s">
        <v>195</v>
      </c>
      <c r="H409" s="1" t="s">
        <v>1817</v>
      </c>
      <c r="I409" s="8">
        <v>44819.32227878472</v>
      </c>
      <c r="J409" s="9">
        <f>+35903883885</f>
        <v>35903883885</v>
      </c>
      <c r="K409" s="4">
        <v>0.0</v>
      </c>
      <c r="L409" s="7">
        <v>0.0</v>
      </c>
      <c r="M409" s="1" t="s">
        <v>1818</v>
      </c>
      <c r="N409" s="4">
        <v>1.0</v>
      </c>
      <c r="O409" s="4">
        <v>4.0</v>
      </c>
      <c r="P409" s="1" t="s">
        <v>28</v>
      </c>
      <c r="Q409" s="5" t="b">
        <v>0</v>
      </c>
      <c r="R409" s="5" t="b">
        <v>1</v>
      </c>
      <c r="S409" s="5" t="b">
        <v>0</v>
      </c>
      <c r="T409" s="4">
        <v>0.0</v>
      </c>
      <c r="U409" s="5" t="b">
        <v>1</v>
      </c>
      <c r="V409" s="10">
        <v>44836.0</v>
      </c>
      <c r="W409" s="10">
        <v>44836.0</v>
      </c>
    </row>
    <row r="410">
      <c r="A410" s="4">
        <v>506177.0</v>
      </c>
      <c r="B410" s="5" t="b">
        <v>1</v>
      </c>
      <c r="C410" s="6" t="s">
        <v>1819</v>
      </c>
      <c r="D410" s="1" t="s">
        <v>1820</v>
      </c>
      <c r="E410" s="7">
        <v>3651013.0</v>
      </c>
      <c r="F410" s="7">
        <v>-489154.0</v>
      </c>
      <c r="G410" s="1" t="s">
        <v>1075</v>
      </c>
      <c r="H410" s="1" t="s">
        <v>1821</v>
      </c>
      <c r="I410" s="8">
        <v>44819.45726429398</v>
      </c>
      <c r="J410" s="9">
        <f>+35995599358</f>
        <v>35995599358</v>
      </c>
      <c r="K410" s="4">
        <v>1.0</v>
      </c>
      <c r="L410" s="7">
        <v>5.0</v>
      </c>
      <c r="M410" s="1" t="s">
        <v>1822</v>
      </c>
      <c r="N410" s="4">
        <v>15.0</v>
      </c>
      <c r="O410" s="4">
        <v>3.0</v>
      </c>
      <c r="P410" s="1" t="s">
        <v>28</v>
      </c>
      <c r="Q410" s="5" t="b">
        <v>0</v>
      </c>
      <c r="R410" s="5" t="b">
        <v>1</v>
      </c>
      <c r="S410" s="5" t="b">
        <v>0</v>
      </c>
      <c r="T410" s="4" t="s">
        <v>192</v>
      </c>
      <c r="U410" s="5" t="b">
        <v>0</v>
      </c>
      <c r="V410" s="10">
        <v>44898.0</v>
      </c>
      <c r="W410" s="11">
        <v>44893.0</v>
      </c>
    </row>
    <row r="411">
      <c r="A411" s="4">
        <v>506141.0</v>
      </c>
      <c r="B411" s="5" t="b">
        <v>1</v>
      </c>
      <c r="C411" s="6" t="s">
        <v>1823</v>
      </c>
      <c r="D411" s="1" t="s">
        <v>1824</v>
      </c>
      <c r="E411" s="7">
        <v>5334042.0</v>
      </c>
      <c r="F411" s="7">
        <v>-626585.0</v>
      </c>
      <c r="G411" s="1"/>
      <c r="H411" s="1" t="s">
        <v>1825</v>
      </c>
      <c r="I411" s="8">
        <v>44819.48096846065</v>
      </c>
      <c r="J411" s="9">
        <f>+353830988880</f>
        <v>353830988880</v>
      </c>
      <c r="K411" s="4">
        <v>0.0</v>
      </c>
      <c r="L411" s="7">
        <v>0.0</v>
      </c>
      <c r="M411" s="9"/>
      <c r="N411" s="4">
        <v>15.0</v>
      </c>
      <c r="O411" s="4">
        <v>1.0</v>
      </c>
      <c r="P411" s="1" t="s">
        <v>39</v>
      </c>
      <c r="Q411" s="5" t="b">
        <v>0</v>
      </c>
      <c r="R411" s="5" t="b">
        <v>0</v>
      </c>
      <c r="S411" s="5" t="b">
        <v>0</v>
      </c>
      <c r="T411" s="4">
        <v>0.0</v>
      </c>
      <c r="U411" s="5" t="b">
        <v>0</v>
      </c>
      <c r="V411" s="10">
        <v>44838.0</v>
      </c>
      <c r="W411" s="10">
        <v>44874.0</v>
      </c>
    </row>
    <row r="412">
      <c r="A412" s="4">
        <v>506154.0</v>
      </c>
      <c r="B412" s="5" t="b">
        <v>1</v>
      </c>
      <c r="C412" s="6" t="s">
        <v>1826</v>
      </c>
      <c r="D412" s="1" t="s">
        <v>1827</v>
      </c>
      <c r="E412" s="7">
        <v>4557647.0</v>
      </c>
      <c r="F412" s="7">
        <v>4810661.0</v>
      </c>
      <c r="G412" s="1" t="s">
        <v>1828</v>
      </c>
      <c r="H412" s="1" t="s">
        <v>1829</v>
      </c>
      <c r="I412" s="8">
        <v>44819.63073185185</v>
      </c>
      <c r="J412" s="9">
        <f>+33330535355</f>
        <v>33330535355</v>
      </c>
      <c r="K412" s="4">
        <v>0.0</v>
      </c>
      <c r="L412" s="7">
        <v>0.0</v>
      </c>
      <c r="M412" s="1" t="s">
        <v>1830</v>
      </c>
      <c r="N412" s="4">
        <v>1.0</v>
      </c>
      <c r="O412" s="4">
        <v>1.0</v>
      </c>
      <c r="P412" s="1" t="s">
        <v>39</v>
      </c>
      <c r="Q412" s="5" t="b">
        <v>1</v>
      </c>
      <c r="R412" s="5" t="b">
        <v>0</v>
      </c>
      <c r="S412" s="5" t="b">
        <v>0</v>
      </c>
      <c r="T412" s="4">
        <v>0.0</v>
      </c>
      <c r="U412" s="5" t="b">
        <v>0</v>
      </c>
      <c r="V412" s="10">
        <v>44839.0</v>
      </c>
      <c r="W412" s="11">
        <v>44835.0</v>
      </c>
    </row>
    <row r="413">
      <c r="A413" s="4">
        <v>506554.0</v>
      </c>
      <c r="B413" s="5" t="b">
        <v>1</v>
      </c>
      <c r="C413" s="6" t="s">
        <v>1831</v>
      </c>
      <c r="D413" s="1" t="s">
        <v>1832</v>
      </c>
      <c r="E413" s="7">
        <v>5048888.0</v>
      </c>
      <c r="F413" s="7">
        <v>2506264.0</v>
      </c>
      <c r="G413" s="1" t="s">
        <v>1833</v>
      </c>
      <c r="H413" s="1" t="s">
        <v>1834</v>
      </c>
      <c r="I413" s="8">
        <v>44820.46994787037</v>
      </c>
      <c r="J413" s="9">
        <f>+33958880539</f>
        <v>33958880539</v>
      </c>
      <c r="K413" s="4">
        <v>0.0</v>
      </c>
      <c r="L413" s="7">
        <v>0.0</v>
      </c>
      <c r="M413" s="1" t="s">
        <v>1835</v>
      </c>
      <c r="N413" s="4">
        <v>0.0</v>
      </c>
      <c r="O413" s="4">
        <v>1.0</v>
      </c>
      <c r="P413" s="1" t="s">
        <v>28</v>
      </c>
      <c r="Q413" s="5" t="b">
        <v>1</v>
      </c>
      <c r="R413" s="5" t="b">
        <v>0</v>
      </c>
      <c r="S413" s="5" t="b">
        <v>0</v>
      </c>
      <c r="T413" s="4">
        <v>0.0</v>
      </c>
      <c r="U413" s="5" t="b">
        <v>0</v>
      </c>
      <c r="V413" s="11">
        <v>44888.0</v>
      </c>
      <c r="W413" s="10">
        <v>44873.0</v>
      </c>
    </row>
    <row r="414">
      <c r="A414" s="4">
        <v>506541.0</v>
      </c>
      <c r="B414" s="5" t="b">
        <v>1</v>
      </c>
      <c r="C414" s="6" t="s">
        <v>1836</v>
      </c>
      <c r="D414" s="1" t="s">
        <v>1837</v>
      </c>
      <c r="E414" s="7">
        <v>4192051.0</v>
      </c>
      <c r="F414" s="7">
        <v>1250808.0</v>
      </c>
      <c r="G414" s="1" t="s">
        <v>25</v>
      </c>
      <c r="H414" s="1" t="s">
        <v>1838</v>
      </c>
      <c r="I414" s="8">
        <v>44823.29225728009</v>
      </c>
      <c r="J414" s="9">
        <f>+393839339855</f>
        <v>393839339855</v>
      </c>
      <c r="K414" s="4">
        <v>0.0</v>
      </c>
      <c r="L414" s="7">
        <v>0.0</v>
      </c>
      <c r="M414" s="1">
        <v>6.636373333E9</v>
      </c>
      <c r="N414" s="4">
        <v>51.0</v>
      </c>
      <c r="O414" s="4">
        <v>3.0</v>
      </c>
      <c r="P414" s="1" t="s">
        <v>28</v>
      </c>
      <c r="Q414" s="5" t="b">
        <v>0</v>
      </c>
      <c r="R414" s="5" t="b">
        <v>1</v>
      </c>
      <c r="S414" s="5" t="b">
        <v>0</v>
      </c>
      <c r="T414" s="4">
        <v>0.0</v>
      </c>
      <c r="U414" s="5" t="b">
        <v>0</v>
      </c>
      <c r="V414" s="10">
        <v>44861.0</v>
      </c>
      <c r="W414" s="10">
        <v>44879.0</v>
      </c>
    </row>
    <row r="415">
      <c r="A415" s="4">
        <v>5065430.0</v>
      </c>
      <c r="B415" s="5" t="b">
        <v>1</v>
      </c>
      <c r="C415" s="6" t="s">
        <v>1839</v>
      </c>
      <c r="D415" s="1" t="s">
        <v>1840</v>
      </c>
      <c r="E415" s="7">
        <v>5137515.0</v>
      </c>
      <c r="F415" s="7">
        <v>6760862.0</v>
      </c>
      <c r="G415" s="1" t="s">
        <v>1841</v>
      </c>
      <c r="H415" s="1" t="s">
        <v>1842</v>
      </c>
      <c r="I415" s="8">
        <v>44823.3194883912</v>
      </c>
      <c r="J415" s="9">
        <f>+5980358800830</f>
        <v>5980358800830</v>
      </c>
      <c r="K415" s="4">
        <v>0.0</v>
      </c>
      <c r="L415" s="7">
        <v>0.0</v>
      </c>
      <c r="M415" s="9"/>
      <c r="N415" s="4">
        <v>36.0</v>
      </c>
      <c r="O415" s="4">
        <v>1.0</v>
      </c>
      <c r="P415" s="1" t="s">
        <v>33</v>
      </c>
      <c r="Q415" s="5" t="b">
        <v>0</v>
      </c>
      <c r="R415" s="5" t="b">
        <v>0</v>
      </c>
      <c r="S415" s="5" t="b">
        <v>0</v>
      </c>
      <c r="T415" s="4">
        <v>0.0</v>
      </c>
      <c r="U415" s="5" t="b">
        <v>1</v>
      </c>
      <c r="V415" s="10">
        <v>44836.0</v>
      </c>
      <c r="W415" s="10">
        <v>44844.0</v>
      </c>
    </row>
    <row r="416">
      <c r="A416" s="4">
        <v>506546.0</v>
      </c>
      <c r="B416" s="5" t="b">
        <v>1</v>
      </c>
      <c r="C416" s="6" t="s">
        <v>1843</v>
      </c>
      <c r="D416" s="1" t="s">
        <v>1844</v>
      </c>
      <c r="E416" s="7">
        <v>3943216.0</v>
      </c>
      <c r="F416" s="7">
        <v>3019086.0</v>
      </c>
      <c r="G416" s="1" t="s">
        <v>1845</v>
      </c>
      <c r="H416" s="1" t="s">
        <v>1846</v>
      </c>
      <c r="I416" s="8">
        <v>44823.321102118054</v>
      </c>
      <c r="J416" s="9">
        <f>+35933850085</f>
        <v>35933850085</v>
      </c>
      <c r="K416" s="4">
        <v>0.0</v>
      </c>
      <c r="L416" s="7">
        <v>0.0</v>
      </c>
      <c r="M416" s="1" t="s">
        <v>1847</v>
      </c>
      <c r="N416" s="4">
        <v>18.0</v>
      </c>
      <c r="O416" s="4">
        <v>2.0</v>
      </c>
      <c r="P416" s="1" t="s">
        <v>33</v>
      </c>
      <c r="Q416" s="5" t="b">
        <v>0</v>
      </c>
      <c r="R416" s="5" t="b">
        <v>1</v>
      </c>
      <c r="S416" s="5" t="b">
        <v>0</v>
      </c>
      <c r="T416" s="4">
        <v>0.0</v>
      </c>
      <c r="U416" s="5" t="b">
        <v>0</v>
      </c>
      <c r="V416" s="10">
        <v>44882.0</v>
      </c>
      <c r="W416" s="10">
        <v>44895.0</v>
      </c>
    </row>
    <row r="417">
      <c r="A417" s="4">
        <v>5065306.0</v>
      </c>
      <c r="B417" s="5" t="b">
        <v>1</v>
      </c>
      <c r="C417" s="6" t="s">
        <v>1848</v>
      </c>
      <c r="D417" s="1" t="s">
        <v>1849</v>
      </c>
      <c r="E417" s="7">
        <v>4462957.0</v>
      </c>
      <c r="F417" s="7">
        <v>1096547.0</v>
      </c>
      <c r="G417" s="1" t="s">
        <v>1850</v>
      </c>
      <c r="H417" s="1" t="s">
        <v>1851</v>
      </c>
      <c r="I417" s="8">
        <v>44823.35697606482</v>
      </c>
      <c r="J417" s="9">
        <f>+390598938933</f>
        <v>390598938933</v>
      </c>
      <c r="K417" s="4">
        <v>0.0</v>
      </c>
      <c r="L417" s="7">
        <v>0.0</v>
      </c>
      <c r="M417" s="9"/>
      <c r="N417" s="4">
        <v>20.0</v>
      </c>
      <c r="O417" s="4">
        <v>4.0</v>
      </c>
      <c r="P417" s="1" t="s">
        <v>28</v>
      </c>
      <c r="Q417" s="5" t="b">
        <v>0</v>
      </c>
      <c r="R417" s="5" t="b">
        <v>0</v>
      </c>
      <c r="S417" s="5" t="b">
        <v>0</v>
      </c>
      <c r="T417" s="4">
        <v>0.0</v>
      </c>
      <c r="U417" s="5" t="b">
        <v>0</v>
      </c>
      <c r="V417" s="11">
        <v>44858.0</v>
      </c>
      <c r="W417" s="10">
        <v>44866.0</v>
      </c>
    </row>
    <row r="418">
      <c r="A418" s="4">
        <v>506565.0</v>
      </c>
      <c r="B418" s="5" t="b">
        <v>1</v>
      </c>
      <c r="C418" s="6" t="s">
        <v>1852</v>
      </c>
      <c r="D418" s="1" t="s">
        <v>1853</v>
      </c>
      <c r="E418" s="7">
        <v>3810342.0</v>
      </c>
      <c r="F418" s="7">
        <v>1566711.0</v>
      </c>
      <c r="G418" s="1" t="s">
        <v>269</v>
      </c>
      <c r="H418" s="1" t="s">
        <v>1854</v>
      </c>
      <c r="I418" s="8">
        <v>44823.419519097224</v>
      </c>
      <c r="J418" s="9">
        <f>+393803890330</f>
        <v>393803890330</v>
      </c>
      <c r="K418" s="4">
        <v>0.0</v>
      </c>
      <c r="L418" s="7">
        <v>0.0</v>
      </c>
      <c r="M418" s="1">
        <v>7.33373336E8</v>
      </c>
      <c r="N418" s="4">
        <v>70.0</v>
      </c>
      <c r="O418" s="4">
        <v>3.0</v>
      </c>
      <c r="P418" s="1" t="s">
        <v>39</v>
      </c>
      <c r="Q418" s="5" t="b">
        <v>1</v>
      </c>
      <c r="R418" s="5" t="b">
        <v>0</v>
      </c>
      <c r="S418" s="5" t="b">
        <v>0</v>
      </c>
      <c r="T418" s="4">
        <v>0.0</v>
      </c>
      <c r="U418" s="5" t="b">
        <v>0</v>
      </c>
      <c r="V418" s="11">
        <v>44854.0</v>
      </c>
      <c r="W418" s="11">
        <v>44864.0</v>
      </c>
    </row>
    <row r="419">
      <c r="A419" s="4">
        <v>506571.0</v>
      </c>
      <c r="B419" s="5" t="b">
        <v>1</v>
      </c>
      <c r="C419" s="6" t="s">
        <v>1855</v>
      </c>
      <c r="D419" s="1" t="s">
        <v>1856</v>
      </c>
      <c r="E419" s="7">
        <v>4047137.0</v>
      </c>
      <c r="F419" s="7">
        <v>-386848.0</v>
      </c>
      <c r="G419" s="1" t="s">
        <v>1857</v>
      </c>
      <c r="H419" s="1" t="s">
        <v>1858</v>
      </c>
      <c r="I419" s="8">
        <v>44823.422401875</v>
      </c>
      <c r="J419" s="9">
        <f>+35985388558</f>
        <v>35985388558</v>
      </c>
      <c r="K419" s="4">
        <v>0.0</v>
      </c>
      <c r="L419" s="7">
        <v>0.0</v>
      </c>
      <c r="M419" s="1" t="s">
        <v>1859</v>
      </c>
      <c r="N419" s="4">
        <v>11.0</v>
      </c>
      <c r="O419" s="4">
        <v>2.0</v>
      </c>
      <c r="P419" s="1" t="s">
        <v>33</v>
      </c>
      <c r="Q419" s="5" t="b">
        <v>0</v>
      </c>
      <c r="R419" s="5" t="b">
        <v>1</v>
      </c>
      <c r="S419" s="5" t="b">
        <v>0</v>
      </c>
      <c r="T419" s="4">
        <v>0.0</v>
      </c>
      <c r="U419" s="5" t="b">
        <v>0</v>
      </c>
      <c r="V419" s="11">
        <v>44885.0</v>
      </c>
      <c r="W419" s="11">
        <v>44893.0</v>
      </c>
    </row>
    <row r="420">
      <c r="A420" s="4">
        <v>506576.0</v>
      </c>
      <c r="B420" s="5" t="b">
        <v>1</v>
      </c>
      <c r="C420" s="6" t="s">
        <v>1860</v>
      </c>
      <c r="D420" s="1" t="s">
        <v>1861</v>
      </c>
      <c r="E420" s="7">
        <v>3799334.0</v>
      </c>
      <c r="F420" s="7">
        <v>2372431.0</v>
      </c>
      <c r="G420" s="1" t="s">
        <v>54</v>
      </c>
      <c r="H420" s="1" t="s">
        <v>1862</v>
      </c>
      <c r="I420" s="8">
        <v>44823.45684295139</v>
      </c>
      <c r="J420" s="9">
        <f>+308335835835</f>
        <v>308335835835</v>
      </c>
      <c r="K420" s="4">
        <v>0.0</v>
      </c>
      <c r="L420" s="7">
        <v>0.0</v>
      </c>
      <c r="M420" s="1">
        <v>3.7677337E7</v>
      </c>
      <c r="N420" s="4">
        <v>0.0</v>
      </c>
      <c r="O420" s="4">
        <v>2.0</v>
      </c>
      <c r="P420" s="1" t="s">
        <v>39</v>
      </c>
      <c r="Q420" s="5" t="b">
        <v>1</v>
      </c>
      <c r="R420" s="5" t="b">
        <v>0</v>
      </c>
      <c r="S420" s="5" t="b">
        <v>0</v>
      </c>
      <c r="T420" s="4">
        <v>0.0</v>
      </c>
      <c r="U420" s="5" t="b">
        <v>0</v>
      </c>
      <c r="V420" s="11">
        <v>44848.0</v>
      </c>
      <c r="W420" s="11">
        <v>44860.0</v>
      </c>
    </row>
    <row r="421">
      <c r="A421" s="4">
        <v>5.065003E7</v>
      </c>
      <c r="B421" s="5" t="b">
        <v>1</v>
      </c>
      <c r="C421" s="6" t="s">
        <v>1863</v>
      </c>
      <c r="D421" s="1" t="s">
        <v>1864</v>
      </c>
      <c r="E421" s="7">
        <v>4080744.0</v>
      </c>
      <c r="F421" s="7">
        <v>1461611.0</v>
      </c>
      <c r="G421" s="1" t="s">
        <v>1865</v>
      </c>
      <c r="H421" s="1" t="s">
        <v>1866</v>
      </c>
      <c r="I421" s="8">
        <v>44824.3252190162</v>
      </c>
      <c r="J421" s="9">
        <f>+393883538939</f>
        <v>393883538939</v>
      </c>
      <c r="K421" s="4">
        <v>0.0</v>
      </c>
      <c r="L421" s="7">
        <v>0.0</v>
      </c>
      <c r="M421" s="1">
        <v>3.336673636E9</v>
      </c>
      <c r="N421" s="4">
        <v>141.0</v>
      </c>
      <c r="O421" s="4">
        <v>4.0</v>
      </c>
      <c r="P421" s="1" t="s">
        <v>39</v>
      </c>
      <c r="Q421" s="5" t="b">
        <v>0</v>
      </c>
      <c r="R421" s="5" t="b">
        <v>1</v>
      </c>
      <c r="S421" s="5" t="b">
        <v>0</v>
      </c>
      <c r="T421" s="4">
        <v>0.0</v>
      </c>
      <c r="U421" s="5" t="b">
        <v>0</v>
      </c>
      <c r="V421" s="11">
        <v>44895.0</v>
      </c>
      <c r="W421" s="11">
        <v>44861.0</v>
      </c>
    </row>
    <row r="422">
      <c r="A422" s="4">
        <v>5065055.0</v>
      </c>
      <c r="B422" s="5" t="b">
        <v>1</v>
      </c>
      <c r="C422" s="6" t="s">
        <v>1867</v>
      </c>
      <c r="D422" s="1" t="s">
        <v>1868</v>
      </c>
      <c r="E422" s="7">
        <v>3817372.0</v>
      </c>
      <c r="F422" s="7">
        <v>1333015.0</v>
      </c>
      <c r="G422" s="1" t="s">
        <v>1869</v>
      </c>
      <c r="H422" s="1" t="s">
        <v>1870</v>
      </c>
      <c r="I422" s="8">
        <v>44824.41128216435</v>
      </c>
      <c r="J422" s="9">
        <f>+390939880838</f>
        <v>390939880838</v>
      </c>
      <c r="K422" s="4">
        <v>0.0</v>
      </c>
      <c r="L422" s="7">
        <v>0.0</v>
      </c>
      <c r="M422" s="1">
        <v>6.333333337E9</v>
      </c>
      <c r="N422" s="4">
        <v>67.0</v>
      </c>
      <c r="O422" s="4">
        <v>5.0</v>
      </c>
      <c r="P422" s="1" t="s">
        <v>39</v>
      </c>
      <c r="Q422" s="5" t="b">
        <v>1</v>
      </c>
      <c r="R422" s="5" t="b">
        <v>0</v>
      </c>
      <c r="S422" s="5" t="b">
        <v>0</v>
      </c>
      <c r="T422" s="4">
        <v>0.0</v>
      </c>
      <c r="U422" s="5" t="b">
        <v>0</v>
      </c>
      <c r="V422" s="11">
        <v>44882.0</v>
      </c>
      <c r="W422" s="11">
        <v>44853.0</v>
      </c>
    </row>
    <row r="423">
      <c r="A423" s="4">
        <v>5.065055E7</v>
      </c>
      <c r="B423" s="5" t="b">
        <v>1</v>
      </c>
      <c r="C423" s="6" t="s">
        <v>1430</v>
      </c>
      <c r="D423" s="1" t="s">
        <v>1431</v>
      </c>
      <c r="E423" s="7">
        <v>3803602.0</v>
      </c>
      <c r="F423" s="7">
        <v>2382661.0</v>
      </c>
      <c r="G423" s="1" t="s">
        <v>1871</v>
      </c>
      <c r="H423" s="1" t="s">
        <v>1872</v>
      </c>
      <c r="I423" s="8">
        <v>44824.41537930555</v>
      </c>
      <c r="J423" s="9">
        <f>+308330333858</f>
        <v>308330333858</v>
      </c>
      <c r="K423" s="4">
        <v>0.0</v>
      </c>
      <c r="L423" s="7">
        <v>0.0</v>
      </c>
      <c r="M423" s="1">
        <v>333337.0</v>
      </c>
      <c r="N423" s="4">
        <v>0.0</v>
      </c>
      <c r="O423" s="4">
        <v>3.0</v>
      </c>
      <c r="P423" s="1" t="s">
        <v>39</v>
      </c>
      <c r="Q423" s="5" t="b">
        <v>1</v>
      </c>
      <c r="R423" s="5" t="b">
        <v>0</v>
      </c>
      <c r="S423" s="5" t="b">
        <v>0</v>
      </c>
      <c r="T423" s="4">
        <v>0.0</v>
      </c>
      <c r="U423" s="5" t="b">
        <v>0</v>
      </c>
      <c r="V423" s="11">
        <v>44891.0</v>
      </c>
      <c r="W423" s="11">
        <v>44864.0</v>
      </c>
    </row>
    <row r="424">
      <c r="A424" s="4">
        <v>5065055.0</v>
      </c>
      <c r="B424" s="5" t="b">
        <v>1</v>
      </c>
      <c r="C424" s="6" t="s">
        <v>1873</v>
      </c>
      <c r="D424" s="1" t="s">
        <v>1874</v>
      </c>
      <c r="E424" s="7">
        <v>4730233.0</v>
      </c>
      <c r="F424" s="7">
        <v>65637.0</v>
      </c>
      <c r="G424" s="1" t="s">
        <v>1875</v>
      </c>
      <c r="H424" s="1" t="s">
        <v>1876</v>
      </c>
      <c r="I424" s="8">
        <v>44824.439010358794</v>
      </c>
      <c r="J424" s="9">
        <f>+33390093059</f>
        <v>33390093059</v>
      </c>
      <c r="K424" s="4">
        <v>0.0</v>
      </c>
      <c r="L424" s="7">
        <v>0.0</v>
      </c>
      <c r="M424" s="1" t="s">
        <v>1877</v>
      </c>
      <c r="N424" s="4">
        <v>11.0</v>
      </c>
      <c r="O424" s="4">
        <v>2.0</v>
      </c>
      <c r="P424" s="1" t="s">
        <v>33</v>
      </c>
      <c r="Q424" s="5" t="b">
        <v>1</v>
      </c>
      <c r="R424" s="5" t="b">
        <v>0</v>
      </c>
      <c r="S424" s="5" t="b">
        <v>0</v>
      </c>
      <c r="T424" s="4">
        <v>0.0</v>
      </c>
      <c r="U424" s="5" t="b">
        <v>1</v>
      </c>
      <c r="V424" s="11">
        <v>44848.0</v>
      </c>
      <c r="W424" s="11">
        <v>44877.0</v>
      </c>
    </row>
    <row r="425">
      <c r="A425" s="4">
        <v>5.0650506E7</v>
      </c>
      <c r="B425" s="5" t="b">
        <v>1</v>
      </c>
      <c r="C425" s="6" t="s">
        <v>1878</v>
      </c>
      <c r="D425" s="1" t="s">
        <v>1879</v>
      </c>
      <c r="E425" s="7">
        <v>4569229.0</v>
      </c>
      <c r="F425" s="7">
        <v>8817722.0</v>
      </c>
      <c r="G425" s="1" t="s">
        <v>1880</v>
      </c>
      <c r="H425" s="1" t="s">
        <v>1881</v>
      </c>
      <c r="I425" s="8">
        <v>44824.50821979166</v>
      </c>
      <c r="J425" s="9">
        <f>+393538833033</f>
        <v>393538833033</v>
      </c>
      <c r="K425" s="4">
        <v>0.0</v>
      </c>
      <c r="L425" s="7">
        <v>0.0</v>
      </c>
      <c r="M425" s="1">
        <v>7.336733333E9</v>
      </c>
      <c r="N425" s="4">
        <v>0.0</v>
      </c>
      <c r="O425" s="4">
        <v>4.0</v>
      </c>
      <c r="P425" s="1" t="s">
        <v>28</v>
      </c>
      <c r="Q425" s="5" t="b">
        <v>1</v>
      </c>
      <c r="R425" s="5" t="b">
        <v>0</v>
      </c>
      <c r="S425" s="5" t="b">
        <v>0</v>
      </c>
      <c r="T425" s="4">
        <v>0.0</v>
      </c>
      <c r="U425" s="5" t="b">
        <v>0</v>
      </c>
      <c r="V425" s="11">
        <v>44892.0</v>
      </c>
      <c r="W425" s="10">
        <v>44902.0</v>
      </c>
    </row>
    <row r="426">
      <c r="A426" s="4">
        <v>5065045.0</v>
      </c>
      <c r="B426" s="5" t="b">
        <v>1</v>
      </c>
      <c r="C426" s="6" t="s">
        <v>1882</v>
      </c>
      <c r="D426" s="1" t="s">
        <v>1883</v>
      </c>
      <c r="E426" s="7">
        <v>4242579.0</v>
      </c>
      <c r="F426" s="7">
        <v>1418919.0</v>
      </c>
      <c r="G426" s="1" t="s">
        <v>1884</v>
      </c>
      <c r="H426" s="1" t="s">
        <v>1885</v>
      </c>
      <c r="I426" s="8">
        <v>44824.55450767361</v>
      </c>
      <c r="J426" s="9">
        <f>+393893333303</f>
        <v>393893333303</v>
      </c>
      <c r="K426" s="4">
        <v>0.0</v>
      </c>
      <c r="L426" s="7">
        <v>0.0</v>
      </c>
      <c r="M426" s="9"/>
      <c r="N426" s="4">
        <v>1.0</v>
      </c>
      <c r="O426" s="4">
        <v>0.0</v>
      </c>
      <c r="P426" s="1" t="s">
        <v>33</v>
      </c>
      <c r="Q426" s="5" t="b">
        <v>1</v>
      </c>
      <c r="R426" s="5" t="b">
        <v>0</v>
      </c>
      <c r="S426" s="5" t="b">
        <v>0</v>
      </c>
      <c r="T426" s="4">
        <v>0.0</v>
      </c>
      <c r="U426" s="5" t="b">
        <v>0</v>
      </c>
      <c r="V426" s="11">
        <v>44878.0</v>
      </c>
      <c r="W426" s="10">
        <v>44868.0</v>
      </c>
    </row>
    <row r="427">
      <c r="A427" s="4">
        <v>5.0650307E7</v>
      </c>
      <c r="B427" s="5" t="b">
        <v>1</v>
      </c>
      <c r="C427" s="6" t="s">
        <v>1886</v>
      </c>
      <c r="D427" s="1" t="s">
        <v>1887</v>
      </c>
      <c r="E427" s="7">
        <v>5196831.0</v>
      </c>
      <c r="F427" s="7">
        <v>4588419.0</v>
      </c>
      <c r="G427" s="1" t="s">
        <v>1888</v>
      </c>
      <c r="H427" s="1" t="s">
        <v>1889</v>
      </c>
      <c r="I427" s="8">
        <v>44825.28212019676</v>
      </c>
      <c r="J427" s="9">
        <f>+33933399330</f>
        <v>33933399330</v>
      </c>
      <c r="K427" s="4">
        <v>0.0</v>
      </c>
      <c r="L427" s="7">
        <v>0.0</v>
      </c>
      <c r="M427" s="1" t="s">
        <v>1890</v>
      </c>
      <c r="N427" s="4">
        <v>0.0</v>
      </c>
      <c r="O427" s="4">
        <v>1.0</v>
      </c>
      <c r="P427" s="1" t="s">
        <v>39</v>
      </c>
      <c r="Q427" s="5" t="b">
        <v>1</v>
      </c>
      <c r="R427" s="5" t="b">
        <v>0</v>
      </c>
      <c r="S427" s="5" t="b">
        <v>0</v>
      </c>
      <c r="T427" s="4">
        <v>0.0</v>
      </c>
      <c r="U427" s="5" t="b">
        <v>0</v>
      </c>
      <c r="V427" s="11">
        <v>44876.0</v>
      </c>
      <c r="W427" s="11">
        <v>44895.0</v>
      </c>
    </row>
    <row r="428">
      <c r="A428" s="4">
        <v>5.065063E7</v>
      </c>
      <c r="B428" s="5" t="b">
        <v>1</v>
      </c>
      <c r="C428" s="6" t="s">
        <v>1891</v>
      </c>
      <c r="D428" s="1" t="s">
        <v>1892</v>
      </c>
      <c r="E428" s="7">
        <v>4488247.0</v>
      </c>
      <c r="F428" s="7">
        <v>7332139.0</v>
      </c>
      <c r="G428" s="1" t="s">
        <v>1893</v>
      </c>
      <c r="H428" s="1" t="s">
        <v>1894</v>
      </c>
      <c r="I428" s="8">
        <v>44825.33179334491</v>
      </c>
      <c r="J428" s="9">
        <f>+393339355588</f>
        <v>393339355588</v>
      </c>
      <c r="K428" s="4">
        <v>0.0</v>
      </c>
      <c r="L428" s="7">
        <v>0.0</v>
      </c>
      <c r="M428" s="1">
        <v>7.3733333E7</v>
      </c>
      <c r="N428" s="4">
        <v>57.0</v>
      </c>
      <c r="O428" s="4">
        <v>4.0</v>
      </c>
      <c r="P428" s="1" t="s">
        <v>39</v>
      </c>
      <c r="Q428" s="5" t="b">
        <v>0</v>
      </c>
      <c r="R428" s="5" t="b">
        <v>0</v>
      </c>
      <c r="S428" s="5" t="b">
        <v>0</v>
      </c>
      <c r="T428" s="4">
        <v>0.0</v>
      </c>
      <c r="U428" s="5" t="b">
        <v>0</v>
      </c>
      <c r="V428" s="10">
        <v>44846.0</v>
      </c>
      <c r="W428" s="10">
        <v>44856.0</v>
      </c>
    </row>
    <row r="429">
      <c r="A429" s="4">
        <v>5065065.0</v>
      </c>
      <c r="B429" s="5" t="b">
        <v>1</v>
      </c>
      <c r="C429" s="6" t="s">
        <v>1895</v>
      </c>
      <c r="D429" s="1" t="s">
        <v>1896</v>
      </c>
      <c r="E429" s="7">
        <v>4887101.0</v>
      </c>
      <c r="F429" s="7">
        <v>2354869.0</v>
      </c>
      <c r="G429" s="1" t="s">
        <v>365</v>
      </c>
      <c r="H429" s="1" t="s">
        <v>1897</v>
      </c>
      <c r="I429" s="8">
        <v>44825.35844171296</v>
      </c>
      <c r="J429" s="9">
        <f>+33985830993</f>
        <v>33985830993</v>
      </c>
      <c r="K429" s="4">
        <v>0.0</v>
      </c>
      <c r="L429" s="7">
        <v>0.0</v>
      </c>
      <c r="M429" s="9"/>
      <c r="N429" s="4">
        <v>0.0</v>
      </c>
      <c r="O429" s="4">
        <v>2.0</v>
      </c>
      <c r="P429" s="1" t="s">
        <v>28</v>
      </c>
      <c r="Q429" s="5" t="b">
        <v>1</v>
      </c>
      <c r="R429" s="5" t="b">
        <v>0</v>
      </c>
      <c r="S429" s="5" t="b">
        <v>0</v>
      </c>
      <c r="T429" s="4">
        <v>0.0</v>
      </c>
      <c r="U429" s="5" t="b">
        <v>0</v>
      </c>
      <c r="V429" s="11">
        <v>44848.0</v>
      </c>
      <c r="W429" s="11">
        <v>44851.0</v>
      </c>
    </row>
    <row r="430">
      <c r="A430" s="4">
        <v>5065074.0</v>
      </c>
      <c r="B430" s="5" t="b">
        <v>1</v>
      </c>
      <c r="C430" s="6" t="s">
        <v>1898</v>
      </c>
      <c r="D430" s="1" t="s">
        <v>1899</v>
      </c>
      <c r="E430" s="7">
        <v>4868086.0</v>
      </c>
      <c r="F430" s="7">
        <v>2535317.0</v>
      </c>
      <c r="G430" s="1" t="s">
        <v>1900</v>
      </c>
      <c r="H430" s="1" t="s">
        <v>1901</v>
      </c>
      <c r="I430" s="8">
        <v>44825.378897222225</v>
      </c>
      <c r="J430" s="9">
        <f>+33933588385</f>
        <v>33933588385</v>
      </c>
      <c r="K430" s="4">
        <v>0.0</v>
      </c>
      <c r="L430" s="7">
        <v>0.0</v>
      </c>
      <c r="M430" s="1" t="s">
        <v>1902</v>
      </c>
      <c r="N430" s="4">
        <v>0.0</v>
      </c>
      <c r="O430" s="4">
        <v>5.0</v>
      </c>
      <c r="P430" s="1" t="s">
        <v>39</v>
      </c>
      <c r="Q430" s="5" t="b">
        <v>1</v>
      </c>
      <c r="R430" s="5" t="b">
        <v>0</v>
      </c>
      <c r="S430" s="5" t="b">
        <v>0</v>
      </c>
      <c r="T430" s="4">
        <v>0.0</v>
      </c>
      <c r="U430" s="5" t="b">
        <v>0</v>
      </c>
      <c r="V430" s="11">
        <v>44887.0</v>
      </c>
      <c r="W430" s="10">
        <v>44839.0</v>
      </c>
    </row>
    <row r="431">
      <c r="A431" s="4">
        <v>5065047.0</v>
      </c>
      <c r="B431" s="5" t="b">
        <v>1</v>
      </c>
      <c r="C431" s="6" t="s">
        <v>1903</v>
      </c>
      <c r="D431" s="1" t="s">
        <v>1904</v>
      </c>
      <c r="E431" s="7">
        <v>3948883.0</v>
      </c>
      <c r="F431" s="7">
        <v>-36453.0</v>
      </c>
      <c r="G431" s="1" t="s">
        <v>417</v>
      </c>
      <c r="H431" s="1" t="s">
        <v>1905</v>
      </c>
      <c r="I431" s="8">
        <v>44825.43394542824</v>
      </c>
      <c r="J431" s="9">
        <f>+35935958889</f>
        <v>35935958889</v>
      </c>
      <c r="K431" s="4">
        <v>1.0</v>
      </c>
      <c r="L431" s="7">
        <v>5.0</v>
      </c>
      <c r="M431" s="1" t="s">
        <v>1906</v>
      </c>
      <c r="N431" s="4">
        <v>33.0</v>
      </c>
      <c r="O431" s="4">
        <v>2.0</v>
      </c>
      <c r="P431" s="1" t="s">
        <v>39</v>
      </c>
      <c r="Q431" s="5" t="b">
        <v>0</v>
      </c>
      <c r="R431" s="5" t="b">
        <v>1</v>
      </c>
      <c r="S431" s="5" t="b">
        <v>0</v>
      </c>
      <c r="T431" s="4" t="s">
        <v>192</v>
      </c>
      <c r="U431" s="5" t="b">
        <v>0</v>
      </c>
      <c r="V431" s="11">
        <v>44876.0</v>
      </c>
      <c r="W431" s="11">
        <v>44858.0</v>
      </c>
    </row>
    <row r="432">
      <c r="A432" s="4">
        <v>5065045.0</v>
      </c>
      <c r="B432" s="5" t="b">
        <v>1</v>
      </c>
      <c r="C432" s="6" t="s">
        <v>1907</v>
      </c>
      <c r="D432" s="1" t="s">
        <v>1908</v>
      </c>
      <c r="E432" s="7">
        <v>4040434.0</v>
      </c>
      <c r="F432" s="7">
        <v>-37039.0</v>
      </c>
      <c r="G432" s="1" t="s">
        <v>195</v>
      </c>
      <c r="H432" s="1" t="s">
        <v>1909</v>
      </c>
      <c r="I432" s="8">
        <v>44825.44311354167</v>
      </c>
      <c r="J432" s="9">
        <f>+35993903859</f>
        <v>35993903859</v>
      </c>
      <c r="K432" s="4">
        <v>0.0</v>
      </c>
      <c r="L432" s="7">
        <v>0.0</v>
      </c>
      <c r="M432" s="1" t="s">
        <v>1910</v>
      </c>
      <c r="N432" s="4">
        <v>0.0</v>
      </c>
      <c r="O432" s="4">
        <v>1.0</v>
      </c>
      <c r="P432" s="1" t="s">
        <v>33</v>
      </c>
      <c r="Q432" s="5" t="b">
        <v>1</v>
      </c>
      <c r="R432" s="5" t="b">
        <v>0</v>
      </c>
      <c r="S432" s="5" t="b">
        <v>0</v>
      </c>
      <c r="T432" s="4">
        <v>0.0</v>
      </c>
      <c r="U432" s="5" t="b">
        <v>0</v>
      </c>
      <c r="V432" s="10">
        <v>44853.0</v>
      </c>
      <c r="W432" s="10">
        <v>44861.0</v>
      </c>
    </row>
    <row r="433">
      <c r="A433" s="4">
        <v>5065056.0</v>
      </c>
      <c r="B433" s="5" t="b">
        <v>1</v>
      </c>
      <c r="C433" s="6" t="s">
        <v>1911</v>
      </c>
      <c r="D433" s="1" t="s">
        <v>1912</v>
      </c>
      <c r="E433" s="7">
        <v>5211847.0</v>
      </c>
      <c r="F433" s="7">
        <v>4638001.0</v>
      </c>
      <c r="G433" s="1" t="s">
        <v>1913</v>
      </c>
      <c r="H433" s="1" t="s">
        <v>1914</v>
      </c>
      <c r="I433" s="8">
        <v>44825.49626177083</v>
      </c>
      <c r="J433" s="9">
        <f>+33983558589</f>
        <v>33983558589</v>
      </c>
      <c r="K433" s="4">
        <v>0.0</v>
      </c>
      <c r="L433" s="7">
        <v>0.0</v>
      </c>
      <c r="M433" s="1" t="s">
        <v>1915</v>
      </c>
      <c r="N433" s="4">
        <v>0.0</v>
      </c>
      <c r="O433" s="4">
        <v>1.0</v>
      </c>
      <c r="P433" s="1" t="s">
        <v>39</v>
      </c>
      <c r="Q433" s="5" t="b">
        <v>1</v>
      </c>
      <c r="R433" s="5" t="b">
        <v>0</v>
      </c>
      <c r="S433" s="5" t="b">
        <v>0</v>
      </c>
      <c r="T433" s="4">
        <v>0.0</v>
      </c>
      <c r="U433" s="5" t="b">
        <v>0</v>
      </c>
      <c r="V433" s="11">
        <v>44892.0</v>
      </c>
      <c r="W433" s="11">
        <v>44847.0</v>
      </c>
    </row>
    <row r="434">
      <c r="A434" s="4">
        <v>5065054.0</v>
      </c>
      <c r="B434" s="5" t="b">
        <v>1</v>
      </c>
      <c r="C434" s="6" t="s">
        <v>1916</v>
      </c>
      <c r="D434" s="1" t="s">
        <v>1917</v>
      </c>
      <c r="E434" s="7">
        <v>4793253.0</v>
      </c>
      <c r="F434" s="7">
        <v>2927277.0</v>
      </c>
      <c r="G434" s="1" t="s">
        <v>1918</v>
      </c>
      <c r="H434" s="1" t="s">
        <v>1919</v>
      </c>
      <c r="I434" s="8">
        <v>44825.50125048611</v>
      </c>
      <c r="J434" s="9">
        <f>+33933309350</f>
        <v>33933309350</v>
      </c>
      <c r="K434" s="4">
        <v>0.0</v>
      </c>
      <c r="L434" s="7">
        <v>0.0</v>
      </c>
      <c r="M434" s="1" t="s">
        <v>1920</v>
      </c>
      <c r="N434" s="4">
        <v>0.0</v>
      </c>
      <c r="O434" s="4">
        <v>1.0</v>
      </c>
      <c r="P434" s="1" t="s">
        <v>28</v>
      </c>
      <c r="Q434" s="5" t="b">
        <v>1</v>
      </c>
      <c r="R434" s="5" t="b">
        <v>0</v>
      </c>
      <c r="S434" s="5" t="b">
        <v>0</v>
      </c>
      <c r="T434" s="4">
        <v>0.0</v>
      </c>
      <c r="U434" s="5" t="b">
        <v>0</v>
      </c>
      <c r="V434" s="11">
        <v>44880.0</v>
      </c>
      <c r="W434" s="10">
        <v>44843.0</v>
      </c>
    </row>
    <row r="435">
      <c r="A435" s="4">
        <v>506406.0</v>
      </c>
      <c r="B435" s="5" t="b">
        <v>1</v>
      </c>
      <c r="C435" s="6" t="s">
        <v>1921</v>
      </c>
      <c r="D435" s="1" t="s">
        <v>1922</v>
      </c>
      <c r="E435" s="7">
        <v>4138408.0</v>
      </c>
      <c r="F435" s="7">
        <v>2049578.0</v>
      </c>
      <c r="G435" s="1" t="s">
        <v>473</v>
      </c>
      <c r="H435" s="1" t="s">
        <v>1923</v>
      </c>
      <c r="I435" s="8">
        <v>44825.60341203704</v>
      </c>
      <c r="J435" s="9">
        <f>+35998039950</f>
        <v>35998039950</v>
      </c>
      <c r="K435" s="4">
        <v>0.0</v>
      </c>
      <c r="L435" s="7">
        <v>0.0</v>
      </c>
      <c r="M435" s="1" t="s">
        <v>1924</v>
      </c>
      <c r="N435" s="4">
        <v>81.0</v>
      </c>
      <c r="O435" s="4">
        <v>3.0</v>
      </c>
      <c r="P435" s="1" t="s">
        <v>28</v>
      </c>
      <c r="Q435" s="5" t="b">
        <v>0</v>
      </c>
      <c r="R435" s="5" t="b">
        <v>1</v>
      </c>
      <c r="S435" s="5" t="b">
        <v>0</v>
      </c>
      <c r="T435" s="4">
        <v>0.0</v>
      </c>
      <c r="U435" s="5" t="b">
        <v>0</v>
      </c>
      <c r="V435" s="10">
        <v>44870.0</v>
      </c>
      <c r="W435" s="11">
        <v>44849.0</v>
      </c>
    </row>
    <row r="436">
      <c r="A436" s="4">
        <v>506407.0</v>
      </c>
      <c r="B436" s="5" t="b">
        <v>1</v>
      </c>
      <c r="C436" s="6" t="s">
        <v>1925</v>
      </c>
      <c r="D436" s="1" t="s">
        <v>1926</v>
      </c>
      <c r="E436" s="7">
        <v>5251013.0</v>
      </c>
      <c r="F436" s="7">
        <v>1330373.0</v>
      </c>
      <c r="G436" s="1" t="s">
        <v>1524</v>
      </c>
      <c r="H436" s="1" t="s">
        <v>1927</v>
      </c>
      <c r="I436" s="8">
        <v>44825.604241747686</v>
      </c>
      <c r="J436" s="9">
        <f>+5935808008089</f>
        <v>5935808008089</v>
      </c>
      <c r="K436" s="4">
        <v>0.0</v>
      </c>
      <c r="L436" s="7">
        <v>0.0</v>
      </c>
      <c r="M436" s="9"/>
      <c r="N436" s="4">
        <v>0.0</v>
      </c>
      <c r="O436" s="4">
        <v>1.0</v>
      </c>
      <c r="P436" s="1" t="s">
        <v>39</v>
      </c>
      <c r="Q436" s="5" t="b">
        <v>0</v>
      </c>
      <c r="R436" s="5" t="b">
        <v>0</v>
      </c>
      <c r="S436" s="5" t="b">
        <v>1</v>
      </c>
      <c r="T436" s="4">
        <v>0.0</v>
      </c>
      <c r="U436" s="5" t="b">
        <v>0</v>
      </c>
      <c r="V436" s="10">
        <v>44894.0</v>
      </c>
      <c r="W436" s="10">
        <v>44866.0</v>
      </c>
    </row>
    <row r="437">
      <c r="A437" s="4">
        <v>506414.0</v>
      </c>
      <c r="B437" s="5" t="b">
        <v>0</v>
      </c>
      <c r="C437" s="6" t="s">
        <v>1928</v>
      </c>
      <c r="D437" s="1" t="s">
        <v>1929</v>
      </c>
      <c r="E437" s="7">
        <v>4888348.0</v>
      </c>
      <c r="F437" s="7">
        <v>2287243.0</v>
      </c>
      <c r="G437" s="1" t="s">
        <v>365</v>
      </c>
      <c r="H437" s="1" t="s">
        <v>1930</v>
      </c>
      <c r="I437" s="8">
        <v>44826.313377673614</v>
      </c>
      <c r="J437" s="9">
        <f>+33985399899</f>
        <v>33985399899</v>
      </c>
      <c r="K437" s="4">
        <v>0.0</v>
      </c>
      <c r="L437" s="7">
        <v>0.0</v>
      </c>
      <c r="M437" s="1" t="s">
        <v>1931</v>
      </c>
      <c r="N437" s="4">
        <v>0.0</v>
      </c>
      <c r="O437" s="4">
        <v>1.0</v>
      </c>
      <c r="P437" s="1" t="s">
        <v>28</v>
      </c>
      <c r="Q437" s="5" t="b">
        <v>0</v>
      </c>
      <c r="R437" s="5" t="b">
        <v>1</v>
      </c>
      <c r="S437" s="5" t="b">
        <v>0</v>
      </c>
      <c r="T437" s="4">
        <v>0.0</v>
      </c>
      <c r="U437" s="5" t="b">
        <v>0</v>
      </c>
      <c r="V437" s="11">
        <v>44887.0</v>
      </c>
      <c r="W437" s="11">
        <v>44861.0</v>
      </c>
    </row>
    <row r="438">
      <c r="A438" s="4">
        <v>506445.0</v>
      </c>
      <c r="B438" s="5" t="b">
        <v>1</v>
      </c>
      <c r="C438" s="6" t="s">
        <v>1932</v>
      </c>
      <c r="D438" s="1" t="s">
        <v>1933</v>
      </c>
      <c r="E438" s="7">
        <v>4894362.0</v>
      </c>
      <c r="F438" s="7">
        <v>232664.0</v>
      </c>
      <c r="G438" s="1" t="s">
        <v>1934</v>
      </c>
      <c r="H438" s="1" t="s">
        <v>1935</v>
      </c>
      <c r="I438" s="8">
        <v>44826.46069641204</v>
      </c>
      <c r="J438" s="9">
        <f>+33935385583</f>
        <v>33935385583</v>
      </c>
      <c r="K438" s="4">
        <v>0.0</v>
      </c>
      <c r="L438" s="7">
        <v>0.0</v>
      </c>
      <c r="M438" s="1" t="s">
        <v>1936</v>
      </c>
      <c r="N438" s="4">
        <v>0.0</v>
      </c>
      <c r="O438" s="4">
        <v>2.0</v>
      </c>
      <c r="P438" s="1" t="s">
        <v>33</v>
      </c>
      <c r="Q438" s="5" t="b">
        <v>0</v>
      </c>
      <c r="R438" s="5" t="b">
        <v>1</v>
      </c>
      <c r="S438" s="5" t="b">
        <v>0</v>
      </c>
      <c r="T438" s="4">
        <v>0.0</v>
      </c>
      <c r="U438" s="5" t="b">
        <v>0</v>
      </c>
      <c r="V438" s="10">
        <v>44835.0</v>
      </c>
      <c r="W438" s="11">
        <v>44854.0</v>
      </c>
    </row>
    <row r="439">
      <c r="A439" s="4">
        <v>506444.0</v>
      </c>
      <c r="B439" s="5" t="b">
        <v>1</v>
      </c>
      <c r="C439" s="6" t="s">
        <v>1937</v>
      </c>
      <c r="D439" s="1" t="s">
        <v>1938</v>
      </c>
      <c r="E439" s="7">
        <v>4854452.0</v>
      </c>
      <c r="F439" s="7">
        <v>2676292.0</v>
      </c>
      <c r="G439" s="1" t="s">
        <v>1939</v>
      </c>
      <c r="H439" s="1" t="s">
        <v>1940</v>
      </c>
      <c r="I439" s="8">
        <v>44826.46149398148</v>
      </c>
      <c r="J439" s="9">
        <f>+33999099550</f>
        <v>33999099550</v>
      </c>
      <c r="K439" s="4">
        <v>0.0</v>
      </c>
      <c r="L439" s="7">
        <v>0.0</v>
      </c>
      <c r="M439" s="1" t="s">
        <v>1941</v>
      </c>
      <c r="N439" s="4">
        <v>0.0</v>
      </c>
      <c r="O439" s="4">
        <v>1.0</v>
      </c>
      <c r="P439" s="1" t="s">
        <v>39</v>
      </c>
      <c r="Q439" s="5" t="b">
        <v>1</v>
      </c>
      <c r="R439" s="5" t="b">
        <v>0</v>
      </c>
      <c r="S439" s="5" t="b">
        <v>0</v>
      </c>
      <c r="T439" s="4">
        <v>0.0</v>
      </c>
      <c r="U439" s="5" t="b">
        <v>0</v>
      </c>
      <c r="V439" s="10">
        <v>44856.0</v>
      </c>
      <c r="W439" s="10">
        <v>44848.0</v>
      </c>
    </row>
    <row r="440">
      <c r="A440" s="4">
        <v>5064306.0</v>
      </c>
      <c r="B440" s="5" t="b">
        <v>1</v>
      </c>
      <c r="C440" s="6" t="s">
        <v>1942</v>
      </c>
      <c r="D440" s="1" t="s">
        <v>1943</v>
      </c>
      <c r="E440" s="7">
        <v>3814114.0</v>
      </c>
      <c r="F440" s="7">
        <v>1334939.0</v>
      </c>
      <c r="G440" s="1" t="s">
        <v>1869</v>
      </c>
      <c r="H440" s="1" t="s">
        <v>1944</v>
      </c>
      <c r="I440" s="8">
        <v>44826.5266950463</v>
      </c>
      <c r="J440" s="9">
        <f>+393885895588</f>
        <v>393885895588</v>
      </c>
      <c r="K440" s="4">
        <v>0.0</v>
      </c>
      <c r="L440" s="7">
        <v>0.0</v>
      </c>
      <c r="M440" s="1">
        <v>6.333333337E9</v>
      </c>
      <c r="N440" s="4">
        <v>38.0</v>
      </c>
      <c r="O440" s="4">
        <v>3.0</v>
      </c>
      <c r="P440" s="1" t="s">
        <v>28</v>
      </c>
      <c r="Q440" s="5" t="b">
        <v>1</v>
      </c>
      <c r="R440" s="5" t="b">
        <v>0</v>
      </c>
      <c r="S440" s="5" t="b">
        <v>0</v>
      </c>
      <c r="T440" s="4">
        <v>0.0</v>
      </c>
      <c r="U440" s="5" t="b">
        <v>0</v>
      </c>
      <c r="V440" s="11">
        <v>44894.0</v>
      </c>
      <c r="W440" s="10">
        <v>44874.0</v>
      </c>
    </row>
    <row r="441">
      <c r="A441" s="4">
        <v>506461.0</v>
      </c>
      <c r="B441" s="5" t="b">
        <v>1</v>
      </c>
      <c r="C441" s="6" t="s">
        <v>1945</v>
      </c>
      <c r="D441" s="1" t="s">
        <v>1946</v>
      </c>
      <c r="E441" s="7">
        <v>5159195.0</v>
      </c>
      <c r="F441" s="7">
        <v>-16557.0</v>
      </c>
      <c r="G441" s="1" t="s">
        <v>1367</v>
      </c>
      <c r="H441" s="1" t="s">
        <v>1947</v>
      </c>
      <c r="I441" s="8">
        <v>44826.55109032407</v>
      </c>
      <c r="J441" s="9">
        <f>+553539353898</f>
        <v>553539353898</v>
      </c>
      <c r="K441" s="4">
        <v>0.0</v>
      </c>
      <c r="L441" s="7">
        <v>0.0</v>
      </c>
      <c r="M441" s="9"/>
      <c r="N441" s="4">
        <v>18.0</v>
      </c>
      <c r="O441" s="4">
        <v>3.0</v>
      </c>
      <c r="P441" s="1" t="s">
        <v>33</v>
      </c>
      <c r="Q441" s="5" t="b">
        <v>0</v>
      </c>
      <c r="R441" s="5" t="b">
        <v>0</v>
      </c>
      <c r="S441" s="5" t="b">
        <v>0</v>
      </c>
      <c r="T441" s="4">
        <v>0.0</v>
      </c>
      <c r="U441" s="5" t="b">
        <v>0</v>
      </c>
      <c r="V441" s="11">
        <v>44858.0</v>
      </c>
      <c r="W441" s="10">
        <v>44874.0</v>
      </c>
    </row>
    <row r="442">
      <c r="A442" s="4">
        <v>506465.0</v>
      </c>
      <c r="B442" s="5" t="b">
        <v>1</v>
      </c>
      <c r="C442" s="6" t="s">
        <v>1948</v>
      </c>
      <c r="D442" s="1" t="s">
        <v>1949</v>
      </c>
      <c r="E442" s="7">
        <v>4472784.0</v>
      </c>
      <c r="F442" s="7">
        <v>1925505.0</v>
      </c>
      <c r="G442" s="1" t="s">
        <v>1950</v>
      </c>
      <c r="H442" s="1" t="s">
        <v>1951</v>
      </c>
      <c r="I442" s="8">
        <v>44826.55365732639</v>
      </c>
      <c r="J442" s="9">
        <f>+33399083859</f>
        <v>33399083859</v>
      </c>
      <c r="K442" s="4">
        <v>0.0</v>
      </c>
      <c r="L442" s="7">
        <v>0.0</v>
      </c>
      <c r="M442" s="9"/>
      <c r="N442" s="4">
        <v>0.0</v>
      </c>
      <c r="O442" s="4">
        <v>2.0</v>
      </c>
      <c r="P442" s="1" t="s">
        <v>33</v>
      </c>
      <c r="Q442" s="5" t="b">
        <v>1</v>
      </c>
      <c r="R442" s="5" t="b">
        <v>0</v>
      </c>
      <c r="S442" s="5" t="b">
        <v>0</v>
      </c>
      <c r="T442" s="4">
        <v>0.0</v>
      </c>
      <c r="U442" s="5" t="b">
        <v>0</v>
      </c>
      <c r="V442" s="10">
        <v>44877.0</v>
      </c>
      <c r="W442" s="10">
        <v>44855.0</v>
      </c>
    </row>
    <row r="443">
      <c r="A443" s="4">
        <v>506464.0</v>
      </c>
      <c r="B443" s="5" t="b">
        <v>1</v>
      </c>
      <c r="C443" s="6" t="s">
        <v>1952</v>
      </c>
      <c r="D443" s="1" t="s">
        <v>1953</v>
      </c>
      <c r="E443" s="7">
        <v>4548049.0</v>
      </c>
      <c r="F443" s="7">
        <v>9194338.0</v>
      </c>
      <c r="G443" s="1" t="s">
        <v>37</v>
      </c>
      <c r="H443" s="1" t="s">
        <v>1954</v>
      </c>
      <c r="I443" s="8">
        <v>44826.59461521991</v>
      </c>
      <c r="J443" s="9">
        <f>+393508855530</f>
        <v>393508855530</v>
      </c>
      <c r="K443" s="4">
        <v>0.0</v>
      </c>
      <c r="L443" s="7">
        <v>0.0</v>
      </c>
      <c r="M443" s="1">
        <v>3.37733767E8</v>
      </c>
      <c r="N443" s="4">
        <v>69.0</v>
      </c>
      <c r="O443" s="4">
        <v>3.0</v>
      </c>
      <c r="P443" s="1" t="s">
        <v>28</v>
      </c>
      <c r="Q443" s="5" t="b">
        <v>1</v>
      </c>
      <c r="R443" s="5" t="b">
        <v>0</v>
      </c>
      <c r="S443" s="5" t="b">
        <v>0</v>
      </c>
      <c r="T443" s="4">
        <v>0.0</v>
      </c>
      <c r="U443" s="5" t="b">
        <v>0</v>
      </c>
      <c r="V443" s="11">
        <v>44879.0</v>
      </c>
      <c r="W443" s="11">
        <v>44879.0</v>
      </c>
    </row>
    <row r="444">
      <c r="A444" s="4">
        <v>5064750.0</v>
      </c>
      <c r="B444" s="5" t="b">
        <v>1</v>
      </c>
      <c r="C444" s="6" t="s">
        <v>1955</v>
      </c>
      <c r="D444" s="1" t="s">
        <v>1956</v>
      </c>
      <c r="E444" s="7">
        <v>4886256.0</v>
      </c>
      <c r="F444" s="7">
        <v>2340004.0</v>
      </c>
      <c r="G444" s="1" t="s">
        <v>365</v>
      </c>
      <c r="H444" s="1" t="s">
        <v>1957</v>
      </c>
      <c r="I444" s="8">
        <v>44826.64978420139</v>
      </c>
      <c r="J444" s="9">
        <f>+33935533850</f>
        <v>33935533850</v>
      </c>
      <c r="K444" s="4">
        <v>0.0</v>
      </c>
      <c r="L444" s="7">
        <v>0.0</v>
      </c>
      <c r="M444" s="1" t="s">
        <v>1958</v>
      </c>
      <c r="N444" s="4">
        <v>0.0</v>
      </c>
      <c r="O444" s="4">
        <v>1.0</v>
      </c>
      <c r="P444" s="1" t="s">
        <v>33</v>
      </c>
      <c r="Q444" s="5" t="b">
        <v>1</v>
      </c>
      <c r="R444" s="5" t="b">
        <v>0</v>
      </c>
      <c r="S444" s="5" t="b">
        <v>0</v>
      </c>
      <c r="T444" s="4">
        <v>0.0</v>
      </c>
      <c r="U444" s="5" t="b">
        <v>0</v>
      </c>
      <c r="V444" s="11">
        <v>44887.0</v>
      </c>
      <c r="W444" s="11">
        <v>44876.0</v>
      </c>
    </row>
    <row r="445">
      <c r="A445" s="4">
        <v>506474.0</v>
      </c>
      <c r="B445" s="5" t="b">
        <v>1</v>
      </c>
      <c r="C445" s="6" t="s">
        <v>1959</v>
      </c>
      <c r="D445" s="1" t="s">
        <v>1960</v>
      </c>
      <c r="E445" s="7">
        <v>404342.0</v>
      </c>
      <c r="F445" s="7">
        <v>-370098.0</v>
      </c>
      <c r="G445" s="1" t="s">
        <v>195</v>
      </c>
      <c r="H445" s="1" t="s">
        <v>1961</v>
      </c>
      <c r="I445" s="8">
        <v>44827.281871747684</v>
      </c>
      <c r="J445" s="9">
        <f>+35935939989</f>
        <v>35935939989</v>
      </c>
      <c r="K445" s="4">
        <v>1.0</v>
      </c>
      <c r="L445" s="7">
        <v>5.0</v>
      </c>
      <c r="M445" s="1" t="s">
        <v>1962</v>
      </c>
      <c r="N445" s="4">
        <v>39.0</v>
      </c>
      <c r="O445" s="4">
        <v>5.0</v>
      </c>
      <c r="P445" s="1" t="s">
        <v>28</v>
      </c>
      <c r="Q445" s="5" t="b">
        <v>0</v>
      </c>
      <c r="R445" s="5" t="b">
        <v>1</v>
      </c>
      <c r="S445" s="5" t="b">
        <v>0</v>
      </c>
      <c r="T445" s="4" t="s">
        <v>192</v>
      </c>
      <c r="U445" s="5" t="b">
        <v>1</v>
      </c>
      <c r="V445" s="11">
        <v>44864.0</v>
      </c>
      <c r="W445" s="11">
        <v>44881.0</v>
      </c>
    </row>
    <row r="446">
      <c r="A446" s="4">
        <v>506440.0</v>
      </c>
      <c r="B446" s="5" t="b">
        <v>1</v>
      </c>
      <c r="C446" s="6" t="s">
        <v>1963</v>
      </c>
      <c r="D446" s="1" t="s">
        <v>1964</v>
      </c>
      <c r="E446" s="7">
        <v>4318485.0</v>
      </c>
      <c r="F446" s="7">
        <v>2994307.0</v>
      </c>
      <c r="G446" s="1" t="s">
        <v>1965</v>
      </c>
      <c r="H446" s="1" t="s">
        <v>1966</v>
      </c>
      <c r="I446" s="8">
        <v>44827.28568803241</v>
      </c>
      <c r="J446" s="9">
        <f>+33385353530</f>
        <v>33385353530</v>
      </c>
      <c r="K446" s="4">
        <v>0.0</v>
      </c>
      <c r="L446" s="7">
        <v>0.0</v>
      </c>
      <c r="M446" s="1" t="s">
        <v>1967</v>
      </c>
      <c r="N446" s="4">
        <v>0.0</v>
      </c>
      <c r="O446" s="4">
        <v>3.0</v>
      </c>
      <c r="P446" s="1" t="s">
        <v>33</v>
      </c>
      <c r="Q446" s="5" t="b">
        <v>1</v>
      </c>
      <c r="R446" s="5" t="b">
        <v>0</v>
      </c>
      <c r="S446" s="5" t="b">
        <v>0</v>
      </c>
      <c r="T446" s="4">
        <v>0.0</v>
      </c>
      <c r="U446" s="5" t="b">
        <v>1</v>
      </c>
      <c r="V446" s="10">
        <v>44901.0</v>
      </c>
      <c r="W446" s="11">
        <v>44849.0</v>
      </c>
    </row>
    <row r="447">
      <c r="A447" s="4">
        <v>5064450.0</v>
      </c>
      <c r="B447" s="5" t="b">
        <v>1</v>
      </c>
      <c r="C447" s="6" t="s">
        <v>1968</v>
      </c>
      <c r="D447" s="1" t="s">
        <v>1969</v>
      </c>
      <c r="E447" s="7">
        <v>4367622.0</v>
      </c>
      <c r="F447" s="7">
        <v>4430167.0</v>
      </c>
      <c r="G447" s="1" t="s">
        <v>1970</v>
      </c>
      <c r="H447" s="1" t="s">
        <v>1971</v>
      </c>
      <c r="I447" s="8">
        <v>44827.298446712965</v>
      </c>
      <c r="J447" s="8"/>
      <c r="K447" s="4">
        <v>0.0</v>
      </c>
      <c r="L447" s="7">
        <v>0.0</v>
      </c>
      <c r="M447" s="9"/>
      <c r="N447" s="4">
        <v>0.0</v>
      </c>
      <c r="O447" s="4">
        <v>0.0</v>
      </c>
      <c r="P447" s="1" t="s">
        <v>33</v>
      </c>
      <c r="Q447" s="5" t="b">
        <v>1</v>
      </c>
      <c r="R447" s="5" t="b">
        <v>0</v>
      </c>
      <c r="S447" s="5" t="b">
        <v>0</v>
      </c>
      <c r="T447" s="4">
        <v>0.0</v>
      </c>
      <c r="U447" s="5" t="b">
        <v>0</v>
      </c>
      <c r="V447" s="11">
        <v>44892.0</v>
      </c>
      <c r="W447" s="11">
        <v>44882.0</v>
      </c>
    </row>
    <row r="448">
      <c r="A448" s="4">
        <v>506451.0</v>
      </c>
      <c r="B448" s="5" t="b">
        <v>1</v>
      </c>
      <c r="C448" s="6" t="s">
        <v>1972</v>
      </c>
      <c r="D448" s="1" t="s">
        <v>1973</v>
      </c>
      <c r="E448" s="7">
        <v>3896085.0</v>
      </c>
      <c r="F448" s="7">
        <v>-586315.0</v>
      </c>
      <c r="G448" s="1" t="s">
        <v>1974</v>
      </c>
      <c r="H448" s="1" t="s">
        <v>1975</v>
      </c>
      <c r="I448" s="8">
        <v>44827.32100435185</v>
      </c>
      <c r="J448" s="9">
        <f>+35959535088</f>
        <v>35959535088</v>
      </c>
      <c r="K448" s="4">
        <v>0.0</v>
      </c>
      <c r="L448" s="7">
        <v>0.0</v>
      </c>
      <c r="M448" s="1" t="s">
        <v>1976</v>
      </c>
      <c r="N448" s="4">
        <v>27.0</v>
      </c>
      <c r="O448" s="4">
        <v>4.0</v>
      </c>
      <c r="P448" s="1" t="s">
        <v>33</v>
      </c>
      <c r="Q448" s="5" t="b">
        <v>1</v>
      </c>
      <c r="R448" s="5" t="b">
        <v>0</v>
      </c>
      <c r="S448" s="5" t="b">
        <v>0</v>
      </c>
      <c r="T448" s="4">
        <v>0.0</v>
      </c>
      <c r="U448" s="5" t="b">
        <v>0</v>
      </c>
      <c r="V448" s="10">
        <v>44843.0</v>
      </c>
      <c r="W448" s="10">
        <v>44872.0</v>
      </c>
    </row>
    <row r="449">
      <c r="A449" s="4">
        <v>506454.0</v>
      </c>
      <c r="B449" s="5" t="b">
        <v>1</v>
      </c>
      <c r="C449" s="6" t="s">
        <v>1977</v>
      </c>
      <c r="D449" s="1" t="s">
        <v>1978</v>
      </c>
      <c r="E449" s="7">
        <v>3791729.0</v>
      </c>
      <c r="F449" s="7">
        <v>2371417.0</v>
      </c>
      <c r="G449" s="1" t="s">
        <v>1979</v>
      </c>
      <c r="H449" s="1" t="s">
        <v>1980</v>
      </c>
      <c r="I449" s="8">
        <v>44827.32930118056</v>
      </c>
      <c r="J449" s="9">
        <f>+308309883999</f>
        <v>308309883999</v>
      </c>
      <c r="K449" s="4">
        <v>0.0</v>
      </c>
      <c r="L449" s="7">
        <v>0.0</v>
      </c>
      <c r="M449" s="1">
        <v>3.3333733E7</v>
      </c>
      <c r="N449" s="4">
        <v>0.0</v>
      </c>
      <c r="O449" s="4">
        <v>3.0</v>
      </c>
      <c r="P449" s="1" t="s">
        <v>33</v>
      </c>
      <c r="Q449" s="5" t="b">
        <v>1</v>
      </c>
      <c r="R449" s="5" t="b">
        <v>0</v>
      </c>
      <c r="S449" s="5" t="b">
        <v>0</v>
      </c>
      <c r="T449" s="4">
        <v>0.0</v>
      </c>
      <c r="U449" s="5" t="b">
        <v>0</v>
      </c>
      <c r="V449" s="11">
        <v>44886.0</v>
      </c>
      <c r="W449" s="10">
        <v>44840.0</v>
      </c>
    </row>
    <row r="450">
      <c r="A450" s="4">
        <v>5.063015E7</v>
      </c>
      <c r="B450" s="5" t="b">
        <v>1</v>
      </c>
      <c r="C450" s="6" t="s">
        <v>1981</v>
      </c>
      <c r="D450" s="1" t="s">
        <v>1982</v>
      </c>
      <c r="E450" s="7">
        <v>4884365.0</v>
      </c>
      <c r="F450" s="7">
        <v>2218737.0</v>
      </c>
      <c r="G450" s="1" t="s">
        <v>1983</v>
      </c>
      <c r="H450" s="1" t="s">
        <v>1984</v>
      </c>
      <c r="I450" s="8">
        <v>44827.374077858796</v>
      </c>
      <c r="J450" s="9">
        <f>+33989535383</f>
        <v>33989535383</v>
      </c>
      <c r="K450" s="4">
        <v>0.0</v>
      </c>
      <c r="L450" s="7">
        <v>0.0</v>
      </c>
      <c r="M450" s="1" t="s">
        <v>1985</v>
      </c>
      <c r="N450" s="4">
        <v>0.0</v>
      </c>
      <c r="O450" s="4">
        <v>2.0</v>
      </c>
      <c r="P450" s="1" t="s">
        <v>39</v>
      </c>
      <c r="Q450" s="5" t="b">
        <v>1</v>
      </c>
      <c r="R450" s="5" t="b">
        <v>0</v>
      </c>
      <c r="S450" s="5" t="b">
        <v>0</v>
      </c>
      <c r="T450" s="4">
        <v>0.0</v>
      </c>
      <c r="U450" s="5" t="b">
        <v>0</v>
      </c>
      <c r="V450" s="11">
        <v>44848.0</v>
      </c>
      <c r="W450" s="10">
        <v>44835.0</v>
      </c>
    </row>
    <row r="451">
      <c r="A451" s="4">
        <v>5063014.0</v>
      </c>
      <c r="B451" s="5" t="b">
        <v>1</v>
      </c>
      <c r="C451" s="6" t="s">
        <v>1986</v>
      </c>
      <c r="D451" s="1" t="s">
        <v>1987</v>
      </c>
      <c r="E451" s="7">
        <v>5113434.0</v>
      </c>
      <c r="F451" s="7">
        <v>6452501.0</v>
      </c>
      <c r="G451" s="1" t="s">
        <v>1988</v>
      </c>
      <c r="H451" s="1" t="s">
        <v>1989</v>
      </c>
      <c r="I451" s="8">
        <v>44827.39470510417</v>
      </c>
      <c r="J451" s="9">
        <f>+5933985338338</f>
        <v>5933985338338</v>
      </c>
      <c r="K451" s="4">
        <v>0.0</v>
      </c>
      <c r="L451" s="7">
        <v>0.0</v>
      </c>
      <c r="M451" s="9"/>
      <c r="N451" s="4">
        <v>0.0</v>
      </c>
      <c r="O451" s="4">
        <v>1.0</v>
      </c>
      <c r="P451" s="1" t="s">
        <v>39</v>
      </c>
      <c r="Q451" s="5" t="b">
        <v>1</v>
      </c>
      <c r="R451" s="5" t="b">
        <v>0</v>
      </c>
      <c r="S451" s="5" t="b">
        <v>0</v>
      </c>
      <c r="T451" s="4">
        <v>0.0</v>
      </c>
      <c r="U451" s="5" t="b">
        <v>0</v>
      </c>
      <c r="V451" s="10">
        <v>44874.0</v>
      </c>
      <c r="W451" s="11">
        <v>44883.0</v>
      </c>
    </row>
    <row r="452">
      <c r="A452" s="4">
        <v>5063054.0</v>
      </c>
      <c r="B452" s="5" t="b">
        <v>1</v>
      </c>
      <c r="C452" s="6" t="s">
        <v>1990</v>
      </c>
      <c r="D452" s="1" t="s">
        <v>1991</v>
      </c>
      <c r="E452" s="7">
        <v>3947121.0</v>
      </c>
      <c r="F452" s="7">
        <v>-36822.0</v>
      </c>
      <c r="G452" s="1" t="s">
        <v>417</v>
      </c>
      <c r="H452" s="1" t="s">
        <v>1992</v>
      </c>
      <c r="I452" s="8">
        <v>44827.45413255787</v>
      </c>
      <c r="J452" s="9">
        <f>+35993583553</f>
        <v>35993583553</v>
      </c>
      <c r="K452" s="4">
        <v>0.0</v>
      </c>
      <c r="L452" s="7">
        <v>0.0</v>
      </c>
      <c r="M452" s="1" t="s">
        <v>1993</v>
      </c>
      <c r="N452" s="4">
        <v>0.0</v>
      </c>
      <c r="O452" s="4">
        <v>2.0</v>
      </c>
      <c r="P452" s="1" t="s">
        <v>39</v>
      </c>
      <c r="Q452" s="5" t="b">
        <v>0</v>
      </c>
      <c r="R452" s="5" t="b">
        <v>1</v>
      </c>
      <c r="S452" s="5" t="b">
        <v>0</v>
      </c>
      <c r="T452" s="4">
        <v>0.0</v>
      </c>
      <c r="U452" s="5" t="b">
        <v>0</v>
      </c>
      <c r="V452" s="10">
        <v>44885.0</v>
      </c>
      <c r="W452" s="10">
        <v>44881.0</v>
      </c>
    </row>
    <row r="453">
      <c r="A453" s="4">
        <v>5063057.0</v>
      </c>
      <c r="B453" s="5" t="b">
        <v>1</v>
      </c>
      <c r="C453" s="6" t="s">
        <v>1994</v>
      </c>
      <c r="D453" s="1" t="s">
        <v>1995</v>
      </c>
      <c r="E453" s="7">
        <v>4738717.0</v>
      </c>
      <c r="F453" s="7">
        <v>8539442.0</v>
      </c>
      <c r="G453" s="1" t="s">
        <v>1568</v>
      </c>
      <c r="H453" s="1" t="s">
        <v>1996</v>
      </c>
      <c r="I453" s="8">
        <v>44827.463502847226</v>
      </c>
      <c r="J453" s="9">
        <f>+53398858530</f>
        <v>53398858530</v>
      </c>
      <c r="K453" s="4">
        <v>0.0</v>
      </c>
      <c r="L453" s="7">
        <v>0.0</v>
      </c>
      <c r="M453" s="9"/>
      <c r="N453" s="4">
        <v>0.0</v>
      </c>
      <c r="O453" s="4">
        <v>1.0</v>
      </c>
      <c r="P453" s="1" t="s">
        <v>28</v>
      </c>
      <c r="Q453" s="5" t="b">
        <v>1</v>
      </c>
      <c r="R453" s="5" t="b">
        <v>0</v>
      </c>
      <c r="S453" s="5" t="b">
        <v>0</v>
      </c>
      <c r="T453" s="4">
        <v>0.0</v>
      </c>
      <c r="U453" s="5" t="b">
        <v>0</v>
      </c>
      <c r="V453" s="11">
        <v>44886.0</v>
      </c>
      <c r="W453" s="10">
        <v>44870.0</v>
      </c>
    </row>
    <row r="454">
      <c r="A454" s="4">
        <v>5063055.0</v>
      </c>
      <c r="B454" s="5" t="b">
        <v>1</v>
      </c>
      <c r="C454" s="6" t="s">
        <v>1997</v>
      </c>
      <c r="D454" s="1" t="s">
        <v>1998</v>
      </c>
      <c r="E454" s="7">
        <v>5145778.0</v>
      </c>
      <c r="F454" s="7">
        <v>11124.0</v>
      </c>
      <c r="G454" s="1" t="s">
        <v>1367</v>
      </c>
      <c r="H454" s="1" t="s">
        <v>1999</v>
      </c>
      <c r="I454" s="8">
        <v>44827.48040712963</v>
      </c>
      <c r="J454" s="9">
        <f>+553903305393</f>
        <v>553903305393</v>
      </c>
      <c r="K454" s="4">
        <v>0.0</v>
      </c>
      <c r="L454" s="7">
        <v>0.0</v>
      </c>
      <c r="M454" s="9"/>
      <c r="N454" s="4">
        <v>0.0</v>
      </c>
      <c r="O454" s="4">
        <v>1.0</v>
      </c>
      <c r="P454" s="1" t="s">
        <v>28</v>
      </c>
      <c r="Q454" s="5" t="b">
        <v>1</v>
      </c>
      <c r="R454" s="5" t="b">
        <v>0</v>
      </c>
      <c r="S454" s="5" t="b">
        <v>0</v>
      </c>
      <c r="T454" s="4">
        <v>0.0</v>
      </c>
      <c r="U454" s="5" t="b">
        <v>0</v>
      </c>
      <c r="V454" s="10">
        <v>44886.0</v>
      </c>
      <c r="W454" s="10">
        <v>44902.0</v>
      </c>
    </row>
    <row r="455">
      <c r="A455" s="4">
        <v>5.06305E7</v>
      </c>
      <c r="B455" s="5" t="b">
        <v>1</v>
      </c>
      <c r="C455" s="6" t="s">
        <v>2000</v>
      </c>
      <c r="D455" s="1" t="s">
        <v>2001</v>
      </c>
      <c r="E455" s="7">
        <v>4880823.0</v>
      </c>
      <c r="F455" s="7">
        <v>9211917.0</v>
      </c>
      <c r="G455" s="1" t="s">
        <v>2002</v>
      </c>
      <c r="H455" s="1" t="s">
        <v>2003</v>
      </c>
      <c r="I455" s="8">
        <v>44827.48235869213</v>
      </c>
      <c r="J455" s="9">
        <f>+5933393803008</f>
        <v>5933393803008</v>
      </c>
      <c r="K455" s="4">
        <v>0.0</v>
      </c>
      <c r="L455" s="7">
        <v>0.0</v>
      </c>
      <c r="M455" s="9"/>
      <c r="N455" s="4">
        <v>0.0</v>
      </c>
      <c r="O455" s="4">
        <v>2.0</v>
      </c>
      <c r="P455" s="1" t="s">
        <v>28</v>
      </c>
      <c r="Q455" s="5" t="b">
        <v>1</v>
      </c>
      <c r="R455" s="5" t="b">
        <v>0</v>
      </c>
      <c r="S455" s="5" t="b">
        <v>0</v>
      </c>
      <c r="T455" s="4">
        <v>0.0</v>
      </c>
      <c r="U455" s="5" t="b">
        <v>0</v>
      </c>
      <c r="V455" s="10">
        <v>44839.0</v>
      </c>
      <c r="W455" s="11">
        <v>44847.0</v>
      </c>
    </row>
    <row r="456">
      <c r="A456" s="4">
        <v>5.0630505E8</v>
      </c>
      <c r="B456" s="5" t="b">
        <v>0</v>
      </c>
      <c r="C456" s="6" t="s">
        <v>222</v>
      </c>
      <c r="D456" s="1" t="s">
        <v>223</v>
      </c>
      <c r="E456" s="7">
        <v>4133453.0</v>
      </c>
      <c r="F456" s="7">
        <v>-872686.0</v>
      </c>
      <c r="G456" s="1" t="s">
        <v>2004</v>
      </c>
      <c r="H456" s="1" t="s">
        <v>2005</v>
      </c>
      <c r="I456" s="8">
        <v>44827.52814508102</v>
      </c>
      <c r="J456" s="9">
        <f>+353998339389</f>
        <v>353998339389</v>
      </c>
      <c r="K456" s="4">
        <v>0.0</v>
      </c>
      <c r="L456" s="7">
        <v>0.0</v>
      </c>
      <c r="M456" s="1">
        <v>7733.0</v>
      </c>
      <c r="N456" s="4">
        <v>33.0</v>
      </c>
      <c r="O456" s="4">
        <v>5.0</v>
      </c>
      <c r="P456" s="1" t="s">
        <v>33</v>
      </c>
      <c r="Q456" s="5" t="b">
        <v>0</v>
      </c>
      <c r="R456" s="5" t="b">
        <v>1</v>
      </c>
      <c r="S456" s="5" t="b">
        <v>0</v>
      </c>
      <c r="T456" s="4">
        <v>0.0</v>
      </c>
      <c r="U456" s="5" t="b">
        <v>1</v>
      </c>
      <c r="V456" s="11">
        <v>44861.0</v>
      </c>
      <c r="W456" s="10">
        <v>44866.0</v>
      </c>
    </row>
    <row r="457">
      <c r="A457" s="4">
        <v>5.0630505E7</v>
      </c>
      <c r="B457" s="5" t="b">
        <v>0</v>
      </c>
      <c r="C457" s="6" t="s">
        <v>2006</v>
      </c>
      <c r="D457" s="1" t="s">
        <v>2007</v>
      </c>
      <c r="E457" s="7">
        <v>5224742.0</v>
      </c>
      <c r="F457" s="7">
        <v>5256329.0</v>
      </c>
      <c r="G457" s="1" t="s">
        <v>2008</v>
      </c>
      <c r="H457" s="1" t="s">
        <v>2009</v>
      </c>
      <c r="I457" s="8">
        <v>44827.60683991898</v>
      </c>
      <c r="J457" s="9">
        <f>+33983335838</f>
        <v>33983335838</v>
      </c>
      <c r="K457" s="4">
        <v>0.0</v>
      </c>
      <c r="L457" s="7">
        <v>0.0</v>
      </c>
      <c r="M457" s="1" t="s">
        <v>2010</v>
      </c>
      <c r="N457" s="4">
        <v>0.0</v>
      </c>
      <c r="O457" s="4">
        <v>1.0</v>
      </c>
      <c r="P457" s="1" t="s">
        <v>28</v>
      </c>
      <c r="Q457" s="5" t="b">
        <v>1</v>
      </c>
      <c r="R457" s="5" t="b">
        <v>0</v>
      </c>
      <c r="S457" s="5" t="b">
        <v>0</v>
      </c>
      <c r="T457" s="4">
        <v>0.0</v>
      </c>
      <c r="U457" s="5" t="b">
        <v>0</v>
      </c>
      <c r="V457" s="11">
        <v>44853.0</v>
      </c>
      <c r="W457" s="10">
        <v>44836.0</v>
      </c>
    </row>
    <row r="458">
      <c r="A458" s="4">
        <v>5063071.0</v>
      </c>
      <c r="B458" s="5" t="b">
        <v>1</v>
      </c>
      <c r="C458" s="6" t="s">
        <v>2011</v>
      </c>
      <c r="D458" s="1" t="s">
        <v>2012</v>
      </c>
      <c r="E458" s="7">
        <v>3957006.0</v>
      </c>
      <c r="F458" s="7">
        <v>264739.0</v>
      </c>
      <c r="G458" s="1" t="s">
        <v>534</v>
      </c>
      <c r="H458" s="1" t="s">
        <v>2013</v>
      </c>
      <c r="I458" s="8">
        <v>44831.31702094907</v>
      </c>
      <c r="J458" s="9">
        <f>+35959853993</f>
        <v>35959853993</v>
      </c>
      <c r="K458" s="4">
        <v>0.0</v>
      </c>
      <c r="L458" s="7">
        <v>0.0</v>
      </c>
      <c r="M458" s="1" t="s">
        <v>2014</v>
      </c>
      <c r="N458" s="4">
        <v>0.0</v>
      </c>
      <c r="O458" s="4">
        <v>3.0</v>
      </c>
      <c r="P458" s="1" t="s">
        <v>39</v>
      </c>
      <c r="Q458" s="5" t="b">
        <v>0</v>
      </c>
      <c r="R458" s="5" t="b">
        <v>1</v>
      </c>
      <c r="S458" s="5" t="b">
        <v>0</v>
      </c>
      <c r="T458" s="4">
        <v>0.0</v>
      </c>
      <c r="U458" s="5" t="b">
        <v>0</v>
      </c>
      <c r="V458" s="11">
        <v>44886.0</v>
      </c>
      <c r="W458" s="11">
        <v>44891.0</v>
      </c>
    </row>
    <row r="459">
      <c r="A459" s="4">
        <v>5.063075E7</v>
      </c>
      <c r="B459" s="5" t="b">
        <v>1</v>
      </c>
      <c r="C459" s="6" t="s">
        <v>2015</v>
      </c>
      <c r="D459" s="1" t="s">
        <v>2016</v>
      </c>
      <c r="E459" s="7">
        <v>4360382.0</v>
      </c>
      <c r="F459" s="7">
        <v>144854.0</v>
      </c>
      <c r="G459" s="1" t="s">
        <v>1215</v>
      </c>
      <c r="H459" s="1" t="s">
        <v>2017</v>
      </c>
      <c r="I459" s="8">
        <v>44831.33224409722</v>
      </c>
      <c r="J459" s="9">
        <f>+33358533098</f>
        <v>33358533098</v>
      </c>
      <c r="K459" s="4">
        <v>0.0</v>
      </c>
      <c r="L459" s="7">
        <v>0.0</v>
      </c>
      <c r="M459" s="1" t="s">
        <v>2018</v>
      </c>
      <c r="N459" s="4">
        <v>0.0</v>
      </c>
      <c r="O459" s="4">
        <v>5.0</v>
      </c>
      <c r="P459" s="1" t="s">
        <v>33</v>
      </c>
      <c r="Q459" s="5" t="b">
        <v>1</v>
      </c>
      <c r="R459" s="5" t="b">
        <v>0</v>
      </c>
      <c r="S459" s="5" t="b">
        <v>0</v>
      </c>
      <c r="T459" s="4">
        <v>0.0</v>
      </c>
      <c r="U459" s="5" t="b">
        <v>0</v>
      </c>
      <c r="V459" s="11">
        <v>44890.0</v>
      </c>
      <c r="W459" s="11">
        <v>44892.0</v>
      </c>
    </row>
    <row r="460">
      <c r="A460" s="4">
        <v>5063076.0</v>
      </c>
      <c r="B460" s="5" t="b">
        <v>1</v>
      </c>
      <c r="C460" s="6" t="s">
        <v>2019</v>
      </c>
      <c r="D460" s="1" t="s">
        <v>2020</v>
      </c>
      <c r="E460" s="7">
        <v>4706547.0</v>
      </c>
      <c r="F460" s="7">
        <v>3935101.0</v>
      </c>
      <c r="G460" s="1" t="s">
        <v>2021</v>
      </c>
      <c r="H460" s="1" t="s">
        <v>2022</v>
      </c>
      <c r="I460" s="8">
        <v>44831.351650069446</v>
      </c>
      <c r="J460" s="9">
        <f>+33389858590</f>
        <v>33389858590</v>
      </c>
      <c r="K460" s="4">
        <v>0.0</v>
      </c>
      <c r="L460" s="7">
        <v>0.0</v>
      </c>
      <c r="M460" s="1" t="s">
        <v>2023</v>
      </c>
      <c r="N460" s="4">
        <v>0.0</v>
      </c>
      <c r="O460" s="4">
        <v>1.0</v>
      </c>
      <c r="P460" s="1" t="s">
        <v>28</v>
      </c>
      <c r="Q460" s="5" t="b">
        <v>1</v>
      </c>
      <c r="R460" s="5" t="b">
        <v>0</v>
      </c>
      <c r="S460" s="5" t="b">
        <v>0</v>
      </c>
      <c r="T460" s="4">
        <v>0.0</v>
      </c>
      <c r="U460" s="5" t="b">
        <v>0</v>
      </c>
      <c r="V460" s="11">
        <v>44862.0</v>
      </c>
      <c r="W460" s="11">
        <v>44883.0</v>
      </c>
    </row>
    <row r="461">
      <c r="A461" s="4">
        <v>5.063045E7</v>
      </c>
      <c r="B461" s="5" t="b">
        <v>1</v>
      </c>
      <c r="C461" s="6" t="s">
        <v>2024</v>
      </c>
      <c r="D461" s="1" t="s">
        <v>2025</v>
      </c>
      <c r="E461" s="7">
        <v>3977229.0</v>
      </c>
      <c r="F461" s="7">
        <v>303007.0</v>
      </c>
      <c r="G461" s="1" t="s">
        <v>2026</v>
      </c>
      <c r="H461" s="1" t="s">
        <v>2027</v>
      </c>
      <c r="I461" s="8">
        <v>44831.38288650463</v>
      </c>
      <c r="J461" s="9">
        <f>+35933939355</f>
        <v>35933939355</v>
      </c>
      <c r="K461" s="4">
        <v>0.0</v>
      </c>
      <c r="L461" s="7">
        <v>0.0</v>
      </c>
      <c r="M461" s="1" t="s">
        <v>2028</v>
      </c>
      <c r="N461" s="4">
        <v>0.0</v>
      </c>
      <c r="O461" s="4">
        <v>2.0</v>
      </c>
      <c r="P461" s="1" t="s">
        <v>28</v>
      </c>
      <c r="Q461" s="5" t="b">
        <v>0</v>
      </c>
      <c r="R461" s="5" t="b">
        <v>1</v>
      </c>
      <c r="S461" s="5" t="b">
        <v>0</v>
      </c>
      <c r="T461" s="4">
        <v>0.0</v>
      </c>
      <c r="U461" s="5" t="b">
        <v>0</v>
      </c>
      <c r="V461" s="10">
        <v>44874.0</v>
      </c>
      <c r="W461" s="10">
        <v>44883.0</v>
      </c>
    </row>
    <row r="462">
      <c r="A462" s="4">
        <v>5063044.0</v>
      </c>
      <c r="B462" s="5" t="b">
        <v>1</v>
      </c>
      <c r="C462" s="6" t="s">
        <v>2029</v>
      </c>
      <c r="D462" s="1" t="s">
        <v>2030</v>
      </c>
      <c r="E462" s="7">
        <v>394703.0</v>
      </c>
      <c r="F462" s="7">
        <v>-34909.0</v>
      </c>
      <c r="G462" s="1" t="s">
        <v>417</v>
      </c>
      <c r="H462" s="1" t="s">
        <v>2031</v>
      </c>
      <c r="I462" s="8">
        <v>44831.40728730324</v>
      </c>
      <c r="J462" s="9">
        <f>+35953953505</f>
        <v>35953953505</v>
      </c>
      <c r="K462" s="4">
        <v>0.0</v>
      </c>
      <c r="L462" s="7">
        <v>0.0</v>
      </c>
      <c r="M462" s="1" t="s">
        <v>2032</v>
      </c>
      <c r="N462" s="4">
        <v>0.0</v>
      </c>
      <c r="O462" s="4">
        <v>1.0</v>
      </c>
      <c r="P462" s="1" t="s">
        <v>39</v>
      </c>
      <c r="Q462" s="5" t="b">
        <v>1</v>
      </c>
      <c r="R462" s="5" t="b">
        <v>0</v>
      </c>
      <c r="S462" s="5" t="b">
        <v>0</v>
      </c>
      <c r="T462" s="4">
        <v>0.0</v>
      </c>
      <c r="U462" s="5" t="b">
        <v>0</v>
      </c>
      <c r="V462" s="11">
        <v>44857.0</v>
      </c>
      <c r="W462" s="10">
        <v>44898.0</v>
      </c>
    </row>
    <row r="463">
      <c r="A463" s="4">
        <v>5063045.0</v>
      </c>
      <c r="B463" s="5" t="b">
        <v>1</v>
      </c>
      <c r="C463" s="6" t="s">
        <v>2033</v>
      </c>
      <c r="D463" s="1" t="s">
        <v>2034</v>
      </c>
      <c r="E463" s="7">
        <v>5153984.0</v>
      </c>
      <c r="F463" s="7">
        <v>-9689.0</v>
      </c>
      <c r="G463" s="1" t="s">
        <v>1367</v>
      </c>
      <c r="H463" s="1" t="s">
        <v>2035</v>
      </c>
      <c r="I463" s="8">
        <v>44831.40869819444</v>
      </c>
      <c r="J463" s="9">
        <f>+553593939335</f>
        <v>553593939335</v>
      </c>
      <c r="K463" s="4">
        <v>0.0</v>
      </c>
      <c r="L463" s="7">
        <v>0.0</v>
      </c>
      <c r="M463" s="9"/>
      <c r="N463" s="4">
        <v>0.0</v>
      </c>
      <c r="O463" s="4">
        <v>1.0</v>
      </c>
      <c r="P463" s="1" t="s">
        <v>28</v>
      </c>
      <c r="Q463" s="5" t="b">
        <v>1</v>
      </c>
      <c r="R463" s="5" t="b">
        <v>0</v>
      </c>
      <c r="S463" s="5" t="b">
        <v>0</v>
      </c>
      <c r="T463" s="4">
        <v>0.0</v>
      </c>
      <c r="U463" s="5" t="b">
        <v>0</v>
      </c>
      <c r="V463" s="10">
        <v>44872.0</v>
      </c>
      <c r="W463" s="11">
        <v>44847.0</v>
      </c>
    </row>
    <row r="464">
      <c r="A464" s="4">
        <v>5.063053E7</v>
      </c>
      <c r="B464" s="5" t="b">
        <v>1</v>
      </c>
      <c r="C464" s="6" t="s">
        <v>2036</v>
      </c>
      <c r="D464" s="1" t="s">
        <v>2037</v>
      </c>
      <c r="E464" s="7">
        <v>5597445.0</v>
      </c>
      <c r="F464" s="7">
        <v>-318582.0</v>
      </c>
      <c r="G464" s="1" t="s">
        <v>2038</v>
      </c>
      <c r="H464" s="1" t="s">
        <v>2039</v>
      </c>
      <c r="I464" s="8">
        <v>44831.42636758102</v>
      </c>
      <c r="J464" s="9">
        <f>+553939535583</f>
        <v>553939535583</v>
      </c>
      <c r="K464" s="4">
        <v>0.0</v>
      </c>
      <c r="L464" s="7">
        <v>0.0</v>
      </c>
      <c r="M464" s="9"/>
      <c r="N464" s="4">
        <v>0.0</v>
      </c>
      <c r="O464" s="4">
        <v>2.0</v>
      </c>
      <c r="P464" s="1" t="s">
        <v>39</v>
      </c>
      <c r="Q464" s="5" t="b">
        <v>1</v>
      </c>
      <c r="R464" s="5" t="b">
        <v>0</v>
      </c>
      <c r="S464" s="5" t="b">
        <v>0</v>
      </c>
      <c r="T464" s="4">
        <v>0.0</v>
      </c>
      <c r="U464" s="5" t="b">
        <v>0</v>
      </c>
      <c r="V464" s="11">
        <v>44887.0</v>
      </c>
      <c r="W464" s="11">
        <v>44878.0</v>
      </c>
    </row>
    <row r="465">
      <c r="A465" s="4">
        <v>5063054.0</v>
      </c>
      <c r="B465" s="5" t="b">
        <v>1</v>
      </c>
      <c r="C465" s="6" t="s">
        <v>2040</v>
      </c>
      <c r="D465" s="1" t="s">
        <v>2041</v>
      </c>
      <c r="E465" s="7">
        <v>4884142.0</v>
      </c>
      <c r="F465" s="7">
        <v>2313337.0</v>
      </c>
      <c r="G465" s="1" t="s">
        <v>365</v>
      </c>
      <c r="H465" s="1" t="s">
        <v>2042</v>
      </c>
      <c r="I465" s="8">
        <v>44831.4419809375</v>
      </c>
      <c r="J465" s="9">
        <f>+33953589530</f>
        <v>33953589530</v>
      </c>
      <c r="K465" s="4">
        <v>0.0</v>
      </c>
      <c r="L465" s="7">
        <v>0.0</v>
      </c>
      <c r="M465" s="1" t="s">
        <v>2043</v>
      </c>
      <c r="N465" s="4">
        <v>0.0</v>
      </c>
      <c r="O465" s="4">
        <v>2.0</v>
      </c>
      <c r="P465" s="1" t="s">
        <v>28</v>
      </c>
      <c r="Q465" s="5" t="b">
        <v>1</v>
      </c>
      <c r="R465" s="5" t="b">
        <v>0</v>
      </c>
      <c r="S465" s="5" t="b">
        <v>0</v>
      </c>
      <c r="T465" s="4">
        <v>0.0</v>
      </c>
      <c r="U465" s="5" t="b">
        <v>0</v>
      </c>
      <c r="V465" s="11">
        <v>44881.0</v>
      </c>
      <c r="W465" s="11">
        <v>44880.0</v>
      </c>
    </row>
    <row r="466">
      <c r="A466" s="4">
        <v>5066030.0</v>
      </c>
      <c r="B466" s="5" t="b">
        <v>1</v>
      </c>
      <c r="C466" s="6" t="s">
        <v>2044</v>
      </c>
      <c r="D466" s="1" t="s">
        <v>2045</v>
      </c>
      <c r="E466" s="7">
        <v>4604297.0</v>
      </c>
      <c r="F466" s="7">
        <v>8931405.0</v>
      </c>
      <c r="G466" s="1" t="s">
        <v>2046</v>
      </c>
      <c r="H466" s="1" t="s">
        <v>2047</v>
      </c>
      <c r="I466" s="8">
        <v>44831.49634278935</v>
      </c>
      <c r="J466" s="9">
        <f>+53383809353</f>
        <v>53383809353</v>
      </c>
      <c r="K466" s="4">
        <v>0.0</v>
      </c>
      <c r="L466" s="7">
        <v>0.0</v>
      </c>
      <c r="M466" s="1" t="s">
        <v>2048</v>
      </c>
      <c r="N466" s="4">
        <v>0.0</v>
      </c>
      <c r="O466" s="4">
        <v>4.0</v>
      </c>
      <c r="P466" s="1" t="s">
        <v>28</v>
      </c>
      <c r="Q466" s="5" t="b">
        <v>1</v>
      </c>
      <c r="R466" s="5" t="b">
        <v>0</v>
      </c>
      <c r="S466" s="5" t="b">
        <v>0</v>
      </c>
      <c r="T466" s="4">
        <v>0.0</v>
      </c>
      <c r="U466" s="5" t="b">
        <v>0</v>
      </c>
      <c r="V466" s="11">
        <v>44891.0</v>
      </c>
      <c r="W466" s="11">
        <v>44895.0</v>
      </c>
    </row>
    <row r="467">
      <c r="A467" s="4">
        <v>506607.0</v>
      </c>
      <c r="B467" s="5" t="b">
        <v>1</v>
      </c>
      <c r="C467" s="6" t="s">
        <v>2049</v>
      </c>
      <c r="D467" s="1" t="s">
        <v>2050</v>
      </c>
      <c r="E467" s="7">
        <v>4091093.0</v>
      </c>
      <c r="F467" s="7">
        <v>1438479.0</v>
      </c>
      <c r="G467" s="1" t="s">
        <v>705</v>
      </c>
      <c r="H467" s="1" t="s">
        <v>2051</v>
      </c>
      <c r="I467" s="8">
        <v>44831.50934704861</v>
      </c>
      <c r="J467" s="9">
        <f>+393353588835</f>
        <v>393353588835</v>
      </c>
      <c r="K467" s="4">
        <v>0.0</v>
      </c>
      <c r="L467" s="7">
        <v>0.0</v>
      </c>
      <c r="M467" s="1">
        <v>73333.0</v>
      </c>
      <c r="N467" s="4">
        <v>0.0</v>
      </c>
      <c r="O467" s="4">
        <v>2.0</v>
      </c>
      <c r="P467" s="1" t="s">
        <v>33</v>
      </c>
      <c r="Q467" s="5" t="b">
        <v>1</v>
      </c>
      <c r="R467" s="5" t="b">
        <v>0</v>
      </c>
      <c r="S467" s="5" t="b">
        <v>0</v>
      </c>
      <c r="T467" s="4">
        <v>0.0</v>
      </c>
      <c r="U467" s="5" t="b">
        <v>0</v>
      </c>
      <c r="V467" s="11">
        <v>44882.0</v>
      </c>
      <c r="W467" s="11">
        <v>44882.0</v>
      </c>
    </row>
    <row r="468">
      <c r="A468" s="4">
        <v>506610.0</v>
      </c>
      <c r="B468" s="5" t="b">
        <v>1</v>
      </c>
      <c r="C468" s="6" t="s">
        <v>2052</v>
      </c>
      <c r="D468" s="1" t="s">
        <v>2053</v>
      </c>
      <c r="E468" s="7">
        <v>4346346.0</v>
      </c>
      <c r="F468" s="7">
        <v>-379057.0</v>
      </c>
      <c r="G468" s="1" t="s">
        <v>2054</v>
      </c>
      <c r="H468" s="1" t="s">
        <v>2055</v>
      </c>
      <c r="I468" s="8">
        <v>44831.52772423611</v>
      </c>
      <c r="J468" s="9">
        <f>+35958339593</f>
        <v>35958339593</v>
      </c>
      <c r="K468" s="4">
        <v>0.0</v>
      </c>
      <c r="L468" s="7">
        <v>0.0</v>
      </c>
      <c r="M468" s="1" t="s">
        <v>2056</v>
      </c>
      <c r="N468" s="4">
        <v>0.0</v>
      </c>
      <c r="O468" s="4">
        <v>2.0</v>
      </c>
      <c r="P468" s="1" t="s">
        <v>28</v>
      </c>
      <c r="Q468" s="5" t="b">
        <v>1</v>
      </c>
      <c r="R468" s="5" t="b">
        <v>0</v>
      </c>
      <c r="S468" s="5" t="b">
        <v>0</v>
      </c>
      <c r="T468" s="4">
        <v>0.0</v>
      </c>
      <c r="U468" s="5" t="b">
        <v>0</v>
      </c>
      <c r="V468" s="11">
        <v>44890.0</v>
      </c>
      <c r="W468" s="11">
        <v>44894.0</v>
      </c>
    </row>
    <row r="469">
      <c r="A469" s="4">
        <v>506615.0</v>
      </c>
      <c r="B469" s="5" t="b">
        <v>1</v>
      </c>
      <c r="C469" s="6" t="s">
        <v>2057</v>
      </c>
      <c r="D469" s="1" t="s">
        <v>2058</v>
      </c>
      <c r="E469" s="7">
        <v>4050155.0</v>
      </c>
      <c r="F469" s="7">
        <v>-369199.0</v>
      </c>
      <c r="G469" s="1" t="s">
        <v>195</v>
      </c>
      <c r="H469" s="1" t="s">
        <v>2059</v>
      </c>
      <c r="I469" s="8">
        <v>44831.53180671296</v>
      </c>
      <c r="J469" s="9">
        <f>+35933939395</f>
        <v>35933939395</v>
      </c>
      <c r="K469" s="4">
        <v>0.0</v>
      </c>
      <c r="L469" s="7">
        <v>0.0</v>
      </c>
      <c r="M469" s="1" t="s">
        <v>2060</v>
      </c>
      <c r="N469" s="4">
        <v>1.0</v>
      </c>
      <c r="O469" s="4">
        <v>3.0</v>
      </c>
      <c r="P469" s="1" t="s">
        <v>28</v>
      </c>
      <c r="Q469" s="5" t="b">
        <v>0</v>
      </c>
      <c r="R469" s="5" t="b">
        <v>1</v>
      </c>
      <c r="S469" s="5" t="b">
        <v>0</v>
      </c>
      <c r="T469" s="4">
        <v>0.0</v>
      </c>
      <c r="U469" s="5" t="b">
        <v>0</v>
      </c>
      <c r="V469" s="11">
        <v>44877.0</v>
      </c>
      <c r="W469" s="11">
        <v>44878.0</v>
      </c>
    </row>
    <row r="470">
      <c r="A470" s="4">
        <v>506616.0</v>
      </c>
      <c r="B470" s="5" t="b">
        <v>1</v>
      </c>
      <c r="C470" s="6" t="s">
        <v>2061</v>
      </c>
      <c r="D470" s="1" t="s">
        <v>2062</v>
      </c>
      <c r="E470" s="7">
        <v>5152774.0</v>
      </c>
      <c r="F470" s="7">
        <v>7540376.0</v>
      </c>
      <c r="G470" s="1" t="s">
        <v>1384</v>
      </c>
      <c r="H470" s="1" t="s">
        <v>2063</v>
      </c>
      <c r="I470" s="8">
        <v>44831.57616567129</v>
      </c>
      <c r="J470" s="9">
        <f>+5983359388808</f>
        <v>5983359388808</v>
      </c>
      <c r="K470" s="4">
        <v>0.0</v>
      </c>
      <c r="L470" s="7">
        <v>0.0</v>
      </c>
      <c r="M470" s="9"/>
      <c r="N470" s="4">
        <v>0.0</v>
      </c>
      <c r="O470" s="4">
        <v>2.0</v>
      </c>
      <c r="P470" s="1" t="s">
        <v>39</v>
      </c>
      <c r="Q470" s="5" t="b">
        <v>1</v>
      </c>
      <c r="R470" s="5" t="b">
        <v>0</v>
      </c>
      <c r="S470" s="5" t="b">
        <v>1</v>
      </c>
      <c r="T470" s="4">
        <v>0.0</v>
      </c>
      <c r="U470" s="5" t="b">
        <v>0</v>
      </c>
      <c r="V470" s="10">
        <v>44891.0</v>
      </c>
      <c r="W470" s="10">
        <v>44895.0</v>
      </c>
    </row>
    <row r="471">
      <c r="A471" s="4">
        <v>506655.0</v>
      </c>
      <c r="B471" s="5" t="b">
        <v>1</v>
      </c>
      <c r="C471" s="6" t="s">
        <v>2064</v>
      </c>
      <c r="D471" s="1" t="s">
        <v>2065</v>
      </c>
      <c r="E471" s="7">
        <v>4045892.0</v>
      </c>
      <c r="F471" s="7">
        <v>-367758.0</v>
      </c>
      <c r="G471" s="1" t="s">
        <v>195</v>
      </c>
      <c r="H471" s="1" t="s">
        <v>2066</v>
      </c>
      <c r="I471" s="8">
        <v>44831.60379263889</v>
      </c>
      <c r="J471" s="9">
        <f>+35903838983</f>
        <v>35903838983</v>
      </c>
      <c r="K471" s="4">
        <v>0.0</v>
      </c>
      <c r="L471" s="7">
        <v>0.0</v>
      </c>
      <c r="M471" s="1" t="s">
        <v>2067</v>
      </c>
      <c r="N471" s="4">
        <v>0.0</v>
      </c>
      <c r="O471" s="4">
        <v>3.0</v>
      </c>
      <c r="P471" s="1" t="s">
        <v>28</v>
      </c>
      <c r="Q471" s="5" t="b">
        <v>1</v>
      </c>
      <c r="R471" s="5" t="b">
        <v>0</v>
      </c>
      <c r="S471" s="5" t="b">
        <v>0</v>
      </c>
      <c r="T471" s="4">
        <v>0.0</v>
      </c>
      <c r="U471" s="5" t="b">
        <v>0</v>
      </c>
      <c r="V471" s="11">
        <v>44885.0</v>
      </c>
      <c r="W471" s="11">
        <v>44892.0</v>
      </c>
    </row>
    <row r="472">
      <c r="A472" s="4">
        <v>506656.0</v>
      </c>
      <c r="B472" s="5" t="b">
        <v>1</v>
      </c>
      <c r="C472" s="6" t="s">
        <v>2068</v>
      </c>
      <c r="D472" s="1" t="s">
        <v>2069</v>
      </c>
      <c r="E472" s="7">
        <v>5125157.0</v>
      </c>
      <c r="F472" s="7">
        <v>6801801.0</v>
      </c>
      <c r="G472" s="1" t="s">
        <v>2070</v>
      </c>
      <c r="H472" s="1" t="s">
        <v>2071</v>
      </c>
      <c r="I472" s="8">
        <v>44831.648893530095</v>
      </c>
      <c r="J472" s="9">
        <f>+5935350389893</f>
        <v>5935350389893</v>
      </c>
      <c r="K472" s="4">
        <v>0.0</v>
      </c>
      <c r="L472" s="7">
        <v>0.0</v>
      </c>
      <c r="M472" s="9"/>
      <c r="N472" s="4">
        <v>0.0</v>
      </c>
      <c r="O472" s="4">
        <v>1.0</v>
      </c>
      <c r="P472" s="1" t="s">
        <v>33</v>
      </c>
      <c r="Q472" s="5" t="b">
        <v>1</v>
      </c>
      <c r="R472" s="5" t="b">
        <v>0</v>
      </c>
      <c r="S472" s="5" t="b">
        <v>0</v>
      </c>
      <c r="T472" s="4">
        <v>0.0</v>
      </c>
      <c r="U472" s="5" t="b">
        <v>0</v>
      </c>
      <c r="V472" s="11">
        <v>44888.0</v>
      </c>
      <c r="W472" s="11">
        <v>44891.0</v>
      </c>
    </row>
    <row r="473">
      <c r="A473" s="4">
        <v>506655.0</v>
      </c>
      <c r="B473" s="5" t="b">
        <v>1</v>
      </c>
      <c r="C473" s="6" t="s">
        <v>2072</v>
      </c>
      <c r="D473" s="1" t="s">
        <v>2073</v>
      </c>
      <c r="E473" s="7">
        <v>5142353.0</v>
      </c>
      <c r="F473" s="7">
        <v>703687.0</v>
      </c>
      <c r="G473" s="1" t="s">
        <v>2074</v>
      </c>
      <c r="H473" s="1" t="s">
        <v>2075</v>
      </c>
      <c r="I473" s="8">
        <v>44831.68285158565</v>
      </c>
      <c r="J473" s="9">
        <f>+5933955933535</f>
        <v>5933955933535</v>
      </c>
      <c r="K473" s="4">
        <v>0.0</v>
      </c>
      <c r="L473" s="7">
        <v>0.0</v>
      </c>
      <c r="M473" s="9"/>
      <c r="N473" s="4">
        <v>0.0</v>
      </c>
      <c r="O473" s="4">
        <v>1.0</v>
      </c>
      <c r="P473" s="1" t="s">
        <v>33</v>
      </c>
      <c r="Q473" s="5" t="b">
        <v>1</v>
      </c>
      <c r="R473" s="5" t="b">
        <v>0</v>
      </c>
      <c r="S473" s="5" t="b">
        <v>0</v>
      </c>
      <c r="T473" s="4">
        <v>0.0</v>
      </c>
      <c r="U473" s="5" t="b">
        <v>0</v>
      </c>
      <c r="V473" s="11">
        <v>44878.0</v>
      </c>
      <c r="W473" s="11">
        <v>44886.0</v>
      </c>
    </row>
    <row r="474">
      <c r="A474" s="4">
        <v>5066507.0</v>
      </c>
      <c r="B474" s="5" t="b">
        <v>0</v>
      </c>
      <c r="C474" s="6" t="s">
        <v>1867</v>
      </c>
      <c r="D474" s="1" t="s">
        <v>1868</v>
      </c>
      <c r="E474" s="7">
        <v>4115668.0</v>
      </c>
      <c r="F474" s="7">
        <v>1105422.0</v>
      </c>
      <c r="G474" s="1" t="s">
        <v>2076</v>
      </c>
      <c r="H474" s="1" t="s">
        <v>2077</v>
      </c>
      <c r="I474" s="8">
        <v>44832.32929782407</v>
      </c>
      <c r="J474" s="9">
        <f>+35935893933</f>
        <v>35935893933</v>
      </c>
      <c r="K474" s="4">
        <v>0.0</v>
      </c>
      <c r="L474" s="7">
        <v>0.0</v>
      </c>
      <c r="M474" s="1" t="s">
        <v>2078</v>
      </c>
      <c r="N474" s="4">
        <v>0.0</v>
      </c>
      <c r="O474" s="4">
        <v>6.0</v>
      </c>
      <c r="P474" s="1" t="s">
        <v>28</v>
      </c>
      <c r="Q474" s="5" t="b">
        <v>1</v>
      </c>
      <c r="R474" s="5" t="b">
        <v>0</v>
      </c>
      <c r="S474" s="5" t="b">
        <v>0</v>
      </c>
      <c r="T474" s="4">
        <v>0.0</v>
      </c>
      <c r="U474" s="5" t="b">
        <v>0</v>
      </c>
      <c r="V474" s="11">
        <v>44888.0</v>
      </c>
      <c r="W474" s="10">
        <v>44898.0</v>
      </c>
    </row>
    <row r="475">
      <c r="A475" s="4">
        <v>5066450.0</v>
      </c>
      <c r="B475" s="5" t="b">
        <v>1</v>
      </c>
      <c r="C475" s="6" t="s">
        <v>2079</v>
      </c>
      <c r="D475" s="1" t="s">
        <v>2080</v>
      </c>
      <c r="E475" s="7">
        <v>4885666.0</v>
      </c>
      <c r="F475" s="7">
        <v>2284662.0</v>
      </c>
      <c r="G475" s="1" t="s">
        <v>365</v>
      </c>
      <c r="H475" s="1" t="s">
        <v>2081</v>
      </c>
      <c r="I475" s="8">
        <v>44832.35840665509</v>
      </c>
      <c r="J475" s="9">
        <f>+33935993830</f>
        <v>33935993830</v>
      </c>
      <c r="K475" s="4">
        <v>0.0</v>
      </c>
      <c r="L475" s="7">
        <v>0.0</v>
      </c>
      <c r="M475" s="1" t="s">
        <v>2082</v>
      </c>
      <c r="N475" s="4">
        <v>0.0</v>
      </c>
      <c r="O475" s="4">
        <v>1.0</v>
      </c>
      <c r="P475" s="1" t="s">
        <v>28</v>
      </c>
      <c r="Q475" s="5" t="b">
        <v>1</v>
      </c>
      <c r="R475" s="5" t="b">
        <v>0</v>
      </c>
      <c r="S475" s="5" t="b">
        <v>0</v>
      </c>
      <c r="T475" s="4">
        <v>0.0</v>
      </c>
      <c r="U475" s="5" t="b">
        <v>0</v>
      </c>
      <c r="V475" s="11">
        <v>44891.0</v>
      </c>
      <c r="W475" s="11">
        <v>44886.0</v>
      </c>
    </row>
    <row r="476">
      <c r="A476" s="4">
        <v>506644.0</v>
      </c>
      <c r="B476" s="5" t="b">
        <v>1</v>
      </c>
      <c r="C476" s="6" t="s">
        <v>2083</v>
      </c>
      <c r="D476" s="1" t="s">
        <v>2084</v>
      </c>
      <c r="E476" s="7">
        <v>387261.0</v>
      </c>
      <c r="F476" s="7">
        <v>-911901.0</v>
      </c>
      <c r="G476" s="1" t="s">
        <v>321</v>
      </c>
      <c r="H476" s="1" t="s">
        <v>2085</v>
      </c>
      <c r="I476" s="8">
        <v>44832.3592616088</v>
      </c>
      <c r="J476" s="9">
        <f>+353980855933</f>
        <v>353980855933</v>
      </c>
      <c r="K476" s="4">
        <v>0.0</v>
      </c>
      <c r="L476" s="7">
        <v>0.0</v>
      </c>
      <c r="M476" s="1">
        <v>3.36637366E8</v>
      </c>
      <c r="N476" s="4">
        <v>0.0</v>
      </c>
      <c r="O476" s="4">
        <v>5.0</v>
      </c>
      <c r="P476" s="1" t="s">
        <v>33</v>
      </c>
      <c r="Q476" s="5" t="b">
        <v>0</v>
      </c>
      <c r="R476" s="5" t="b">
        <v>0</v>
      </c>
      <c r="S476" s="5" t="b">
        <v>1</v>
      </c>
      <c r="T476" s="4">
        <v>0.0</v>
      </c>
      <c r="U476" s="5" t="b">
        <v>0</v>
      </c>
      <c r="V476" s="10">
        <v>44902.0</v>
      </c>
      <c r="W476" s="11">
        <v>44878.0</v>
      </c>
    </row>
    <row r="477">
      <c r="A477" s="4">
        <v>5066430.0</v>
      </c>
      <c r="B477" s="5" t="b">
        <v>1</v>
      </c>
      <c r="C477" s="6" t="s">
        <v>2086</v>
      </c>
      <c r="D477" s="1" t="s">
        <v>2087</v>
      </c>
      <c r="E477" s="7">
        <v>3734521.0</v>
      </c>
      <c r="F477" s="7">
        <v>-235935.0</v>
      </c>
      <c r="G477" s="1" t="s">
        <v>2088</v>
      </c>
      <c r="H477" s="1" t="s">
        <v>2089</v>
      </c>
      <c r="I477" s="8">
        <v>44832.35946564815</v>
      </c>
      <c r="J477" s="9">
        <f>+35980889590</f>
        <v>35980889590</v>
      </c>
      <c r="K477" s="4">
        <v>0.0</v>
      </c>
      <c r="L477" s="7">
        <v>0.0</v>
      </c>
      <c r="M477" s="1" t="s">
        <v>2090</v>
      </c>
      <c r="N477" s="4">
        <v>0.0</v>
      </c>
      <c r="O477" s="4">
        <v>1.0</v>
      </c>
      <c r="P477" s="1" t="s">
        <v>39</v>
      </c>
      <c r="Q477" s="5" t="b">
        <v>1</v>
      </c>
      <c r="R477" s="5" t="b">
        <v>0</v>
      </c>
      <c r="S477" s="5" t="b">
        <v>0</v>
      </c>
      <c r="T477" s="4">
        <v>0.0</v>
      </c>
      <c r="U477" s="5" t="b">
        <v>0</v>
      </c>
      <c r="V477" s="11">
        <v>44894.0</v>
      </c>
      <c r="W477" s="10">
        <v>44896.0</v>
      </c>
    </row>
    <row r="478">
      <c r="A478" s="4">
        <v>5066300.0</v>
      </c>
      <c r="B478" s="5" t="b">
        <v>1</v>
      </c>
      <c r="C478" s="6" t="s">
        <v>2091</v>
      </c>
      <c r="D478" s="1" t="s">
        <v>2092</v>
      </c>
      <c r="E478" s="7">
        <v>4888645.0</v>
      </c>
      <c r="F478" s="7">
        <v>2348282.0</v>
      </c>
      <c r="G478" s="1" t="s">
        <v>365</v>
      </c>
      <c r="H478" s="1" t="s">
        <v>2093</v>
      </c>
      <c r="I478" s="8">
        <v>44832.38297381945</v>
      </c>
      <c r="J478" s="9">
        <f>+33985889335</f>
        <v>33985889335</v>
      </c>
      <c r="K478" s="4">
        <v>0.0</v>
      </c>
      <c r="L478" s="7">
        <v>0.0</v>
      </c>
      <c r="M478" s="1" t="s">
        <v>2094</v>
      </c>
      <c r="N478" s="4">
        <v>0.0</v>
      </c>
      <c r="O478" s="4">
        <v>5.0</v>
      </c>
      <c r="P478" s="1" t="s">
        <v>39</v>
      </c>
      <c r="Q478" s="5" t="b">
        <v>1</v>
      </c>
      <c r="R478" s="5" t="b">
        <v>0</v>
      </c>
      <c r="S478" s="5" t="b">
        <v>0</v>
      </c>
      <c r="T478" s="4">
        <v>0.0</v>
      </c>
      <c r="U478" s="5" t="b">
        <v>0</v>
      </c>
      <c r="V478" s="11">
        <v>44885.0</v>
      </c>
      <c r="W478" s="10">
        <v>44902.0</v>
      </c>
    </row>
    <row r="479">
      <c r="A479" s="4">
        <v>5066301.0</v>
      </c>
      <c r="B479" s="5" t="b">
        <v>1</v>
      </c>
      <c r="C479" s="6" t="s">
        <v>1454</v>
      </c>
      <c r="D479" s="1" t="s">
        <v>1455</v>
      </c>
      <c r="E479" s="7">
        <v>4822166.0</v>
      </c>
      <c r="F479" s="7">
        <v>114743.0</v>
      </c>
      <c r="G479" s="1" t="s">
        <v>2095</v>
      </c>
      <c r="H479" s="1" t="s">
        <v>2096</v>
      </c>
      <c r="I479" s="8">
        <v>44832.39655232639</v>
      </c>
      <c r="J479" s="9">
        <f>+5935889300930</f>
        <v>5935889300930</v>
      </c>
      <c r="K479" s="4">
        <v>0.0</v>
      </c>
      <c r="L479" s="7">
        <v>0.0</v>
      </c>
      <c r="M479" s="9"/>
      <c r="N479" s="4">
        <v>0.0</v>
      </c>
      <c r="O479" s="4">
        <v>1.0</v>
      </c>
      <c r="P479" s="1" t="s">
        <v>28</v>
      </c>
      <c r="Q479" s="5" t="b">
        <v>1</v>
      </c>
      <c r="R479" s="5" t="b">
        <v>0</v>
      </c>
      <c r="S479" s="5" t="b">
        <v>0</v>
      </c>
      <c r="T479" s="4">
        <v>0.0</v>
      </c>
      <c r="U479" s="5" t="b">
        <v>0</v>
      </c>
      <c r="V479" s="10">
        <v>44897.0</v>
      </c>
      <c r="W479" s="10">
        <v>44902.0</v>
      </c>
    </row>
    <row r="480">
      <c r="A480" s="4">
        <v>5066304.0</v>
      </c>
      <c r="B480" s="5" t="b">
        <v>1</v>
      </c>
      <c r="C480" s="6" t="s">
        <v>2097</v>
      </c>
      <c r="D480" s="1" t="s">
        <v>2098</v>
      </c>
      <c r="E480" s="7">
        <v>4137462.0</v>
      </c>
      <c r="F480" s="7">
        <v>2132909.0</v>
      </c>
      <c r="G480" s="1" t="s">
        <v>182</v>
      </c>
      <c r="H480" s="1" t="s">
        <v>2099</v>
      </c>
      <c r="I480" s="8">
        <v>44832.41944585648</v>
      </c>
      <c r="J480" s="9">
        <f>+35933399330</f>
        <v>35933399330</v>
      </c>
      <c r="K480" s="4">
        <v>0.0</v>
      </c>
      <c r="L480" s="7">
        <v>0.0</v>
      </c>
      <c r="M480" s="1" t="s">
        <v>2100</v>
      </c>
      <c r="N480" s="4">
        <v>0.0</v>
      </c>
      <c r="O480" s="4">
        <v>2.0</v>
      </c>
      <c r="P480" s="1" t="s">
        <v>28</v>
      </c>
      <c r="Q480" s="5" t="b">
        <v>1</v>
      </c>
      <c r="R480" s="5" t="b">
        <v>0</v>
      </c>
      <c r="S480" s="5" t="b">
        <v>0</v>
      </c>
      <c r="T480" s="4">
        <v>0.0</v>
      </c>
      <c r="U480" s="5" t="b">
        <v>0</v>
      </c>
      <c r="V480" s="10">
        <v>44901.0</v>
      </c>
      <c r="W480" s="11">
        <v>44881.0</v>
      </c>
    </row>
    <row r="481">
      <c r="A481" s="4">
        <v>5.066303E7</v>
      </c>
      <c r="B481" s="5" t="b">
        <v>1</v>
      </c>
      <c r="C481" s="6" t="s">
        <v>2101</v>
      </c>
      <c r="D481" s="1" t="s">
        <v>2102</v>
      </c>
      <c r="E481" s="7">
        <v>5146523.0</v>
      </c>
      <c r="F481" s="7">
        <v>-18059.0</v>
      </c>
      <c r="G481" s="1" t="s">
        <v>1367</v>
      </c>
      <c r="H481" s="1" t="s">
        <v>2103</v>
      </c>
      <c r="I481" s="8">
        <v>44832.42496940972</v>
      </c>
      <c r="J481" s="9">
        <f>+553889998535</f>
        <v>553889998535</v>
      </c>
      <c r="K481" s="4">
        <v>0.0</v>
      </c>
      <c r="L481" s="7">
        <v>0.0</v>
      </c>
      <c r="M481" s="9"/>
      <c r="N481" s="4">
        <v>0.0</v>
      </c>
      <c r="O481" s="4">
        <v>2.0</v>
      </c>
      <c r="P481" s="1" t="s">
        <v>28</v>
      </c>
      <c r="Q481" s="5" t="b">
        <v>1</v>
      </c>
      <c r="R481" s="5" t="b">
        <v>0</v>
      </c>
      <c r="S481" s="5" t="b">
        <v>0</v>
      </c>
      <c r="T481" s="4">
        <v>0.0</v>
      </c>
      <c r="U481" s="5" t="b">
        <v>0</v>
      </c>
      <c r="V481" s="11">
        <v>44893.0</v>
      </c>
      <c r="W481" s="10">
        <v>44897.0</v>
      </c>
    </row>
    <row r="482">
      <c r="A482" s="4">
        <v>5066304.0</v>
      </c>
      <c r="B482" s="5" t="b">
        <v>1</v>
      </c>
      <c r="C482" s="6" t="s">
        <v>2104</v>
      </c>
      <c r="D482" s="1" t="s">
        <v>2105</v>
      </c>
      <c r="E482" s="7">
        <v>4889162.0</v>
      </c>
      <c r="F482" s="7">
        <v>2346141.0</v>
      </c>
      <c r="G482" s="1" t="s">
        <v>365</v>
      </c>
      <c r="H482" s="1" t="s">
        <v>2106</v>
      </c>
      <c r="I482" s="8">
        <v>44832.45071680556</v>
      </c>
      <c r="J482" s="9">
        <f>+33398533588</f>
        <v>33398533588</v>
      </c>
      <c r="K482" s="4">
        <v>0.0</v>
      </c>
      <c r="L482" s="7">
        <v>0.0</v>
      </c>
      <c r="M482" s="1" t="s">
        <v>2107</v>
      </c>
      <c r="N482" s="4">
        <v>0.0</v>
      </c>
      <c r="O482" s="4">
        <v>1.0</v>
      </c>
      <c r="P482" s="1" t="s">
        <v>28</v>
      </c>
      <c r="Q482" s="5" t="b">
        <v>1</v>
      </c>
      <c r="R482" s="5" t="b">
        <v>0</v>
      </c>
      <c r="S482" s="5" t="b">
        <v>0</v>
      </c>
      <c r="T482" s="4">
        <v>0.0</v>
      </c>
      <c r="U482" s="5" t="b">
        <v>0</v>
      </c>
      <c r="V482" s="10">
        <v>44899.0</v>
      </c>
      <c r="W482" s="11">
        <v>44894.0</v>
      </c>
    </row>
    <row r="483">
      <c r="A483" s="4">
        <v>5066305.0</v>
      </c>
      <c r="B483" s="5" t="b">
        <v>1</v>
      </c>
      <c r="C483" s="6" t="s">
        <v>2108</v>
      </c>
      <c r="D483" s="1" t="s">
        <v>2109</v>
      </c>
      <c r="E483" s="7">
        <v>3864329.0</v>
      </c>
      <c r="F483" s="7">
        <v>46784.0</v>
      </c>
      <c r="G483" s="1" t="s">
        <v>2110</v>
      </c>
      <c r="H483" s="1" t="s">
        <v>2111</v>
      </c>
      <c r="I483" s="8">
        <v>44832.45757288195</v>
      </c>
      <c r="J483" s="9">
        <f>+35909538338</f>
        <v>35909538338</v>
      </c>
      <c r="K483" s="4">
        <v>0.0</v>
      </c>
      <c r="L483" s="7">
        <v>0.0</v>
      </c>
      <c r="M483" s="1" t="s">
        <v>2112</v>
      </c>
      <c r="N483" s="4">
        <v>0.0</v>
      </c>
      <c r="O483" s="4">
        <v>2.0</v>
      </c>
      <c r="P483" s="1" t="s">
        <v>33</v>
      </c>
      <c r="Q483" s="5" t="b">
        <v>1</v>
      </c>
      <c r="R483" s="5" t="b">
        <v>0</v>
      </c>
      <c r="S483" s="5" t="b">
        <v>0</v>
      </c>
      <c r="T483" s="4">
        <v>0.0</v>
      </c>
      <c r="U483" s="5" t="b">
        <v>0</v>
      </c>
      <c r="V483" s="11">
        <v>44886.0</v>
      </c>
      <c r="W483" s="11">
        <v>44888.0</v>
      </c>
    </row>
    <row r="484">
      <c r="A484" s="4">
        <v>506661.0</v>
      </c>
      <c r="B484" s="5" t="b">
        <v>1</v>
      </c>
      <c r="C484" s="6" t="s">
        <v>2113</v>
      </c>
      <c r="D484" s="1" t="s">
        <v>2114</v>
      </c>
      <c r="E484" s="7">
        <v>4751101.0</v>
      </c>
      <c r="F484" s="7">
        <v>8595552.0</v>
      </c>
      <c r="G484" s="1" t="s">
        <v>2115</v>
      </c>
      <c r="H484" s="1" t="s">
        <v>2116</v>
      </c>
      <c r="I484" s="8">
        <v>44832.49309649305</v>
      </c>
      <c r="J484" s="9">
        <f>+53395538838</f>
        <v>53395538838</v>
      </c>
      <c r="K484" s="4">
        <v>0.0</v>
      </c>
      <c r="L484" s="7">
        <v>0.0</v>
      </c>
      <c r="M484" s="9"/>
      <c r="N484" s="4">
        <v>0.0</v>
      </c>
      <c r="O484" s="4">
        <v>1.0</v>
      </c>
      <c r="P484" s="1" t="s">
        <v>28</v>
      </c>
      <c r="Q484" s="5" t="b">
        <v>1</v>
      </c>
      <c r="R484" s="5" t="b">
        <v>0</v>
      </c>
      <c r="S484" s="5" t="b">
        <v>0</v>
      </c>
      <c r="T484" s="4">
        <v>0.0</v>
      </c>
      <c r="U484" s="5" t="b">
        <v>0</v>
      </c>
      <c r="V484" s="10">
        <v>44900.0</v>
      </c>
      <c r="W484" s="11">
        <v>44878.0</v>
      </c>
    </row>
    <row r="485">
      <c r="A485" s="4">
        <v>5066630.0</v>
      </c>
      <c r="B485" s="5" t="b">
        <v>0</v>
      </c>
      <c r="C485" s="6" t="s">
        <v>2117</v>
      </c>
      <c r="D485" s="1" t="s">
        <v>2118</v>
      </c>
      <c r="E485" s="7">
        <v>4042335.0</v>
      </c>
      <c r="F485" s="7">
        <v>-370681.0</v>
      </c>
      <c r="G485" s="1" t="s">
        <v>195</v>
      </c>
      <c r="H485" s="1" t="s">
        <v>2119</v>
      </c>
      <c r="I485" s="8">
        <v>44832.53289778935</v>
      </c>
      <c r="J485" s="9">
        <f>+35903355358</f>
        <v>35903355358</v>
      </c>
      <c r="K485" s="4">
        <v>0.0</v>
      </c>
      <c r="L485" s="7">
        <v>0.0</v>
      </c>
      <c r="M485" s="1" t="s">
        <v>2120</v>
      </c>
      <c r="N485" s="4">
        <v>0.0</v>
      </c>
      <c r="O485" s="4">
        <v>1.0</v>
      </c>
      <c r="P485" s="1" t="s">
        <v>28</v>
      </c>
      <c r="Q485" s="5" t="b">
        <v>0</v>
      </c>
      <c r="R485" s="5" t="b">
        <v>1</v>
      </c>
      <c r="S485" s="5" t="b">
        <v>0</v>
      </c>
      <c r="T485" s="4">
        <v>0.0</v>
      </c>
      <c r="U485" s="5" t="b">
        <v>0</v>
      </c>
      <c r="V485" s="10">
        <v>44897.0</v>
      </c>
      <c r="W485" s="10">
        <v>44899.0</v>
      </c>
    </row>
    <row r="486">
      <c r="A486" s="4">
        <v>506666.0</v>
      </c>
      <c r="B486" s="5" t="b">
        <v>1</v>
      </c>
      <c r="C486" s="6" t="s">
        <v>2121</v>
      </c>
      <c r="D486" s="1" t="s">
        <v>2122</v>
      </c>
      <c r="E486" s="7">
        <v>3737684.0</v>
      </c>
      <c r="F486" s="7">
        <v>-594734.0</v>
      </c>
      <c r="G486" s="1" t="s">
        <v>2123</v>
      </c>
      <c r="H486" s="1" t="s">
        <v>2124</v>
      </c>
      <c r="I486" s="8">
        <v>44832.5336247338</v>
      </c>
      <c r="J486" s="9">
        <f>+35933550383</f>
        <v>35933550383</v>
      </c>
      <c r="K486" s="4">
        <v>0.0</v>
      </c>
      <c r="L486" s="7">
        <v>0.0</v>
      </c>
      <c r="M486" s="1" t="s">
        <v>2125</v>
      </c>
      <c r="N486" s="4">
        <v>0.0</v>
      </c>
      <c r="O486" s="4">
        <v>2.0</v>
      </c>
      <c r="P486" s="1" t="s">
        <v>33</v>
      </c>
      <c r="Q486" s="5" t="b">
        <v>1</v>
      </c>
      <c r="R486" s="5" t="b">
        <v>0</v>
      </c>
      <c r="S486" s="5" t="b">
        <v>0</v>
      </c>
      <c r="T486" s="4">
        <v>0.0</v>
      </c>
      <c r="U486" s="5" t="b">
        <v>0</v>
      </c>
      <c r="V486" s="10">
        <v>44882.0</v>
      </c>
      <c r="W486" s="10">
        <v>44877.0</v>
      </c>
    </row>
    <row r="487">
      <c r="A487" s="4">
        <v>506664.0</v>
      </c>
      <c r="B487" s="5" t="b">
        <v>1</v>
      </c>
      <c r="C487" s="6" t="s">
        <v>2126</v>
      </c>
      <c r="D487" s="1" t="s">
        <v>2127</v>
      </c>
      <c r="E487" s="7">
        <v>5156281.0</v>
      </c>
      <c r="F487" s="7">
        <v>220388.0</v>
      </c>
      <c r="G487" s="1" t="s">
        <v>1367</v>
      </c>
      <c r="H487" s="1" t="s">
        <v>2128</v>
      </c>
      <c r="I487" s="8">
        <v>44832.5465383912</v>
      </c>
      <c r="J487" s="9">
        <f>+553585339505</f>
        <v>553585339505</v>
      </c>
      <c r="K487" s="4">
        <v>0.0</v>
      </c>
      <c r="L487" s="7">
        <v>0.0</v>
      </c>
      <c r="M487" s="9"/>
      <c r="N487" s="4">
        <v>0.0</v>
      </c>
      <c r="O487" s="4">
        <v>1.0</v>
      </c>
      <c r="P487" s="1" t="s">
        <v>39</v>
      </c>
      <c r="Q487" s="5" t="b">
        <v>1</v>
      </c>
      <c r="R487" s="5" t="b">
        <v>0</v>
      </c>
      <c r="S487" s="5" t="b">
        <v>0</v>
      </c>
      <c r="T487" s="4">
        <v>0.0</v>
      </c>
      <c r="U487" s="5" t="b">
        <v>0</v>
      </c>
      <c r="V487" s="11">
        <v>44893.0</v>
      </c>
      <c r="W487" s="11">
        <v>44877.0</v>
      </c>
    </row>
    <row r="488">
      <c r="A488" s="4">
        <v>506677.0</v>
      </c>
      <c r="B488" s="5" t="b">
        <v>1</v>
      </c>
      <c r="C488" s="6" t="s">
        <v>493</v>
      </c>
      <c r="D488" s="1" t="s">
        <v>494</v>
      </c>
      <c r="E488" s="7">
        <v>3936065.0</v>
      </c>
      <c r="F488" s="7">
        <v>-937957.0</v>
      </c>
      <c r="G488" s="1" t="s">
        <v>2129</v>
      </c>
      <c r="H488" s="1" t="s">
        <v>2130</v>
      </c>
      <c r="I488" s="8">
        <v>44832.60449701389</v>
      </c>
      <c r="J488" s="9">
        <f>+353938805895</f>
        <v>353938805895</v>
      </c>
      <c r="K488" s="4">
        <v>0.0</v>
      </c>
      <c r="L488" s="7">
        <v>0.0</v>
      </c>
      <c r="M488" s="1">
        <v>6333333.0</v>
      </c>
      <c r="N488" s="4">
        <v>0.0</v>
      </c>
      <c r="O488" s="4">
        <v>1.0</v>
      </c>
      <c r="P488" s="1" t="s">
        <v>39</v>
      </c>
      <c r="Q488" s="5" t="b">
        <v>1</v>
      </c>
      <c r="R488" s="5" t="b">
        <v>0</v>
      </c>
      <c r="S488" s="5" t="b">
        <v>0</v>
      </c>
      <c r="T488" s="4">
        <v>0.0</v>
      </c>
      <c r="U488" s="5" t="b">
        <v>0</v>
      </c>
      <c r="V488" s="11">
        <v>44895.0</v>
      </c>
      <c r="W488" s="10">
        <v>44903.0</v>
      </c>
    </row>
    <row r="489">
      <c r="A489" s="4">
        <v>506674.0</v>
      </c>
      <c r="B489" s="5" t="b">
        <v>1</v>
      </c>
      <c r="C489" s="6" t="s">
        <v>1059</v>
      </c>
      <c r="D489" s="1" t="s">
        <v>1060</v>
      </c>
      <c r="E489" s="7">
        <v>3734626.0</v>
      </c>
      <c r="F489" s="7">
        <v>-605446.0</v>
      </c>
      <c r="G489" s="1" t="s">
        <v>2131</v>
      </c>
      <c r="H489" s="1" t="s">
        <v>2132</v>
      </c>
      <c r="I489" s="8">
        <v>44832.61016657407</v>
      </c>
      <c r="J489" s="9">
        <f>+35905558555</f>
        <v>35905558555</v>
      </c>
      <c r="K489" s="4">
        <v>0.0</v>
      </c>
      <c r="L489" s="7">
        <v>0.0</v>
      </c>
      <c r="M489" s="1" t="s">
        <v>2133</v>
      </c>
      <c r="N489" s="4">
        <v>0.0</v>
      </c>
      <c r="O489" s="4">
        <v>1.0</v>
      </c>
      <c r="P489" s="1" t="s">
        <v>28</v>
      </c>
      <c r="Q489" s="5" t="b">
        <v>1</v>
      </c>
      <c r="R489" s="5" t="b">
        <v>0</v>
      </c>
      <c r="S489" s="5" t="b">
        <v>0</v>
      </c>
      <c r="T489" s="4">
        <v>0.0</v>
      </c>
      <c r="U489" s="5" t="b">
        <v>0</v>
      </c>
      <c r="V489" s="11">
        <v>44890.0</v>
      </c>
      <c r="W489" s="11">
        <v>44882.0</v>
      </c>
    </row>
    <row r="490">
      <c r="A490" s="4">
        <v>506675.0</v>
      </c>
      <c r="B490" s="5" t="b">
        <v>1</v>
      </c>
      <c r="C490" s="6" t="s">
        <v>2134</v>
      </c>
      <c r="D490" s="1" t="s">
        <v>2135</v>
      </c>
      <c r="E490" s="7">
        <v>4092109.0</v>
      </c>
      <c r="F490" s="7">
        <v>1447626.0</v>
      </c>
      <c r="G490" s="1" t="s">
        <v>2136</v>
      </c>
      <c r="H490" s="1" t="s">
        <v>2137</v>
      </c>
      <c r="I490" s="8">
        <v>44832.61105496528</v>
      </c>
      <c r="J490" s="9">
        <f>+393838330383</f>
        <v>393838330383</v>
      </c>
      <c r="K490" s="4">
        <v>0.0</v>
      </c>
      <c r="L490" s="7">
        <v>0.0</v>
      </c>
      <c r="M490" s="1">
        <v>773337.0</v>
      </c>
      <c r="N490" s="4">
        <v>0.0</v>
      </c>
      <c r="O490" s="4">
        <v>3.0</v>
      </c>
      <c r="P490" s="1" t="s">
        <v>33</v>
      </c>
      <c r="Q490" s="5" t="b">
        <v>1</v>
      </c>
      <c r="R490" s="5" t="b">
        <v>0</v>
      </c>
      <c r="S490" s="5" t="b">
        <v>0</v>
      </c>
      <c r="T490" s="4">
        <v>0.0</v>
      </c>
      <c r="U490" s="5" t="b">
        <v>0</v>
      </c>
      <c r="V490" s="11">
        <v>44889.0</v>
      </c>
      <c r="W490" s="11">
        <v>44885.0</v>
      </c>
    </row>
    <row r="491">
      <c r="A491" s="4">
        <v>506645.0</v>
      </c>
      <c r="B491" s="5" t="b">
        <v>1</v>
      </c>
      <c r="C491" s="6" t="s">
        <v>1898</v>
      </c>
      <c r="D491" s="1" t="s">
        <v>1899</v>
      </c>
      <c r="E491" s="7">
        <v>4350723.0</v>
      </c>
      <c r="F491" s="7">
        <v>-146896.0</v>
      </c>
      <c r="G491" s="1" t="s">
        <v>2138</v>
      </c>
      <c r="H491" s="1" t="s">
        <v>2139</v>
      </c>
      <c r="I491" s="8">
        <v>44832.62488979167</v>
      </c>
      <c r="J491" s="9">
        <f>+33930058859</f>
        <v>33930058859</v>
      </c>
      <c r="K491" s="4">
        <v>0.0</v>
      </c>
      <c r="L491" s="7">
        <v>0.0</v>
      </c>
      <c r="M491" s="1" t="s">
        <v>2140</v>
      </c>
      <c r="N491" s="4">
        <v>0.0</v>
      </c>
      <c r="O491" s="4">
        <v>0.0</v>
      </c>
      <c r="P491" s="1" t="s">
        <v>28</v>
      </c>
      <c r="Q491" s="5" t="b">
        <v>1</v>
      </c>
      <c r="R491" s="5" t="b">
        <v>0</v>
      </c>
      <c r="S491" s="5" t="b">
        <v>0</v>
      </c>
      <c r="T491" s="4">
        <v>0.0</v>
      </c>
      <c r="U491" s="5" t="b">
        <v>0</v>
      </c>
      <c r="V491" s="10">
        <v>44903.0</v>
      </c>
      <c r="W491" s="11">
        <v>44890.0</v>
      </c>
    </row>
    <row r="492">
      <c r="A492" s="4">
        <v>506644.0</v>
      </c>
      <c r="B492" s="5" t="b">
        <v>0</v>
      </c>
      <c r="C492" s="6" t="s">
        <v>2141</v>
      </c>
      <c r="D492" s="1" t="s">
        <v>2142</v>
      </c>
      <c r="E492" s="7">
        <v>5351153.0</v>
      </c>
      <c r="F492" s="7">
        <v>1025262.0</v>
      </c>
      <c r="G492" s="1" t="s">
        <v>2143</v>
      </c>
      <c r="H492" s="1" t="s">
        <v>2144</v>
      </c>
      <c r="I492" s="8">
        <v>44832.6401534375</v>
      </c>
      <c r="J492" s="9">
        <f>+593385000553</f>
        <v>593385000553</v>
      </c>
      <c r="K492" s="4">
        <v>0.0</v>
      </c>
      <c r="L492" s="7">
        <v>0.0</v>
      </c>
      <c r="M492" s="9"/>
      <c r="N492" s="4">
        <v>0.0</v>
      </c>
      <c r="O492" s="4">
        <v>0.0</v>
      </c>
      <c r="P492" s="1" t="s">
        <v>28</v>
      </c>
      <c r="Q492" s="5" t="b">
        <v>1</v>
      </c>
      <c r="R492" s="5" t="b">
        <v>0</v>
      </c>
      <c r="S492" s="5" t="b">
        <v>0</v>
      </c>
      <c r="T492" s="4">
        <v>0.0</v>
      </c>
      <c r="U492" s="5" t="b">
        <v>0</v>
      </c>
      <c r="V492" s="11">
        <v>44880.0</v>
      </c>
      <c r="W492" s="11">
        <v>44886.0</v>
      </c>
    </row>
    <row r="493">
      <c r="A493" s="4">
        <v>506646.0</v>
      </c>
      <c r="B493" s="5" t="b">
        <v>1</v>
      </c>
      <c r="C493" s="6" t="s">
        <v>2145</v>
      </c>
      <c r="D493" s="1" t="s">
        <v>2146</v>
      </c>
      <c r="E493" s="7">
        <v>4569826.0</v>
      </c>
      <c r="F493" s="7">
        <v>967727.0</v>
      </c>
      <c r="G493" s="1" t="s">
        <v>2147</v>
      </c>
      <c r="H493" s="1" t="s">
        <v>2148</v>
      </c>
      <c r="I493" s="8">
        <v>44832.84583721065</v>
      </c>
      <c r="J493" s="9">
        <f>+393899398880</f>
        <v>393899398880</v>
      </c>
      <c r="K493" s="4">
        <v>0.0</v>
      </c>
      <c r="L493" s="7">
        <v>0.0</v>
      </c>
      <c r="M493" s="9"/>
      <c r="N493" s="4">
        <v>0.0</v>
      </c>
      <c r="O493" s="4">
        <v>1.0</v>
      </c>
      <c r="P493" s="1" t="s">
        <v>39</v>
      </c>
      <c r="Q493" s="5" t="b">
        <v>0</v>
      </c>
      <c r="R493" s="5" t="b">
        <v>0</v>
      </c>
      <c r="S493" s="5" t="b">
        <v>0</v>
      </c>
      <c r="T493" s="4">
        <v>0.0</v>
      </c>
      <c r="U493" s="5" t="b">
        <v>0</v>
      </c>
      <c r="V493" s="11">
        <v>44895.0</v>
      </c>
      <c r="W493" s="10">
        <v>44900.0</v>
      </c>
    </row>
    <row r="494">
      <c r="A494" s="4">
        <v>506644.0</v>
      </c>
      <c r="B494" s="5" t="b">
        <v>1</v>
      </c>
      <c r="C494" s="6" t="s">
        <v>2149</v>
      </c>
      <c r="D494" s="1" t="s">
        <v>2150</v>
      </c>
      <c r="E494" s="7">
        <v>476777.0</v>
      </c>
      <c r="F494" s="7">
        <v>2594187.0</v>
      </c>
      <c r="G494" s="1" t="s">
        <v>2151</v>
      </c>
      <c r="H494" s="1" t="s">
        <v>2152</v>
      </c>
      <c r="I494" s="8">
        <v>44833.303004444446</v>
      </c>
      <c r="J494" s="9">
        <f>+33390335805</f>
        <v>33390335805</v>
      </c>
      <c r="K494" s="4">
        <v>0.0</v>
      </c>
      <c r="L494" s="7">
        <v>0.0</v>
      </c>
      <c r="M494" s="9"/>
      <c r="N494" s="4">
        <v>0.0</v>
      </c>
      <c r="O494" s="4">
        <v>0.0</v>
      </c>
      <c r="P494" s="1" t="s">
        <v>39</v>
      </c>
      <c r="Q494" s="5" t="b">
        <v>1</v>
      </c>
      <c r="R494" s="5" t="b">
        <v>0</v>
      </c>
      <c r="S494" s="5" t="b">
        <v>0</v>
      </c>
      <c r="T494" s="4">
        <v>0.0</v>
      </c>
      <c r="U494" s="5" t="b">
        <v>0</v>
      </c>
      <c r="V494" s="11">
        <v>44892.0</v>
      </c>
      <c r="W494" s="10">
        <v>44901.0</v>
      </c>
    </row>
    <row r="495">
      <c r="A495" s="4">
        <v>506645.0</v>
      </c>
      <c r="B495" s="5" t="b">
        <v>1</v>
      </c>
      <c r="C495" s="6" t="s">
        <v>2153</v>
      </c>
      <c r="D495" s="1" t="s">
        <v>2154</v>
      </c>
      <c r="E495" s="7">
        <v>4045735.0</v>
      </c>
      <c r="F495" s="7">
        <v>-369199.0</v>
      </c>
      <c r="G495" s="1" t="s">
        <v>195</v>
      </c>
      <c r="H495" s="1" t="s">
        <v>2155</v>
      </c>
      <c r="I495" s="8">
        <v>44833.30502244213</v>
      </c>
      <c r="J495" s="9">
        <f>+35933555389</f>
        <v>35933555389</v>
      </c>
      <c r="K495" s="4">
        <v>0.0</v>
      </c>
      <c r="L495" s="7">
        <v>0.0</v>
      </c>
      <c r="M495" s="1" t="s">
        <v>2156</v>
      </c>
      <c r="N495" s="4">
        <v>0.0</v>
      </c>
      <c r="O495" s="4">
        <v>0.0</v>
      </c>
      <c r="P495" s="1" t="s">
        <v>28</v>
      </c>
      <c r="Q495" s="5" t="b">
        <v>1</v>
      </c>
      <c r="R495" s="5" t="b">
        <v>0</v>
      </c>
      <c r="S495" s="5" t="b">
        <v>0</v>
      </c>
      <c r="T495" s="4">
        <v>0.0</v>
      </c>
      <c r="U495" s="5" t="b">
        <v>0</v>
      </c>
      <c r="V495" s="11">
        <v>44884.0</v>
      </c>
      <c r="W495" s="11">
        <v>44886.0</v>
      </c>
    </row>
    <row r="496">
      <c r="A496" s="4">
        <v>506650.0</v>
      </c>
      <c r="B496" s="5" t="b">
        <v>1</v>
      </c>
      <c r="C496" s="6" t="s">
        <v>1545</v>
      </c>
      <c r="D496" s="1" t="s">
        <v>1546</v>
      </c>
      <c r="E496" s="7">
        <v>4184493.0</v>
      </c>
      <c r="F496" s="7">
        <v>1254475.0</v>
      </c>
      <c r="G496" s="1" t="s">
        <v>25</v>
      </c>
      <c r="H496" s="1" t="s">
        <v>2157</v>
      </c>
      <c r="I496" s="8">
        <v>44833.305136111114</v>
      </c>
      <c r="J496" s="9">
        <f>+393839353808</f>
        <v>393839353808</v>
      </c>
      <c r="K496" s="4">
        <v>0.0</v>
      </c>
      <c r="L496" s="7">
        <v>0.0</v>
      </c>
      <c r="M496" s="1">
        <v>7.77773337E8</v>
      </c>
      <c r="N496" s="4">
        <v>0.0</v>
      </c>
      <c r="O496" s="4">
        <v>0.0</v>
      </c>
      <c r="P496" s="1" t="s">
        <v>39</v>
      </c>
      <c r="Q496" s="5" t="b">
        <v>1</v>
      </c>
      <c r="R496" s="5" t="b">
        <v>0</v>
      </c>
      <c r="S496" s="5" t="b">
        <v>0</v>
      </c>
      <c r="T496" s="4">
        <v>0.0</v>
      </c>
      <c r="U496" s="5" t="b">
        <v>0</v>
      </c>
      <c r="V496" s="11">
        <v>44884.0</v>
      </c>
      <c r="W496" s="11">
        <v>44879.0</v>
      </c>
    </row>
    <row r="497">
      <c r="A497" s="4">
        <v>506651.0</v>
      </c>
      <c r="B497" s="5" t="b">
        <v>1</v>
      </c>
      <c r="C497" s="6" t="s">
        <v>2158</v>
      </c>
      <c r="D497" s="1" t="s">
        <v>2159</v>
      </c>
      <c r="E497" s="7">
        <v>3890907.0</v>
      </c>
      <c r="F497" s="7">
        <v>-93434.0</v>
      </c>
      <c r="G497" s="1" t="s">
        <v>2160</v>
      </c>
      <c r="H497" s="1" t="s">
        <v>2161</v>
      </c>
      <c r="I497" s="8">
        <v>44833.321728333336</v>
      </c>
      <c r="J497" s="9">
        <f>+353993338833</f>
        <v>353993338833</v>
      </c>
      <c r="K497" s="4">
        <v>0.0</v>
      </c>
      <c r="L497" s="7">
        <v>0.0</v>
      </c>
      <c r="M497" s="1">
        <v>7.7633333E7</v>
      </c>
      <c r="N497" s="4">
        <v>0.0</v>
      </c>
      <c r="O497" s="4">
        <v>0.0</v>
      </c>
      <c r="P497" s="1" t="s">
        <v>33</v>
      </c>
      <c r="Q497" s="5" t="b">
        <v>0</v>
      </c>
      <c r="R497" s="5" t="b">
        <v>0</v>
      </c>
      <c r="S497" s="5" t="b">
        <v>0</v>
      </c>
      <c r="T497" s="4">
        <v>0.0</v>
      </c>
      <c r="U497" s="5" t="b">
        <v>0</v>
      </c>
      <c r="V497" s="10">
        <v>44879.0</v>
      </c>
      <c r="W497" s="10">
        <v>44897.0</v>
      </c>
    </row>
    <row r="498">
      <c r="A498" s="4">
        <v>506655.0</v>
      </c>
      <c r="B498" s="5" t="b">
        <v>1</v>
      </c>
      <c r="C498" s="6" t="s">
        <v>2162</v>
      </c>
      <c r="D498" s="1" t="s">
        <v>2163</v>
      </c>
      <c r="E498" s="7">
        <v>4367622.0</v>
      </c>
      <c r="F498" s="7">
        <v>4430167.0</v>
      </c>
      <c r="G498" s="1" t="s">
        <v>1970</v>
      </c>
      <c r="H498" s="1" t="s">
        <v>1971</v>
      </c>
      <c r="I498" s="8">
        <v>44833.330470266206</v>
      </c>
      <c r="J498" s="9">
        <f>+33599835308</f>
        <v>33599835308</v>
      </c>
      <c r="K498" s="4">
        <v>0.0</v>
      </c>
      <c r="L498" s="7">
        <v>0.0</v>
      </c>
      <c r="M498" s="1" t="s">
        <v>2164</v>
      </c>
      <c r="N498" s="4">
        <v>0.0</v>
      </c>
      <c r="O498" s="4">
        <v>0.0</v>
      </c>
      <c r="P498" s="1" t="s">
        <v>33</v>
      </c>
      <c r="Q498" s="5" t="b">
        <v>1</v>
      </c>
      <c r="R498" s="5" t="b">
        <v>0</v>
      </c>
      <c r="S498" s="5" t="b">
        <v>0</v>
      </c>
      <c r="T498" s="4">
        <v>0.0</v>
      </c>
      <c r="U498" s="5" t="b">
        <v>0</v>
      </c>
      <c r="V498" s="11">
        <v>44888.0</v>
      </c>
      <c r="W498" s="10">
        <v>44895.0</v>
      </c>
    </row>
    <row r="499">
      <c r="A499" s="4">
        <v>5066550.0</v>
      </c>
      <c r="B499" s="5" t="b">
        <v>1</v>
      </c>
      <c r="C499" s="6" t="s">
        <v>2165</v>
      </c>
      <c r="D499" s="1" t="s">
        <v>2166</v>
      </c>
      <c r="E499" s="7">
        <v>413974.0</v>
      </c>
      <c r="F499" s="7">
        <v>2163884.0</v>
      </c>
      <c r="G499" s="1" t="s">
        <v>182</v>
      </c>
      <c r="H499" s="1" t="s">
        <v>2167</v>
      </c>
      <c r="I499" s="8">
        <v>44833.3385578125</v>
      </c>
      <c r="J499" s="9">
        <f>+35905398939</f>
        <v>35905398939</v>
      </c>
      <c r="K499" s="4">
        <v>0.0</v>
      </c>
      <c r="L499" s="7">
        <v>0.0</v>
      </c>
      <c r="M499" s="1" t="s">
        <v>2168</v>
      </c>
      <c r="N499" s="4">
        <v>0.0</v>
      </c>
      <c r="O499" s="4">
        <v>0.0</v>
      </c>
      <c r="P499" s="1" t="s">
        <v>39</v>
      </c>
      <c r="Q499" s="5" t="b">
        <v>1</v>
      </c>
      <c r="R499" s="5" t="b">
        <v>0</v>
      </c>
      <c r="S499" s="5" t="b">
        <v>0</v>
      </c>
      <c r="T499" s="4">
        <v>0.0</v>
      </c>
      <c r="U499" s="5" t="b">
        <v>0</v>
      </c>
      <c r="V499" s="11">
        <v>44891.0</v>
      </c>
      <c r="W499" s="11">
        <v>44887.0</v>
      </c>
    </row>
    <row r="500">
      <c r="A500" s="4">
        <v>506654.0</v>
      </c>
      <c r="B500" s="5" t="b">
        <v>1</v>
      </c>
      <c r="C500" s="6" t="s">
        <v>2169</v>
      </c>
      <c r="D500" s="1" t="s">
        <v>2170</v>
      </c>
      <c r="E500" s="7">
        <v>4040215.0</v>
      </c>
      <c r="F500" s="7">
        <v>-356111.0</v>
      </c>
      <c r="G500" s="1" t="s">
        <v>195</v>
      </c>
      <c r="H500" s="1" t="s">
        <v>2171</v>
      </c>
      <c r="I500" s="8">
        <v>44833.34022493056</v>
      </c>
      <c r="J500" s="9">
        <f>+35355933359</f>
        <v>35355933359</v>
      </c>
      <c r="K500" s="4">
        <v>0.0</v>
      </c>
      <c r="L500" s="7">
        <v>0.0</v>
      </c>
      <c r="M500" s="1" t="s">
        <v>2172</v>
      </c>
      <c r="N500" s="4">
        <v>0.0</v>
      </c>
      <c r="O500" s="4">
        <v>0.0</v>
      </c>
      <c r="P500" s="1" t="s">
        <v>28</v>
      </c>
      <c r="Q500" s="5" t="b">
        <v>1</v>
      </c>
      <c r="R500" s="5" t="b">
        <v>0</v>
      </c>
      <c r="S500" s="5" t="b">
        <v>0</v>
      </c>
      <c r="T500" s="4">
        <v>0.0</v>
      </c>
      <c r="U500" s="5" t="b">
        <v>0</v>
      </c>
      <c r="V500" s="11">
        <v>44880.0</v>
      </c>
      <c r="W500" s="11">
        <v>44889.0</v>
      </c>
    </row>
    <row r="501">
      <c r="A501" s="4">
        <v>5066530.0</v>
      </c>
      <c r="B501" s="5" t="b">
        <v>1</v>
      </c>
      <c r="C501" s="6" t="s">
        <v>2173</v>
      </c>
      <c r="D501" s="1" t="s">
        <v>2174</v>
      </c>
      <c r="E501" s="7">
        <v>5250508.0</v>
      </c>
      <c r="F501" s="7">
        <v>1335597.0</v>
      </c>
      <c r="G501" s="1" t="s">
        <v>1524</v>
      </c>
      <c r="H501" s="1" t="s">
        <v>2175</v>
      </c>
      <c r="I501" s="8">
        <v>44833.349140659724</v>
      </c>
      <c r="J501" s="9">
        <f>+593089393938</f>
        <v>593089393938</v>
      </c>
      <c r="K501" s="4">
        <v>0.0</v>
      </c>
      <c r="L501" s="7">
        <v>0.0</v>
      </c>
      <c r="M501" s="9"/>
      <c r="N501" s="4">
        <v>0.0</v>
      </c>
      <c r="O501" s="4">
        <v>0.0</v>
      </c>
      <c r="P501" s="1" t="s">
        <v>39</v>
      </c>
      <c r="Q501" s="5" t="b">
        <v>1</v>
      </c>
      <c r="R501" s="5" t="b">
        <v>0</v>
      </c>
      <c r="S501" s="5" t="b">
        <v>0</v>
      </c>
      <c r="T501" s="4">
        <v>0.0</v>
      </c>
      <c r="U501" s="5" t="b">
        <v>0</v>
      </c>
      <c r="V501" s="10">
        <v>44898.0</v>
      </c>
      <c r="W501" s="10">
        <v>44901.0</v>
      </c>
    </row>
    <row r="502">
      <c r="A502" s="4">
        <v>506656.0</v>
      </c>
      <c r="B502" s="5" t="b">
        <v>1</v>
      </c>
      <c r="C502" s="6" t="s">
        <v>2176</v>
      </c>
      <c r="D502" s="1" t="s">
        <v>2177</v>
      </c>
      <c r="E502" s="7">
        <v>4367206.0</v>
      </c>
      <c r="F502" s="7">
        <v>7189697.0</v>
      </c>
      <c r="G502" s="1" t="s">
        <v>2178</v>
      </c>
      <c r="H502" s="1" t="s">
        <v>2179</v>
      </c>
      <c r="I502" s="8">
        <v>44833.34960350695</v>
      </c>
      <c r="J502" s="9">
        <f>+33930358938</f>
        <v>33930358938</v>
      </c>
      <c r="K502" s="4">
        <v>0.0</v>
      </c>
      <c r="L502" s="7">
        <v>0.0</v>
      </c>
      <c r="M502" s="1" t="s">
        <v>2180</v>
      </c>
      <c r="N502" s="4">
        <v>0.0</v>
      </c>
      <c r="O502" s="4">
        <v>0.0</v>
      </c>
      <c r="P502" s="1" t="s">
        <v>28</v>
      </c>
      <c r="Q502" s="5" t="b">
        <v>1</v>
      </c>
      <c r="R502" s="5" t="b">
        <v>0</v>
      </c>
      <c r="S502" s="5" t="b">
        <v>0</v>
      </c>
      <c r="T502" s="4">
        <v>0.0</v>
      </c>
      <c r="U502" s="5" t="b">
        <v>0</v>
      </c>
      <c r="V502" s="11">
        <v>44884.0</v>
      </c>
      <c r="W502" s="11">
        <v>44889.0</v>
      </c>
    </row>
    <row r="503">
      <c r="A503" s="4">
        <v>506657.0</v>
      </c>
      <c r="B503" s="5" t="b">
        <v>1</v>
      </c>
      <c r="C503" s="6" t="s">
        <v>2181</v>
      </c>
      <c r="D503" s="1" t="s">
        <v>2182</v>
      </c>
      <c r="E503" s="7">
        <v>4880844.0</v>
      </c>
      <c r="F503" s="7">
        <v>2528657.0</v>
      </c>
      <c r="G503" s="1" t="s">
        <v>2183</v>
      </c>
      <c r="H503" s="1" t="s">
        <v>2184</v>
      </c>
      <c r="I503" s="8">
        <v>44833.349747824075</v>
      </c>
      <c r="J503" s="9">
        <f>+33393839988</f>
        <v>33393839988</v>
      </c>
      <c r="K503" s="4">
        <v>0.0</v>
      </c>
      <c r="L503" s="7">
        <v>0.0</v>
      </c>
      <c r="M503" s="1" t="s">
        <v>2185</v>
      </c>
      <c r="N503" s="4">
        <v>0.0</v>
      </c>
      <c r="O503" s="4">
        <v>0.0</v>
      </c>
      <c r="P503" s="1" t="s">
        <v>39</v>
      </c>
      <c r="Q503" s="5" t="b">
        <v>1</v>
      </c>
      <c r="R503" s="5" t="b">
        <v>0</v>
      </c>
      <c r="S503" s="5" t="b">
        <v>0</v>
      </c>
      <c r="T503" s="4">
        <v>0.0</v>
      </c>
      <c r="U503" s="5" t="b">
        <v>0</v>
      </c>
      <c r="V503" s="10">
        <v>44903.0</v>
      </c>
      <c r="W503" s="10">
        <v>44901.0</v>
      </c>
    </row>
    <row r="504">
      <c r="A504" s="4">
        <v>506654.0</v>
      </c>
      <c r="B504" s="5" t="b">
        <v>1</v>
      </c>
      <c r="C504" s="6" t="s">
        <v>2186</v>
      </c>
      <c r="D504" s="1" t="s">
        <v>2187</v>
      </c>
      <c r="E504" s="7">
        <v>5249127.0</v>
      </c>
      <c r="F504" s="7">
        <v>1339419.0</v>
      </c>
      <c r="G504" s="1" t="s">
        <v>1524</v>
      </c>
      <c r="H504" s="1" t="s">
        <v>2188</v>
      </c>
      <c r="I504" s="8">
        <v>44833.36231127315</v>
      </c>
      <c r="J504" s="9">
        <f>+593090055538</f>
        <v>593090055538</v>
      </c>
      <c r="K504" s="4">
        <v>0.0</v>
      </c>
      <c r="L504" s="7">
        <v>0.0</v>
      </c>
      <c r="M504" s="9"/>
      <c r="N504" s="4">
        <v>0.0</v>
      </c>
      <c r="O504" s="4">
        <v>0.0</v>
      </c>
      <c r="P504" s="1" t="s">
        <v>28</v>
      </c>
      <c r="Q504" s="5" t="b">
        <v>1</v>
      </c>
      <c r="R504" s="5" t="b">
        <v>0</v>
      </c>
      <c r="S504" s="5" t="b">
        <v>0</v>
      </c>
      <c r="T504" s="4">
        <v>0.0</v>
      </c>
      <c r="U504" s="5" t="b">
        <v>0</v>
      </c>
      <c r="V504" s="11">
        <v>44884.0</v>
      </c>
      <c r="W504" s="11">
        <v>44885.0</v>
      </c>
    </row>
    <row r="505">
      <c r="A505" s="4">
        <v>506655.0</v>
      </c>
      <c r="B505" s="5" t="b">
        <v>1</v>
      </c>
      <c r="C505" s="6" t="s">
        <v>2189</v>
      </c>
      <c r="D505" s="1" t="s">
        <v>2190</v>
      </c>
      <c r="E505" s="7">
        <v>4824496.0</v>
      </c>
      <c r="F505" s="7">
        <v>1636206.0</v>
      </c>
      <c r="G505" s="1" t="s">
        <v>1599</v>
      </c>
      <c r="H505" s="1" t="s">
        <v>2191</v>
      </c>
      <c r="I505" s="8">
        <v>44833.36371157407</v>
      </c>
      <c r="J505" s="9">
        <f>+5399983850858</f>
        <v>5399983850858</v>
      </c>
      <c r="K505" s="4">
        <v>0.0</v>
      </c>
      <c r="L505" s="7">
        <v>0.0</v>
      </c>
      <c r="M505" s="9"/>
      <c r="N505" s="4">
        <v>0.0</v>
      </c>
      <c r="O505" s="4">
        <v>0.0</v>
      </c>
      <c r="P505" s="1" t="s">
        <v>33</v>
      </c>
      <c r="Q505" s="5" t="b">
        <v>0</v>
      </c>
      <c r="R505" s="5" t="b">
        <v>1</v>
      </c>
      <c r="S505" s="5" t="b">
        <v>0</v>
      </c>
      <c r="T505" s="4">
        <v>0.0</v>
      </c>
      <c r="U505" s="5" t="b">
        <v>0</v>
      </c>
      <c r="V505" s="10">
        <v>44900.0</v>
      </c>
      <c r="W505" s="11">
        <v>44891.0</v>
      </c>
    </row>
    <row r="506">
      <c r="A506" s="4">
        <v>506700.0</v>
      </c>
      <c r="B506" s="5" t="b">
        <v>1</v>
      </c>
      <c r="C506" s="6" t="s">
        <v>2192</v>
      </c>
      <c r="D506" s="1" t="s">
        <v>2193</v>
      </c>
      <c r="E506" s="7">
        <v>4861259.0</v>
      </c>
      <c r="F506" s="7">
        <v>2483231.0</v>
      </c>
      <c r="G506" s="1" t="s">
        <v>2194</v>
      </c>
      <c r="H506" s="1" t="s">
        <v>2195</v>
      </c>
      <c r="I506" s="8">
        <v>44833.36757959491</v>
      </c>
      <c r="J506" s="9">
        <f>+33909339089</f>
        <v>33909339089</v>
      </c>
      <c r="K506" s="4">
        <v>0.0</v>
      </c>
      <c r="L506" s="7">
        <v>0.0</v>
      </c>
      <c r="M506" s="1" t="s">
        <v>2196</v>
      </c>
      <c r="N506" s="4">
        <v>0.0</v>
      </c>
      <c r="O506" s="4">
        <v>0.0</v>
      </c>
      <c r="P506" s="1" t="s">
        <v>33</v>
      </c>
      <c r="Q506" s="5" t="b">
        <v>1</v>
      </c>
      <c r="R506" s="5" t="b">
        <v>0</v>
      </c>
      <c r="S506" s="5" t="b">
        <v>0</v>
      </c>
      <c r="T506" s="4">
        <v>0.0</v>
      </c>
      <c r="U506" s="5" t="b">
        <v>0</v>
      </c>
      <c r="V506" s="11">
        <v>44895.0</v>
      </c>
      <c r="W506" s="11">
        <v>44887.0</v>
      </c>
    </row>
    <row r="507">
      <c r="A507" s="4">
        <v>506701.0</v>
      </c>
      <c r="B507" s="5" t="b">
        <v>1</v>
      </c>
      <c r="C507" s="6" t="s">
        <v>1401</v>
      </c>
      <c r="D507" s="1" t="s">
        <v>1402</v>
      </c>
      <c r="E507" s="7">
        <v>4157063.0</v>
      </c>
      <c r="F507" s="7">
        <v>2084466.0</v>
      </c>
      <c r="G507" s="1" t="s">
        <v>2197</v>
      </c>
      <c r="H507" s="1" t="s">
        <v>2198</v>
      </c>
      <c r="I507" s="8">
        <v>44833.36876923611</v>
      </c>
      <c r="J507" s="9">
        <f>+35935309598</f>
        <v>35935309598</v>
      </c>
      <c r="K507" s="4">
        <v>0.0</v>
      </c>
      <c r="L507" s="7">
        <v>0.0</v>
      </c>
      <c r="M507" s="1" t="s">
        <v>2199</v>
      </c>
      <c r="N507" s="4">
        <v>0.0</v>
      </c>
      <c r="O507" s="4">
        <v>0.0</v>
      </c>
      <c r="P507" s="1" t="s">
        <v>39</v>
      </c>
      <c r="Q507" s="5" t="b">
        <v>1</v>
      </c>
      <c r="R507" s="5" t="b">
        <v>0</v>
      </c>
      <c r="S507" s="5" t="b">
        <v>0</v>
      </c>
      <c r="T507" s="4">
        <v>0.0</v>
      </c>
      <c r="U507" s="5" t="b">
        <v>0</v>
      </c>
      <c r="V507" s="11">
        <v>44894.0</v>
      </c>
      <c r="W507" s="11">
        <v>44894.0</v>
      </c>
    </row>
    <row r="508">
      <c r="A508" s="4">
        <v>506705.0</v>
      </c>
      <c r="B508" s="5" t="b">
        <v>1</v>
      </c>
      <c r="C508" s="6" t="s">
        <v>2200</v>
      </c>
      <c r="D508" s="1" t="s">
        <v>2201</v>
      </c>
      <c r="E508" s="7">
        <v>4544702.0</v>
      </c>
      <c r="F508" s="7">
        <v>1094439.0</v>
      </c>
      <c r="G508" s="1" t="s">
        <v>76</v>
      </c>
      <c r="H508" s="1" t="s">
        <v>2202</v>
      </c>
      <c r="I508" s="8">
        <v>44833.369128425926</v>
      </c>
      <c r="J508" s="9">
        <f>+393803035899</f>
        <v>393803035899</v>
      </c>
      <c r="K508" s="4">
        <v>0.0</v>
      </c>
      <c r="L508" s="7">
        <v>0.0</v>
      </c>
      <c r="M508" s="1">
        <v>7.6633373E7</v>
      </c>
      <c r="N508" s="4">
        <v>0.0</v>
      </c>
      <c r="O508" s="4">
        <v>0.0</v>
      </c>
      <c r="P508" s="1" t="s">
        <v>28</v>
      </c>
      <c r="Q508" s="5" t="b">
        <v>1</v>
      </c>
      <c r="R508" s="5" t="b">
        <v>0</v>
      </c>
      <c r="S508" s="5" t="b">
        <v>0</v>
      </c>
      <c r="T508" s="4">
        <v>0.0</v>
      </c>
      <c r="U508" s="5" t="b">
        <v>0</v>
      </c>
      <c r="V508" s="11">
        <v>44885.0</v>
      </c>
      <c r="W508" s="10">
        <v>44903.0</v>
      </c>
    </row>
    <row r="509">
      <c r="A509" s="4">
        <v>5067050.0</v>
      </c>
      <c r="B509" s="5" t="b">
        <v>1</v>
      </c>
      <c r="C509" s="6" t="s">
        <v>2203</v>
      </c>
      <c r="D509" s="1" t="s">
        <v>2204</v>
      </c>
      <c r="E509" s="7">
        <v>4173028.0</v>
      </c>
      <c r="F509" s="7">
        <v>1821831.0</v>
      </c>
      <c r="G509" s="1" t="s">
        <v>2205</v>
      </c>
      <c r="H509" s="1" t="s">
        <v>2206</v>
      </c>
      <c r="I509" s="8">
        <v>44833.3785393287</v>
      </c>
      <c r="J509" s="9">
        <f>+35993889959</f>
        <v>35993889959</v>
      </c>
      <c r="K509" s="4">
        <v>0.0</v>
      </c>
      <c r="L509" s="7">
        <v>0.0</v>
      </c>
      <c r="M509" s="1" t="s">
        <v>2207</v>
      </c>
      <c r="N509" s="4">
        <v>0.0</v>
      </c>
      <c r="O509" s="4">
        <v>0.0</v>
      </c>
      <c r="P509" s="1" t="s">
        <v>39</v>
      </c>
      <c r="Q509" s="5" t="b">
        <v>1</v>
      </c>
      <c r="R509" s="5" t="b">
        <v>0</v>
      </c>
      <c r="S509" s="5" t="b">
        <v>0</v>
      </c>
      <c r="T509" s="4">
        <v>0.0</v>
      </c>
      <c r="U509" s="5" t="b">
        <v>0</v>
      </c>
      <c r="V509" s="11">
        <v>44893.0</v>
      </c>
      <c r="W509" s="11">
        <v>44878.0</v>
      </c>
    </row>
    <row r="510">
      <c r="A510" s="4">
        <v>506704.0</v>
      </c>
      <c r="B510" s="5" t="b">
        <v>1</v>
      </c>
      <c r="C510" s="6" t="s">
        <v>2208</v>
      </c>
      <c r="D510" s="1" t="s">
        <v>2209</v>
      </c>
      <c r="E510" s="7">
        <v>3857183.0</v>
      </c>
      <c r="F510" s="7">
        <v>-79112.0</v>
      </c>
      <c r="G510" s="1" t="s">
        <v>2210</v>
      </c>
      <c r="H510" s="1" t="s">
        <v>2211</v>
      </c>
      <c r="I510" s="8">
        <v>44833.38201746528</v>
      </c>
      <c r="J510" s="9">
        <f>+353938933393</f>
        <v>353938933393</v>
      </c>
      <c r="K510" s="4">
        <v>0.0</v>
      </c>
      <c r="L510" s="7">
        <v>0.0</v>
      </c>
      <c r="M510" s="9"/>
      <c r="N510" s="4">
        <v>0.0</v>
      </c>
      <c r="O510" s="4">
        <v>0.0</v>
      </c>
      <c r="P510" s="1" t="s">
        <v>39</v>
      </c>
      <c r="Q510" s="5" t="b">
        <v>1</v>
      </c>
      <c r="R510" s="5" t="b">
        <v>0</v>
      </c>
      <c r="S510" s="5" t="b">
        <v>0</v>
      </c>
      <c r="T510" s="4">
        <v>0.0</v>
      </c>
      <c r="U510" s="5" t="b">
        <v>0</v>
      </c>
      <c r="V510" s="11">
        <v>44890.0</v>
      </c>
      <c r="W510" s="10">
        <v>44902.0</v>
      </c>
    </row>
    <row r="511">
      <c r="A511" s="4">
        <v>5067030.0</v>
      </c>
      <c r="B511" s="5" t="b">
        <v>1</v>
      </c>
      <c r="C511" s="6" t="s">
        <v>2212</v>
      </c>
      <c r="D511" s="1" t="s">
        <v>2213</v>
      </c>
      <c r="E511" s="7">
        <v>4190843.0</v>
      </c>
      <c r="F511" s="7">
        <v>1247613.0</v>
      </c>
      <c r="G511" s="1" t="s">
        <v>25</v>
      </c>
      <c r="H511" s="1" t="s">
        <v>2214</v>
      </c>
      <c r="I511" s="8">
        <v>44833.386441863426</v>
      </c>
      <c r="J511" s="9">
        <f>+393895835333</f>
        <v>393895835333</v>
      </c>
      <c r="K511" s="4">
        <v>0.0</v>
      </c>
      <c r="L511" s="7">
        <v>0.0</v>
      </c>
      <c r="M511" s="1">
        <v>6.333333337E9</v>
      </c>
      <c r="N511" s="4">
        <v>0.0</v>
      </c>
      <c r="O511" s="4">
        <v>0.0</v>
      </c>
      <c r="P511" s="1" t="s">
        <v>33</v>
      </c>
      <c r="Q511" s="5" t="b">
        <v>1</v>
      </c>
      <c r="R511" s="5" t="b">
        <v>0</v>
      </c>
      <c r="S511" s="5" t="b">
        <v>0</v>
      </c>
      <c r="T511" s="4">
        <v>0.0</v>
      </c>
      <c r="U511" s="5" t="b">
        <v>0</v>
      </c>
      <c r="V511" s="11">
        <v>44883.0</v>
      </c>
      <c r="W511" s="10">
        <v>44902.0</v>
      </c>
    </row>
    <row r="512">
      <c r="A512" s="4">
        <v>506706.0</v>
      </c>
      <c r="B512" s="5" t="b">
        <v>1</v>
      </c>
      <c r="C512" s="6" t="s">
        <v>2215</v>
      </c>
      <c r="D512" s="1" t="s">
        <v>2216</v>
      </c>
      <c r="E512" s="7">
        <v>4092404.0</v>
      </c>
      <c r="F512" s="7">
        <v>1453638.0</v>
      </c>
      <c r="G512" s="1" t="s">
        <v>2217</v>
      </c>
      <c r="H512" s="1" t="s">
        <v>2218</v>
      </c>
      <c r="I512" s="8">
        <v>44833.39842402778</v>
      </c>
      <c r="J512" s="9">
        <f>+390835388350</f>
        <v>390835388350</v>
      </c>
      <c r="K512" s="4">
        <v>0.0</v>
      </c>
      <c r="L512" s="7">
        <v>0.0</v>
      </c>
      <c r="M512" s="1">
        <v>7373337.0</v>
      </c>
      <c r="N512" s="4">
        <v>0.0</v>
      </c>
      <c r="O512" s="4">
        <v>0.0</v>
      </c>
      <c r="P512" s="1" t="s">
        <v>39</v>
      </c>
      <c r="Q512" s="5" t="b">
        <v>1</v>
      </c>
      <c r="R512" s="5" t="b">
        <v>0</v>
      </c>
      <c r="S512" s="5" t="b">
        <v>0</v>
      </c>
      <c r="T512" s="4">
        <v>0.0</v>
      </c>
      <c r="U512" s="5" t="b">
        <v>0</v>
      </c>
      <c r="V512" s="11">
        <v>44888.0</v>
      </c>
      <c r="W512" s="11">
        <v>44901.0</v>
      </c>
    </row>
    <row r="513">
      <c r="A513" s="4">
        <v>506704.0</v>
      </c>
      <c r="B513" s="5" t="b">
        <v>1</v>
      </c>
      <c r="C513" s="6" t="s">
        <v>2219</v>
      </c>
      <c r="D513" s="1" t="s">
        <v>2220</v>
      </c>
      <c r="E513" s="7">
        <v>4819929.0</v>
      </c>
      <c r="F513" s="7">
        <v>1639963.0</v>
      </c>
      <c r="G513" s="1" t="s">
        <v>1599</v>
      </c>
      <c r="H513" s="1" t="s">
        <v>2221</v>
      </c>
      <c r="I513" s="8">
        <v>44833.408833738424</v>
      </c>
      <c r="J513" s="9">
        <f>+539393803099</f>
        <v>539393803099</v>
      </c>
      <c r="K513" s="4">
        <v>0.0</v>
      </c>
      <c r="L513" s="7">
        <v>0.0</v>
      </c>
      <c r="M513" s="9"/>
      <c r="N513" s="4">
        <v>0.0</v>
      </c>
      <c r="O513" s="4">
        <v>0.0</v>
      </c>
      <c r="P513" s="1" t="s">
        <v>39</v>
      </c>
      <c r="Q513" s="5" t="b">
        <v>1</v>
      </c>
      <c r="R513" s="5" t="b">
        <v>0</v>
      </c>
      <c r="S513" s="5" t="b">
        <v>0</v>
      </c>
      <c r="T513" s="4">
        <v>0.0</v>
      </c>
      <c r="U513" s="5" t="b">
        <v>0</v>
      </c>
      <c r="V513" s="10">
        <v>44901.0</v>
      </c>
      <c r="W513" s="10">
        <v>44903.0</v>
      </c>
    </row>
    <row r="514">
      <c r="A514" s="4">
        <v>506705.0</v>
      </c>
      <c r="B514" s="5" t="b">
        <v>1</v>
      </c>
      <c r="C514" s="6" t="s">
        <v>341</v>
      </c>
      <c r="D514" s="1" t="s">
        <v>342</v>
      </c>
      <c r="E514" s="7">
        <v>4566702.0</v>
      </c>
      <c r="F514" s="7">
        <v>8332441.0</v>
      </c>
      <c r="G514" s="1" t="s">
        <v>2222</v>
      </c>
      <c r="H514" s="1" t="s">
        <v>2223</v>
      </c>
      <c r="I514" s="8">
        <v>44833.40940247685</v>
      </c>
      <c r="J514" s="9">
        <f>+393353835835</f>
        <v>393353835835</v>
      </c>
      <c r="K514" s="4">
        <v>0.0</v>
      </c>
      <c r="L514" s="7">
        <v>0.0</v>
      </c>
      <c r="M514" s="1">
        <v>7.77333333E8</v>
      </c>
      <c r="N514" s="4">
        <v>0.0</v>
      </c>
      <c r="O514" s="4">
        <v>0.0</v>
      </c>
      <c r="P514" s="1" t="s">
        <v>39</v>
      </c>
      <c r="Q514" s="5" t="b">
        <v>1</v>
      </c>
      <c r="R514" s="5" t="b">
        <v>0</v>
      </c>
      <c r="S514" s="5" t="b">
        <v>0</v>
      </c>
      <c r="T514" s="4">
        <v>0.0</v>
      </c>
      <c r="U514" s="5" t="b">
        <v>0</v>
      </c>
      <c r="V514" s="11">
        <v>44882.0</v>
      </c>
      <c r="W514" s="11">
        <v>44879.0</v>
      </c>
    </row>
    <row r="515">
      <c r="A515" s="4">
        <v>506710.0</v>
      </c>
      <c r="B515" s="5" t="b">
        <v>1</v>
      </c>
      <c r="C515" s="6" t="s">
        <v>2224</v>
      </c>
      <c r="D515" s="1" t="s">
        <v>2225</v>
      </c>
      <c r="E515" s="7">
        <v>5154644.0</v>
      </c>
      <c r="F515" s="7">
        <v>-36895.0</v>
      </c>
      <c r="G515" s="1" t="s">
        <v>1367</v>
      </c>
      <c r="H515" s="1" t="s">
        <v>2226</v>
      </c>
      <c r="I515" s="8">
        <v>44833.415163425925</v>
      </c>
      <c r="J515" s="9">
        <f>+558080358335</f>
        <v>558080358335</v>
      </c>
      <c r="K515" s="4">
        <v>0.0</v>
      </c>
      <c r="L515" s="7">
        <v>0.0</v>
      </c>
      <c r="M515" s="9"/>
      <c r="N515" s="4">
        <v>0.0</v>
      </c>
      <c r="O515" s="4">
        <v>0.0</v>
      </c>
      <c r="P515" s="1" t="s">
        <v>28</v>
      </c>
      <c r="Q515" s="5" t="b">
        <v>1</v>
      </c>
      <c r="R515" s="5" t="b">
        <v>0</v>
      </c>
      <c r="S515" s="5" t="b">
        <v>0</v>
      </c>
      <c r="T515" s="4">
        <v>0.0</v>
      </c>
      <c r="U515" s="5" t="b">
        <v>1</v>
      </c>
      <c r="V515" s="10">
        <v>44902.0</v>
      </c>
      <c r="W515" s="11">
        <v>44890.0</v>
      </c>
    </row>
    <row r="516">
      <c r="A516" s="4">
        <v>506711.0</v>
      </c>
      <c r="B516" s="5" t="b">
        <v>1</v>
      </c>
      <c r="C516" s="6" t="s">
        <v>2227</v>
      </c>
      <c r="D516" s="1" t="s">
        <v>2228</v>
      </c>
      <c r="E516" s="7">
        <v>3807281.0</v>
      </c>
      <c r="F516" s="7">
        <v>2381242.0</v>
      </c>
      <c r="G516" s="1" t="s">
        <v>232</v>
      </c>
      <c r="H516" s="1" t="s">
        <v>233</v>
      </c>
      <c r="I516" s="8">
        <v>44833.424493101855</v>
      </c>
      <c r="J516" s="9">
        <f>+309985993899</f>
        <v>309985993899</v>
      </c>
      <c r="K516" s="4">
        <v>0.0</v>
      </c>
      <c r="L516" s="7">
        <v>0.0</v>
      </c>
      <c r="M516" s="1">
        <v>733733.0</v>
      </c>
      <c r="N516" s="4">
        <v>0.0</v>
      </c>
      <c r="O516" s="4">
        <v>0.0</v>
      </c>
      <c r="P516" s="1" t="s">
        <v>33</v>
      </c>
      <c r="Q516" s="5" t="b">
        <v>1</v>
      </c>
      <c r="R516" s="5" t="b">
        <v>0</v>
      </c>
      <c r="S516" s="5" t="b">
        <v>0</v>
      </c>
      <c r="T516" s="4">
        <v>0.0</v>
      </c>
      <c r="U516" s="5" t="b">
        <v>0</v>
      </c>
      <c r="V516" s="10">
        <v>44899.0</v>
      </c>
      <c r="W516" s="10">
        <v>44903.0</v>
      </c>
    </row>
    <row r="517">
      <c r="A517" s="4">
        <v>506715.0</v>
      </c>
      <c r="B517" s="5" t="b">
        <v>1</v>
      </c>
      <c r="C517" s="6" t="s">
        <v>2229</v>
      </c>
      <c r="D517" s="1" t="s">
        <v>2230</v>
      </c>
      <c r="E517" s="7">
        <v>4564908.0</v>
      </c>
      <c r="F517" s="7">
        <v>9200391.0</v>
      </c>
      <c r="G517" s="1" t="s">
        <v>2231</v>
      </c>
      <c r="H517" s="1" t="s">
        <v>2232</v>
      </c>
      <c r="I517" s="8">
        <v>44833.425155219906</v>
      </c>
      <c r="J517" s="9">
        <f>+393508088099</f>
        <v>393508088099</v>
      </c>
      <c r="K517" s="4">
        <v>0.0</v>
      </c>
      <c r="L517" s="7">
        <v>0.0</v>
      </c>
      <c r="M517" s="1">
        <v>7.7373763E7</v>
      </c>
      <c r="N517" s="4">
        <v>0.0</v>
      </c>
      <c r="O517" s="4">
        <v>0.0</v>
      </c>
      <c r="P517" s="1" t="s">
        <v>39</v>
      </c>
      <c r="Q517" s="5" t="b">
        <v>1</v>
      </c>
      <c r="R517" s="5" t="b">
        <v>0</v>
      </c>
      <c r="S517" s="5" t="b">
        <v>0</v>
      </c>
      <c r="T517" s="4">
        <v>0.0</v>
      </c>
      <c r="U517" s="5" t="b">
        <v>0</v>
      </c>
      <c r="V517" s="11">
        <v>44893.0</v>
      </c>
      <c r="W517" s="11">
        <v>44893.0</v>
      </c>
    </row>
    <row r="518">
      <c r="A518" s="4">
        <v>5067150.0</v>
      </c>
      <c r="B518" s="5" t="b">
        <v>1</v>
      </c>
      <c r="C518" s="6" t="s">
        <v>2233</v>
      </c>
      <c r="D518" s="1" t="s">
        <v>2234</v>
      </c>
      <c r="E518" s="7">
        <v>2807835.0</v>
      </c>
      <c r="F518" s="7">
        <v>-166817.0</v>
      </c>
      <c r="G518" s="1" t="s">
        <v>2235</v>
      </c>
      <c r="H518" s="1" t="s">
        <v>2236</v>
      </c>
      <c r="I518" s="8">
        <v>44833.434188136576</v>
      </c>
      <c r="J518" s="9">
        <f>+35985880898</f>
        <v>35985880898</v>
      </c>
      <c r="K518" s="4">
        <v>0.0</v>
      </c>
      <c r="L518" s="7">
        <v>0.0</v>
      </c>
      <c r="M518" s="1" t="s">
        <v>2237</v>
      </c>
      <c r="N518" s="4">
        <v>0.0</v>
      </c>
      <c r="O518" s="4">
        <v>0.0</v>
      </c>
      <c r="P518" s="1" t="s">
        <v>28</v>
      </c>
      <c r="Q518" s="5" t="b">
        <v>1</v>
      </c>
      <c r="R518" s="5" t="b">
        <v>0</v>
      </c>
      <c r="S518" s="5" t="b">
        <v>0</v>
      </c>
      <c r="T518" s="4">
        <v>0.0</v>
      </c>
      <c r="U518" s="5" t="b">
        <v>0</v>
      </c>
      <c r="V518" s="10">
        <v>44877.0</v>
      </c>
      <c r="W518" s="10">
        <v>44900.0</v>
      </c>
    </row>
    <row r="519">
      <c r="A519" s="4">
        <v>506717.0</v>
      </c>
      <c r="B519" s="5" t="b">
        <v>1</v>
      </c>
      <c r="C519" s="6" t="s">
        <v>2238</v>
      </c>
      <c r="D519" s="1" t="s">
        <v>2239</v>
      </c>
      <c r="E519" s="7">
        <v>387668.0</v>
      </c>
      <c r="F519" s="7">
        <v>-915092.0</v>
      </c>
      <c r="G519" s="1" t="s">
        <v>321</v>
      </c>
      <c r="H519" s="1" t="s">
        <v>2240</v>
      </c>
      <c r="I519" s="8">
        <v>44833.451255451386</v>
      </c>
      <c r="J519" s="9">
        <f>+353993353835</f>
        <v>353993353835</v>
      </c>
      <c r="K519" s="4">
        <v>0.0</v>
      </c>
      <c r="L519" s="7">
        <v>0.0</v>
      </c>
      <c r="M519" s="1">
        <v>7.3363333E7</v>
      </c>
      <c r="N519" s="4">
        <v>0.0</v>
      </c>
      <c r="O519" s="4">
        <v>0.0</v>
      </c>
      <c r="P519" s="1" t="s">
        <v>28</v>
      </c>
      <c r="Q519" s="5" t="b">
        <v>1</v>
      </c>
      <c r="R519" s="5" t="b">
        <v>0</v>
      </c>
      <c r="S519" s="5" t="b">
        <v>1</v>
      </c>
      <c r="T519" s="4">
        <v>0.0</v>
      </c>
      <c r="U519" s="5" t="b">
        <v>0</v>
      </c>
      <c r="V519" s="10">
        <v>44900.0</v>
      </c>
      <c r="W519" s="10">
        <v>44897.0</v>
      </c>
    </row>
    <row r="520">
      <c r="A520" s="4">
        <v>506714.0</v>
      </c>
      <c r="B520" s="5" t="b">
        <v>1</v>
      </c>
      <c r="C520" s="6" t="s">
        <v>125</v>
      </c>
      <c r="D520" s="1" t="s">
        <v>126</v>
      </c>
      <c r="E520" s="7">
        <v>4138348.0</v>
      </c>
      <c r="F520" s="7">
        <v>2134609.0</v>
      </c>
      <c r="G520" s="1" t="s">
        <v>182</v>
      </c>
      <c r="H520" s="1" t="s">
        <v>2241</v>
      </c>
      <c r="I520" s="8">
        <v>44833.47185710648</v>
      </c>
      <c r="J520" s="8"/>
      <c r="K520" s="4">
        <v>0.0</v>
      </c>
      <c r="L520" s="7">
        <v>0.0</v>
      </c>
      <c r="M520" s="1" t="s">
        <v>2242</v>
      </c>
      <c r="N520" s="4">
        <v>0.0</v>
      </c>
      <c r="O520" s="4">
        <v>0.0</v>
      </c>
      <c r="P520" s="1" t="s">
        <v>33</v>
      </c>
      <c r="Q520" s="5" t="b">
        <v>1</v>
      </c>
      <c r="R520" s="5" t="b">
        <v>0</v>
      </c>
      <c r="S520" s="5" t="b">
        <v>0</v>
      </c>
      <c r="T520" s="4">
        <v>0.0</v>
      </c>
      <c r="U520" s="5" t="b">
        <v>1</v>
      </c>
      <c r="V520" s="10">
        <v>44894.0</v>
      </c>
      <c r="W520" s="10">
        <v>44891.0</v>
      </c>
    </row>
    <row r="521">
      <c r="A521" s="4">
        <v>506715.0</v>
      </c>
      <c r="B521" s="5" t="b">
        <v>1</v>
      </c>
      <c r="C521" s="6" t="s">
        <v>2243</v>
      </c>
      <c r="D521" s="1" t="s">
        <v>2244</v>
      </c>
      <c r="E521" s="7">
        <v>5360377.0</v>
      </c>
      <c r="F521" s="7">
        <v>1015451.0</v>
      </c>
      <c r="G521" s="1" t="s">
        <v>1331</v>
      </c>
      <c r="H521" s="1" t="s">
        <v>2245</v>
      </c>
      <c r="I521" s="8">
        <v>44833.47286039352</v>
      </c>
      <c r="J521" s="9">
        <f>+595093999958</f>
        <v>595093999958</v>
      </c>
      <c r="K521" s="4">
        <v>0.0</v>
      </c>
      <c r="L521" s="7">
        <v>0.0</v>
      </c>
      <c r="M521" s="9"/>
      <c r="N521" s="4">
        <v>0.0</v>
      </c>
      <c r="O521" s="4">
        <v>0.0</v>
      </c>
      <c r="P521" s="1" t="s">
        <v>39</v>
      </c>
      <c r="Q521" s="5" t="b">
        <v>1</v>
      </c>
      <c r="R521" s="5" t="b">
        <v>0</v>
      </c>
      <c r="S521" s="5" t="b">
        <v>0</v>
      </c>
      <c r="T521" s="4">
        <v>0.0</v>
      </c>
      <c r="U521" s="5" t="b">
        <v>0</v>
      </c>
      <c r="V521" s="11">
        <v>44887.0</v>
      </c>
      <c r="W521" s="10">
        <v>44900.0</v>
      </c>
    </row>
    <row r="522">
      <c r="A522" s="4">
        <v>506750.0</v>
      </c>
      <c r="B522" s="5" t="b">
        <v>1</v>
      </c>
      <c r="C522" s="6" t="s">
        <v>1801</v>
      </c>
      <c r="D522" s="1" t="s">
        <v>1802</v>
      </c>
      <c r="E522" s="7">
        <v>5347871.0</v>
      </c>
      <c r="F522" s="7">
        <v>-302616.0</v>
      </c>
      <c r="G522" s="1" t="s">
        <v>2246</v>
      </c>
      <c r="H522" s="1" t="s">
        <v>2247</v>
      </c>
      <c r="I522" s="8">
        <v>44833.4803428125</v>
      </c>
      <c r="J522" s="9">
        <f>+553398353998</f>
        <v>553398353998</v>
      </c>
      <c r="K522" s="4">
        <v>0.0</v>
      </c>
      <c r="L522" s="7">
        <v>0.0</v>
      </c>
      <c r="M522" s="9"/>
      <c r="N522" s="4">
        <v>0.0</v>
      </c>
      <c r="O522" s="4">
        <v>0.0</v>
      </c>
      <c r="P522" s="1" t="s">
        <v>33</v>
      </c>
      <c r="Q522" s="5" t="b">
        <v>1</v>
      </c>
      <c r="R522" s="5" t="b">
        <v>0</v>
      </c>
      <c r="S522" s="5" t="b">
        <v>0</v>
      </c>
      <c r="T522" s="4">
        <v>0.0</v>
      </c>
      <c r="U522" s="5" t="b">
        <v>0</v>
      </c>
      <c r="V522" s="11">
        <v>44885.0</v>
      </c>
      <c r="W522" s="11">
        <v>44887.0</v>
      </c>
    </row>
    <row r="523">
      <c r="A523" s="4">
        <v>506751.0</v>
      </c>
      <c r="B523" s="5" t="b">
        <v>1</v>
      </c>
      <c r="C523" s="6" t="s">
        <v>2248</v>
      </c>
      <c r="D523" s="1" t="s">
        <v>2249</v>
      </c>
      <c r="E523" s="7">
        <v>5223201.0</v>
      </c>
      <c r="F523" s="7">
        <v>5186033.0</v>
      </c>
      <c r="G523" s="1" t="s">
        <v>2250</v>
      </c>
      <c r="H523" s="1" t="s">
        <v>2251</v>
      </c>
      <c r="I523" s="8">
        <v>44833.48711822917</v>
      </c>
      <c r="J523" s="9">
        <f>+33938383389</f>
        <v>33938383389</v>
      </c>
      <c r="K523" s="4">
        <v>0.0</v>
      </c>
      <c r="L523" s="7">
        <v>0.0</v>
      </c>
      <c r="M523" s="1" t="s">
        <v>2252</v>
      </c>
      <c r="N523" s="4">
        <v>0.0</v>
      </c>
      <c r="O523" s="4">
        <v>0.0</v>
      </c>
      <c r="P523" s="1" t="s">
        <v>28</v>
      </c>
      <c r="Q523" s="5" t="b">
        <v>1</v>
      </c>
      <c r="R523" s="5" t="b">
        <v>0</v>
      </c>
      <c r="S523" s="5" t="b">
        <v>0</v>
      </c>
      <c r="T523" s="4">
        <v>0.0</v>
      </c>
      <c r="U523" s="5" t="b">
        <v>1</v>
      </c>
      <c r="V523" s="10">
        <v>44891.0</v>
      </c>
      <c r="W523" s="10">
        <v>44895.0</v>
      </c>
    </row>
    <row r="524">
      <c r="A524" s="4">
        <v>506755.0</v>
      </c>
      <c r="B524" s="5" t="b">
        <v>1</v>
      </c>
      <c r="C524" s="6" t="s">
        <v>2253</v>
      </c>
      <c r="D524" s="1" t="s">
        <v>2254</v>
      </c>
      <c r="E524" s="7">
        <v>4201382.0</v>
      </c>
      <c r="F524" s="7">
        <v>1236877.0</v>
      </c>
      <c r="G524" s="1" t="s">
        <v>25</v>
      </c>
      <c r="H524" s="1" t="s">
        <v>2255</v>
      </c>
      <c r="I524" s="8">
        <v>44833.50745075232</v>
      </c>
      <c r="J524" s="9">
        <f>+390930890355</f>
        <v>390930890355</v>
      </c>
      <c r="K524" s="4">
        <v>0.0</v>
      </c>
      <c r="L524" s="7">
        <v>0.0</v>
      </c>
      <c r="M524" s="1">
        <v>7.33333333E8</v>
      </c>
      <c r="N524" s="4">
        <v>0.0</v>
      </c>
      <c r="O524" s="4">
        <v>0.0</v>
      </c>
      <c r="P524" s="1" t="s">
        <v>33</v>
      </c>
      <c r="Q524" s="5" t="b">
        <v>1</v>
      </c>
      <c r="R524" s="5" t="b">
        <v>0</v>
      </c>
      <c r="S524" s="5" t="b">
        <v>0</v>
      </c>
      <c r="T524" s="4">
        <v>0.0</v>
      </c>
      <c r="U524" s="5" t="b">
        <v>0</v>
      </c>
      <c r="V524" s="10">
        <v>44900.0</v>
      </c>
      <c r="W524" s="10">
        <v>44896.0</v>
      </c>
    </row>
    <row r="525">
      <c r="A525" s="4">
        <v>5067550.0</v>
      </c>
      <c r="B525" s="5" t="b">
        <v>1</v>
      </c>
      <c r="C525" s="6" t="s">
        <v>1994</v>
      </c>
      <c r="D525" s="1" t="s">
        <v>1995</v>
      </c>
      <c r="E525" s="7">
        <v>4715573.0</v>
      </c>
      <c r="F525" s="7">
        <v>6570534.0</v>
      </c>
      <c r="G525" s="1" t="s">
        <v>2256</v>
      </c>
      <c r="H525" s="1" t="s">
        <v>2257</v>
      </c>
      <c r="I525" s="8">
        <v>44833.52189975695</v>
      </c>
      <c r="J525" s="9">
        <f>+33938859338</f>
        <v>33938859338</v>
      </c>
      <c r="K525" s="4">
        <v>0.0</v>
      </c>
      <c r="L525" s="7">
        <v>0.0</v>
      </c>
      <c r="M525" s="1" t="s">
        <v>2258</v>
      </c>
      <c r="N525" s="4">
        <v>0.0</v>
      </c>
      <c r="O525" s="4">
        <v>0.0</v>
      </c>
      <c r="P525" s="1" t="s">
        <v>28</v>
      </c>
      <c r="Q525" s="5" t="b">
        <v>1</v>
      </c>
      <c r="R525" s="5" t="b">
        <v>0</v>
      </c>
      <c r="S525" s="5" t="b">
        <v>0</v>
      </c>
      <c r="T525" s="4">
        <v>0.0</v>
      </c>
      <c r="U525" s="5" t="b">
        <v>0</v>
      </c>
      <c r="V525" s="10">
        <v>44887.0</v>
      </c>
      <c r="W525" s="10">
        <v>44894.0</v>
      </c>
    </row>
    <row r="526">
      <c r="A526" s="4">
        <v>506754.0</v>
      </c>
      <c r="B526" s="5" t="b">
        <v>1</v>
      </c>
      <c r="C526" s="6" t="s">
        <v>2259</v>
      </c>
      <c r="D526" s="1" t="s">
        <v>2260</v>
      </c>
      <c r="E526" s="7">
        <v>5307907.0</v>
      </c>
      <c r="F526" s="7">
        <v>8801995.0</v>
      </c>
      <c r="G526" s="1" t="s">
        <v>2261</v>
      </c>
      <c r="H526" s="1" t="s">
        <v>2262</v>
      </c>
      <c r="I526" s="8">
        <v>44833.52478259259</v>
      </c>
      <c r="J526" s="9">
        <f>+5958359955990</f>
        <v>5958359955990</v>
      </c>
      <c r="K526" s="4">
        <v>0.0</v>
      </c>
      <c r="L526" s="7">
        <v>0.0</v>
      </c>
      <c r="M526" s="9"/>
      <c r="N526" s="4">
        <v>0.0</v>
      </c>
      <c r="O526" s="4">
        <v>0.0</v>
      </c>
      <c r="P526" s="1" t="s">
        <v>28</v>
      </c>
      <c r="Q526" s="5" t="b">
        <v>0</v>
      </c>
      <c r="R526" s="5" t="b">
        <v>1</v>
      </c>
      <c r="S526" s="5" t="b">
        <v>0</v>
      </c>
      <c r="T526" s="4">
        <v>0.0</v>
      </c>
      <c r="U526" s="5" t="b">
        <v>0</v>
      </c>
      <c r="V526" s="11">
        <v>44889.0</v>
      </c>
      <c r="W526" s="11">
        <v>44881.0</v>
      </c>
    </row>
    <row r="527">
      <c r="A527" s="4">
        <v>5067530.0</v>
      </c>
      <c r="B527" s="5" t="b">
        <v>1</v>
      </c>
      <c r="C527" s="6" t="s">
        <v>2263</v>
      </c>
      <c r="D527" s="1" t="s">
        <v>2264</v>
      </c>
      <c r="E527" s="7">
        <v>4621293.0</v>
      </c>
      <c r="F527" s="7">
        <v>1108943.0</v>
      </c>
      <c r="G527" s="1" t="s">
        <v>2265</v>
      </c>
      <c r="H527" s="1" t="s">
        <v>2266</v>
      </c>
      <c r="I527" s="8">
        <v>44833.527910972225</v>
      </c>
      <c r="J527" s="9">
        <f>+393899083938</f>
        <v>393899083938</v>
      </c>
      <c r="K527" s="4">
        <v>0.0</v>
      </c>
      <c r="L527" s="7">
        <v>0.0</v>
      </c>
      <c r="M527" s="9"/>
      <c r="N527" s="4">
        <v>0.0</v>
      </c>
      <c r="O527" s="4">
        <v>0.0</v>
      </c>
      <c r="P527" s="1" t="s">
        <v>33</v>
      </c>
      <c r="Q527" s="5" t="b">
        <v>0</v>
      </c>
      <c r="R527" s="5" t="b">
        <v>0</v>
      </c>
      <c r="S527" s="5" t="b">
        <v>0</v>
      </c>
      <c r="T527" s="4">
        <v>0.0</v>
      </c>
      <c r="U527" s="5" t="b">
        <v>0</v>
      </c>
      <c r="V527" s="10">
        <v>44892.0</v>
      </c>
      <c r="W527" s="10">
        <v>44890.0</v>
      </c>
    </row>
    <row r="528">
      <c r="A528" s="4">
        <v>506756.0</v>
      </c>
      <c r="B528" s="5" t="b">
        <v>1</v>
      </c>
      <c r="C528" s="6" t="s">
        <v>2267</v>
      </c>
      <c r="D528" s="1" t="s">
        <v>2268</v>
      </c>
      <c r="E528" s="7">
        <v>3824228.0</v>
      </c>
      <c r="F528" s="7">
        <v>2173922.0</v>
      </c>
      <c r="G528" s="1" t="s">
        <v>2269</v>
      </c>
      <c r="H528" s="1" t="s">
        <v>2270</v>
      </c>
      <c r="I528" s="8">
        <v>44833.53212412037</v>
      </c>
      <c r="J528" s="9">
        <f>+308933830355</f>
        <v>308933830355</v>
      </c>
      <c r="K528" s="4">
        <v>0.0</v>
      </c>
      <c r="L528" s="7">
        <v>0.0</v>
      </c>
      <c r="M528" s="1">
        <v>677.0</v>
      </c>
      <c r="N528" s="4">
        <v>0.0</v>
      </c>
      <c r="O528" s="4">
        <v>0.0</v>
      </c>
      <c r="P528" s="1" t="s">
        <v>28</v>
      </c>
      <c r="Q528" s="5" t="b">
        <v>1</v>
      </c>
      <c r="R528" s="5" t="b">
        <v>0</v>
      </c>
      <c r="S528" s="5" t="b">
        <v>1</v>
      </c>
      <c r="T528" s="4">
        <v>0.0</v>
      </c>
      <c r="U528" s="5" t="b">
        <v>0</v>
      </c>
      <c r="V528" s="10">
        <v>44884.0</v>
      </c>
      <c r="W528" s="10">
        <v>44878.0</v>
      </c>
    </row>
    <row r="529">
      <c r="A529" s="4">
        <v>506757.0</v>
      </c>
      <c r="B529" s="5" t="b">
        <v>1</v>
      </c>
      <c r="C529" s="6" t="s">
        <v>2271</v>
      </c>
      <c r="D529" s="1" t="s">
        <v>2272</v>
      </c>
      <c r="E529" s="7">
        <v>3802881.0</v>
      </c>
      <c r="F529" s="7">
        <v>-138651.0</v>
      </c>
      <c r="G529" s="1" t="s">
        <v>2273</v>
      </c>
      <c r="H529" s="1" t="s">
        <v>2274</v>
      </c>
      <c r="I529" s="8">
        <v>44833.53267324074</v>
      </c>
      <c r="J529" s="9">
        <f>+35993939508</f>
        <v>35993939508</v>
      </c>
      <c r="K529" s="4">
        <v>0.0</v>
      </c>
      <c r="L529" s="7">
        <v>0.0</v>
      </c>
      <c r="M529" s="1" t="s">
        <v>2275</v>
      </c>
      <c r="N529" s="4">
        <v>0.0</v>
      </c>
      <c r="O529" s="4">
        <v>0.0</v>
      </c>
      <c r="P529" s="1" t="s">
        <v>33</v>
      </c>
      <c r="Q529" s="5" t="b">
        <v>1</v>
      </c>
      <c r="R529" s="5" t="b">
        <v>0</v>
      </c>
      <c r="S529" s="5" t="b">
        <v>1</v>
      </c>
      <c r="T529" s="4">
        <v>0.0</v>
      </c>
      <c r="U529" s="5" t="b">
        <v>0</v>
      </c>
      <c r="V529" s="10">
        <v>44903.0</v>
      </c>
      <c r="W529" s="10">
        <v>44885.0</v>
      </c>
    </row>
    <row r="530">
      <c r="A530" s="4">
        <v>506754.0</v>
      </c>
      <c r="B530" s="5" t="b">
        <v>1</v>
      </c>
      <c r="C530" s="6" t="s">
        <v>2276</v>
      </c>
      <c r="D530" s="1" t="s">
        <v>2277</v>
      </c>
      <c r="E530" s="7">
        <v>4824081.0</v>
      </c>
      <c r="F530" s="7">
        <v>1643211.0</v>
      </c>
      <c r="G530" s="1" t="s">
        <v>1599</v>
      </c>
      <c r="H530" s="1" t="s">
        <v>2278</v>
      </c>
      <c r="I530" s="8">
        <v>44833.53677518519</v>
      </c>
      <c r="J530" s="9">
        <f>+539903508588</f>
        <v>539903508588</v>
      </c>
      <c r="K530" s="4">
        <v>0.0</v>
      </c>
      <c r="L530" s="7">
        <v>0.0</v>
      </c>
      <c r="M530" s="9"/>
      <c r="N530" s="4">
        <v>0.0</v>
      </c>
      <c r="O530" s="4">
        <v>0.0</v>
      </c>
      <c r="P530" s="1" t="s">
        <v>33</v>
      </c>
      <c r="Q530" s="5" t="b">
        <v>1</v>
      </c>
      <c r="R530" s="5" t="b">
        <v>0</v>
      </c>
      <c r="S530" s="5" t="b">
        <v>0</v>
      </c>
      <c r="T530" s="4">
        <v>0.0</v>
      </c>
      <c r="U530" s="5" t="b">
        <v>0</v>
      </c>
      <c r="V530" s="10">
        <v>44899.0</v>
      </c>
      <c r="W530" s="11">
        <v>44887.0</v>
      </c>
    </row>
    <row r="531">
      <c r="A531" s="4">
        <v>506755.0</v>
      </c>
      <c r="B531" s="5" t="b">
        <v>1</v>
      </c>
      <c r="C531" s="6" t="s">
        <v>2279</v>
      </c>
      <c r="D531" s="1" t="s">
        <v>2280</v>
      </c>
      <c r="E531" s="7">
        <v>4275519.0</v>
      </c>
      <c r="F531" s="7">
        <v>1111178.0</v>
      </c>
      <c r="G531" s="1" t="s">
        <v>2281</v>
      </c>
      <c r="H531" s="1" t="s">
        <v>2282</v>
      </c>
      <c r="I531" s="8">
        <v>44833.5487093287</v>
      </c>
      <c r="J531" s="9">
        <f>+39059588589</f>
        <v>39059588589</v>
      </c>
      <c r="K531" s="4">
        <v>0.0</v>
      </c>
      <c r="L531" s="7">
        <v>0.0</v>
      </c>
      <c r="M531" s="1">
        <v>7.36363373E8</v>
      </c>
      <c r="N531" s="4">
        <v>0.0</v>
      </c>
      <c r="O531" s="4">
        <v>0.0</v>
      </c>
      <c r="P531" s="1" t="s">
        <v>33</v>
      </c>
      <c r="Q531" s="5" t="b">
        <v>1</v>
      </c>
      <c r="R531" s="5" t="b">
        <v>0</v>
      </c>
      <c r="S531" s="5" t="b">
        <v>0</v>
      </c>
      <c r="T531" s="4">
        <v>0.0</v>
      </c>
      <c r="U531" s="5" t="b">
        <v>0</v>
      </c>
      <c r="V531" s="11">
        <v>44886.0</v>
      </c>
      <c r="W531" s="11">
        <v>44887.0</v>
      </c>
    </row>
    <row r="532">
      <c r="A532" s="4">
        <v>5067500.0</v>
      </c>
      <c r="B532" s="5" t="b">
        <v>1</v>
      </c>
      <c r="C532" s="6" t="s">
        <v>2283</v>
      </c>
      <c r="D532" s="1" t="s">
        <v>2284</v>
      </c>
      <c r="E532" s="7">
        <v>5150845.0</v>
      </c>
      <c r="F532" s="7">
        <v>-33522.0</v>
      </c>
      <c r="G532" s="1" t="s">
        <v>1367</v>
      </c>
      <c r="H532" s="1" t="s">
        <v>2285</v>
      </c>
      <c r="I532" s="8">
        <v>44833.54882615741</v>
      </c>
      <c r="J532" s="9">
        <f>+553580358950</f>
        <v>553580358950</v>
      </c>
      <c r="K532" s="4">
        <v>0.0</v>
      </c>
      <c r="L532" s="7">
        <v>0.0</v>
      </c>
      <c r="M532" s="1" t="s">
        <v>2286</v>
      </c>
      <c r="N532" s="4">
        <v>0.0</v>
      </c>
      <c r="O532" s="4">
        <v>0.0</v>
      </c>
      <c r="P532" s="1" t="s">
        <v>39</v>
      </c>
      <c r="Q532" s="5" t="b">
        <v>0</v>
      </c>
      <c r="R532" s="5" t="b">
        <v>1</v>
      </c>
      <c r="S532" s="5" t="b">
        <v>1</v>
      </c>
      <c r="T532" s="4">
        <v>0.0</v>
      </c>
      <c r="U532" s="5" t="b">
        <v>0</v>
      </c>
      <c r="V532" s="11">
        <v>44880.0</v>
      </c>
      <c r="W532" s="11">
        <v>44878.0</v>
      </c>
    </row>
    <row r="533">
      <c r="A533" s="4">
        <v>5067501.0</v>
      </c>
      <c r="B533" s="5" t="b">
        <v>1</v>
      </c>
      <c r="C533" s="6" t="s">
        <v>2287</v>
      </c>
      <c r="D533" s="1" t="s">
        <v>2288</v>
      </c>
      <c r="E533" s="7">
        <v>4117861.0</v>
      </c>
      <c r="F533" s="7">
        <v>-838731.0</v>
      </c>
      <c r="G533" s="1" t="s">
        <v>2289</v>
      </c>
      <c r="H533" s="1" t="s">
        <v>2290</v>
      </c>
      <c r="I533" s="8">
        <v>44833.56138416666</v>
      </c>
      <c r="J533" s="9">
        <f>+353885355335</f>
        <v>353885355335</v>
      </c>
      <c r="K533" s="4">
        <v>0.0</v>
      </c>
      <c r="L533" s="7">
        <v>0.0</v>
      </c>
      <c r="M533" s="1">
        <v>3.36336673E8</v>
      </c>
      <c r="N533" s="4">
        <v>0.0</v>
      </c>
      <c r="O533" s="4">
        <v>0.0</v>
      </c>
      <c r="P533" s="1" t="s">
        <v>33</v>
      </c>
      <c r="Q533" s="5" t="b">
        <v>1</v>
      </c>
      <c r="R533" s="5" t="b">
        <v>0</v>
      </c>
      <c r="S533" s="5" t="b">
        <v>0</v>
      </c>
      <c r="T533" s="4">
        <v>0.0</v>
      </c>
      <c r="U533" s="5" t="b">
        <v>0</v>
      </c>
      <c r="V533" s="11">
        <v>44894.0</v>
      </c>
      <c r="W533" s="11">
        <v>44884.0</v>
      </c>
    </row>
    <row r="534">
      <c r="A534" s="4">
        <v>5067505.0</v>
      </c>
      <c r="B534" s="5" t="b">
        <v>1</v>
      </c>
      <c r="C534" s="6" t="s">
        <v>2291</v>
      </c>
      <c r="D534" s="1" t="s">
        <v>2292</v>
      </c>
      <c r="E534" s="7">
        <v>418953.0</v>
      </c>
      <c r="F534" s="7">
        <v>1256602.0</v>
      </c>
      <c r="G534" s="1" t="s">
        <v>25</v>
      </c>
      <c r="H534" s="1" t="s">
        <v>2293</v>
      </c>
      <c r="I534" s="8">
        <v>44833.568594895834</v>
      </c>
      <c r="J534" s="9">
        <f>+393538309535</f>
        <v>393538309535</v>
      </c>
      <c r="K534" s="4">
        <v>0.0</v>
      </c>
      <c r="L534" s="7">
        <v>0.0</v>
      </c>
      <c r="M534" s="1">
        <v>6.373673337E9</v>
      </c>
      <c r="N534" s="4">
        <v>0.0</v>
      </c>
      <c r="O534" s="4">
        <v>0.0</v>
      </c>
      <c r="P534" s="1" t="s">
        <v>39</v>
      </c>
      <c r="Q534" s="5" t="b">
        <v>1</v>
      </c>
      <c r="R534" s="5" t="b">
        <v>0</v>
      </c>
      <c r="S534" s="5" t="b">
        <v>1</v>
      </c>
      <c r="T534" s="4">
        <v>0.0</v>
      </c>
      <c r="U534" s="5" t="b">
        <v>0</v>
      </c>
      <c r="V534" s="10">
        <v>44903.0</v>
      </c>
      <c r="W534" s="11">
        <v>44892.0</v>
      </c>
    </row>
    <row r="535">
      <c r="A535" s="4">
        <v>5.067505E7</v>
      </c>
      <c r="B535" s="5" t="b">
        <v>1</v>
      </c>
      <c r="C535" s="6" t="s">
        <v>2294</v>
      </c>
      <c r="D535" s="1" t="s">
        <v>2295</v>
      </c>
      <c r="E535" s="7">
        <v>4811223.0</v>
      </c>
      <c r="F535" s="7">
        <v>1157027.0</v>
      </c>
      <c r="G535" s="1" t="s">
        <v>2296</v>
      </c>
      <c r="H535" s="1" t="s">
        <v>2297</v>
      </c>
      <c r="I535" s="8">
        <v>44833.56917732639</v>
      </c>
      <c r="J535" s="8"/>
      <c r="K535" s="4">
        <v>0.0</v>
      </c>
      <c r="L535" s="7">
        <v>0.0</v>
      </c>
      <c r="M535" s="9"/>
      <c r="N535" s="4">
        <v>0.0</v>
      </c>
      <c r="O535" s="4">
        <v>0.0</v>
      </c>
      <c r="P535" s="1" t="s">
        <v>33</v>
      </c>
      <c r="Q535" s="5" t="b">
        <v>0</v>
      </c>
      <c r="R535" s="5" t="b">
        <v>0</v>
      </c>
      <c r="S535" s="5" t="b">
        <v>0</v>
      </c>
      <c r="T535" s="4">
        <v>0.0</v>
      </c>
      <c r="U535" s="5" t="b">
        <v>0</v>
      </c>
      <c r="V535" s="10">
        <v>44900.0</v>
      </c>
      <c r="W535" s="11">
        <v>44877.0</v>
      </c>
    </row>
    <row r="536">
      <c r="A536" s="4">
        <v>5067504.0</v>
      </c>
      <c r="B536" s="5" t="b">
        <v>1</v>
      </c>
      <c r="C536" s="6" t="s">
        <v>1684</v>
      </c>
      <c r="D536" s="1" t="s">
        <v>1685</v>
      </c>
      <c r="E536" s="7">
        <v>4548612.0</v>
      </c>
      <c r="F536" s="7">
        <v>9217382.0</v>
      </c>
      <c r="G536" s="1" t="s">
        <v>37</v>
      </c>
      <c r="H536" s="1" t="s">
        <v>2298</v>
      </c>
      <c r="I536" s="8">
        <v>44833.57484990741</v>
      </c>
      <c r="J536" s="9">
        <f>+39089305899</f>
        <v>39089305899</v>
      </c>
      <c r="K536" s="4">
        <v>0.0</v>
      </c>
      <c r="L536" s="7">
        <v>0.0</v>
      </c>
      <c r="M536" s="1">
        <v>7.336733766E9</v>
      </c>
      <c r="N536" s="4">
        <v>0.0</v>
      </c>
      <c r="O536" s="4">
        <v>0.0</v>
      </c>
      <c r="P536" s="1" t="s">
        <v>39</v>
      </c>
      <c r="Q536" s="5" t="b">
        <v>1</v>
      </c>
      <c r="R536" s="5" t="b">
        <v>0</v>
      </c>
      <c r="S536" s="5" t="b">
        <v>0</v>
      </c>
      <c r="T536" s="4">
        <v>0.0</v>
      </c>
      <c r="U536" s="5" t="b">
        <v>0</v>
      </c>
      <c r="V536" s="11">
        <v>44888.0</v>
      </c>
      <c r="W536" s="11">
        <v>44877.0</v>
      </c>
    </row>
    <row r="537">
      <c r="A537" s="4">
        <v>5.067503E7</v>
      </c>
      <c r="B537" s="5" t="b">
        <v>1</v>
      </c>
      <c r="C537" s="6" t="s">
        <v>2299</v>
      </c>
      <c r="D537" s="1" t="s">
        <v>2300</v>
      </c>
      <c r="E537" s="7">
        <v>4448598.0</v>
      </c>
      <c r="F537" s="7">
        <v>1133939.0</v>
      </c>
      <c r="G537" s="1" t="s">
        <v>1575</v>
      </c>
      <c r="H537" s="1" t="s">
        <v>2301</v>
      </c>
      <c r="I537" s="8">
        <v>44833.57893033565</v>
      </c>
      <c r="J537" s="9">
        <f>+393359553533</f>
        <v>393359553533</v>
      </c>
      <c r="K537" s="4">
        <v>0.0</v>
      </c>
      <c r="L537" s="7">
        <v>0.0</v>
      </c>
      <c r="M537" s="1">
        <v>7.333333333E9</v>
      </c>
      <c r="N537" s="4">
        <v>0.0</v>
      </c>
      <c r="O537" s="4">
        <v>0.0</v>
      </c>
      <c r="P537" s="1" t="s">
        <v>28</v>
      </c>
      <c r="Q537" s="5" t="b">
        <v>1</v>
      </c>
      <c r="R537" s="5" t="b">
        <v>0</v>
      </c>
      <c r="S537" s="5" t="b">
        <v>0</v>
      </c>
      <c r="T537" s="4">
        <v>0.0</v>
      </c>
      <c r="U537" s="5" t="b">
        <v>0</v>
      </c>
      <c r="V537" s="10">
        <v>44897.0</v>
      </c>
      <c r="W537" s="11">
        <v>44892.0</v>
      </c>
    </row>
    <row r="538">
      <c r="A538" s="4">
        <v>5067506.0</v>
      </c>
      <c r="B538" s="5" t="b">
        <v>1</v>
      </c>
      <c r="C538" s="6" t="s">
        <v>2302</v>
      </c>
      <c r="D538" s="1" t="s">
        <v>2303</v>
      </c>
      <c r="E538" s="7">
        <v>4907515.0</v>
      </c>
      <c r="F538" s="7">
        <v>4144174.0</v>
      </c>
      <c r="G538" s="1" t="s">
        <v>2304</v>
      </c>
      <c r="H538" s="1" t="s">
        <v>2305</v>
      </c>
      <c r="I538" s="8">
        <v>44833.58004847222</v>
      </c>
      <c r="J538" s="9">
        <f>+33983393993</f>
        <v>33983393993</v>
      </c>
      <c r="K538" s="4">
        <v>0.0</v>
      </c>
      <c r="L538" s="7">
        <v>0.0</v>
      </c>
      <c r="M538" s="9"/>
      <c r="N538" s="4">
        <v>0.0</v>
      </c>
      <c r="O538" s="4">
        <v>0.0</v>
      </c>
      <c r="P538" s="1" t="s">
        <v>33</v>
      </c>
      <c r="Q538" s="5" t="b">
        <v>1</v>
      </c>
      <c r="R538" s="5" t="b">
        <v>0</v>
      </c>
      <c r="S538" s="5" t="b">
        <v>0</v>
      </c>
      <c r="T538" s="4">
        <v>0.0</v>
      </c>
      <c r="U538" s="5" t="b">
        <v>0</v>
      </c>
      <c r="V538" s="10">
        <v>44901.0</v>
      </c>
      <c r="W538" s="10">
        <v>44896.0</v>
      </c>
    </row>
    <row r="539">
      <c r="A539" s="4">
        <v>5067507.0</v>
      </c>
      <c r="B539" s="5" t="b">
        <v>1</v>
      </c>
      <c r="C539" s="6" t="s">
        <v>2306</v>
      </c>
      <c r="D539" s="1" t="s">
        <v>2307</v>
      </c>
      <c r="E539" s="7">
        <v>4544495.0</v>
      </c>
      <c r="F539" s="7">
        <v>9129196.0</v>
      </c>
      <c r="G539" s="1" t="s">
        <v>37</v>
      </c>
      <c r="H539" s="1" t="s">
        <v>2308</v>
      </c>
      <c r="I539" s="8">
        <v>44833.60725609954</v>
      </c>
      <c r="J539" s="9">
        <f>+393333893859</f>
        <v>393333893859</v>
      </c>
      <c r="K539" s="4">
        <v>0.0</v>
      </c>
      <c r="L539" s="7">
        <v>0.0</v>
      </c>
      <c r="M539" s="1">
        <v>7.736363763E9</v>
      </c>
      <c r="N539" s="4">
        <v>0.0</v>
      </c>
      <c r="O539" s="4">
        <v>0.0</v>
      </c>
      <c r="P539" s="1" t="s">
        <v>28</v>
      </c>
      <c r="Q539" s="5" t="b">
        <v>1</v>
      </c>
      <c r="R539" s="5" t="b">
        <v>0</v>
      </c>
      <c r="S539" s="5" t="b">
        <v>0</v>
      </c>
      <c r="T539" s="4">
        <v>0.0</v>
      </c>
      <c r="U539" s="5" t="b">
        <v>0</v>
      </c>
      <c r="V539" s="11">
        <v>44891.0</v>
      </c>
      <c r="W539" s="11">
        <v>44891.0</v>
      </c>
    </row>
    <row r="540">
      <c r="A540" s="4">
        <v>5067504.0</v>
      </c>
      <c r="B540" s="5" t="b">
        <v>1</v>
      </c>
      <c r="C540" s="6" t="s">
        <v>2309</v>
      </c>
      <c r="D540" s="1" t="s">
        <v>2310</v>
      </c>
      <c r="E540" s="7">
        <v>4372371.0</v>
      </c>
      <c r="F540" s="7">
        <v>4025746.0</v>
      </c>
      <c r="G540" s="1" t="s">
        <v>2311</v>
      </c>
      <c r="H540" s="1" t="s">
        <v>2312</v>
      </c>
      <c r="I540" s="8">
        <v>44833.62094820602</v>
      </c>
      <c r="J540" s="9">
        <f>+33909353803</f>
        <v>33909353803</v>
      </c>
      <c r="K540" s="4">
        <v>0.0</v>
      </c>
      <c r="L540" s="7">
        <v>0.0</v>
      </c>
      <c r="M540" s="1" t="s">
        <v>2313</v>
      </c>
      <c r="N540" s="4">
        <v>0.0</v>
      </c>
      <c r="O540" s="4">
        <v>0.0</v>
      </c>
      <c r="P540" s="1" t="s">
        <v>39</v>
      </c>
      <c r="Q540" s="5" t="b">
        <v>1</v>
      </c>
      <c r="R540" s="5" t="b">
        <v>0</v>
      </c>
      <c r="S540" s="5" t="b">
        <v>0</v>
      </c>
      <c r="T540" s="4">
        <v>0.0</v>
      </c>
      <c r="U540" s="5" t="b">
        <v>0</v>
      </c>
      <c r="V540" s="10">
        <v>44895.0</v>
      </c>
      <c r="W540" s="10">
        <v>44888.0</v>
      </c>
    </row>
    <row r="541">
      <c r="A541" s="4">
        <v>5067505.0</v>
      </c>
      <c r="B541" s="5" t="b">
        <v>1</v>
      </c>
      <c r="C541" s="6" t="s">
        <v>2108</v>
      </c>
      <c r="D541" s="1" t="s">
        <v>2109</v>
      </c>
      <c r="E541" s="7">
        <v>3940958.0</v>
      </c>
      <c r="F541" s="7">
        <v>-913934.0</v>
      </c>
      <c r="G541" s="1" t="s">
        <v>2314</v>
      </c>
      <c r="H541" s="1" t="s">
        <v>2315</v>
      </c>
      <c r="I541" s="8">
        <v>44833.63754335648</v>
      </c>
      <c r="J541" s="9">
        <f>+353933998938</f>
        <v>353933998938</v>
      </c>
      <c r="K541" s="4">
        <v>0.0</v>
      </c>
      <c r="L541" s="7">
        <v>0.0</v>
      </c>
      <c r="M541" s="1">
        <v>7.3367337E7</v>
      </c>
      <c r="N541" s="4">
        <v>0.0</v>
      </c>
      <c r="O541" s="4">
        <v>0.0</v>
      </c>
      <c r="P541" s="1" t="s">
        <v>33</v>
      </c>
      <c r="Q541" s="5" t="b">
        <v>1</v>
      </c>
      <c r="R541" s="5" t="b">
        <v>0</v>
      </c>
      <c r="S541" s="5" t="b">
        <v>0</v>
      </c>
      <c r="T541" s="4">
        <v>0.0</v>
      </c>
      <c r="U541" s="5" t="b">
        <v>0</v>
      </c>
      <c r="V541" s="10">
        <v>44902.0</v>
      </c>
      <c r="W541" s="10">
        <v>44897.0</v>
      </c>
    </row>
    <row r="542">
      <c r="A542" s="4">
        <v>506740.0</v>
      </c>
      <c r="B542" s="5" t="b">
        <v>1</v>
      </c>
      <c r="C542" s="6" t="s">
        <v>2316</v>
      </c>
      <c r="D542" s="1" t="s">
        <v>2317</v>
      </c>
      <c r="E542" s="7">
        <v>5469155.0</v>
      </c>
      <c r="F542" s="7">
        <v>2528503.0</v>
      </c>
      <c r="G542" s="1" t="s">
        <v>1746</v>
      </c>
      <c r="H542" s="1" t="s">
        <v>2318</v>
      </c>
      <c r="I542" s="8">
        <v>44833.6452709375</v>
      </c>
      <c r="J542" s="9">
        <f>+33093988399</f>
        <v>33093988399</v>
      </c>
      <c r="K542" s="4">
        <v>0.0</v>
      </c>
      <c r="L542" s="7">
        <v>0.0</v>
      </c>
      <c r="M542" s="9"/>
      <c r="N542" s="4">
        <v>0.0</v>
      </c>
      <c r="O542" s="4">
        <v>0.0</v>
      </c>
      <c r="P542" s="1" t="s">
        <v>39</v>
      </c>
      <c r="Q542" s="5" t="b">
        <v>1</v>
      </c>
      <c r="R542" s="5" t="b">
        <v>0</v>
      </c>
      <c r="S542" s="5" t="b">
        <v>0</v>
      </c>
      <c r="T542" s="4">
        <v>0.0</v>
      </c>
      <c r="U542" s="5" t="b">
        <v>0</v>
      </c>
      <c r="V542" s="10">
        <v>44899.0</v>
      </c>
      <c r="W542" s="10">
        <v>44899.0</v>
      </c>
    </row>
    <row r="543">
      <c r="A543" s="4">
        <v>506741.0</v>
      </c>
      <c r="B543" s="5" t="b">
        <v>1</v>
      </c>
      <c r="C543" s="6" t="s">
        <v>2319</v>
      </c>
      <c r="D543" s="1" t="s">
        <v>2320</v>
      </c>
      <c r="E543" s="7">
        <v>4543871.0</v>
      </c>
      <c r="F543" s="7">
        <v>1176411.0</v>
      </c>
      <c r="G543" s="1" t="s">
        <v>2321</v>
      </c>
      <c r="H543" s="1" t="s">
        <v>2322</v>
      </c>
      <c r="I543" s="8">
        <v>44833.65243596065</v>
      </c>
      <c r="J543" s="8"/>
      <c r="K543" s="4">
        <v>0.0</v>
      </c>
      <c r="L543" s="7">
        <v>0.0</v>
      </c>
      <c r="M543" s="1">
        <v>3.337733333E9</v>
      </c>
      <c r="N543" s="4">
        <v>0.0</v>
      </c>
      <c r="O543" s="4">
        <v>0.0</v>
      </c>
      <c r="P543" s="1" t="s">
        <v>39</v>
      </c>
      <c r="Q543" s="5" t="b">
        <v>1</v>
      </c>
      <c r="R543" s="5" t="b">
        <v>0</v>
      </c>
      <c r="S543" s="5" t="b">
        <v>0</v>
      </c>
      <c r="T543" s="4">
        <v>0.0</v>
      </c>
      <c r="U543" s="5" t="b">
        <v>0</v>
      </c>
      <c r="V543" s="11">
        <v>44881.0</v>
      </c>
      <c r="W543" s="11">
        <v>44893.0</v>
      </c>
    </row>
    <row r="544">
      <c r="A544" s="4">
        <v>506745.0</v>
      </c>
      <c r="B544" s="5" t="b">
        <v>1</v>
      </c>
      <c r="C544" s="6" t="s">
        <v>463</v>
      </c>
      <c r="D544" s="1" t="s">
        <v>464</v>
      </c>
      <c r="E544" s="7">
        <v>5245837.0</v>
      </c>
      <c r="F544" s="7">
        <v>133241.0</v>
      </c>
      <c r="G544" s="1" t="s">
        <v>1524</v>
      </c>
      <c r="H544" s="1" t="s">
        <v>2323</v>
      </c>
      <c r="I544" s="8">
        <v>44833.653460416666</v>
      </c>
      <c r="J544" s="9">
        <f>+593388080033</f>
        <v>593388080033</v>
      </c>
      <c r="K544" s="4">
        <v>0.0</v>
      </c>
      <c r="L544" s="7">
        <v>0.0</v>
      </c>
      <c r="M544" s="9"/>
      <c r="N544" s="4">
        <v>0.0</v>
      </c>
      <c r="O544" s="4">
        <v>0.0</v>
      </c>
      <c r="P544" s="1" t="s">
        <v>28</v>
      </c>
      <c r="Q544" s="5" t="b">
        <v>1</v>
      </c>
      <c r="R544" s="5" t="b">
        <v>0</v>
      </c>
      <c r="S544" s="5" t="b">
        <v>1</v>
      </c>
      <c r="T544" s="4">
        <v>0.0</v>
      </c>
      <c r="U544" s="5" t="b">
        <v>0</v>
      </c>
      <c r="V544" s="11">
        <v>44884.0</v>
      </c>
      <c r="W544" s="10">
        <v>44901.0</v>
      </c>
    </row>
    <row r="545">
      <c r="A545" s="4">
        <v>5067450.0</v>
      </c>
      <c r="B545" s="5" t="b">
        <v>1</v>
      </c>
      <c r="C545" s="6" t="s">
        <v>2324</v>
      </c>
      <c r="D545" s="1" t="s">
        <v>2325</v>
      </c>
      <c r="E545" s="7">
        <v>4495967.0</v>
      </c>
      <c r="F545" s="7">
        <v>7601545.0</v>
      </c>
      <c r="G545" s="1" t="s">
        <v>2326</v>
      </c>
      <c r="H545" s="1" t="s">
        <v>2327</v>
      </c>
      <c r="I545" s="8">
        <v>44833.653962303244</v>
      </c>
      <c r="J545" s="9">
        <f>+393859930333</f>
        <v>393859930333</v>
      </c>
      <c r="K545" s="4">
        <v>0.0</v>
      </c>
      <c r="L545" s="7">
        <v>0.0</v>
      </c>
      <c r="M545" s="1">
        <v>3.63333333E8</v>
      </c>
      <c r="N545" s="4">
        <v>0.0</v>
      </c>
      <c r="O545" s="4">
        <v>0.0</v>
      </c>
      <c r="P545" s="1" t="s">
        <v>39</v>
      </c>
      <c r="Q545" s="5" t="b">
        <v>1</v>
      </c>
      <c r="R545" s="5" t="b">
        <v>0</v>
      </c>
      <c r="S545" s="5" t="b">
        <v>0</v>
      </c>
      <c r="T545" s="4">
        <v>0.0</v>
      </c>
      <c r="U545" s="5" t="b">
        <v>0</v>
      </c>
      <c r="V545" s="11">
        <v>44878.0</v>
      </c>
      <c r="W545" s="11">
        <v>44879.0</v>
      </c>
    </row>
    <row r="546">
      <c r="A546" s="4">
        <v>506744.0</v>
      </c>
      <c r="B546" s="5" t="b">
        <v>1</v>
      </c>
      <c r="C546" s="6" t="s">
        <v>2328</v>
      </c>
      <c r="D546" s="1" t="s">
        <v>2329</v>
      </c>
      <c r="E546" s="7">
        <v>4886751.0</v>
      </c>
      <c r="F546" s="7">
        <v>2373101.0</v>
      </c>
      <c r="G546" s="1" t="s">
        <v>365</v>
      </c>
      <c r="H546" s="1" t="s">
        <v>2330</v>
      </c>
      <c r="I546" s="8">
        <v>44833.66029954861</v>
      </c>
      <c r="J546" s="9">
        <f>+33959539888</f>
        <v>33959539888</v>
      </c>
      <c r="K546" s="4">
        <v>0.0</v>
      </c>
      <c r="L546" s="7">
        <v>0.0</v>
      </c>
      <c r="M546" s="1" t="s">
        <v>2331</v>
      </c>
      <c r="N546" s="4">
        <v>0.0</v>
      </c>
      <c r="O546" s="4">
        <v>0.0</v>
      </c>
      <c r="P546" s="1" t="s">
        <v>33</v>
      </c>
      <c r="Q546" s="5" t="b">
        <v>1</v>
      </c>
      <c r="R546" s="5" t="b">
        <v>0</v>
      </c>
      <c r="S546" s="5" t="b">
        <v>0</v>
      </c>
      <c r="T546" s="4">
        <v>0.0</v>
      </c>
      <c r="U546" s="5" t="b">
        <v>0</v>
      </c>
      <c r="V546" s="11">
        <v>44887.0</v>
      </c>
      <c r="W546" s="11">
        <v>44895.0</v>
      </c>
    </row>
    <row r="547">
      <c r="A547" s="4">
        <v>5067430.0</v>
      </c>
      <c r="B547" s="5" t="b">
        <v>1</v>
      </c>
      <c r="C547" s="6" t="s">
        <v>2332</v>
      </c>
      <c r="D547" s="1" t="s">
        <v>2333</v>
      </c>
      <c r="E547" s="7">
        <v>5470726.0</v>
      </c>
      <c r="F547" s="7">
        <v>2517276.0</v>
      </c>
      <c r="G547" s="1" t="s">
        <v>1746</v>
      </c>
      <c r="H547" s="1" t="s">
        <v>2334</v>
      </c>
      <c r="I547" s="8">
        <v>44833.668972314816</v>
      </c>
      <c r="J547" s="9">
        <f>+33090893088</f>
        <v>33090893088</v>
      </c>
      <c r="K547" s="4">
        <v>0.0</v>
      </c>
      <c r="L547" s="7">
        <v>0.0</v>
      </c>
      <c r="M547" s="9"/>
      <c r="N547" s="4">
        <v>0.0</v>
      </c>
      <c r="O547" s="4">
        <v>0.0</v>
      </c>
      <c r="P547" s="1" t="s">
        <v>39</v>
      </c>
      <c r="Q547" s="5" t="b">
        <v>1</v>
      </c>
      <c r="R547" s="5" t="b">
        <v>0</v>
      </c>
      <c r="S547" s="5" t="b">
        <v>0</v>
      </c>
      <c r="T547" s="4">
        <v>0.0</v>
      </c>
      <c r="U547" s="5" t="b">
        <v>0</v>
      </c>
      <c r="V547" s="11">
        <v>44880.0</v>
      </c>
      <c r="W547" s="11">
        <v>44879.0</v>
      </c>
    </row>
    <row r="548">
      <c r="A548" s="4">
        <v>506746.0</v>
      </c>
      <c r="B548" s="5" t="b">
        <v>1</v>
      </c>
      <c r="C548" s="6" t="s">
        <v>2335</v>
      </c>
      <c r="D548" s="1" t="s">
        <v>2336</v>
      </c>
      <c r="E548" s="7">
        <v>5160293.0</v>
      </c>
      <c r="F548" s="7">
        <v>-27061.0</v>
      </c>
      <c r="G548" s="1" t="s">
        <v>2337</v>
      </c>
      <c r="H548" s="1" t="s">
        <v>2338</v>
      </c>
      <c r="I548" s="8">
        <v>44833.67497921296</v>
      </c>
      <c r="J548" s="9">
        <f>+553888033958</f>
        <v>553888033958</v>
      </c>
      <c r="K548" s="4">
        <v>0.0</v>
      </c>
      <c r="L548" s="7">
        <v>0.0</v>
      </c>
      <c r="M548" s="9"/>
      <c r="N548" s="4">
        <v>0.0</v>
      </c>
      <c r="O548" s="4">
        <v>0.0</v>
      </c>
      <c r="P548" s="1" t="s">
        <v>28</v>
      </c>
      <c r="Q548" s="5" t="b">
        <v>1</v>
      </c>
      <c r="R548" s="5" t="b">
        <v>0</v>
      </c>
      <c r="S548" s="5" t="b">
        <v>0</v>
      </c>
      <c r="T548" s="4">
        <v>0.0</v>
      </c>
      <c r="U548" s="5" t="b">
        <v>0</v>
      </c>
      <c r="V548" s="10">
        <v>44897.0</v>
      </c>
      <c r="W548" s="11">
        <v>44881.0</v>
      </c>
    </row>
    <row r="549">
      <c r="A549" s="4">
        <v>506747.0</v>
      </c>
      <c r="B549" s="5" t="b">
        <v>0</v>
      </c>
      <c r="C549" s="6" t="s">
        <v>2339</v>
      </c>
      <c r="D549" s="1" t="s">
        <v>2340</v>
      </c>
      <c r="E549" s="7">
        <v>4582468.0</v>
      </c>
      <c r="F549" s="7">
        <v>8813603.0</v>
      </c>
      <c r="G549" s="1" t="s">
        <v>2341</v>
      </c>
      <c r="H549" s="1" t="s">
        <v>2342</v>
      </c>
      <c r="I549" s="8">
        <v>44833.71049111111</v>
      </c>
      <c r="J549" s="9">
        <f>+393338839350</f>
        <v>393338839350</v>
      </c>
      <c r="K549" s="4">
        <v>0.0</v>
      </c>
      <c r="L549" s="7">
        <v>0.0</v>
      </c>
      <c r="M549" s="9"/>
      <c r="N549" s="4">
        <v>0.0</v>
      </c>
      <c r="O549" s="4">
        <v>0.0</v>
      </c>
      <c r="P549" s="1" t="s">
        <v>28</v>
      </c>
      <c r="Q549" s="5" t="b">
        <v>0</v>
      </c>
      <c r="R549" s="5" t="b">
        <v>0</v>
      </c>
      <c r="S549" s="5" t="b">
        <v>0</v>
      </c>
      <c r="T549" s="4">
        <v>0.0</v>
      </c>
      <c r="U549" s="5" t="b">
        <v>0</v>
      </c>
      <c r="V549" s="10">
        <v>44897.0</v>
      </c>
      <c r="W549" s="10">
        <v>44896.0</v>
      </c>
    </row>
    <row r="550">
      <c r="A550" s="4">
        <v>506744.0</v>
      </c>
      <c r="B550" s="5" t="b">
        <v>0</v>
      </c>
      <c r="C550" s="6" t="s">
        <v>658</v>
      </c>
      <c r="D550" s="1" t="s">
        <v>659</v>
      </c>
      <c r="E550" s="7">
        <v>4545295.0</v>
      </c>
      <c r="F550" s="7">
        <v>9150467.0</v>
      </c>
      <c r="G550" s="1" t="s">
        <v>37</v>
      </c>
      <c r="H550" s="1" t="s">
        <v>2343</v>
      </c>
      <c r="I550" s="8">
        <v>44833.71544221065</v>
      </c>
      <c r="J550" s="9">
        <f>+393889999885</f>
        <v>393889999885</v>
      </c>
      <c r="K550" s="4">
        <v>0.0</v>
      </c>
      <c r="L550" s="7">
        <v>0.0</v>
      </c>
      <c r="M550" s="9"/>
      <c r="N550" s="4">
        <v>0.0</v>
      </c>
      <c r="O550" s="4">
        <v>0.0</v>
      </c>
      <c r="P550" s="1" t="s">
        <v>28</v>
      </c>
      <c r="Q550" s="5" t="b">
        <v>0</v>
      </c>
      <c r="R550" s="5" t="b">
        <v>0</v>
      </c>
      <c r="S550" s="5" t="b">
        <v>0</v>
      </c>
      <c r="T550" s="4">
        <v>0.0</v>
      </c>
      <c r="U550" s="5" t="b">
        <v>0</v>
      </c>
      <c r="V550" s="10">
        <v>44898.0</v>
      </c>
      <c r="W550" s="11">
        <v>44887.0</v>
      </c>
    </row>
    <row r="551">
      <c r="A551" s="4"/>
      <c r="B551" s="5"/>
      <c r="C551" s="6"/>
      <c r="D551" s="1"/>
      <c r="E551" s="7"/>
      <c r="F551" s="7"/>
      <c r="G551" s="1"/>
      <c r="H551" s="1"/>
      <c r="I551" s="8"/>
      <c r="J551" s="9"/>
      <c r="K551" s="4"/>
      <c r="L551" s="7"/>
      <c r="M551" s="1"/>
      <c r="N551" s="4"/>
      <c r="O551" s="4"/>
      <c r="P551" s="1"/>
      <c r="Q551" s="5"/>
      <c r="R551" s="5"/>
      <c r="S551" s="5"/>
      <c r="T551" s="4"/>
      <c r="U551" s="5"/>
      <c r="V551" s="12"/>
      <c r="W551" s="12"/>
    </row>
    <row r="552">
      <c r="A552" s="4"/>
      <c r="B552" s="5"/>
      <c r="C552" s="1"/>
      <c r="D552" s="1"/>
      <c r="E552" s="7"/>
      <c r="F552" s="7"/>
      <c r="G552" s="1"/>
      <c r="H552" s="1"/>
      <c r="I552" s="8"/>
      <c r="J552" s="9"/>
      <c r="K552" s="4"/>
      <c r="L552" s="7"/>
      <c r="M552" s="1"/>
      <c r="N552" s="4"/>
      <c r="O552" s="4"/>
      <c r="P552" s="1"/>
      <c r="Q552" s="5"/>
      <c r="R552" s="5"/>
      <c r="S552" s="5"/>
      <c r="T552" s="4"/>
      <c r="U552" s="5"/>
      <c r="V552" s="12"/>
      <c r="W552" s="12"/>
    </row>
  </sheetData>
  <autoFilter ref="$A$1:$W$552">
    <sortState ref="A1:W552">
      <sortCondition ref="I1:I55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4" max="4" width="21.25"/>
  </cols>
  <sheetData>
    <row r="1">
      <c r="A1" s="13" t="s">
        <v>0</v>
      </c>
      <c r="B1" s="13" t="s">
        <v>2344</v>
      </c>
      <c r="C1" s="13" t="s">
        <v>6</v>
      </c>
      <c r="D1" s="13" t="s">
        <v>7</v>
      </c>
    </row>
    <row r="2">
      <c r="A2" s="4">
        <v>530.0</v>
      </c>
      <c r="B2" s="4">
        <v>130382.0</v>
      </c>
      <c r="C2" s="1" t="s">
        <v>25</v>
      </c>
      <c r="D2" s="1" t="s">
        <v>26</v>
      </c>
    </row>
    <row r="3">
      <c r="A3" s="4">
        <v>570.0</v>
      </c>
      <c r="B3" s="4">
        <v>129748.0</v>
      </c>
      <c r="C3" s="1" t="s">
        <v>25</v>
      </c>
      <c r="D3" s="1" t="s">
        <v>32</v>
      </c>
    </row>
    <row r="4">
      <c r="A4" s="4">
        <v>5047.0</v>
      </c>
      <c r="B4" s="4">
        <v>56227.0</v>
      </c>
      <c r="C4" s="1" t="s">
        <v>37</v>
      </c>
      <c r="D4" s="1" t="s">
        <v>38</v>
      </c>
    </row>
    <row r="5">
      <c r="A5" s="4">
        <v>4530.0</v>
      </c>
      <c r="B5" s="4">
        <v>25027.0</v>
      </c>
      <c r="C5" s="1" t="s">
        <v>25</v>
      </c>
      <c r="D5" s="1" t="s">
        <v>43</v>
      </c>
    </row>
    <row r="6">
      <c r="A6" s="4">
        <v>655.0</v>
      </c>
      <c r="B6" s="4">
        <v>70784.0</v>
      </c>
      <c r="C6" s="1" t="s">
        <v>25</v>
      </c>
      <c r="D6" s="1" t="s">
        <v>47</v>
      </c>
    </row>
    <row r="7">
      <c r="A7" s="4">
        <v>767.0</v>
      </c>
      <c r="B7" s="4">
        <v>54365.0</v>
      </c>
      <c r="C7" s="1" t="s">
        <v>50</v>
      </c>
      <c r="D7" s="1" t="s">
        <v>51</v>
      </c>
    </row>
    <row r="8">
      <c r="A8" s="4">
        <v>550304.0</v>
      </c>
      <c r="B8" s="4">
        <v>1835.0</v>
      </c>
      <c r="C8" s="1" t="s">
        <v>54</v>
      </c>
      <c r="D8" s="1" t="s">
        <v>55</v>
      </c>
    </row>
    <row r="9">
      <c r="A9" s="4">
        <v>530505.0</v>
      </c>
      <c r="B9" s="4">
        <v>3488.0</v>
      </c>
      <c r="C9" s="1" t="s">
        <v>58</v>
      </c>
      <c r="D9" s="1" t="s">
        <v>59</v>
      </c>
    </row>
    <row r="10">
      <c r="A10" s="4">
        <v>103050.0</v>
      </c>
      <c r="B10" s="4">
        <v>83570.0</v>
      </c>
      <c r="C10" s="1" t="s">
        <v>37</v>
      </c>
      <c r="D10" s="1" t="s">
        <v>63</v>
      </c>
    </row>
    <row r="11">
      <c r="A11" s="4">
        <v>1104.0</v>
      </c>
      <c r="B11" s="4">
        <v>0.0</v>
      </c>
      <c r="C11" s="1" t="s">
        <v>67</v>
      </c>
      <c r="D11" s="1" t="s">
        <v>68</v>
      </c>
    </row>
    <row r="12">
      <c r="A12" s="4">
        <v>1140.0</v>
      </c>
      <c r="B12" s="4">
        <v>0.0</v>
      </c>
      <c r="C12" s="1" t="s">
        <v>71</v>
      </c>
      <c r="D12" s="1" t="s">
        <v>72</v>
      </c>
    </row>
    <row r="13">
      <c r="A13" s="4">
        <v>150530.0</v>
      </c>
      <c r="B13" s="4">
        <v>10771.0</v>
      </c>
      <c r="C13" s="1" t="s">
        <v>76</v>
      </c>
      <c r="D13" s="1" t="s">
        <v>77</v>
      </c>
    </row>
    <row r="14">
      <c r="A14" s="4">
        <v>1445.0</v>
      </c>
      <c r="B14" s="4">
        <v>0.0</v>
      </c>
      <c r="C14" s="1" t="s">
        <v>81</v>
      </c>
      <c r="D14" s="1" t="s">
        <v>82</v>
      </c>
    </row>
    <row r="15">
      <c r="A15" s="4">
        <v>13055.0</v>
      </c>
      <c r="B15" s="4">
        <v>0.0</v>
      </c>
      <c r="C15" s="1" t="s">
        <v>86</v>
      </c>
      <c r="D15" s="1" t="s">
        <v>87</v>
      </c>
    </row>
    <row r="16">
      <c r="A16" s="4">
        <v>1605.0</v>
      </c>
      <c r="B16" s="4">
        <v>13512.0</v>
      </c>
      <c r="C16" s="1" t="s">
        <v>25</v>
      </c>
      <c r="D16" s="1" t="s">
        <v>91</v>
      </c>
    </row>
    <row r="17">
      <c r="A17" s="4">
        <v>1701.0</v>
      </c>
      <c r="B17" s="4">
        <v>0.0</v>
      </c>
      <c r="C17" s="1" t="s">
        <v>94</v>
      </c>
      <c r="D17" s="1" t="s">
        <v>95</v>
      </c>
    </row>
    <row r="18">
      <c r="A18" s="4">
        <v>1775.0</v>
      </c>
      <c r="B18" s="4">
        <v>0.0</v>
      </c>
      <c r="C18" s="1" t="s">
        <v>100</v>
      </c>
      <c r="D18" s="1" t="s">
        <v>101</v>
      </c>
    </row>
    <row r="19">
      <c r="A19" s="4">
        <v>14504.0</v>
      </c>
      <c r="B19" s="4">
        <v>0.0</v>
      </c>
      <c r="C19" s="1" t="s">
        <v>76</v>
      </c>
      <c r="D19" s="1" t="s">
        <v>105</v>
      </c>
    </row>
    <row r="20">
      <c r="A20" s="4">
        <v>1450.0</v>
      </c>
      <c r="B20" s="4">
        <v>0.0</v>
      </c>
      <c r="C20" s="1" t="s">
        <v>109</v>
      </c>
      <c r="D20" s="1" t="s">
        <v>110</v>
      </c>
    </row>
    <row r="21">
      <c r="A21" s="4">
        <v>1514.0</v>
      </c>
      <c r="B21" s="4">
        <v>0.0</v>
      </c>
      <c r="C21" s="1" t="s">
        <v>115</v>
      </c>
      <c r="D21" s="1" t="s">
        <v>116</v>
      </c>
    </row>
    <row r="22">
      <c r="A22" s="4">
        <v>5051.0</v>
      </c>
      <c r="B22" s="4">
        <v>0.0</v>
      </c>
      <c r="C22" s="1" t="s">
        <v>121</v>
      </c>
      <c r="D22" s="1" t="s">
        <v>122</v>
      </c>
    </row>
    <row r="23">
      <c r="A23" s="4">
        <v>55150.0</v>
      </c>
      <c r="B23" s="4">
        <v>0.0</v>
      </c>
      <c r="C23" s="1" t="s">
        <v>127</v>
      </c>
      <c r="D23" s="1" t="s">
        <v>128</v>
      </c>
    </row>
    <row r="24">
      <c r="A24" s="4">
        <v>55506.0</v>
      </c>
      <c r="B24" s="4">
        <v>0.0</v>
      </c>
      <c r="C24" s="1" t="s">
        <v>133</v>
      </c>
      <c r="D24" s="1" t="s">
        <v>134</v>
      </c>
    </row>
    <row r="25">
      <c r="A25" s="4">
        <v>5544.0</v>
      </c>
      <c r="B25" s="4">
        <v>17.0</v>
      </c>
      <c r="C25" s="1" t="s">
        <v>139</v>
      </c>
      <c r="D25" s="1" t="s">
        <v>140</v>
      </c>
    </row>
    <row r="26">
      <c r="A26" s="4">
        <v>54550.0</v>
      </c>
      <c r="B26" s="4">
        <v>78065.0</v>
      </c>
      <c r="C26" s="1" t="s">
        <v>143</v>
      </c>
      <c r="D26" s="1" t="s">
        <v>144</v>
      </c>
    </row>
    <row r="27">
      <c r="A27" s="4">
        <v>56750.0</v>
      </c>
      <c r="B27" s="4">
        <v>3205.0</v>
      </c>
      <c r="C27" s="1" t="s">
        <v>37</v>
      </c>
      <c r="D27" s="1" t="s">
        <v>148</v>
      </c>
    </row>
    <row r="28">
      <c r="A28" s="4">
        <v>5764.0</v>
      </c>
      <c r="B28" s="4">
        <v>0.0</v>
      </c>
      <c r="C28" s="1" t="s">
        <v>152</v>
      </c>
      <c r="D28" s="1" t="s">
        <v>153</v>
      </c>
    </row>
    <row r="29">
      <c r="A29" s="4">
        <v>54505.0</v>
      </c>
      <c r="B29" s="4">
        <v>11040.0</v>
      </c>
      <c r="C29" s="1" t="s">
        <v>157</v>
      </c>
      <c r="D29" s="1" t="s">
        <v>158</v>
      </c>
    </row>
    <row r="30">
      <c r="A30" s="4">
        <v>55630.0</v>
      </c>
      <c r="B30" s="4">
        <v>10104.0</v>
      </c>
      <c r="C30" s="1" t="s">
        <v>162</v>
      </c>
      <c r="D30" s="1" t="s">
        <v>163</v>
      </c>
    </row>
    <row r="31">
      <c r="A31" s="4">
        <v>500450.0</v>
      </c>
      <c r="B31" s="4">
        <v>42234.0</v>
      </c>
      <c r="C31" s="1" t="s">
        <v>168</v>
      </c>
      <c r="D31" s="1" t="s">
        <v>169</v>
      </c>
    </row>
    <row r="32">
      <c r="A32" s="4">
        <v>50445.0</v>
      </c>
      <c r="B32" s="4">
        <v>19832.0</v>
      </c>
      <c r="C32" s="1" t="s">
        <v>25</v>
      </c>
      <c r="D32" s="1" t="s">
        <v>173</v>
      </c>
    </row>
    <row r="33">
      <c r="A33" s="4">
        <v>430450.0</v>
      </c>
      <c r="B33" s="4">
        <v>25614.0</v>
      </c>
      <c r="C33" s="1" t="s">
        <v>177</v>
      </c>
      <c r="D33" s="1" t="s">
        <v>178</v>
      </c>
    </row>
    <row r="34">
      <c r="A34" s="4">
        <v>3030501.0</v>
      </c>
      <c r="B34" s="4">
        <v>81.0</v>
      </c>
      <c r="C34" s="1" t="s">
        <v>182</v>
      </c>
      <c r="D34" s="1" t="s">
        <v>183</v>
      </c>
    </row>
    <row r="35">
      <c r="A35" s="4">
        <v>306507.0</v>
      </c>
      <c r="B35" s="4">
        <v>15.0</v>
      </c>
      <c r="C35" s="1" t="s">
        <v>189</v>
      </c>
      <c r="D35" s="1" t="s">
        <v>190</v>
      </c>
    </row>
    <row r="36">
      <c r="A36" s="4">
        <v>6617.0</v>
      </c>
      <c r="B36" s="4">
        <v>48.0</v>
      </c>
      <c r="C36" s="1" t="s">
        <v>195</v>
      </c>
      <c r="D36" s="1" t="s">
        <v>196</v>
      </c>
    </row>
    <row r="37">
      <c r="A37" s="4">
        <v>6456.0</v>
      </c>
      <c r="B37" s="4">
        <v>40.0</v>
      </c>
      <c r="C37" s="1" t="s">
        <v>195</v>
      </c>
      <c r="D37" s="1" t="s">
        <v>201</v>
      </c>
    </row>
    <row r="38">
      <c r="A38" s="4">
        <v>7146.0</v>
      </c>
      <c r="B38" s="4">
        <v>8811.0</v>
      </c>
      <c r="C38" s="1" t="s">
        <v>205</v>
      </c>
      <c r="D38" s="1" t="s">
        <v>206</v>
      </c>
    </row>
    <row r="39">
      <c r="A39" s="4">
        <v>7605.0</v>
      </c>
      <c r="B39" s="4">
        <v>28.0</v>
      </c>
      <c r="C39" s="1" t="s">
        <v>210</v>
      </c>
      <c r="D39" s="1" t="s">
        <v>211</v>
      </c>
    </row>
    <row r="40">
      <c r="A40" s="4">
        <v>7757.0</v>
      </c>
      <c r="B40" s="4">
        <v>8.0</v>
      </c>
      <c r="C40" s="1" t="s">
        <v>182</v>
      </c>
      <c r="D40" s="1" t="s">
        <v>216</v>
      </c>
    </row>
    <row r="41">
      <c r="A41" s="4">
        <v>40430.0</v>
      </c>
      <c r="B41" s="4">
        <v>2766.0</v>
      </c>
      <c r="C41" s="1" t="s">
        <v>220</v>
      </c>
      <c r="D41" s="1" t="s">
        <v>221</v>
      </c>
    </row>
    <row r="42">
      <c r="A42" s="4">
        <v>41504.0</v>
      </c>
      <c r="B42" s="4">
        <v>12187.0</v>
      </c>
      <c r="C42" s="1" t="s">
        <v>25</v>
      </c>
      <c r="D42" s="1" t="s">
        <v>224</v>
      </c>
    </row>
    <row r="43">
      <c r="A43" s="4">
        <v>5565.0</v>
      </c>
      <c r="B43" s="4">
        <v>23437.0</v>
      </c>
      <c r="C43" s="1" t="s">
        <v>228</v>
      </c>
      <c r="D43" s="1" t="s">
        <v>229</v>
      </c>
    </row>
    <row r="44">
      <c r="A44" s="4">
        <v>105505.0</v>
      </c>
      <c r="B44" s="4">
        <v>128.0</v>
      </c>
      <c r="C44" s="1" t="s">
        <v>232</v>
      </c>
      <c r="D44" s="1" t="s">
        <v>233</v>
      </c>
    </row>
    <row r="45">
      <c r="A45" s="4">
        <v>10545.0</v>
      </c>
      <c r="B45" s="4">
        <v>32913.0</v>
      </c>
      <c r="C45" s="1" t="s">
        <v>236</v>
      </c>
      <c r="D45" s="1" t="s">
        <v>237</v>
      </c>
    </row>
    <row r="46">
      <c r="A46" s="4">
        <v>1050430.0</v>
      </c>
      <c r="B46" s="4">
        <v>266.0</v>
      </c>
      <c r="C46" s="1" t="s">
        <v>37</v>
      </c>
      <c r="D46" s="1" t="s">
        <v>240</v>
      </c>
    </row>
    <row r="47">
      <c r="A47" s="4">
        <v>11061.0</v>
      </c>
      <c r="B47" s="4">
        <v>16534.0</v>
      </c>
      <c r="C47" s="1" t="s">
        <v>244</v>
      </c>
      <c r="D47" s="1" t="s">
        <v>245</v>
      </c>
    </row>
    <row r="48">
      <c r="A48" s="4">
        <v>115045.0</v>
      </c>
      <c r="B48" s="4">
        <v>13040.0</v>
      </c>
      <c r="C48" s="1" t="s">
        <v>249</v>
      </c>
      <c r="D48" s="1" t="s">
        <v>250</v>
      </c>
    </row>
    <row r="49">
      <c r="A49" s="4">
        <v>150514.0</v>
      </c>
      <c r="B49" s="4">
        <v>14275.0</v>
      </c>
      <c r="C49" s="1" t="s">
        <v>37</v>
      </c>
      <c r="D49" s="1" t="s">
        <v>255</v>
      </c>
    </row>
    <row r="50">
      <c r="A50" s="4">
        <v>150571.0</v>
      </c>
      <c r="B50" s="4">
        <v>55801.0</v>
      </c>
      <c r="C50" s="1" t="s">
        <v>258</v>
      </c>
      <c r="D50" s="1" t="s">
        <v>259</v>
      </c>
    </row>
    <row r="51">
      <c r="A51" s="4">
        <v>1.506303E7</v>
      </c>
      <c r="B51" s="4">
        <v>15837.0</v>
      </c>
      <c r="C51" s="1" t="s">
        <v>25</v>
      </c>
      <c r="D51" s="1" t="s">
        <v>264</v>
      </c>
    </row>
    <row r="52">
      <c r="A52" s="4">
        <v>145004.0</v>
      </c>
      <c r="B52" s="4">
        <v>20065.0</v>
      </c>
      <c r="C52" s="1" t="s">
        <v>269</v>
      </c>
      <c r="D52" s="1" t="s">
        <v>270</v>
      </c>
    </row>
    <row r="53">
      <c r="A53" s="4">
        <v>1450307.0</v>
      </c>
      <c r="B53" s="4">
        <v>7057.0</v>
      </c>
      <c r="C53" s="1" t="s">
        <v>274</v>
      </c>
      <c r="D53" s="1" t="s">
        <v>275</v>
      </c>
    </row>
    <row r="54">
      <c r="A54" s="4">
        <v>14405.0</v>
      </c>
      <c r="B54" s="4">
        <v>14612.0</v>
      </c>
      <c r="C54" s="1" t="s">
        <v>280</v>
      </c>
      <c r="D54" s="1" t="s">
        <v>281</v>
      </c>
    </row>
    <row r="55">
      <c r="A55" s="4">
        <v>143001.0</v>
      </c>
      <c r="B55" s="4">
        <v>6589.0</v>
      </c>
      <c r="C55" s="1" t="s">
        <v>285</v>
      </c>
      <c r="D55" s="1" t="s">
        <v>286</v>
      </c>
    </row>
    <row r="56">
      <c r="A56" s="4">
        <v>144550.0</v>
      </c>
      <c r="B56" s="4">
        <v>517.0</v>
      </c>
      <c r="C56" s="1" t="s">
        <v>195</v>
      </c>
      <c r="D56" s="1" t="s">
        <v>290</v>
      </c>
    </row>
    <row r="57">
      <c r="A57" s="4">
        <v>144305.0</v>
      </c>
      <c r="B57" s="4">
        <v>14988.0</v>
      </c>
      <c r="C57" s="1" t="s">
        <v>295</v>
      </c>
      <c r="D57" s="1" t="s">
        <v>296</v>
      </c>
    </row>
    <row r="58">
      <c r="A58" s="4">
        <v>14515.0</v>
      </c>
      <c r="B58" s="4">
        <v>13965.0</v>
      </c>
      <c r="C58" s="1" t="s">
        <v>300</v>
      </c>
      <c r="D58" s="1" t="s">
        <v>301</v>
      </c>
    </row>
    <row r="59">
      <c r="A59" s="4">
        <v>145307.0</v>
      </c>
      <c r="B59" s="4">
        <v>9598.0</v>
      </c>
      <c r="C59" s="1" t="s">
        <v>305</v>
      </c>
      <c r="D59" s="1" t="s">
        <v>306</v>
      </c>
    </row>
    <row r="60">
      <c r="A60" s="4">
        <v>130515.0</v>
      </c>
      <c r="B60" s="4">
        <v>8356.0</v>
      </c>
      <c r="C60" s="1" t="s">
        <v>311</v>
      </c>
      <c r="D60" s="1" t="s">
        <v>312</v>
      </c>
    </row>
    <row r="61">
      <c r="A61" s="4">
        <v>1305030.0</v>
      </c>
      <c r="B61" s="4">
        <v>6732.0</v>
      </c>
      <c r="C61" s="1" t="s">
        <v>315</v>
      </c>
      <c r="D61" s="1" t="s">
        <v>316</v>
      </c>
    </row>
    <row r="62">
      <c r="A62" s="4">
        <v>16040.0</v>
      </c>
      <c r="B62" s="4">
        <v>5841.0</v>
      </c>
      <c r="C62" s="1" t="s">
        <v>321</v>
      </c>
      <c r="D62" s="1" t="s">
        <v>322</v>
      </c>
    </row>
    <row r="63">
      <c r="A63" s="4">
        <v>16041.0</v>
      </c>
      <c r="B63" s="4">
        <v>38097.0</v>
      </c>
      <c r="C63" s="1" t="s">
        <v>326</v>
      </c>
      <c r="D63" s="1" t="s">
        <v>327</v>
      </c>
    </row>
    <row r="64">
      <c r="A64" s="4">
        <v>16064.0</v>
      </c>
      <c r="B64" s="4">
        <v>27247.0</v>
      </c>
      <c r="C64" s="1" t="s">
        <v>330</v>
      </c>
      <c r="D64" s="1" t="s">
        <v>331</v>
      </c>
    </row>
    <row r="65">
      <c r="A65" s="4">
        <v>16144.0</v>
      </c>
      <c r="B65" s="4">
        <v>9240.0</v>
      </c>
      <c r="C65" s="1" t="s">
        <v>334</v>
      </c>
      <c r="D65" s="1" t="s">
        <v>335</v>
      </c>
    </row>
    <row r="66">
      <c r="A66" s="4">
        <v>161430.0</v>
      </c>
      <c r="B66" s="4">
        <v>16982.0</v>
      </c>
      <c r="C66" s="1" t="s">
        <v>339</v>
      </c>
      <c r="D66" s="1" t="s">
        <v>340</v>
      </c>
    </row>
    <row r="67">
      <c r="A67" s="4">
        <v>1613030.0</v>
      </c>
      <c r="B67" s="4">
        <v>23654.0</v>
      </c>
      <c r="C67" s="1" t="s">
        <v>343</v>
      </c>
      <c r="D67" s="1" t="s">
        <v>344</v>
      </c>
    </row>
    <row r="68">
      <c r="A68" s="4">
        <v>165074.0</v>
      </c>
      <c r="B68" s="4">
        <v>13286.0</v>
      </c>
      <c r="C68" s="1" t="s">
        <v>348</v>
      </c>
      <c r="D68" s="1" t="s">
        <v>349</v>
      </c>
    </row>
    <row r="69">
      <c r="A69" s="4">
        <v>1650550.0</v>
      </c>
      <c r="B69" s="4">
        <v>18161.0</v>
      </c>
      <c r="C69" s="1" t="s">
        <v>352</v>
      </c>
      <c r="D69" s="1" t="s">
        <v>353</v>
      </c>
    </row>
    <row r="70">
      <c r="A70" s="4">
        <v>16740.0</v>
      </c>
      <c r="B70" s="4">
        <v>3475.0</v>
      </c>
      <c r="C70" s="1" t="s">
        <v>285</v>
      </c>
      <c r="D70" s="1" t="s">
        <v>357</v>
      </c>
    </row>
    <row r="71">
      <c r="A71" s="4">
        <v>16765.0</v>
      </c>
      <c r="B71" s="4">
        <v>8529.0</v>
      </c>
      <c r="C71" s="1" t="s">
        <v>54</v>
      </c>
      <c r="D71" s="1" t="s">
        <v>361</v>
      </c>
    </row>
    <row r="72">
      <c r="A72" s="4">
        <v>17665.0</v>
      </c>
      <c r="B72" s="4">
        <v>38.0</v>
      </c>
      <c r="C72" s="1" t="s">
        <v>365</v>
      </c>
      <c r="D72" s="1" t="s">
        <v>366</v>
      </c>
    </row>
    <row r="73">
      <c r="A73" s="4">
        <v>14044.0</v>
      </c>
      <c r="B73" s="4">
        <v>76.0</v>
      </c>
      <c r="C73" s="1" t="s">
        <v>370</v>
      </c>
      <c r="D73" s="1" t="s">
        <v>371</v>
      </c>
    </row>
    <row r="74">
      <c r="A74" s="4">
        <v>14155.0</v>
      </c>
      <c r="B74" s="4">
        <v>7633.0</v>
      </c>
      <c r="C74" s="1" t="s">
        <v>37</v>
      </c>
      <c r="D74" s="1" t="s">
        <v>374</v>
      </c>
    </row>
    <row r="75">
      <c r="A75" s="4">
        <v>145004.0</v>
      </c>
      <c r="B75" s="4">
        <v>17438.0</v>
      </c>
      <c r="C75" s="1" t="s">
        <v>378</v>
      </c>
      <c r="D75" s="1" t="s">
        <v>379</v>
      </c>
    </row>
    <row r="76">
      <c r="A76" s="4">
        <v>145056.0</v>
      </c>
      <c r="B76" s="4">
        <v>6160.0</v>
      </c>
      <c r="C76" s="1" t="s">
        <v>383</v>
      </c>
      <c r="D76" s="1" t="s">
        <v>384</v>
      </c>
    </row>
    <row r="77">
      <c r="A77" s="4">
        <v>14441.0</v>
      </c>
      <c r="B77" s="4">
        <v>1379.0</v>
      </c>
      <c r="C77" s="1" t="s">
        <v>383</v>
      </c>
      <c r="D77" s="1" t="s">
        <v>388</v>
      </c>
    </row>
    <row r="78">
      <c r="A78" s="4">
        <v>155550.0</v>
      </c>
      <c r="B78" s="4">
        <v>10657.0</v>
      </c>
      <c r="C78" s="1" t="s">
        <v>392</v>
      </c>
      <c r="D78" s="1" t="s">
        <v>393</v>
      </c>
    </row>
    <row r="79">
      <c r="A79" s="4">
        <v>154550.0</v>
      </c>
      <c r="B79" s="4">
        <v>14650.0</v>
      </c>
      <c r="C79" s="1" t="s">
        <v>398</v>
      </c>
      <c r="D79" s="1" t="s">
        <v>399</v>
      </c>
    </row>
    <row r="80">
      <c r="A80" s="4">
        <v>15446.0</v>
      </c>
      <c r="B80" s="4">
        <v>15061.0</v>
      </c>
      <c r="C80" s="1" t="s">
        <v>403</v>
      </c>
      <c r="D80" s="1" t="s">
        <v>404</v>
      </c>
    </row>
    <row r="81">
      <c r="A81" s="4">
        <v>154630.0</v>
      </c>
      <c r="B81" s="4">
        <v>18936.0</v>
      </c>
      <c r="C81" s="1" t="s">
        <v>408</v>
      </c>
      <c r="D81" s="1" t="s">
        <v>409</v>
      </c>
    </row>
    <row r="82">
      <c r="A82" s="4">
        <v>15441.0</v>
      </c>
      <c r="B82" s="4">
        <v>25629.0</v>
      </c>
      <c r="C82" s="1" t="s">
        <v>412</v>
      </c>
      <c r="D82" s="1" t="s">
        <v>413</v>
      </c>
    </row>
    <row r="83">
      <c r="A83" s="4">
        <v>15447.0</v>
      </c>
      <c r="B83" s="4">
        <v>15180.0</v>
      </c>
      <c r="C83" s="1" t="s">
        <v>417</v>
      </c>
      <c r="D83" s="1" t="s">
        <v>418</v>
      </c>
    </row>
    <row r="84">
      <c r="A84" s="4">
        <v>15556.0</v>
      </c>
      <c r="B84" s="4">
        <v>13905.0</v>
      </c>
      <c r="C84" s="1" t="s">
        <v>423</v>
      </c>
      <c r="D84" s="1" t="s">
        <v>424</v>
      </c>
    </row>
    <row r="85">
      <c r="A85" s="4">
        <v>155505.0</v>
      </c>
      <c r="B85" s="4">
        <v>31770.0</v>
      </c>
      <c r="C85" s="1" t="s">
        <v>427</v>
      </c>
      <c r="D85" s="1" t="s">
        <v>428</v>
      </c>
    </row>
    <row r="86">
      <c r="A86" s="4">
        <v>50016.0</v>
      </c>
      <c r="B86" s="4">
        <v>8274.0</v>
      </c>
      <c r="C86" s="1" t="s">
        <v>432</v>
      </c>
      <c r="D86" s="1" t="s">
        <v>433</v>
      </c>
    </row>
    <row r="87">
      <c r="A87" s="4">
        <v>50057.0</v>
      </c>
      <c r="B87" s="4">
        <v>12142.0</v>
      </c>
      <c r="C87" s="1" t="s">
        <v>436</v>
      </c>
      <c r="D87" s="1" t="s">
        <v>437</v>
      </c>
    </row>
    <row r="88">
      <c r="A88" s="4">
        <v>500430.0</v>
      </c>
      <c r="B88" s="4">
        <v>61100.0</v>
      </c>
      <c r="C88" s="1" t="s">
        <v>269</v>
      </c>
      <c r="D88" s="1" t="s">
        <v>440</v>
      </c>
    </row>
    <row r="89">
      <c r="A89" s="4">
        <v>50505.0</v>
      </c>
      <c r="B89" s="4">
        <v>44405.0</v>
      </c>
      <c r="C89" s="1" t="s">
        <v>37</v>
      </c>
      <c r="D89" s="1" t="s">
        <v>444</v>
      </c>
    </row>
    <row r="90">
      <c r="A90" s="4">
        <v>50440.0</v>
      </c>
      <c r="B90" s="4">
        <v>4320.0</v>
      </c>
      <c r="C90" s="1" t="s">
        <v>447</v>
      </c>
      <c r="D90" s="1" t="s">
        <v>448</v>
      </c>
    </row>
    <row r="91">
      <c r="A91" s="4">
        <v>503055.0</v>
      </c>
      <c r="B91" s="4">
        <v>21572.0</v>
      </c>
      <c r="C91" s="1" t="s">
        <v>451</v>
      </c>
      <c r="D91" s="1" t="s">
        <v>452</v>
      </c>
    </row>
    <row r="92">
      <c r="A92" s="4">
        <v>5030430.0</v>
      </c>
      <c r="B92" s="4">
        <v>27186.0</v>
      </c>
      <c r="C92" s="1" t="s">
        <v>455</v>
      </c>
      <c r="D92" s="1" t="s">
        <v>456</v>
      </c>
    </row>
    <row r="93">
      <c r="A93" s="4">
        <v>503065.0</v>
      </c>
      <c r="B93" s="4">
        <v>40834.0</v>
      </c>
      <c r="C93" s="1" t="s">
        <v>460</v>
      </c>
      <c r="D93" s="1" t="s">
        <v>461</v>
      </c>
    </row>
    <row r="94">
      <c r="A94" s="4">
        <v>503055.0</v>
      </c>
      <c r="B94" s="4">
        <v>15111.0</v>
      </c>
      <c r="C94" s="1" t="s">
        <v>465</v>
      </c>
      <c r="D94" s="1" t="s">
        <v>466</v>
      </c>
    </row>
    <row r="95">
      <c r="A95" s="4">
        <v>50644.0</v>
      </c>
      <c r="B95" s="4">
        <v>23306.0</v>
      </c>
      <c r="C95" s="1" t="s">
        <v>423</v>
      </c>
      <c r="D95" s="1" t="s">
        <v>468</v>
      </c>
    </row>
    <row r="96">
      <c r="A96" s="4">
        <v>507507.0</v>
      </c>
      <c r="B96" s="4">
        <v>1629.0</v>
      </c>
      <c r="C96" s="1" t="s">
        <v>471</v>
      </c>
      <c r="D96" s="1" t="s">
        <v>472</v>
      </c>
    </row>
    <row r="97">
      <c r="A97" s="4">
        <v>50457.0</v>
      </c>
      <c r="B97" s="4">
        <v>14900.0</v>
      </c>
      <c r="C97" s="1" t="s">
        <v>473</v>
      </c>
      <c r="D97" s="1" t="s">
        <v>474</v>
      </c>
    </row>
    <row r="98">
      <c r="A98" s="4">
        <v>505030.0</v>
      </c>
      <c r="B98" s="4">
        <v>18553.0</v>
      </c>
      <c r="C98" s="1" t="s">
        <v>479</v>
      </c>
      <c r="D98" s="1" t="s">
        <v>480</v>
      </c>
    </row>
    <row r="99">
      <c r="A99" s="4">
        <v>50506.0</v>
      </c>
      <c r="B99" s="4">
        <v>11828.0</v>
      </c>
      <c r="C99" s="1" t="s">
        <v>483</v>
      </c>
      <c r="D99" s="1" t="s">
        <v>484</v>
      </c>
    </row>
    <row r="100">
      <c r="A100" s="4">
        <v>50541.0</v>
      </c>
      <c r="B100" s="4">
        <v>4829.0</v>
      </c>
      <c r="C100" s="1" t="s">
        <v>157</v>
      </c>
      <c r="D100" s="1" t="s">
        <v>487</v>
      </c>
    </row>
    <row r="101">
      <c r="A101" s="4">
        <v>50547.0</v>
      </c>
      <c r="B101" s="4">
        <v>14814.0</v>
      </c>
      <c r="C101" s="1" t="s">
        <v>491</v>
      </c>
      <c r="D101" s="1" t="s">
        <v>492</v>
      </c>
    </row>
    <row r="102">
      <c r="A102" s="4">
        <v>51056.0</v>
      </c>
      <c r="B102" s="4">
        <v>17585.0</v>
      </c>
      <c r="C102" s="1" t="s">
        <v>495</v>
      </c>
      <c r="D102" s="1" t="s">
        <v>496</v>
      </c>
    </row>
    <row r="103">
      <c r="A103" s="4">
        <v>510505.0</v>
      </c>
      <c r="B103" s="4">
        <v>5283.0</v>
      </c>
      <c r="C103" s="1" t="s">
        <v>501</v>
      </c>
      <c r="D103" s="1" t="s">
        <v>502</v>
      </c>
    </row>
    <row r="104">
      <c r="A104" s="4">
        <v>51040.0</v>
      </c>
      <c r="B104" s="4">
        <v>8940.0</v>
      </c>
      <c r="C104" s="1" t="s">
        <v>505</v>
      </c>
      <c r="D104" s="1" t="s">
        <v>506</v>
      </c>
    </row>
    <row r="105">
      <c r="A105" s="4">
        <v>51067.0</v>
      </c>
      <c r="B105" s="4">
        <v>12492.0</v>
      </c>
      <c r="C105" s="1" t="s">
        <v>510</v>
      </c>
      <c r="D105" s="1" t="s">
        <v>511</v>
      </c>
    </row>
    <row r="106">
      <c r="A106" s="4">
        <v>510430.0</v>
      </c>
      <c r="B106" s="4">
        <v>9894.0</v>
      </c>
      <c r="C106" s="1" t="s">
        <v>25</v>
      </c>
      <c r="D106" s="1" t="s">
        <v>515</v>
      </c>
    </row>
    <row r="107">
      <c r="A107" s="4">
        <v>51055.0</v>
      </c>
      <c r="B107" s="4">
        <v>7883.0</v>
      </c>
      <c r="C107" s="1" t="s">
        <v>519</v>
      </c>
      <c r="D107" s="1" t="s">
        <v>520</v>
      </c>
    </row>
    <row r="108">
      <c r="A108" s="4">
        <v>511505.0</v>
      </c>
      <c r="B108" s="4">
        <v>68655.0</v>
      </c>
      <c r="C108" s="1" t="s">
        <v>524</v>
      </c>
      <c r="D108" s="1" t="s">
        <v>525</v>
      </c>
    </row>
    <row r="109">
      <c r="A109" s="4">
        <v>51550.0</v>
      </c>
      <c r="B109" s="4">
        <v>5891.0</v>
      </c>
      <c r="C109" s="1" t="s">
        <v>530</v>
      </c>
      <c r="D109" s="1" t="s">
        <v>531</v>
      </c>
    </row>
    <row r="110">
      <c r="A110" s="4">
        <v>515306.0</v>
      </c>
      <c r="B110" s="4">
        <v>14517.0</v>
      </c>
      <c r="C110" s="1" t="s">
        <v>534</v>
      </c>
      <c r="D110" s="1" t="s">
        <v>535</v>
      </c>
    </row>
    <row r="111">
      <c r="A111" s="4">
        <v>515055.0</v>
      </c>
      <c r="B111" s="4">
        <v>14725.0</v>
      </c>
      <c r="C111" s="1" t="s">
        <v>274</v>
      </c>
      <c r="D111" s="1" t="s">
        <v>539</v>
      </c>
    </row>
    <row r="112">
      <c r="A112" s="4">
        <v>5150506.0</v>
      </c>
      <c r="B112" s="4">
        <v>13266.0</v>
      </c>
      <c r="C112" s="1" t="s">
        <v>544</v>
      </c>
      <c r="D112" s="1" t="s">
        <v>545</v>
      </c>
    </row>
    <row r="113">
      <c r="A113" s="4">
        <v>5150305.0</v>
      </c>
      <c r="B113" s="4">
        <v>29554.0</v>
      </c>
      <c r="C113" s="1" t="s">
        <v>548</v>
      </c>
      <c r="D113" s="1" t="s">
        <v>549</v>
      </c>
    </row>
    <row r="114">
      <c r="A114" s="4">
        <v>51400.0</v>
      </c>
      <c r="B114" s="4">
        <v>13816.0</v>
      </c>
      <c r="C114" s="1" t="s">
        <v>554</v>
      </c>
      <c r="D114" s="1" t="s">
        <v>555</v>
      </c>
    </row>
    <row r="115">
      <c r="A115" s="4">
        <v>5145050.0</v>
      </c>
      <c r="B115" s="4">
        <v>33968.0</v>
      </c>
      <c r="C115" s="1" t="s">
        <v>558</v>
      </c>
      <c r="D115" s="1" t="s">
        <v>559</v>
      </c>
    </row>
    <row r="116">
      <c r="A116" s="4">
        <v>51441.0</v>
      </c>
      <c r="B116" s="4">
        <v>2887.0</v>
      </c>
      <c r="C116" s="1" t="s">
        <v>563</v>
      </c>
      <c r="D116" s="1" t="s">
        <v>564</v>
      </c>
    </row>
    <row r="117">
      <c r="A117" s="4">
        <v>5130504.0</v>
      </c>
      <c r="B117" s="4">
        <v>42622.0</v>
      </c>
      <c r="C117" s="1" t="s">
        <v>567</v>
      </c>
      <c r="D117" s="1" t="s">
        <v>568</v>
      </c>
    </row>
    <row r="118">
      <c r="A118" s="4">
        <v>513057.0</v>
      </c>
      <c r="B118" s="4">
        <v>7156.0</v>
      </c>
      <c r="C118" s="1" t="s">
        <v>573</v>
      </c>
      <c r="D118" s="1" t="s">
        <v>574</v>
      </c>
    </row>
    <row r="119">
      <c r="A119" s="4">
        <v>514305.0</v>
      </c>
      <c r="B119" s="4">
        <v>7180.0</v>
      </c>
      <c r="C119" s="1" t="s">
        <v>37</v>
      </c>
      <c r="D119" s="1" t="s">
        <v>579</v>
      </c>
    </row>
    <row r="120">
      <c r="A120" s="4">
        <v>51466.0</v>
      </c>
      <c r="B120" s="4">
        <v>8030.0</v>
      </c>
      <c r="C120" s="1" t="s">
        <v>534</v>
      </c>
      <c r="D120" s="1" t="s">
        <v>583</v>
      </c>
    </row>
    <row r="121">
      <c r="A121" s="4">
        <v>515501.0</v>
      </c>
      <c r="B121" s="4">
        <v>7687.0</v>
      </c>
      <c r="C121" s="1" t="s">
        <v>143</v>
      </c>
      <c r="D121" s="1" t="s">
        <v>588</v>
      </c>
    </row>
    <row r="122">
      <c r="A122" s="4">
        <v>55505.0</v>
      </c>
      <c r="B122" s="4">
        <v>4839.0</v>
      </c>
      <c r="C122" s="1" t="s">
        <v>326</v>
      </c>
      <c r="D122" s="1" t="s">
        <v>590</v>
      </c>
    </row>
    <row r="123">
      <c r="A123" s="4">
        <v>55555.0</v>
      </c>
      <c r="B123" s="4">
        <v>19764.0</v>
      </c>
      <c r="C123" s="1" t="s">
        <v>594</v>
      </c>
      <c r="D123" s="1" t="s">
        <v>595</v>
      </c>
    </row>
    <row r="124">
      <c r="A124" s="4">
        <v>55464.0</v>
      </c>
      <c r="B124" s="4">
        <v>2688.0</v>
      </c>
      <c r="C124" s="1" t="s">
        <v>195</v>
      </c>
      <c r="D124" s="1" t="s">
        <v>599</v>
      </c>
    </row>
    <row r="125">
      <c r="A125" s="4">
        <v>55447.0</v>
      </c>
      <c r="B125" s="4">
        <v>12059.0</v>
      </c>
      <c r="C125" s="1" t="s">
        <v>604</v>
      </c>
      <c r="D125" s="1" t="s">
        <v>605</v>
      </c>
    </row>
    <row r="126">
      <c r="A126" s="4">
        <v>5530306.0</v>
      </c>
      <c r="B126" s="4">
        <v>4088.0</v>
      </c>
      <c r="C126" s="1" t="s">
        <v>609</v>
      </c>
      <c r="D126" s="1" t="s">
        <v>610</v>
      </c>
    </row>
    <row r="127">
      <c r="A127" s="4">
        <v>553071.0</v>
      </c>
      <c r="B127" s="4">
        <v>328.0</v>
      </c>
      <c r="C127" s="1" t="s">
        <v>25</v>
      </c>
      <c r="D127" s="1" t="s">
        <v>614</v>
      </c>
    </row>
    <row r="128">
      <c r="A128" s="4">
        <v>55644.0</v>
      </c>
      <c r="B128" s="4">
        <v>10453.0</v>
      </c>
      <c r="C128" s="1" t="s">
        <v>617</v>
      </c>
      <c r="D128" s="1" t="s">
        <v>618</v>
      </c>
    </row>
    <row r="129">
      <c r="A129" s="4">
        <v>556450.0</v>
      </c>
      <c r="B129" s="4">
        <v>24950.0</v>
      </c>
      <c r="C129" s="1" t="s">
        <v>326</v>
      </c>
      <c r="D129" s="1" t="s">
        <v>621</v>
      </c>
    </row>
    <row r="130">
      <c r="A130" s="4">
        <v>54176.0</v>
      </c>
      <c r="B130" s="4">
        <v>17094.0</v>
      </c>
      <c r="C130" s="1" t="s">
        <v>625</v>
      </c>
      <c r="D130" s="1" t="s">
        <v>626</v>
      </c>
    </row>
    <row r="131">
      <c r="A131" s="4">
        <v>54470.0</v>
      </c>
      <c r="B131" s="4">
        <v>43908.0</v>
      </c>
      <c r="C131" s="1" t="s">
        <v>631</v>
      </c>
      <c r="D131" s="1" t="s">
        <v>632</v>
      </c>
    </row>
    <row r="132">
      <c r="A132" s="4">
        <v>545504.0</v>
      </c>
      <c r="B132" s="4">
        <v>35981.0</v>
      </c>
      <c r="C132" s="1" t="s">
        <v>636</v>
      </c>
      <c r="D132" s="1" t="s">
        <v>637</v>
      </c>
    </row>
    <row r="133">
      <c r="A133" s="4">
        <v>54561.0</v>
      </c>
      <c r="B133" s="4">
        <v>13684.0</v>
      </c>
      <c r="C133" s="1" t="s">
        <v>642</v>
      </c>
      <c r="D133" s="1" t="s">
        <v>643</v>
      </c>
    </row>
    <row r="134">
      <c r="A134" s="4">
        <v>545530.0</v>
      </c>
      <c r="B134" s="4">
        <v>77937.0</v>
      </c>
      <c r="C134" s="1" t="s">
        <v>646</v>
      </c>
      <c r="D134" s="1" t="s">
        <v>647</v>
      </c>
    </row>
    <row r="135">
      <c r="A135" s="4">
        <v>530054.0</v>
      </c>
      <c r="B135" s="4">
        <v>11574.0</v>
      </c>
      <c r="C135" s="1" t="s">
        <v>651</v>
      </c>
      <c r="D135" s="1" t="s">
        <v>652</v>
      </c>
    </row>
    <row r="136">
      <c r="A136" s="4">
        <v>530040.0</v>
      </c>
      <c r="B136" s="4">
        <v>2740.0</v>
      </c>
      <c r="C136" s="1" t="s">
        <v>195</v>
      </c>
      <c r="D136" s="1" t="s">
        <v>656</v>
      </c>
    </row>
    <row r="137">
      <c r="A137" s="4">
        <v>5300450.0</v>
      </c>
      <c r="B137" s="4">
        <v>10758.0</v>
      </c>
      <c r="C137" s="1" t="s">
        <v>660</v>
      </c>
      <c r="D137" s="1" t="s">
        <v>661</v>
      </c>
    </row>
    <row r="138">
      <c r="A138" s="4">
        <v>530144.0</v>
      </c>
      <c r="B138" s="4">
        <v>2909.0</v>
      </c>
      <c r="C138" s="1" t="s">
        <v>25</v>
      </c>
      <c r="D138" s="1" t="s">
        <v>664</v>
      </c>
    </row>
    <row r="139">
      <c r="A139" s="4">
        <v>5305050.0</v>
      </c>
      <c r="B139" s="4">
        <v>5768.0</v>
      </c>
      <c r="C139" s="1" t="s">
        <v>668</v>
      </c>
      <c r="D139" s="1" t="s">
        <v>669</v>
      </c>
    </row>
    <row r="140">
      <c r="A140" s="4">
        <v>530545.0</v>
      </c>
      <c r="B140" s="4">
        <v>10925.0</v>
      </c>
      <c r="C140" s="1" t="s">
        <v>25</v>
      </c>
      <c r="D140" s="1" t="s">
        <v>673</v>
      </c>
    </row>
    <row r="141">
      <c r="A141" s="4">
        <v>5305054.0</v>
      </c>
      <c r="B141" s="4">
        <v>11106.0</v>
      </c>
      <c r="C141" s="1" t="s">
        <v>676</v>
      </c>
      <c r="D141" s="1" t="s">
        <v>677</v>
      </c>
    </row>
    <row r="142">
      <c r="A142" s="4">
        <v>5305064.0</v>
      </c>
      <c r="B142" s="4">
        <v>6144.0</v>
      </c>
      <c r="C142" s="1" t="s">
        <v>680</v>
      </c>
      <c r="D142" s="1" t="s">
        <v>681</v>
      </c>
    </row>
    <row r="143">
      <c r="A143" s="4">
        <v>5305071.0</v>
      </c>
      <c r="B143" s="4">
        <v>5043.0</v>
      </c>
      <c r="C143" s="1" t="s">
        <v>684</v>
      </c>
      <c r="D143" s="1" t="s">
        <v>685</v>
      </c>
    </row>
    <row r="144">
      <c r="A144" s="4">
        <v>5305075.0</v>
      </c>
      <c r="B144" s="4">
        <v>4114.0</v>
      </c>
      <c r="C144" s="1" t="s">
        <v>143</v>
      </c>
      <c r="D144" s="1" t="s">
        <v>688</v>
      </c>
    </row>
    <row r="145">
      <c r="A145" s="4">
        <v>5305040.0</v>
      </c>
      <c r="B145" s="4">
        <v>6018.0</v>
      </c>
      <c r="C145" s="1" t="s">
        <v>692</v>
      </c>
      <c r="D145" s="1" t="s">
        <v>693</v>
      </c>
    </row>
    <row r="146">
      <c r="A146" s="4">
        <v>5.305043E7</v>
      </c>
      <c r="B146" s="4">
        <v>25386.0</v>
      </c>
      <c r="C146" s="1" t="s">
        <v>25</v>
      </c>
      <c r="D146" s="1" t="s">
        <v>696</v>
      </c>
    </row>
    <row r="147">
      <c r="A147" s="4">
        <v>5303050.0</v>
      </c>
      <c r="B147" s="4">
        <v>33837.0</v>
      </c>
      <c r="C147" s="1" t="s">
        <v>195</v>
      </c>
      <c r="D147" s="1" t="s">
        <v>697</v>
      </c>
    </row>
    <row r="148">
      <c r="A148" s="4">
        <v>5303044.0</v>
      </c>
      <c r="B148" s="4">
        <v>184.0</v>
      </c>
      <c r="C148" s="1" t="s">
        <v>37</v>
      </c>
      <c r="D148" s="1" t="s">
        <v>702</v>
      </c>
    </row>
    <row r="149">
      <c r="A149" s="4">
        <v>5303056.0</v>
      </c>
      <c r="B149" s="4">
        <v>3858.0</v>
      </c>
      <c r="C149" s="1" t="s">
        <v>705</v>
      </c>
      <c r="D149" s="1" t="s">
        <v>706</v>
      </c>
    </row>
    <row r="150">
      <c r="A150" s="4">
        <v>530604.0</v>
      </c>
      <c r="B150" s="4">
        <v>2499.0</v>
      </c>
      <c r="C150" s="1" t="s">
        <v>195</v>
      </c>
      <c r="D150" s="1" t="s">
        <v>709</v>
      </c>
    </row>
    <row r="151">
      <c r="A151" s="4">
        <v>530666.0</v>
      </c>
      <c r="B151" s="4">
        <v>7011.0</v>
      </c>
      <c r="C151" s="1" t="s">
        <v>714</v>
      </c>
      <c r="D151" s="1" t="s">
        <v>715</v>
      </c>
    </row>
    <row r="152">
      <c r="A152" s="4">
        <v>530644.0</v>
      </c>
      <c r="B152" s="4">
        <v>13477.0</v>
      </c>
      <c r="C152" s="1" t="s">
        <v>417</v>
      </c>
      <c r="D152" s="1" t="s">
        <v>719</v>
      </c>
    </row>
    <row r="153">
      <c r="A153" s="4">
        <v>5307030.0</v>
      </c>
      <c r="B153" s="4">
        <v>20695.0</v>
      </c>
      <c r="C153" s="1" t="s">
        <v>724</v>
      </c>
      <c r="D153" s="1" t="s">
        <v>725</v>
      </c>
    </row>
    <row r="154">
      <c r="A154" s="4">
        <v>530761.0</v>
      </c>
      <c r="B154" s="4">
        <v>5407.0</v>
      </c>
      <c r="C154" s="1" t="s">
        <v>729</v>
      </c>
      <c r="D154" s="1" t="s">
        <v>730</v>
      </c>
    </row>
    <row r="155">
      <c r="A155" s="4">
        <v>530416.0</v>
      </c>
      <c r="B155" s="4">
        <v>3812.0</v>
      </c>
      <c r="C155" s="1" t="s">
        <v>733</v>
      </c>
      <c r="D155" s="1" t="s">
        <v>734</v>
      </c>
    </row>
    <row r="156">
      <c r="A156" s="4">
        <v>5304450.0</v>
      </c>
      <c r="B156" s="4">
        <v>8994.0</v>
      </c>
      <c r="C156" s="1" t="s">
        <v>25</v>
      </c>
      <c r="D156" s="1" t="s">
        <v>737</v>
      </c>
    </row>
    <row r="157">
      <c r="A157" s="4">
        <v>530455.0</v>
      </c>
      <c r="B157" s="4">
        <v>4396.0</v>
      </c>
      <c r="C157" s="1" t="s">
        <v>740</v>
      </c>
      <c r="D157" s="1" t="s">
        <v>741</v>
      </c>
    </row>
    <row r="158">
      <c r="A158" s="4">
        <v>530516.0</v>
      </c>
      <c r="B158" s="4">
        <v>5695.0</v>
      </c>
      <c r="C158" s="1" t="s">
        <v>744</v>
      </c>
      <c r="D158" s="1" t="s">
        <v>745</v>
      </c>
    </row>
    <row r="159">
      <c r="A159" s="4">
        <v>5305304.0</v>
      </c>
      <c r="B159" s="4">
        <v>5884.0</v>
      </c>
      <c r="C159" s="1" t="s">
        <v>749</v>
      </c>
      <c r="D159" s="1" t="s">
        <v>750</v>
      </c>
    </row>
    <row r="160">
      <c r="A160" s="4">
        <v>56005.0</v>
      </c>
      <c r="B160" s="4">
        <v>14483.0</v>
      </c>
      <c r="C160" s="1" t="s">
        <v>195</v>
      </c>
      <c r="D160" s="1" t="s">
        <v>754</v>
      </c>
    </row>
    <row r="161">
      <c r="A161" s="4">
        <v>56115.0</v>
      </c>
      <c r="B161" s="4">
        <v>2368.0</v>
      </c>
      <c r="C161" s="1" t="s">
        <v>759</v>
      </c>
      <c r="D161" s="1" t="s">
        <v>760</v>
      </c>
    </row>
    <row r="162">
      <c r="A162" s="4">
        <v>565501.0</v>
      </c>
      <c r="B162" s="4">
        <v>4016.0</v>
      </c>
      <c r="C162" s="1" t="s">
        <v>143</v>
      </c>
      <c r="D162" s="1" t="s">
        <v>763</v>
      </c>
    </row>
    <row r="163">
      <c r="A163" s="4">
        <v>5655030.0</v>
      </c>
      <c r="B163" s="4">
        <v>10472.0</v>
      </c>
      <c r="C163" s="1" t="s">
        <v>767</v>
      </c>
      <c r="D163" s="1" t="s">
        <v>768</v>
      </c>
    </row>
    <row r="164">
      <c r="A164" s="4">
        <v>56556.0</v>
      </c>
      <c r="B164" s="4">
        <v>3173.0</v>
      </c>
      <c r="C164" s="1" t="s">
        <v>772</v>
      </c>
      <c r="D164" s="1" t="s">
        <v>773</v>
      </c>
    </row>
    <row r="165">
      <c r="A165" s="4">
        <v>564304.0</v>
      </c>
      <c r="B165" s="4">
        <v>7720.0</v>
      </c>
      <c r="C165" s="1" t="s">
        <v>777</v>
      </c>
      <c r="D165" s="1" t="s">
        <v>778</v>
      </c>
    </row>
    <row r="166">
      <c r="A166" s="4">
        <v>563006.0</v>
      </c>
      <c r="B166" s="4">
        <v>2665.0</v>
      </c>
      <c r="C166" s="1" t="s">
        <v>76</v>
      </c>
      <c r="D166" s="1" t="s">
        <v>781</v>
      </c>
    </row>
    <row r="167">
      <c r="A167" s="4">
        <v>563014.0</v>
      </c>
      <c r="B167" s="4">
        <v>3381.0</v>
      </c>
      <c r="C167" s="1" t="s">
        <v>786</v>
      </c>
      <c r="D167" s="1" t="s">
        <v>787</v>
      </c>
    </row>
    <row r="168">
      <c r="A168" s="4">
        <v>567304.0</v>
      </c>
      <c r="B168" s="4">
        <v>7811.0</v>
      </c>
      <c r="C168" s="1" t="s">
        <v>791</v>
      </c>
      <c r="D168" s="1" t="s">
        <v>792</v>
      </c>
    </row>
    <row r="169">
      <c r="A169" s="4">
        <v>56555.0</v>
      </c>
      <c r="B169" s="4">
        <v>7815.0</v>
      </c>
      <c r="C169" s="1" t="s">
        <v>76</v>
      </c>
      <c r="D169" s="1" t="s">
        <v>796</v>
      </c>
    </row>
    <row r="170">
      <c r="A170" s="4">
        <v>57004.0</v>
      </c>
      <c r="B170" s="4">
        <v>39.0</v>
      </c>
      <c r="C170" s="1" t="s">
        <v>383</v>
      </c>
      <c r="D170" s="1" t="s">
        <v>799</v>
      </c>
    </row>
    <row r="171">
      <c r="A171" s="4">
        <v>57044.0</v>
      </c>
      <c r="B171" s="4">
        <v>4522.0</v>
      </c>
      <c r="C171" s="1" t="s">
        <v>804</v>
      </c>
      <c r="D171" s="1" t="s">
        <v>805</v>
      </c>
    </row>
    <row r="172">
      <c r="A172" s="4">
        <v>57065.0</v>
      </c>
      <c r="B172" s="4">
        <v>4299.0</v>
      </c>
      <c r="C172" s="1" t="s">
        <v>808</v>
      </c>
      <c r="D172" s="1" t="s">
        <v>809</v>
      </c>
    </row>
    <row r="173">
      <c r="A173" s="4">
        <v>57141.0</v>
      </c>
      <c r="B173" s="4">
        <v>1157.0</v>
      </c>
      <c r="C173" s="1" t="s">
        <v>812</v>
      </c>
      <c r="D173" s="1" t="s">
        <v>813</v>
      </c>
    </row>
    <row r="174">
      <c r="A174" s="4">
        <v>571530.0</v>
      </c>
      <c r="B174" s="4">
        <v>57.0</v>
      </c>
      <c r="C174" s="1" t="s">
        <v>365</v>
      </c>
      <c r="D174" s="1" t="s">
        <v>818</v>
      </c>
    </row>
    <row r="175">
      <c r="A175" s="4">
        <v>575304.0</v>
      </c>
      <c r="B175" s="4">
        <v>39.0</v>
      </c>
      <c r="C175" s="1" t="s">
        <v>365</v>
      </c>
      <c r="D175" s="1" t="s">
        <v>821</v>
      </c>
    </row>
    <row r="176">
      <c r="A176" s="4">
        <v>573000.0</v>
      </c>
      <c r="B176" s="4">
        <v>3933.0</v>
      </c>
      <c r="C176" s="1" t="s">
        <v>423</v>
      </c>
      <c r="D176" s="1" t="s">
        <v>826</v>
      </c>
    </row>
    <row r="177">
      <c r="A177" s="4">
        <v>573014.0</v>
      </c>
      <c r="B177" s="4">
        <v>7956.0</v>
      </c>
      <c r="C177" s="1" t="s">
        <v>829</v>
      </c>
      <c r="D177" s="1" t="s">
        <v>830</v>
      </c>
    </row>
    <row r="178">
      <c r="A178" s="4">
        <v>57615.0</v>
      </c>
      <c r="B178" s="4">
        <v>4184.0</v>
      </c>
      <c r="C178" s="1" t="s">
        <v>25</v>
      </c>
      <c r="D178" s="1" t="s">
        <v>835</v>
      </c>
    </row>
    <row r="179">
      <c r="A179" s="4">
        <v>57444.0</v>
      </c>
      <c r="B179" s="4">
        <v>313.0</v>
      </c>
      <c r="C179" s="1" t="s">
        <v>838</v>
      </c>
      <c r="D179" s="1" t="s">
        <v>839</v>
      </c>
    </row>
    <row r="180">
      <c r="A180" s="4">
        <v>57504.0</v>
      </c>
      <c r="B180" s="4">
        <v>392.0</v>
      </c>
      <c r="C180" s="1" t="s">
        <v>843</v>
      </c>
      <c r="D180" s="1" t="s">
        <v>844</v>
      </c>
    </row>
    <row r="181">
      <c r="A181" s="4">
        <v>57544.0</v>
      </c>
      <c r="B181" s="4">
        <v>3642.0</v>
      </c>
      <c r="C181" s="1" t="s">
        <v>847</v>
      </c>
      <c r="D181" s="1" t="s">
        <v>848</v>
      </c>
    </row>
    <row r="182">
      <c r="A182" s="4">
        <v>540630.0</v>
      </c>
      <c r="B182" s="4">
        <v>4155.0</v>
      </c>
      <c r="C182" s="1" t="s">
        <v>852</v>
      </c>
      <c r="D182" s="1" t="s">
        <v>853</v>
      </c>
    </row>
    <row r="183">
      <c r="A183" s="4">
        <v>54146.0</v>
      </c>
      <c r="B183" s="4">
        <v>4446.0</v>
      </c>
      <c r="C183" s="1" t="s">
        <v>857</v>
      </c>
      <c r="D183" s="1" t="s">
        <v>858</v>
      </c>
    </row>
    <row r="184">
      <c r="A184" s="4">
        <v>54160.0</v>
      </c>
      <c r="B184" s="4">
        <v>2894.0</v>
      </c>
      <c r="C184" s="1" t="s">
        <v>861</v>
      </c>
      <c r="D184" s="1" t="s">
        <v>862</v>
      </c>
    </row>
    <row r="185">
      <c r="A185" s="4">
        <v>54170.0</v>
      </c>
      <c r="B185" s="4">
        <v>8670.0</v>
      </c>
      <c r="C185" s="1" t="s">
        <v>865</v>
      </c>
      <c r="D185" s="1" t="s">
        <v>866</v>
      </c>
    </row>
    <row r="186">
      <c r="A186" s="4">
        <v>545550.0</v>
      </c>
      <c r="B186" s="4">
        <v>186.0</v>
      </c>
      <c r="C186" s="1" t="s">
        <v>871</v>
      </c>
      <c r="D186" s="1" t="s">
        <v>872</v>
      </c>
    </row>
    <row r="187">
      <c r="A187" s="4">
        <v>54544.0</v>
      </c>
      <c r="B187" s="4">
        <v>9624.0</v>
      </c>
      <c r="C187" s="1" t="s">
        <v>58</v>
      </c>
      <c r="D187" s="1" t="s">
        <v>876</v>
      </c>
    </row>
    <row r="188">
      <c r="A188" s="4">
        <v>5450050.0</v>
      </c>
      <c r="B188" s="4">
        <v>56.0</v>
      </c>
      <c r="C188" s="1" t="s">
        <v>25</v>
      </c>
      <c r="D188" s="1" t="s">
        <v>879</v>
      </c>
    </row>
    <row r="189">
      <c r="A189" s="4">
        <v>545074.0</v>
      </c>
      <c r="B189" s="4">
        <v>776.0</v>
      </c>
      <c r="C189" s="1" t="s">
        <v>189</v>
      </c>
      <c r="D189" s="1" t="s">
        <v>882</v>
      </c>
    </row>
    <row r="190">
      <c r="A190" s="4">
        <v>54414.0</v>
      </c>
      <c r="B190" s="4">
        <v>83.0</v>
      </c>
      <c r="C190" s="1" t="s">
        <v>182</v>
      </c>
      <c r="D190" s="1" t="s">
        <v>886</v>
      </c>
    </row>
    <row r="191">
      <c r="A191" s="4">
        <v>54460.0</v>
      </c>
      <c r="B191" s="4">
        <v>4496.0</v>
      </c>
      <c r="C191" s="1" t="s">
        <v>890</v>
      </c>
      <c r="D191" s="1" t="s">
        <v>891</v>
      </c>
    </row>
    <row r="192">
      <c r="A192" s="4">
        <v>543076.0</v>
      </c>
      <c r="B192" s="4">
        <v>15550.0</v>
      </c>
      <c r="C192" s="1" t="s">
        <v>895</v>
      </c>
      <c r="D192" s="1" t="s">
        <v>896</v>
      </c>
    </row>
    <row r="193">
      <c r="A193" s="4">
        <v>54756.0</v>
      </c>
      <c r="B193" s="4">
        <v>3815.0</v>
      </c>
      <c r="C193" s="1" t="s">
        <v>143</v>
      </c>
      <c r="D193" s="1" t="s">
        <v>899</v>
      </c>
    </row>
    <row r="194">
      <c r="A194" s="4">
        <v>544550.0</v>
      </c>
      <c r="B194" s="4">
        <v>2652.0</v>
      </c>
      <c r="C194" s="1" t="s">
        <v>903</v>
      </c>
      <c r="D194" s="1" t="s">
        <v>904</v>
      </c>
    </row>
    <row r="195">
      <c r="A195" s="4">
        <v>544305.0</v>
      </c>
      <c r="B195" s="4">
        <v>10963.0</v>
      </c>
      <c r="C195" s="1" t="s">
        <v>907</v>
      </c>
      <c r="D195" s="1" t="s">
        <v>908</v>
      </c>
    </row>
    <row r="196">
      <c r="A196" s="4">
        <v>54465.0</v>
      </c>
      <c r="B196" s="4">
        <v>4936.0</v>
      </c>
      <c r="C196" s="1" t="s">
        <v>912</v>
      </c>
      <c r="D196" s="1" t="s">
        <v>913</v>
      </c>
    </row>
    <row r="197">
      <c r="A197" s="4">
        <v>544730.0</v>
      </c>
      <c r="B197" s="4">
        <v>204.0</v>
      </c>
      <c r="C197" s="1" t="s">
        <v>195</v>
      </c>
      <c r="D197" s="1" t="s">
        <v>916</v>
      </c>
    </row>
    <row r="198">
      <c r="A198" s="4">
        <v>544450.0</v>
      </c>
      <c r="B198" s="4">
        <v>7077.0</v>
      </c>
      <c r="C198" s="1" t="s">
        <v>37</v>
      </c>
      <c r="D198" s="1" t="s">
        <v>922</v>
      </c>
    </row>
    <row r="199">
      <c r="A199" s="4">
        <v>54504.0</v>
      </c>
      <c r="B199" s="4">
        <v>11307.0</v>
      </c>
      <c r="C199" s="1" t="s">
        <v>926</v>
      </c>
      <c r="D199" s="1" t="s">
        <v>927</v>
      </c>
    </row>
    <row r="200">
      <c r="A200" s="4">
        <v>54506.0</v>
      </c>
      <c r="B200" s="4">
        <v>23764.0</v>
      </c>
      <c r="C200" s="1" t="s">
        <v>25</v>
      </c>
      <c r="D200" s="1" t="s">
        <v>930</v>
      </c>
    </row>
    <row r="201">
      <c r="A201" s="4">
        <v>54574.0</v>
      </c>
      <c r="B201" s="4">
        <v>3624.0</v>
      </c>
      <c r="C201" s="1" t="s">
        <v>934</v>
      </c>
      <c r="D201" s="1" t="s">
        <v>935</v>
      </c>
    </row>
    <row r="202">
      <c r="A202" s="4">
        <v>54544.0</v>
      </c>
      <c r="B202" s="4">
        <v>2645.0</v>
      </c>
      <c r="C202" s="1" t="s">
        <v>939</v>
      </c>
      <c r="D202" s="1" t="s">
        <v>940</v>
      </c>
    </row>
    <row r="203">
      <c r="A203" s="4">
        <v>55016.0</v>
      </c>
      <c r="B203" s="4">
        <v>13091.0</v>
      </c>
      <c r="C203" s="1" t="s">
        <v>37</v>
      </c>
      <c r="D203" s="1" t="s">
        <v>944</v>
      </c>
    </row>
    <row r="204">
      <c r="A204" s="4">
        <v>55017.0</v>
      </c>
      <c r="B204" s="4">
        <v>19737.0</v>
      </c>
      <c r="C204" s="1" t="s">
        <v>947</v>
      </c>
      <c r="D204" s="1" t="s">
        <v>948</v>
      </c>
    </row>
    <row r="205">
      <c r="A205" s="4">
        <v>55545.0</v>
      </c>
      <c r="B205" s="4">
        <v>1807.0</v>
      </c>
      <c r="C205" s="1" t="s">
        <v>952</v>
      </c>
      <c r="D205" s="1" t="s">
        <v>953</v>
      </c>
    </row>
    <row r="206">
      <c r="A206" s="4">
        <v>555550.0</v>
      </c>
      <c r="B206" s="4">
        <v>128.0</v>
      </c>
      <c r="C206" s="1" t="s">
        <v>365</v>
      </c>
      <c r="D206" s="1" t="s">
        <v>958</v>
      </c>
    </row>
    <row r="207">
      <c r="A207" s="4">
        <v>55407.0</v>
      </c>
      <c r="B207" s="4">
        <v>5657.0</v>
      </c>
      <c r="C207" s="1" t="s">
        <v>963</v>
      </c>
      <c r="D207" s="1" t="s">
        <v>964</v>
      </c>
    </row>
    <row r="208">
      <c r="A208" s="4">
        <v>55405.0</v>
      </c>
      <c r="B208" s="4">
        <v>1943.0</v>
      </c>
      <c r="C208" s="1" t="s">
        <v>195</v>
      </c>
      <c r="D208" s="1" t="s">
        <v>969</v>
      </c>
    </row>
    <row r="209">
      <c r="A209" s="4">
        <v>55410.0</v>
      </c>
      <c r="B209" s="4">
        <v>1086.0</v>
      </c>
      <c r="C209" s="1" t="s">
        <v>195</v>
      </c>
      <c r="D209" s="1" t="s">
        <v>974</v>
      </c>
    </row>
    <row r="210">
      <c r="A210" s="4">
        <v>55416.0</v>
      </c>
      <c r="B210" s="4">
        <v>466.0</v>
      </c>
      <c r="C210" s="1" t="s">
        <v>979</v>
      </c>
      <c r="D210" s="1" t="s">
        <v>980</v>
      </c>
    </row>
    <row r="211">
      <c r="A211" s="4">
        <v>554505.0</v>
      </c>
      <c r="B211" s="4">
        <v>2394.0</v>
      </c>
      <c r="C211" s="1" t="s">
        <v>984</v>
      </c>
      <c r="D211" s="1" t="s">
        <v>985</v>
      </c>
    </row>
    <row r="212">
      <c r="A212" s="4">
        <v>554304.0</v>
      </c>
      <c r="B212" s="4">
        <v>782.0</v>
      </c>
      <c r="C212" s="1" t="s">
        <v>990</v>
      </c>
      <c r="D212" s="1" t="s">
        <v>991</v>
      </c>
    </row>
    <row r="213">
      <c r="A213" s="4">
        <v>55461.0</v>
      </c>
      <c r="B213" s="4">
        <v>260.0</v>
      </c>
      <c r="C213" s="1" t="s">
        <v>195</v>
      </c>
      <c r="D213" s="1" t="s">
        <v>996</v>
      </c>
    </row>
    <row r="214">
      <c r="A214" s="4">
        <v>55464.0</v>
      </c>
      <c r="B214" s="4">
        <v>721.0</v>
      </c>
      <c r="C214" s="1" t="s">
        <v>1001</v>
      </c>
      <c r="D214" s="1" t="s">
        <v>1002</v>
      </c>
    </row>
    <row r="215">
      <c r="A215" s="4">
        <v>554630.0</v>
      </c>
      <c r="B215" s="4">
        <v>537.0</v>
      </c>
      <c r="C215" s="1" t="s">
        <v>1007</v>
      </c>
      <c r="D215" s="1" t="s">
        <v>1008</v>
      </c>
    </row>
    <row r="216">
      <c r="A216" s="4">
        <v>55465.0</v>
      </c>
      <c r="B216" s="4">
        <v>351.0</v>
      </c>
      <c r="C216" s="1" t="s">
        <v>182</v>
      </c>
      <c r="D216" s="1" t="s">
        <v>1013</v>
      </c>
    </row>
    <row r="217">
      <c r="A217" s="4">
        <v>55470.0</v>
      </c>
      <c r="B217" s="4">
        <v>3583.0</v>
      </c>
      <c r="C217" s="1" t="s">
        <v>1017</v>
      </c>
      <c r="D217" s="1" t="s">
        <v>1018</v>
      </c>
    </row>
    <row r="218">
      <c r="A218" s="4">
        <v>55444.0</v>
      </c>
      <c r="B218" s="4">
        <v>7285.0</v>
      </c>
      <c r="C218" s="1" t="s">
        <v>195</v>
      </c>
      <c r="D218" s="1" t="s">
        <v>1023</v>
      </c>
    </row>
    <row r="219">
      <c r="A219" s="4">
        <v>55455.0</v>
      </c>
      <c r="B219" s="4">
        <v>106.0</v>
      </c>
      <c r="C219" s="1" t="s">
        <v>1028</v>
      </c>
      <c r="D219" s="1" t="s">
        <v>1029</v>
      </c>
    </row>
    <row r="220">
      <c r="A220" s="4">
        <v>553017.0</v>
      </c>
      <c r="B220" s="4">
        <v>2138.0</v>
      </c>
      <c r="C220" s="1" t="s">
        <v>1033</v>
      </c>
      <c r="D220" s="1" t="s">
        <v>1034</v>
      </c>
    </row>
    <row r="221">
      <c r="A221" s="4">
        <v>553051.0</v>
      </c>
      <c r="B221" s="4">
        <v>3664.0</v>
      </c>
      <c r="C221" s="1" t="s">
        <v>1039</v>
      </c>
      <c r="D221" s="1" t="s">
        <v>1040</v>
      </c>
    </row>
    <row r="222">
      <c r="A222" s="4">
        <v>5530501.0</v>
      </c>
      <c r="B222" s="4">
        <v>3309.0</v>
      </c>
      <c r="C222" s="1" t="s">
        <v>1044</v>
      </c>
      <c r="D222" s="1" t="s">
        <v>1045</v>
      </c>
    </row>
    <row r="223">
      <c r="A223" s="4">
        <v>5530504.0</v>
      </c>
      <c r="B223" s="4">
        <v>2967.0</v>
      </c>
      <c r="C223" s="1" t="s">
        <v>1049</v>
      </c>
      <c r="D223" s="1" t="s">
        <v>1050</v>
      </c>
    </row>
    <row r="224">
      <c r="A224" s="4">
        <v>553044.0</v>
      </c>
      <c r="B224" s="4">
        <v>1523.0</v>
      </c>
      <c r="C224" s="1" t="s">
        <v>182</v>
      </c>
      <c r="D224" s="1" t="s">
        <v>1053</v>
      </c>
    </row>
    <row r="225">
      <c r="A225" s="4">
        <v>553066.0</v>
      </c>
      <c r="B225" s="4">
        <v>82.0</v>
      </c>
      <c r="C225" s="1" t="s">
        <v>195</v>
      </c>
      <c r="D225" s="1" t="s">
        <v>1057</v>
      </c>
    </row>
    <row r="226">
      <c r="A226" s="4">
        <v>553064.0</v>
      </c>
      <c r="B226" s="4">
        <v>50.0</v>
      </c>
      <c r="C226" s="1" t="s">
        <v>182</v>
      </c>
      <c r="D226" s="1" t="s">
        <v>1061</v>
      </c>
    </row>
    <row r="227">
      <c r="A227" s="4">
        <v>553054.0</v>
      </c>
      <c r="B227" s="4">
        <v>190.0</v>
      </c>
      <c r="C227" s="1" t="s">
        <v>195</v>
      </c>
      <c r="D227" s="1" t="s">
        <v>1065</v>
      </c>
    </row>
    <row r="228">
      <c r="A228" s="4">
        <v>55617.0</v>
      </c>
      <c r="B228" s="4">
        <v>1499.0</v>
      </c>
      <c r="C228" s="1" t="s">
        <v>195</v>
      </c>
      <c r="D228" s="1" t="s">
        <v>1070</v>
      </c>
    </row>
    <row r="229">
      <c r="A229" s="4">
        <v>556506.0</v>
      </c>
      <c r="B229" s="4">
        <v>1689.0</v>
      </c>
      <c r="C229" s="1" t="s">
        <v>1075</v>
      </c>
      <c r="D229" s="1" t="s">
        <v>1076</v>
      </c>
    </row>
    <row r="230">
      <c r="A230" s="4">
        <v>55646.0</v>
      </c>
      <c r="B230" s="4">
        <v>649.0</v>
      </c>
      <c r="C230" s="1" t="s">
        <v>195</v>
      </c>
      <c r="D230" s="1" t="s">
        <v>1080</v>
      </c>
    </row>
    <row r="231">
      <c r="A231" s="4">
        <v>55665.0</v>
      </c>
      <c r="B231" s="4">
        <v>1131.0</v>
      </c>
      <c r="C231" s="1" t="s">
        <v>182</v>
      </c>
      <c r="D231" s="1" t="s">
        <v>1084</v>
      </c>
    </row>
    <row r="232">
      <c r="A232" s="4">
        <v>55666.0</v>
      </c>
      <c r="B232" s="4">
        <v>1379.0</v>
      </c>
      <c r="C232" s="1" t="s">
        <v>1089</v>
      </c>
      <c r="D232" s="1" t="s">
        <v>1090</v>
      </c>
    </row>
    <row r="233">
      <c r="A233" s="4">
        <v>55664.0</v>
      </c>
      <c r="B233" s="4">
        <v>42.0</v>
      </c>
      <c r="C233" s="1" t="s">
        <v>182</v>
      </c>
      <c r="D233" s="1" t="s">
        <v>1093</v>
      </c>
    </row>
    <row r="234">
      <c r="A234" s="4">
        <v>55754.0</v>
      </c>
      <c r="B234" s="4">
        <v>6284.0</v>
      </c>
      <c r="C234" s="1" t="s">
        <v>1097</v>
      </c>
      <c r="D234" s="1" t="s">
        <v>1098</v>
      </c>
    </row>
    <row r="235">
      <c r="A235" s="4">
        <v>55767.0</v>
      </c>
      <c r="B235" s="4">
        <v>533.0</v>
      </c>
      <c r="C235" s="1" t="s">
        <v>524</v>
      </c>
      <c r="D235" s="1" t="s">
        <v>1101</v>
      </c>
    </row>
    <row r="236">
      <c r="A236" s="4">
        <v>55405.0</v>
      </c>
      <c r="B236" s="4">
        <v>9134.0</v>
      </c>
      <c r="C236" s="1" t="s">
        <v>143</v>
      </c>
      <c r="D236" s="1" t="s">
        <v>1106</v>
      </c>
    </row>
    <row r="237">
      <c r="A237" s="4">
        <v>554305.0</v>
      </c>
      <c r="B237" s="4">
        <v>5615.0</v>
      </c>
      <c r="C237" s="1" t="s">
        <v>1110</v>
      </c>
      <c r="D237" s="1" t="s">
        <v>1111</v>
      </c>
    </row>
    <row r="238">
      <c r="A238" s="4">
        <v>554304.0</v>
      </c>
      <c r="B238" s="4">
        <v>4992.0</v>
      </c>
      <c r="C238" s="1" t="s">
        <v>1114</v>
      </c>
      <c r="D238" s="1" t="s">
        <v>1115</v>
      </c>
    </row>
    <row r="239">
      <c r="A239" s="4">
        <v>55457.0</v>
      </c>
      <c r="B239" s="4">
        <v>2384.0</v>
      </c>
      <c r="C239" s="1" t="s">
        <v>417</v>
      </c>
      <c r="D239" s="1" t="s">
        <v>1118</v>
      </c>
    </row>
    <row r="240">
      <c r="A240" s="4">
        <v>555505.0</v>
      </c>
      <c r="B240" s="4">
        <v>1806.0</v>
      </c>
      <c r="C240" s="1" t="s">
        <v>1121</v>
      </c>
      <c r="D240" s="1" t="s">
        <v>1122</v>
      </c>
    </row>
    <row r="241">
      <c r="A241" s="4">
        <v>500141.0</v>
      </c>
      <c r="B241" s="4">
        <v>4555.0</v>
      </c>
      <c r="C241" s="1" t="s">
        <v>37</v>
      </c>
      <c r="D241" s="1" t="s">
        <v>1127</v>
      </c>
    </row>
    <row r="242">
      <c r="A242" s="4">
        <v>500510.0</v>
      </c>
      <c r="B242" s="4">
        <v>191.0</v>
      </c>
      <c r="C242" s="1" t="s">
        <v>195</v>
      </c>
      <c r="D242" s="1" t="s">
        <v>1130</v>
      </c>
    </row>
    <row r="243">
      <c r="A243" s="4">
        <v>500515.0</v>
      </c>
      <c r="B243" s="4">
        <v>4486.0</v>
      </c>
      <c r="C243" s="1" t="s">
        <v>1135</v>
      </c>
      <c r="D243" s="1" t="s">
        <v>1136</v>
      </c>
    </row>
    <row r="244">
      <c r="A244" s="4">
        <v>500571.0</v>
      </c>
      <c r="B244" s="4">
        <v>8257.0</v>
      </c>
      <c r="C244" s="1" t="s">
        <v>1140</v>
      </c>
      <c r="D244" s="1" t="s">
        <v>1141</v>
      </c>
    </row>
    <row r="245">
      <c r="A245" s="4">
        <v>5005430.0</v>
      </c>
      <c r="B245" s="4">
        <v>2473.0</v>
      </c>
      <c r="C245" s="1" t="s">
        <v>1145</v>
      </c>
      <c r="D245" s="1" t="s">
        <v>1146</v>
      </c>
    </row>
    <row r="246">
      <c r="A246" s="4">
        <v>500401.0</v>
      </c>
      <c r="B246" s="4">
        <v>795.0</v>
      </c>
      <c r="C246" s="1" t="s">
        <v>505</v>
      </c>
      <c r="D246" s="1" t="s">
        <v>1151</v>
      </c>
    </row>
    <row r="247">
      <c r="A247" s="4">
        <v>5004450.0</v>
      </c>
      <c r="B247" s="4">
        <v>5927.0</v>
      </c>
      <c r="C247" s="1" t="s">
        <v>1154</v>
      </c>
      <c r="D247" s="1" t="s">
        <v>1155</v>
      </c>
    </row>
    <row r="248">
      <c r="A248" s="4">
        <v>5004430.0</v>
      </c>
      <c r="B248" s="4">
        <v>201.0</v>
      </c>
      <c r="C248" s="1" t="s">
        <v>365</v>
      </c>
      <c r="D248" s="1" t="s">
        <v>1158</v>
      </c>
    </row>
    <row r="249">
      <c r="A249" s="4">
        <v>500457.0</v>
      </c>
      <c r="B249" s="4">
        <v>2438.0</v>
      </c>
      <c r="C249" s="1" t="s">
        <v>81</v>
      </c>
      <c r="D249" s="1" t="s">
        <v>1162</v>
      </c>
    </row>
    <row r="250">
      <c r="A250" s="4">
        <v>5003057.0</v>
      </c>
      <c r="B250" s="4">
        <v>4503.0</v>
      </c>
      <c r="C250" s="1" t="s">
        <v>1165</v>
      </c>
      <c r="D250" s="1" t="s">
        <v>1166</v>
      </c>
    </row>
    <row r="251">
      <c r="A251" s="4">
        <v>5.0030305E8</v>
      </c>
      <c r="B251" s="4">
        <v>1666.0</v>
      </c>
      <c r="C251" s="1" t="s">
        <v>182</v>
      </c>
      <c r="D251" s="1" t="s">
        <v>1171</v>
      </c>
    </row>
    <row r="252">
      <c r="A252" s="4">
        <v>500667.0</v>
      </c>
      <c r="B252" s="4">
        <v>210.0</v>
      </c>
      <c r="C252" s="1" t="s">
        <v>1176</v>
      </c>
      <c r="D252" s="1" t="s">
        <v>1177</v>
      </c>
    </row>
    <row r="253">
      <c r="A253" s="4">
        <v>500646.0</v>
      </c>
      <c r="B253" s="4">
        <v>624.0</v>
      </c>
      <c r="C253" s="1" t="s">
        <v>37</v>
      </c>
      <c r="D253" s="1" t="s">
        <v>1180</v>
      </c>
    </row>
    <row r="254">
      <c r="A254" s="4">
        <v>500655.0</v>
      </c>
      <c r="B254" s="4">
        <v>2964.0</v>
      </c>
      <c r="C254" s="1" t="s">
        <v>1183</v>
      </c>
      <c r="D254" s="1" t="s">
        <v>1184</v>
      </c>
    </row>
    <row r="255">
      <c r="A255" s="4">
        <v>5004150.0</v>
      </c>
      <c r="B255" s="4">
        <v>51.0</v>
      </c>
      <c r="C255" s="1" t="s">
        <v>365</v>
      </c>
      <c r="D255" s="1" t="s">
        <v>1187</v>
      </c>
    </row>
    <row r="256">
      <c r="A256" s="4">
        <v>5004506.0</v>
      </c>
      <c r="B256" s="4">
        <v>2227.0</v>
      </c>
      <c r="C256" s="1" t="s">
        <v>895</v>
      </c>
      <c r="D256" s="1" t="s">
        <v>1191</v>
      </c>
    </row>
    <row r="257">
      <c r="A257" s="4">
        <v>500447.0</v>
      </c>
      <c r="B257" s="4">
        <v>805.0</v>
      </c>
      <c r="C257" s="1" t="s">
        <v>37</v>
      </c>
      <c r="D257" s="1" t="s">
        <v>1195</v>
      </c>
    </row>
    <row r="258">
      <c r="A258" s="4">
        <v>500444.0</v>
      </c>
      <c r="B258" s="4">
        <v>4874.0</v>
      </c>
      <c r="C258" s="1" t="s">
        <v>1198</v>
      </c>
      <c r="D258" s="1" t="s">
        <v>1199</v>
      </c>
    </row>
    <row r="259">
      <c r="A259" s="4">
        <v>500554.0</v>
      </c>
      <c r="B259" s="4">
        <v>5575.0</v>
      </c>
      <c r="C259" s="1" t="s">
        <v>1202</v>
      </c>
      <c r="D259" s="1" t="s">
        <v>1203</v>
      </c>
    </row>
    <row r="260">
      <c r="A260" s="4">
        <v>5005450.0</v>
      </c>
      <c r="B260" s="4">
        <v>7118.0</v>
      </c>
      <c r="C260" s="1" t="s">
        <v>37</v>
      </c>
      <c r="D260" s="1" t="s">
        <v>1207</v>
      </c>
    </row>
    <row r="261">
      <c r="A261" s="4">
        <v>500547.0</v>
      </c>
      <c r="B261" s="4">
        <v>2437.0</v>
      </c>
      <c r="C261" s="1" t="s">
        <v>1210</v>
      </c>
      <c r="D261" s="1" t="s">
        <v>1211</v>
      </c>
    </row>
    <row r="262">
      <c r="A262" s="4">
        <v>5005750.0</v>
      </c>
      <c r="B262" s="4">
        <v>21.0</v>
      </c>
      <c r="C262" s="1" t="s">
        <v>1215</v>
      </c>
      <c r="D262" s="1" t="s">
        <v>1216</v>
      </c>
    </row>
    <row r="263">
      <c r="A263" s="4">
        <v>501004.0</v>
      </c>
      <c r="B263" s="4">
        <v>2729.0</v>
      </c>
      <c r="C263" s="1" t="s">
        <v>1220</v>
      </c>
      <c r="D263" s="1" t="s">
        <v>1221</v>
      </c>
    </row>
    <row r="264">
      <c r="A264" s="4">
        <v>5010430.0</v>
      </c>
      <c r="B264" s="4">
        <v>2381.0</v>
      </c>
      <c r="C264" s="1" t="s">
        <v>1224</v>
      </c>
      <c r="D264" s="1" t="s">
        <v>1225</v>
      </c>
    </row>
    <row r="265">
      <c r="A265" s="4">
        <v>5011050.0</v>
      </c>
      <c r="B265" s="4">
        <v>2270.0</v>
      </c>
      <c r="C265" s="1" t="s">
        <v>365</v>
      </c>
      <c r="D265" s="1" t="s">
        <v>1230</v>
      </c>
    </row>
    <row r="266">
      <c r="A266" s="4">
        <v>5011504.0</v>
      </c>
      <c r="B266" s="4">
        <v>903.0</v>
      </c>
      <c r="C266" s="1" t="s">
        <v>1235</v>
      </c>
      <c r="D266" s="1" t="s">
        <v>1236</v>
      </c>
    </row>
    <row r="267">
      <c r="A267" s="4">
        <v>501160.0</v>
      </c>
      <c r="B267" s="4">
        <v>5278.0</v>
      </c>
      <c r="C267" s="1" t="s">
        <v>1240</v>
      </c>
      <c r="D267" s="1" t="s">
        <v>1241</v>
      </c>
    </row>
    <row r="268">
      <c r="A268" s="4">
        <v>501545.0</v>
      </c>
      <c r="B268" s="4">
        <v>4961.0</v>
      </c>
      <c r="C268" s="1" t="s">
        <v>1244</v>
      </c>
      <c r="D268" s="1" t="s">
        <v>1245</v>
      </c>
    </row>
    <row r="269">
      <c r="A269" s="4">
        <v>501547.0</v>
      </c>
      <c r="B269" s="4">
        <v>2598.0</v>
      </c>
      <c r="C269" s="1" t="s">
        <v>465</v>
      </c>
      <c r="D269" s="1" t="s">
        <v>1250</v>
      </c>
    </row>
    <row r="270">
      <c r="A270" s="4">
        <v>5015050.0</v>
      </c>
      <c r="B270" s="4">
        <v>9303.0</v>
      </c>
      <c r="C270" s="1" t="s">
        <v>1253</v>
      </c>
      <c r="D270" s="1" t="s">
        <v>1254</v>
      </c>
    </row>
    <row r="271">
      <c r="A271" s="4">
        <v>501416.0</v>
      </c>
      <c r="B271" s="4">
        <v>2114.0</v>
      </c>
      <c r="C271" s="1" t="s">
        <v>895</v>
      </c>
      <c r="D271" s="1" t="s">
        <v>1258</v>
      </c>
    </row>
    <row r="272">
      <c r="A272" s="4">
        <v>5014550.0</v>
      </c>
      <c r="B272" s="4">
        <v>7999.0</v>
      </c>
      <c r="C272" s="1" t="s">
        <v>195</v>
      </c>
      <c r="D272" s="1" t="s">
        <v>1261</v>
      </c>
    </row>
    <row r="273">
      <c r="A273" s="4">
        <v>501447.0</v>
      </c>
      <c r="B273" s="4">
        <v>3734.0</v>
      </c>
      <c r="C273" s="1" t="s">
        <v>1266</v>
      </c>
      <c r="D273" s="1" t="s">
        <v>1267</v>
      </c>
    </row>
    <row r="274">
      <c r="A274" s="4">
        <v>5013047.0</v>
      </c>
      <c r="B274" s="4">
        <v>310.0</v>
      </c>
      <c r="C274" s="1" t="s">
        <v>1271</v>
      </c>
      <c r="D274" s="1" t="s">
        <v>1272</v>
      </c>
    </row>
    <row r="275">
      <c r="A275" s="4">
        <v>5013050.0</v>
      </c>
      <c r="B275" s="4">
        <v>382.0</v>
      </c>
      <c r="C275" s="1" t="s">
        <v>365</v>
      </c>
      <c r="D275" s="1" t="s">
        <v>1276</v>
      </c>
    </row>
    <row r="276">
      <c r="A276" s="4">
        <v>501674.0</v>
      </c>
      <c r="B276" s="4">
        <v>2130.0</v>
      </c>
      <c r="C276" s="1" t="s">
        <v>1280</v>
      </c>
      <c r="D276" s="1" t="s">
        <v>1281</v>
      </c>
    </row>
    <row r="277">
      <c r="A277" s="4">
        <v>501757.0</v>
      </c>
      <c r="B277" s="4">
        <v>2115.0</v>
      </c>
      <c r="C277" s="1" t="s">
        <v>1286</v>
      </c>
      <c r="D277" s="1" t="s">
        <v>1287</v>
      </c>
    </row>
    <row r="278">
      <c r="A278" s="4">
        <v>501771.0</v>
      </c>
      <c r="B278" s="4">
        <v>5896.0</v>
      </c>
      <c r="C278" s="1" t="s">
        <v>1291</v>
      </c>
      <c r="D278" s="1" t="s">
        <v>1292</v>
      </c>
    </row>
    <row r="279">
      <c r="A279" s="4">
        <v>5017730.0</v>
      </c>
      <c r="B279" s="4">
        <v>0.0</v>
      </c>
      <c r="C279" s="1" t="s">
        <v>1296</v>
      </c>
      <c r="D279" s="1" t="s">
        <v>1297</v>
      </c>
    </row>
    <row r="280">
      <c r="A280" s="4">
        <v>5.014305E7</v>
      </c>
      <c r="B280" s="4">
        <v>3128.0</v>
      </c>
      <c r="C280" s="1" t="s">
        <v>1300</v>
      </c>
      <c r="D280" s="1" t="s">
        <v>1301</v>
      </c>
    </row>
    <row r="281">
      <c r="A281" s="4">
        <v>501464.0</v>
      </c>
      <c r="B281" s="4">
        <v>1017.0</v>
      </c>
      <c r="C281" s="1" t="s">
        <v>25</v>
      </c>
      <c r="D281" s="1" t="s">
        <v>1305</v>
      </c>
    </row>
    <row r="282">
      <c r="A282" s="4">
        <v>501550.0</v>
      </c>
      <c r="B282" s="4">
        <v>2013.0</v>
      </c>
      <c r="C282" s="1" t="s">
        <v>1309</v>
      </c>
      <c r="D282" s="1" t="s">
        <v>1310</v>
      </c>
    </row>
    <row r="283">
      <c r="A283" s="4">
        <v>5015550.0</v>
      </c>
      <c r="B283" s="4">
        <v>76.0</v>
      </c>
      <c r="C283" s="1" t="s">
        <v>321</v>
      </c>
      <c r="D283" s="1" t="s">
        <v>1315</v>
      </c>
    </row>
    <row r="284">
      <c r="A284" s="4">
        <v>5015504.0</v>
      </c>
      <c r="B284" s="4">
        <v>2.0</v>
      </c>
      <c r="C284" s="1" t="s">
        <v>365</v>
      </c>
      <c r="D284" s="1" t="s">
        <v>1318</v>
      </c>
    </row>
    <row r="285">
      <c r="A285" s="4">
        <v>505054.0</v>
      </c>
      <c r="B285" s="4">
        <v>3977.0</v>
      </c>
      <c r="C285" s="1" t="s">
        <v>1320</v>
      </c>
      <c r="D285" s="1" t="s">
        <v>1321</v>
      </c>
    </row>
    <row r="286">
      <c r="A286" s="4">
        <v>505504.0</v>
      </c>
      <c r="B286" s="4">
        <v>4954.0</v>
      </c>
      <c r="C286" s="1" t="s">
        <v>1325</v>
      </c>
      <c r="D286" s="1" t="s">
        <v>1326</v>
      </c>
    </row>
    <row r="287">
      <c r="A287" s="4">
        <v>505504.0</v>
      </c>
      <c r="B287" s="4">
        <v>2746.0</v>
      </c>
      <c r="C287" s="1" t="s">
        <v>1331</v>
      </c>
      <c r="D287" s="1" t="s">
        <v>1332</v>
      </c>
    </row>
    <row r="288">
      <c r="A288" s="4">
        <v>505514.0</v>
      </c>
      <c r="B288" s="4">
        <v>17.0</v>
      </c>
      <c r="C288" s="1" t="s">
        <v>1335</v>
      </c>
      <c r="D288" s="1" t="s">
        <v>1336</v>
      </c>
    </row>
    <row r="289">
      <c r="A289" s="4">
        <v>505574.0</v>
      </c>
      <c r="B289" s="4">
        <v>6978.0</v>
      </c>
      <c r="C289" s="1" t="s">
        <v>1339</v>
      </c>
      <c r="D289" s="1" t="s">
        <v>1340</v>
      </c>
    </row>
    <row r="290">
      <c r="A290" s="4">
        <v>505576.0</v>
      </c>
      <c r="B290" s="4">
        <v>7505.0</v>
      </c>
      <c r="C290" s="1" t="s">
        <v>1339</v>
      </c>
      <c r="D290" s="1" t="s">
        <v>1345</v>
      </c>
    </row>
    <row r="291">
      <c r="A291" s="4">
        <v>5055060.0</v>
      </c>
      <c r="B291" s="4">
        <v>802.0</v>
      </c>
      <c r="C291" s="1" t="s">
        <v>1349</v>
      </c>
      <c r="D291" s="1" t="s">
        <v>1350</v>
      </c>
    </row>
    <row r="292">
      <c r="A292" s="4">
        <v>5055054.0</v>
      </c>
      <c r="B292" s="4">
        <v>544.0</v>
      </c>
      <c r="C292" s="1" t="s">
        <v>1354</v>
      </c>
      <c r="D292" s="1" t="s">
        <v>1355</v>
      </c>
    </row>
    <row r="293">
      <c r="A293" s="4">
        <v>5054500.0</v>
      </c>
      <c r="B293" s="4">
        <v>1625.0</v>
      </c>
      <c r="C293" s="1" t="s">
        <v>1358</v>
      </c>
      <c r="D293" s="1" t="s">
        <v>1359</v>
      </c>
    </row>
    <row r="294">
      <c r="A294" s="4">
        <v>5054650.0</v>
      </c>
      <c r="B294" s="4">
        <v>3858.0</v>
      </c>
      <c r="C294" s="1" t="s">
        <v>1362</v>
      </c>
      <c r="D294" s="1" t="s">
        <v>1363</v>
      </c>
    </row>
    <row r="295">
      <c r="A295" s="4">
        <v>5053010.0</v>
      </c>
      <c r="B295" s="4">
        <v>216.0</v>
      </c>
      <c r="C295" s="1" t="s">
        <v>1367</v>
      </c>
      <c r="D295" s="1" t="s">
        <v>1368</v>
      </c>
    </row>
    <row r="296">
      <c r="A296" s="4">
        <v>5056530.0</v>
      </c>
      <c r="B296" s="4">
        <v>2060.0</v>
      </c>
      <c r="C296" s="1" t="s">
        <v>1240</v>
      </c>
      <c r="D296" s="1" t="s">
        <v>1371</v>
      </c>
    </row>
    <row r="297">
      <c r="A297" s="4">
        <v>505641.0</v>
      </c>
      <c r="B297" s="4">
        <v>2114.0</v>
      </c>
      <c r="C297" s="1" t="s">
        <v>1374</v>
      </c>
      <c r="D297" s="1" t="s">
        <v>1375</v>
      </c>
    </row>
    <row r="298">
      <c r="A298" s="4">
        <v>505704.0</v>
      </c>
      <c r="B298" s="4">
        <v>3481.0</v>
      </c>
      <c r="C298" s="1" t="s">
        <v>417</v>
      </c>
      <c r="D298" s="1" t="s">
        <v>1379</v>
      </c>
    </row>
    <row r="299">
      <c r="A299" s="4">
        <v>505741.0</v>
      </c>
      <c r="B299" s="4">
        <v>1752.0</v>
      </c>
      <c r="C299" s="1" t="s">
        <v>1384</v>
      </c>
      <c r="D299" s="1" t="s">
        <v>1385</v>
      </c>
    </row>
    <row r="300">
      <c r="A300" s="4">
        <v>505400.0</v>
      </c>
      <c r="B300" s="4">
        <v>1124.0</v>
      </c>
      <c r="C300" s="1" t="s">
        <v>195</v>
      </c>
      <c r="D300" s="1" t="s">
        <v>1388</v>
      </c>
    </row>
    <row r="301">
      <c r="A301" s="4">
        <v>505414.0</v>
      </c>
      <c r="B301" s="4">
        <v>379.0</v>
      </c>
      <c r="C301" s="1" t="s">
        <v>25</v>
      </c>
      <c r="D301" s="1" t="s">
        <v>1392</v>
      </c>
    </row>
    <row r="302">
      <c r="A302" s="4">
        <v>5.0500505E7</v>
      </c>
      <c r="B302" s="4">
        <v>1100.0</v>
      </c>
      <c r="C302" s="1" t="s">
        <v>1395</v>
      </c>
      <c r="D302" s="1" t="s">
        <v>1396</v>
      </c>
    </row>
    <row r="303">
      <c r="A303" s="4">
        <v>5050077.0</v>
      </c>
      <c r="B303" s="4">
        <v>1144.0</v>
      </c>
      <c r="C303" s="1" t="s">
        <v>1399</v>
      </c>
      <c r="D303" s="1" t="s">
        <v>1400</v>
      </c>
    </row>
    <row r="304">
      <c r="A304" s="4">
        <v>5.050143E7</v>
      </c>
      <c r="B304" s="4">
        <v>1092.0</v>
      </c>
      <c r="C304" s="1" t="s">
        <v>1403</v>
      </c>
      <c r="D304" s="1" t="s">
        <v>1404</v>
      </c>
    </row>
    <row r="305">
      <c r="A305" s="4">
        <v>5050145.0</v>
      </c>
      <c r="B305" s="4">
        <v>1402.0</v>
      </c>
      <c r="C305" s="1" t="s">
        <v>1408</v>
      </c>
      <c r="D305" s="1" t="s">
        <v>1409</v>
      </c>
    </row>
    <row r="306">
      <c r="A306" s="4">
        <v>5.050143E7</v>
      </c>
      <c r="B306" s="4">
        <v>476.0</v>
      </c>
      <c r="C306" s="1" t="s">
        <v>1413</v>
      </c>
      <c r="D306" s="1" t="s">
        <v>1414</v>
      </c>
    </row>
    <row r="307">
      <c r="A307" s="4">
        <v>5.0505014E7</v>
      </c>
      <c r="B307" s="4">
        <v>0.0</v>
      </c>
      <c r="C307" s="1" t="s">
        <v>1418</v>
      </c>
      <c r="D307" s="1" t="s">
        <v>1419</v>
      </c>
    </row>
    <row r="308">
      <c r="A308" s="4">
        <v>5.050506E7</v>
      </c>
      <c r="B308" s="4">
        <v>259.0</v>
      </c>
      <c r="C308" s="1" t="s">
        <v>1423</v>
      </c>
      <c r="D308" s="1" t="s">
        <v>1424</v>
      </c>
    </row>
    <row r="309">
      <c r="A309" s="4">
        <v>5.0505063E8</v>
      </c>
      <c r="B309" s="4">
        <v>876.0</v>
      </c>
      <c r="C309" s="1" t="s">
        <v>1427</v>
      </c>
      <c r="D309" s="1" t="s">
        <v>1428</v>
      </c>
    </row>
    <row r="310">
      <c r="A310" s="4">
        <v>5.0505074E7</v>
      </c>
      <c r="B310" s="4">
        <v>0.0</v>
      </c>
      <c r="C310" s="1" t="s">
        <v>417</v>
      </c>
      <c r="D310" s="1" t="s">
        <v>1432</v>
      </c>
    </row>
    <row r="311">
      <c r="A311" s="4">
        <v>5.0505041E7</v>
      </c>
      <c r="B311" s="4">
        <v>259.0</v>
      </c>
      <c r="C311" s="1" t="s">
        <v>1436</v>
      </c>
      <c r="D311" s="1" t="s">
        <v>1437</v>
      </c>
    </row>
    <row r="312">
      <c r="A312" s="4">
        <v>5.0503054E7</v>
      </c>
      <c r="B312" s="4">
        <v>7.0</v>
      </c>
      <c r="C312" s="1" t="s">
        <v>1440</v>
      </c>
      <c r="D312" s="1" t="s">
        <v>1441</v>
      </c>
    </row>
    <row r="313">
      <c r="A313" s="4">
        <v>5.05030504E8</v>
      </c>
      <c r="B313" s="4">
        <v>2037.0</v>
      </c>
      <c r="C313" s="1" t="s">
        <v>182</v>
      </c>
      <c r="D313" s="1" t="s">
        <v>1445</v>
      </c>
    </row>
    <row r="314">
      <c r="A314" s="4">
        <v>5.0506504E7</v>
      </c>
      <c r="B314" s="4">
        <v>866.0</v>
      </c>
      <c r="C314" s="1" t="s">
        <v>609</v>
      </c>
      <c r="D314" s="1" t="s">
        <v>1450</v>
      </c>
    </row>
    <row r="315">
      <c r="A315" s="4">
        <v>5050664.0</v>
      </c>
      <c r="B315" s="4">
        <v>54.0</v>
      </c>
      <c r="C315" s="1" t="s">
        <v>1367</v>
      </c>
      <c r="D315" s="1" t="s">
        <v>1453</v>
      </c>
    </row>
    <row r="316">
      <c r="A316" s="4">
        <v>5050745.0</v>
      </c>
      <c r="B316" s="4">
        <v>206.0</v>
      </c>
      <c r="C316" s="1" t="s">
        <v>365</v>
      </c>
      <c r="D316" s="1" t="s">
        <v>1456</v>
      </c>
    </row>
    <row r="317">
      <c r="A317" s="4">
        <v>5050740.0</v>
      </c>
      <c r="B317" s="4">
        <v>1616.0</v>
      </c>
      <c r="C317" s="1" t="s">
        <v>1461</v>
      </c>
      <c r="D317" s="1" t="s">
        <v>1462</v>
      </c>
    </row>
    <row r="318">
      <c r="A318" s="4">
        <v>5.050455E7</v>
      </c>
      <c r="B318" s="4">
        <v>57.0</v>
      </c>
      <c r="C318" s="1" t="s">
        <v>1367</v>
      </c>
      <c r="D318" s="1" t="s">
        <v>1465</v>
      </c>
    </row>
    <row r="319">
      <c r="A319" s="4">
        <v>5050446.0</v>
      </c>
      <c r="B319" s="4">
        <v>158.0</v>
      </c>
      <c r="C319" s="1" t="s">
        <v>1468</v>
      </c>
      <c r="D319" s="1" t="s">
        <v>1469</v>
      </c>
    </row>
    <row r="320">
      <c r="A320" s="4">
        <v>5.0504305E7</v>
      </c>
      <c r="B320" s="4">
        <v>92.0</v>
      </c>
      <c r="C320" s="1" t="s">
        <v>1473</v>
      </c>
      <c r="D320" s="1" t="s">
        <v>1474</v>
      </c>
    </row>
    <row r="321">
      <c r="A321" s="4">
        <v>5050506.0</v>
      </c>
      <c r="B321" s="4">
        <v>770.0</v>
      </c>
      <c r="C321" s="1" t="s">
        <v>1480</v>
      </c>
      <c r="D321" s="1" t="s">
        <v>1481</v>
      </c>
    </row>
    <row r="322">
      <c r="A322" s="4">
        <v>5050511.0</v>
      </c>
      <c r="B322" s="4">
        <v>669.0</v>
      </c>
      <c r="C322" s="1" t="s">
        <v>1484</v>
      </c>
      <c r="D322" s="1" t="s">
        <v>1485</v>
      </c>
    </row>
    <row r="323">
      <c r="A323" s="4">
        <v>5040504.0</v>
      </c>
      <c r="B323" s="4">
        <v>118.0</v>
      </c>
      <c r="C323" s="1" t="s">
        <v>1490</v>
      </c>
      <c r="D323" s="1" t="s">
        <v>1491</v>
      </c>
    </row>
    <row r="324">
      <c r="A324" s="4">
        <v>504054.0</v>
      </c>
      <c r="B324" s="4">
        <v>667.0</v>
      </c>
      <c r="C324" s="1" t="s">
        <v>1495</v>
      </c>
      <c r="D324" s="1" t="s">
        <v>1496</v>
      </c>
    </row>
    <row r="325">
      <c r="A325" s="4">
        <v>504554.0</v>
      </c>
      <c r="B325" s="4">
        <v>225.0</v>
      </c>
      <c r="C325" s="1" t="s">
        <v>1499</v>
      </c>
      <c r="D325" s="1" t="s">
        <v>1500</v>
      </c>
    </row>
    <row r="326">
      <c r="A326" s="4">
        <v>5045307.0</v>
      </c>
      <c r="B326" s="4">
        <v>1295.0</v>
      </c>
      <c r="C326" s="1" t="s">
        <v>1504</v>
      </c>
      <c r="D326" s="1" t="s">
        <v>1505</v>
      </c>
    </row>
    <row r="327">
      <c r="A327" s="4">
        <v>5045046.0</v>
      </c>
      <c r="B327" s="4">
        <v>354.0</v>
      </c>
      <c r="C327" s="1" t="s">
        <v>1413</v>
      </c>
      <c r="D327" s="1" t="s">
        <v>1510</v>
      </c>
    </row>
    <row r="328">
      <c r="A328" s="4">
        <v>5045070.0</v>
      </c>
      <c r="B328" s="4">
        <v>118.0</v>
      </c>
      <c r="C328" s="1" t="s">
        <v>1514</v>
      </c>
      <c r="D328" s="1" t="s">
        <v>1515</v>
      </c>
    </row>
    <row r="329">
      <c r="A329" s="4">
        <v>5044030.0</v>
      </c>
      <c r="B329" s="4">
        <v>226.0</v>
      </c>
      <c r="C329" s="1" t="s">
        <v>1518</v>
      </c>
      <c r="D329" s="1" t="s">
        <v>1519</v>
      </c>
    </row>
    <row r="330">
      <c r="A330" s="4">
        <v>504475.0</v>
      </c>
      <c r="B330" s="4">
        <v>0.0</v>
      </c>
      <c r="C330" s="1" t="s">
        <v>1522</v>
      </c>
      <c r="D330" s="1" t="s">
        <v>1523</v>
      </c>
    </row>
    <row r="331">
      <c r="A331" s="4">
        <v>5044450.0</v>
      </c>
      <c r="B331" s="4">
        <v>18.0</v>
      </c>
      <c r="C331" s="1" t="s">
        <v>1524</v>
      </c>
      <c r="D331" s="1" t="s">
        <v>1525</v>
      </c>
    </row>
    <row r="332">
      <c r="A332" s="4">
        <v>5043050.0</v>
      </c>
      <c r="B332" s="4">
        <v>540.0</v>
      </c>
      <c r="C332" s="1" t="s">
        <v>554</v>
      </c>
      <c r="D332" s="1" t="s">
        <v>1528</v>
      </c>
    </row>
    <row r="333">
      <c r="A333" s="4">
        <v>5046501.0</v>
      </c>
      <c r="B333" s="4">
        <v>64.0</v>
      </c>
      <c r="C333" s="1" t="s">
        <v>1531</v>
      </c>
      <c r="D333" s="1" t="s">
        <v>1532</v>
      </c>
    </row>
    <row r="334">
      <c r="A334" s="4">
        <v>5.046303E7</v>
      </c>
      <c r="B334" s="4">
        <v>3102.0</v>
      </c>
      <c r="C334" s="1" t="s">
        <v>1535</v>
      </c>
      <c r="D334" s="1" t="s">
        <v>1536</v>
      </c>
    </row>
    <row r="335">
      <c r="A335" s="4">
        <v>5047430.0</v>
      </c>
      <c r="B335" s="4">
        <v>181.0</v>
      </c>
      <c r="C335" s="1" t="s">
        <v>1540</v>
      </c>
      <c r="D335" s="1" t="s">
        <v>1541</v>
      </c>
    </row>
    <row r="336">
      <c r="A336" s="4">
        <v>5047301.0</v>
      </c>
      <c r="B336" s="4">
        <v>2.0</v>
      </c>
      <c r="C336" s="1" t="s">
        <v>37</v>
      </c>
      <c r="D336" s="1" t="s">
        <v>1544</v>
      </c>
    </row>
    <row r="337">
      <c r="A337" s="4">
        <v>504404.0</v>
      </c>
      <c r="B337" s="4">
        <v>166.0</v>
      </c>
      <c r="C337" s="1" t="s">
        <v>631</v>
      </c>
      <c r="D337" s="1" t="s">
        <v>1547</v>
      </c>
    </row>
    <row r="338">
      <c r="A338" s="4">
        <v>5044506.0</v>
      </c>
      <c r="B338" s="4">
        <v>0.0</v>
      </c>
      <c r="C338" s="1" t="s">
        <v>25</v>
      </c>
      <c r="D338" s="1" t="s">
        <v>1550</v>
      </c>
    </row>
    <row r="339">
      <c r="A339" s="4">
        <v>5044450.0</v>
      </c>
      <c r="B339" s="4">
        <v>662.0</v>
      </c>
      <c r="C339" s="1" t="s">
        <v>1553</v>
      </c>
      <c r="D339" s="1" t="s">
        <v>1554</v>
      </c>
    </row>
    <row r="340">
      <c r="A340" s="4">
        <v>504464.0</v>
      </c>
      <c r="B340" s="4">
        <v>749.0</v>
      </c>
      <c r="C340" s="1" t="s">
        <v>1557</v>
      </c>
      <c r="D340" s="1" t="s">
        <v>1558</v>
      </c>
    </row>
    <row r="341">
      <c r="A341" s="4">
        <v>504451.0</v>
      </c>
      <c r="B341" s="4">
        <v>2.0</v>
      </c>
      <c r="C341" s="1" t="s">
        <v>1367</v>
      </c>
      <c r="D341" s="1" t="s">
        <v>1562</v>
      </c>
    </row>
    <row r="342">
      <c r="A342" s="4">
        <v>504455.0</v>
      </c>
      <c r="B342" s="4">
        <v>160.0</v>
      </c>
      <c r="C342" s="1" t="s">
        <v>1367</v>
      </c>
      <c r="D342" s="1" t="s">
        <v>1565</v>
      </c>
    </row>
    <row r="343">
      <c r="A343" s="4">
        <v>504545.0</v>
      </c>
      <c r="B343" s="4">
        <v>21.0</v>
      </c>
      <c r="C343" s="1" t="s">
        <v>1568</v>
      </c>
      <c r="D343" s="1" t="s">
        <v>1569</v>
      </c>
    </row>
    <row r="344">
      <c r="A344" s="4">
        <v>5045304.0</v>
      </c>
      <c r="B344" s="4">
        <v>21.0</v>
      </c>
      <c r="C344" s="1" t="s">
        <v>1367</v>
      </c>
      <c r="D344" s="1" t="s">
        <v>1572</v>
      </c>
    </row>
    <row r="345">
      <c r="A345" s="4">
        <v>504540.0</v>
      </c>
      <c r="B345" s="4">
        <v>757.0</v>
      </c>
      <c r="C345" s="1" t="s">
        <v>1575</v>
      </c>
      <c r="D345" s="1" t="s">
        <v>1576</v>
      </c>
    </row>
    <row r="346">
      <c r="A346" s="4">
        <v>5045530.0</v>
      </c>
      <c r="B346" s="4">
        <v>433.0</v>
      </c>
      <c r="C346" s="1" t="s">
        <v>1579</v>
      </c>
      <c r="D346" s="1" t="s">
        <v>1580</v>
      </c>
    </row>
    <row r="347">
      <c r="A347" s="4">
        <v>5.0300304E7</v>
      </c>
      <c r="B347" s="4">
        <v>0.0</v>
      </c>
      <c r="C347" s="1" t="s">
        <v>1583</v>
      </c>
      <c r="D347" s="1" t="s">
        <v>1584</v>
      </c>
    </row>
    <row r="348">
      <c r="A348" s="4">
        <v>5.030045E7</v>
      </c>
      <c r="B348" s="4">
        <v>2.0</v>
      </c>
      <c r="C348" s="1" t="s">
        <v>1588</v>
      </c>
      <c r="D348" s="1" t="s">
        <v>1589</v>
      </c>
    </row>
    <row r="349">
      <c r="A349" s="4">
        <v>5.0301507E7</v>
      </c>
      <c r="B349" s="4">
        <v>850.0</v>
      </c>
      <c r="C349" s="1" t="s">
        <v>1592</v>
      </c>
      <c r="D349" s="1" t="s">
        <v>1593</v>
      </c>
    </row>
    <row r="350">
      <c r="A350" s="4">
        <v>5030144.0</v>
      </c>
      <c r="B350" s="4">
        <v>102.0</v>
      </c>
      <c r="C350" s="1" t="s">
        <v>1594</v>
      </c>
      <c r="D350" s="1" t="s">
        <v>1595</v>
      </c>
    </row>
    <row r="351">
      <c r="A351" s="4">
        <v>5030144.0</v>
      </c>
      <c r="B351" s="4">
        <v>27.0</v>
      </c>
      <c r="C351" s="1" t="s">
        <v>1599</v>
      </c>
      <c r="D351" s="1" t="s">
        <v>1600</v>
      </c>
    </row>
    <row r="352">
      <c r="A352" s="4">
        <v>5.0301305E7</v>
      </c>
      <c r="B352" s="4">
        <v>1662.0</v>
      </c>
      <c r="C352" s="1" t="s">
        <v>1604</v>
      </c>
      <c r="D352" s="1" t="s">
        <v>1605</v>
      </c>
    </row>
    <row r="353">
      <c r="A353" s="4">
        <v>5030170.0</v>
      </c>
      <c r="B353" s="4">
        <v>452.0</v>
      </c>
      <c r="C353" s="1" t="s">
        <v>1609</v>
      </c>
      <c r="D353" s="1" t="s">
        <v>1610</v>
      </c>
    </row>
    <row r="354">
      <c r="A354" s="4">
        <v>5.030173E7</v>
      </c>
      <c r="B354" s="4">
        <v>21.0</v>
      </c>
      <c r="C354" s="1" t="s">
        <v>25</v>
      </c>
      <c r="D354" s="1" t="s">
        <v>1614</v>
      </c>
    </row>
    <row r="355">
      <c r="A355" s="4">
        <v>5030154.0</v>
      </c>
      <c r="B355" s="4">
        <v>61.0</v>
      </c>
      <c r="C355" s="1" t="s">
        <v>1617</v>
      </c>
      <c r="D355" s="1" t="s">
        <v>1618</v>
      </c>
    </row>
    <row r="356">
      <c r="A356" s="4">
        <v>5030504.0</v>
      </c>
      <c r="B356" s="4">
        <v>440.0</v>
      </c>
      <c r="C356" s="1" t="s">
        <v>1621</v>
      </c>
      <c r="D356" s="1" t="s">
        <v>1622</v>
      </c>
    </row>
    <row r="357">
      <c r="A357" s="4">
        <v>5.0305505E7</v>
      </c>
      <c r="B357" s="4">
        <v>193.0</v>
      </c>
      <c r="C357" s="1" t="s">
        <v>1367</v>
      </c>
      <c r="D357" s="1" t="s">
        <v>1626</v>
      </c>
    </row>
    <row r="358">
      <c r="A358" s="4">
        <v>5.0305307E7</v>
      </c>
      <c r="B358" s="4">
        <v>1186.0</v>
      </c>
      <c r="C358" s="1" t="s">
        <v>1629</v>
      </c>
      <c r="D358" s="1" t="s">
        <v>1630</v>
      </c>
    </row>
    <row r="359">
      <c r="A359" s="4">
        <v>5.030553E7</v>
      </c>
      <c r="B359" s="4">
        <v>25.0</v>
      </c>
      <c r="C359" s="1" t="s">
        <v>1634</v>
      </c>
      <c r="D359" s="1" t="s">
        <v>1635</v>
      </c>
    </row>
    <row r="360">
      <c r="A360" s="4">
        <v>5.0305017E7</v>
      </c>
      <c r="B360" s="4">
        <v>118.0</v>
      </c>
      <c r="C360" s="1" t="s">
        <v>1638</v>
      </c>
      <c r="D360" s="1" t="s">
        <v>1639</v>
      </c>
    </row>
    <row r="361">
      <c r="A361" s="4">
        <v>5.0305055E8</v>
      </c>
      <c r="B361" s="4">
        <v>1.0</v>
      </c>
      <c r="C361" s="1" t="s">
        <v>1642</v>
      </c>
      <c r="D361" s="1" t="s">
        <v>1643</v>
      </c>
    </row>
    <row r="362">
      <c r="A362" s="4">
        <v>5.0305047E7</v>
      </c>
      <c r="B362" s="4">
        <v>9.0</v>
      </c>
      <c r="C362" s="1" t="s">
        <v>417</v>
      </c>
      <c r="D362" s="1" t="s">
        <v>1647</v>
      </c>
    </row>
    <row r="363">
      <c r="A363" s="4">
        <v>5.030503E8</v>
      </c>
      <c r="B363" s="4">
        <v>9.0</v>
      </c>
      <c r="C363" s="1" t="s">
        <v>1651</v>
      </c>
      <c r="D363" s="1" t="s">
        <v>1652</v>
      </c>
    </row>
    <row r="364">
      <c r="A364" s="4">
        <v>5030400.0</v>
      </c>
      <c r="B364" s="4">
        <v>51.0</v>
      </c>
      <c r="C364" s="1" t="s">
        <v>1331</v>
      </c>
      <c r="D364" s="1" t="s">
        <v>1655</v>
      </c>
    </row>
    <row r="365">
      <c r="A365" s="4">
        <v>5030404.0</v>
      </c>
      <c r="B365" s="4">
        <v>46.0</v>
      </c>
      <c r="C365" s="1" t="s">
        <v>1658</v>
      </c>
      <c r="D365" s="1" t="s">
        <v>1659</v>
      </c>
    </row>
    <row r="366">
      <c r="A366" s="4">
        <v>5030444.0</v>
      </c>
      <c r="B366" s="4">
        <v>71.0</v>
      </c>
      <c r="C366" s="1" t="s">
        <v>1662</v>
      </c>
      <c r="D366" s="1" t="s">
        <v>1663</v>
      </c>
    </row>
    <row r="367">
      <c r="A367" s="4">
        <v>5.0303005E7</v>
      </c>
      <c r="B367" s="4">
        <v>194.0</v>
      </c>
      <c r="C367" s="1" t="s">
        <v>1518</v>
      </c>
      <c r="D367" s="1" t="s">
        <v>1666</v>
      </c>
    </row>
    <row r="368">
      <c r="A368" s="4">
        <v>5.0303016E7</v>
      </c>
      <c r="B368" s="4">
        <v>73.0</v>
      </c>
      <c r="C368" s="1" t="s">
        <v>1670</v>
      </c>
      <c r="D368" s="1" t="s">
        <v>1671</v>
      </c>
    </row>
    <row r="369">
      <c r="A369" s="4">
        <v>5.03030505E8</v>
      </c>
      <c r="B369" s="4">
        <v>1.0</v>
      </c>
      <c r="C369" s="1" t="s">
        <v>365</v>
      </c>
      <c r="D369" s="1" t="s">
        <v>1675</v>
      </c>
    </row>
    <row r="370">
      <c r="A370" s="4">
        <v>5030604.0</v>
      </c>
      <c r="B370" s="4">
        <v>4.0</v>
      </c>
      <c r="C370" s="1" t="s">
        <v>365</v>
      </c>
      <c r="D370" s="1" t="s">
        <v>1678</v>
      </c>
    </row>
    <row r="371">
      <c r="A371" s="4">
        <v>5030617.0</v>
      </c>
      <c r="B371" s="4">
        <v>36.0</v>
      </c>
      <c r="C371" s="1" t="s">
        <v>1682</v>
      </c>
      <c r="D371" s="1" t="s">
        <v>1683</v>
      </c>
    </row>
    <row r="372">
      <c r="A372" s="4">
        <v>5.0306505E7</v>
      </c>
      <c r="B372" s="4">
        <v>88.0</v>
      </c>
      <c r="C372" s="1" t="s">
        <v>1686</v>
      </c>
      <c r="D372" s="1" t="s">
        <v>1687</v>
      </c>
    </row>
    <row r="373">
      <c r="A373" s="4">
        <v>5030641.0</v>
      </c>
      <c r="B373" s="4">
        <v>6.0</v>
      </c>
      <c r="C373" s="1" t="s">
        <v>1691</v>
      </c>
      <c r="D373" s="1" t="s">
        <v>1692</v>
      </c>
    </row>
    <row r="374">
      <c r="A374" s="4">
        <v>5030644.0</v>
      </c>
      <c r="B374" s="4">
        <v>1156.0</v>
      </c>
      <c r="C374" s="1" t="s">
        <v>646</v>
      </c>
      <c r="D374" s="1" t="s">
        <v>1695</v>
      </c>
    </row>
    <row r="375">
      <c r="A375" s="4">
        <v>5030646.0</v>
      </c>
      <c r="B375" s="4">
        <v>91.0</v>
      </c>
      <c r="C375" s="1" t="s">
        <v>1698</v>
      </c>
      <c r="D375" s="1" t="s">
        <v>1699</v>
      </c>
    </row>
    <row r="376">
      <c r="A376" s="4">
        <v>5030655.0</v>
      </c>
      <c r="B376" s="4">
        <v>31.0</v>
      </c>
      <c r="C376" s="1" t="s">
        <v>1568</v>
      </c>
      <c r="D376" s="1" t="s">
        <v>1702</v>
      </c>
    </row>
    <row r="377">
      <c r="A377" s="4">
        <v>5.030705E7</v>
      </c>
      <c r="B377" s="4">
        <v>1.0</v>
      </c>
      <c r="C377" s="1" t="s">
        <v>1568</v>
      </c>
      <c r="D377" s="1" t="s">
        <v>1705</v>
      </c>
    </row>
    <row r="378">
      <c r="A378" s="4">
        <v>5.030753E7</v>
      </c>
      <c r="B378" s="4">
        <v>33.0</v>
      </c>
      <c r="C378" s="1" t="s">
        <v>1331</v>
      </c>
      <c r="D378" s="1" t="s">
        <v>1708</v>
      </c>
    </row>
    <row r="379">
      <c r="A379" s="4">
        <v>5030740.0</v>
      </c>
      <c r="B379" s="4">
        <v>7.0</v>
      </c>
      <c r="C379" s="1" t="s">
        <v>1711</v>
      </c>
      <c r="D379" s="1" t="s">
        <v>1712</v>
      </c>
    </row>
    <row r="380">
      <c r="A380" s="4">
        <v>5.0307304E7</v>
      </c>
      <c r="B380" s="4">
        <v>74.0</v>
      </c>
      <c r="C380" s="1" t="s">
        <v>1715</v>
      </c>
      <c r="D380" s="1" t="s">
        <v>1716</v>
      </c>
    </row>
    <row r="381">
      <c r="A381" s="4">
        <v>5.030775E7</v>
      </c>
      <c r="B381" s="4">
        <v>489.0</v>
      </c>
      <c r="C381" s="1" t="s">
        <v>1719</v>
      </c>
      <c r="D381" s="1" t="s">
        <v>1720</v>
      </c>
    </row>
    <row r="382">
      <c r="A382" s="4">
        <v>5030744.0</v>
      </c>
      <c r="B382" s="4">
        <v>47.0</v>
      </c>
      <c r="C382" s="1" t="s">
        <v>1723</v>
      </c>
      <c r="D382" s="1" t="s">
        <v>1724</v>
      </c>
    </row>
    <row r="383">
      <c r="A383" s="4">
        <v>5.030753E7</v>
      </c>
      <c r="B383" s="4">
        <v>27.0</v>
      </c>
      <c r="C383" s="1" t="s">
        <v>295</v>
      </c>
      <c r="D383" s="1" t="s">
        <v>1727</v>
      </c>
    </row>
    <row r="384">
      <c r="A384" s="4">
        <v>5030756.0</v>
      </c>
      <c r="B384" s="4">
        <v>0.0</v>
      </c>
      <c r="C384" s="1" t="s">
        <v>1730</v>
      </c>
      <c r="D384" s="1" t="s">
        <v>1731</v>
      </c>
    </row>
    <row r="385">
      <c r="A385" s="4">
        <v>5030414.0</v>
      </c>
      <c r="B385" s="4">
        <v>89.0</v>
      </c>
      <c r="C385" s="1" t="s">
        <v>1733</v>
      </c>
      <c r="D385" s="1" t="s">
        <v>1734</v>
      </c>
    </row>
    <row r="386">
      <c r="A386" s="4">
        <v>5030454.0</v>
      </c>
      <c r="B386" s="4">
        <v>27.0</v>
      </c>
      <c r="C386" s="1" t="s">
        <v>25</v>
      </c>
      <c r="D386" s="1" t="s">
        <v>1737</v>
      </c>
    </row>
    <row r="387">
      <c r="A387" s="4">
        <v>5030444.0</v>
      </c>
      <c r="B387" s="4">
        <v>11.0</v>
      </c>
      <c r="C387" s="1" t="s">
        <v>1740</v>
      </c>
      <c r="D387" s="1" t="s">
        <v>1741</v>
      </c>
    </row>
    <row r="388">
      <c r="A388" s="4">
        <v>5030454.0</v>
      </c>
      <c r="B388" s="4">
        <v>0.0</v>
      </c>
      <c r="C388" s="1" t="s">
        <v>1744</v>
      </c>
      <c r="D388" s="1" t="s">
        <v>1745</v>
      </c>
    </row>
    <row r="389">
      <c r="A389" s="4">
        <v>5030507.0</v>
      </c>
      <c r="B389" s="4">
        <v>105.0</v>
      </c>
      <c r="C389" s="1" t="s">
        <v>1746</v>
      </c>
      <c r="D389" s="1" t="s">
        <v>1747</v>
      </c>
    </row>
    <row r="390">
      <c r="A390" s="4">
        <v>5.030515E7</v>
      </c>
      <c r="B390" s="4">
        <v>17.0</v>
      </c>
      <c r="C390" s="1" t="s">
        <v>1751</v>
      </c>
      <c r="D390" s="1" t="s">
        <v>1752</v>
      </c>
    </row>
    <row r="391">
      <c r="A391" s="4">
        <v>5030515.0</v>
      </c>
      <c r="B391" s="4">
        <v>51.0</v>
      </c>
      <c r="C391" s="1" t="s">
        <v>182</v>
      </c>
      <c r="D391" s="1" t="s">
        <v>1755</v>
      </c>
    </row>
    <row r="392">
      <c r="A392" s="4">
        <v>5030550.0</v>
      </c>
      <c r="B392" s="4">
        <v>89.0</v>
      </c>
      <c r="C392" s="1" t="s">
        <v>1145</v>
      </c>
      <c r="D392" s="1" t="s">
        <v>1759</v>
      </c>
    </row>
    <row r="393">
      <c r="A393" s="4">
        <v>5.030543E7</v>
      </c>
      <c r="B393" s="4">
        <v>23.0</v>
      </c>
      <c r="C393" s="1" t="s">
        <v>1367</v>
      </c>
      <c r="D393" s="1" t="s">
        <v>1763</v>
      </c>
    </row>
    <row r="394">
      <c r="A394" s="4">
        <v>5030577.0</v>
      </c>
      <c r="B394" s="4">
        <v>115.0</v>
      </c>
      <c r="C394" s="1" t="s">
        <v>1766</v>
      </c>
      <c r="D394" s="1" t="s">
        <v>1767</v>
      </c>
    </row>
    <row r="395">
      <c r="A395" s="4">
        <v>5030540.0</v>
      </c>
      <c r="B395" s="4">
        <v>5.0</v>
      </c>
      <c r="C395" s="1" t="s">
        <v>25</v>
      </c>
      <c r="D395" s="1" t="s">
        <v>1770</v>
      </c>
    </row>
    <row r="396">
      <c r="A396" s="4">
        <v>5030545.0</v>
      </c>
      <c r="B396" s="4">
        <v>61.0</v>
      </c>
      <c r="C396" s="1" t="s">
        <v>1367</v>
      </c>
      <c r="D396" s="1" t="s">
        <v>1774</v>
      </c>
    </row>
    <row r="397">
      <c r="A397" s="4">
        <v>5030544.0</v>
      </c>
      <c r="B397" s="4">
        <v>30.0</v>
      </c>
      <c r="C397" s="1" t="s">
        <v>1777</v>
      </c>
      <c r="D397" s="1" t="s">
        <v>1778</v>
      </c>
    </row>
    <row r="398">
      <c r="A398" s="4">
        <v>5030547.0</v>
      </c>
      <c r="B398" s="4">
        <v>31.0</v>
      </c>
      <c r="C398" s="1" t="s">
        <v>1781</v>
      </c>
      <c r="D398" s="1" t="s">
        <v>1782</v>
      </c>
    </row>
    <row r="399">
      <c r="A399" s="4">
        <v>5030556.0</v>
      </c>
      <c r="B399" s="4">
        <v>85.0</v>
      </c>
      <c r="C399" s="1" t="s">
        <v>1785</v>
      </c>
      <c r="D399" s="1" t="s">
        <v>1786</v>
      </c>
    </row>
    <row r="400">
      <c r="A400" s="4">
        <v>5030555.0</v>
      </c>
      <c r="B400" s="4">
        <v>37.0</v>
      </c>
      <c r="C400" s="1" t="s">
        <v>1271</v>
      </c>
      <c r="D400" s="1" t="s">
        <v>1787</v>
      </c>
    </row>
    <row r="401">
      <c r="A401" s="4">
        <v>5060150.0</v>
      </c>
      <c r="B401" s="4">
        <v>0.0</v>
      </c>
      <c r="C401" s="1" t="s">
        <v>1790</v>
      </c>
      <c r="D401" s="1" t="s">
        <v>1791</v>
      </c>
    </row>
    <row r="402">
      <c r="A402" s="4">
        <v>5.060305E7</v>
      </c>
      <c r="B402" s="4">
        <v>95.0</v>
      </c>
      <c r="C402" s="1" t="s">
        <v>903</v>
      </c>
      <c r="D402" s="1" t="s">
        <v>1794</v>
      </c>
    </row>
    <row r="403">
      <c r="A403" s="4">
        <v>506074.0</v>
      </c>
      <c r="B403" s="4">
        <v>575.0</v>
      </c>
      <c r="C403" s="1" t="s">
        <v>1797</v>
      </c>
      <c r="D403" s="1" t="s">
        <v>1798</v>
      </c>
    </row>
    <row r="404">
      <c r="A404" s="4">
        <v>506044.0</v>
      </c>
      <c r="B404" s="4">
        <v>3.0</v>
      </c>
      <c r="C404" s="1" t="s">
        <v>1799</v>
      </c>
      <c r="D404" s="1" t="s">
        <v>1800</v>
      </c>
    </row>
    <row r="405">
      <c r="A405" s="4">
        <v>506046.0</v>
      </c>
      <c r="B405" s="4">
        <v>50.0</v>
      </c>
      <c r="C405" s="1" t="s">
        <v>365</v>
      </c>
      <c r="D405" s="1" t="s">
        <v>1803</v>
      </c>
    </row>
    <row r="406">
      <c r="A406" s="4">
        <v>506110.0</v>
      </c>
      <c r="B406" s="4">
        <v>25.0</v>
      </c>
      <c r="C406" s="1" t="s">
        <v>1367</v>
      </c>
      <c r="D406" s="1" t="s">
        <v>1807</v>
      </c>
    </row>
    <row r="407">
      <c r="A407" s="4">
        <v>506115.0</v>
      </c>
      <c r="B407" s="4">
        <v>0.0</v>
      </c>
      <c r="C407" s="1" t="s">
        <v>1367</v>
      </c>
      <c r="D407" s="1" t="s">
        <v>1810</v>
      </c>
    </row>
    <row r="408">
      <c r="A408" s="4">
        <v>5061501.0</v>
      </c>
      <c r="B408" s="4">
        <v>4.0</v>
      </c>
      <c r="C408" s="1" t="s">
        <v>1813</v>
      </c>
      <c r="D408" s="1" t="s">
        <v>1814</v>
      </c>
    </row>
    <row r="409">
      <c r="A409" s="4">
        <v>506146.0</v>
      </c>
      <c r="B409" s="4">
        <v>0.0</v>
      </c>
      <c r="C409" s="1" t="s">
        <v>195</v>
      </c>
      <c r="D409" s="1" t="s">
        <v>1817</v>
      </c>
    </row>
    <row r="410">
      <c r="A410" s="4">
        <v>506177.0</v>
      </c>
      <c r="B410" s="4">
        <v>41.0</v>
      </c>
      <c r="C410" s="1" t="s">
        <v>1075</v>
      </c>
      <c r="D410" s="1" t="s">
        <v>1821</v>
      </c>
    </row>
    <row r="411">
      <c r="A411" s="4">
        <v>506141.0</v>
      </c>
      <c r="B411" s="4">
        <v>29.0</v>
      </c>
      <c r="C411" s="1"/>
      <c r="D411" s="1" t="s">
        <v>1825</v>
      </c>
    </row>
    <row r="412">
      <c r="A412" s="4">
        <v>506154.0</v>
      </c>
      <c r="B412" s="4">
        <v>2.0</v>
      </c>
      <c r="C412" s="1" t="s">
        <v>1828</v>
      </c>
      <c r="D412" s="1" t="s">
        <v>1829</v>
      </c>
    </row>
    <row r="413">
      <c r="A413" s="4">
        <v>506554.0</v>
      </c>
      <c r="B413" s="4">
        <v>0.0</v>
      </c>
      <c r="C413" s="1" t="s">
        <v>1833</v>
      </c>
      <c r="D413" s="1" t="s">
        <v>1834</v>
      </c>
    </row>
    <row r="414">
      <c r="A414" s="4">
        <v>506541.0</v>
      </c>
      <c r="B414" s="4">
        <v>83.0</v>
      </c>
      <c r="C414" s="1" t="s">
        <v>25</v>
      </c>
      <c r="D414" s="1" t="s">
        <v>1838</v>
      </c>
    </row>
    <row r="415">
      <c r="A415" s="4">
        <v>5065430.0</v>
      </c>
      <c r="B415" s="4">
        <v>111.0</v>
      </c>
      <c r="C415" s="1" t="s">
        <v>1841</v>
      </c>
      <c r="D415" s="1" t="s">
        <v>1842</v>
      </c>
    </row>
    <row r="416">
      <c r="A416" s="4">
        <v>506546.0</v>
      </c>
      <c r="B416" s="4">
        <v>21.0</v>
      </c>
      <c r="C416" s="1" t="s">
        <v>1845</v>
      </c>
      <c r="D416" s="1" t="s">
        <v>1846</v>
      </c>
    </row>
    <row r="417">
      <c r="A417" s="4">
        <v>5065306.0</v>
      </c>
      <c r="B417" s="4">
        <v>50.0</v>
      </c>
      <c r="C417" s="1" t="s">
        <v>1850</v>
      </c>
      <c r="D417" s="1" t="s">
        <v>1851</v>
      </c>
    </row>
    <row r="418">
      <c r="A418" s="4">
        <v>506565.0</v>
      </c>
      <c r="B418" s="4">
        <v>140.0</v>
      </c>
      <c r="C418" s="1" t="s">
        <v>269</v>
      </c>
      <c r="D418" s="1" t="s">
        <v>1854</v>
      </c>
    </row>
    <row r="419">
      <c r="A419" s="4">
        <v>506571.0</v>
      </c>
      <c r="B419" s="4">
        <v>18.0</v>
      </c>
      <c r="C419" s="1" t="s">
        <v>1857</v>
      </c>
      <c r="D419" s="1" t="s">
        <v>1858</v>
      </c>
    </row>
    <row r="420">
      <c r="A420" s="4">
        <v>506576.0</v>
      </c>
      <c r="B420" s="4">
        <v>0.0</v>
      </c>
      <c r="C420" s="1" t="s">
        <v>54</v>
      </c>
      <c r="D420" s="1" t="s">
        <v>1862</v>
      </c>
    </row>
    <row r="421">
      <c r="A421" s="4">
        <v>5.065003E7</v>
      </c>
      <c r="B421" s="4">
        <v>145.0</v>
      </c>
      <c r="C421" s="1" t="s">
        <v>1865</v>
      </c>
      <c r="D421" s="1" t="s">
        <v>1866</v>
      </c>
    </row>
    <row r="422">
      <c r="A422" s="4">
        <v>5065055.0</v>
      </c>
      <c r="B422" s="4">
        <v>91.0</v>
      </c>
      <c r="C422" s="1" t="s">
        <v>1869</v>
      </c>
      <c r="D422" s="1" t="s">
        <v>1870</v>
      </c>
    </row>
    <row r="423">
      <c r="A423" s="4">
        <v>5.065055E7</v>
      </c>
      <c r="B423" s="4">
        <v>0.0</v>
      </c>
      <c r="C423" s="1" t="s">
        <v>1871</v>
      </c>
      <c r="D423" s="1" t="s">
        <v>1872</v>
      </c>
    </row>
    <row r="424">
      <c r="A424" s="4">
        <v>5065055.0</v>
      </c>
      <c r="B424" s="4">
        <v>17.0</v>
      </c>
      <c r="C424" s="1" t="s">
        <v>1875</v>
      </c>
      <c r="D424" s="1" t="s">
        <v>1876</v>
      </c>
    </row>
    <row r="425">
      <c r="A425" s="4">
        <v>5.0650506E7</v>
      </c>
      <c r="B425" s="4">
        <v>0.0</v>
      </c>
      <c r="C425" s="1" t="s">
        <v>1880</v>
      </c>
      <c r="D425" s="1" t="s">
        <v>1881</v>
      </c>
    </row>
    <row r="426">
      <c r="A426" s="4">
        <v>5065045.0</v>
      </c>
      <c r="B426" s="4">
        <v>0.0</v>
      </c>
      <c r="C426" s="1" t="s">
        <v>1884</v>
      </c>
      <c r="D426" s="1" t="s">
        <v>1885</v>
      </c>
    </row>
    <row r="427">
      <c r="A427" s="4">
        <v>5.0650307E7</v>
      </c>
      <c r="B427" s="4">
        <v>0.0</v>
      </c>
      <c r="C427" s="1" t="s">
        <v>1888</v>
      </c>
      <c r="D427" s="1" t="s">
        <v>1889</v>
      </c>
    </row>
    <row r="428">
      <c r="A428" s="4">
        <v>5.065063E7</v>
      </c>
      <c r="B428" s="4">
        <v>82.0</v>
      </c>
      <c r="C428" s="1" t="s">
        <v>1893</v>
      </c>
      <c r="D428" s="1" t="s">
        <v>1894</v>
      </c>
    </row>
    <row r="429">
      <c r="A429" s="4">
        <v>5065065.0</v>
      </c>
      <c r="B429" s="4">
        <v>0.0</v>
      </c>
      <c r="C429" s="1" t="s">
        <v>365</v>
      </c>
      <c r="D429" s="1" t="s">
        <v>1897</v>
      </c>
    </row>
    <row r="430">
      <c r="A430" s="4">
        <v>5065074.0</v>
      </c>
      <c r="B430" s="4">
        <v>0.0</v>
      </c>
      <c r="C430" s="1" t="s">
        <v>1900</v>
      </c>
      <c r="D430" s="1" t="s">
        <v>1901</v>
      </c>
    </row>
    <row r="431">
      <c r="A431" s="4">
        <v>5065047.0</v>
      </c>
      <c r="B431" s="4">
        <v>45.0</v>
      </c>
      <c r="C431" s="1" t="s">
        <v>417</v>
      </c>
      <c r="D431" s="1" t="s">
        <v>1905</v>
      </c>
    </row>
    <row r="432">
      <c r="A432" s="4">
        <v>5065045.0</v>
      </c>
      <c r="B432" s="4">
        <v>0.0</v>
      </c>
      <c r="C432" s="1" t="s">
        <v>195</v>
      </c>
      <c r="D432" s="1" t="s">
        <v>1909</v>
      </c>
    </row>
    <row r="433">
      <c r="A433" s="4">
        <v>5065056.0</v>
      </c>
      <c r="B433" s="4">
        <v>0.0</v>
      </c>
      <c r="C433" s="1" t="s">
        <v>1913</v>
      </c>
      <c r="D433" s="1" t="s">
        <v>1914</v>
      </c>
    </row>
    <row r="434">
      <c r="A434" s="4">
        <v>5065054.0</v>
      </c>
      <c r="B434" s="4">
        <v>0.0</v>
      </c>
      <c r="C434" s="1" t="s">
        <v>1918</v>
      </c>
      <c r="D434" s="1" t="s">
        <v>1919</v>
      </c>
    </row>
    <row r="435">
      <c r="A435" s="4">
        <v>506406.0</v>
      </c>
      <c r="B435" s="4">
        <v>105.0</v>
      </c>
      <c r="C435" s="1" t="s">
        <v>473</v>
      </c>
      <c r="D435" s="1" t="s">
        <v>1923</v>
      </c>
    </row>
    <row r="436">
      <c r="A436" s="4">
        <v>506407.0</v>
      </c>
      <c r="B436" s="4">
        <v>0.0</v>
      </c>
      <c r="C436" s="1" t="s">
        <v>1524</v>
      </c>
      <c r="D436" s="1" t="s">
        <v>1927</v>
      </c>
    </row>
    <row r="437">
      <c r="A437" s="4">
        <v>506414.0</v>
      </c>
      <c r="B437" s="4">
        <v>0.0</v>
      </c>
      <c r="C437" s="1" t="s">
        <v>365</v>
      </c>
      <c r="D437" s="1" t="s">
        <v>1930</v>
      </c>
    </row>
    <row r="438">
      <c r="A438" s="4">
        <v>506445.0</v>
      </c>
      <c r="B438" s="4">
        <v>0.0</v>
      </c>
      <c r="C438" s="1" t="s">
        <v>1934</v>
      </c>
      <c r="D438" s="1" t="s">
        <v>1935</v>
      </c>
    </row>
    <row r="439">
      <c r="A439" s="4">
        <v>506444.0</v>
      </c>
      <c r="B439" s="4">
        <v>0.0</v>
      </c>
      <c r="C439" s="1" t="s">
        <v>1939</v>
      </c>
      <c r="D439" s="1" t="s">
        <v>1940</v>
      </c>
    </row>
    <row r="440">
      <c r="A440" s="4">
        <v>5064306.0</v>
      </c>
      <c r="B440" s="4">
        <v>52.0</v>
      </c>
      <c r="C440" s="1" t="s">
        <v>1869</v>
      </c>
      <c r="D440" s="1" t="s">
        <v>1944</v>
      </c>
    </row>
    <row r="441">
      <c r="A441" s="4">
        <v>506461.0</v>
      </c>
      <c r="B441" s="4">
        <v>31.0</v>
      </c>
      <c r="C441" s="1" t="s">
        <v>1367</v>
      </c>
      <c r="D441" s="1" t="s">
        <v>1947</v>
      </c>
    </row>
    <row r="442">
      <c r="A442" s="4">
        <v>506465.0</v>
      </c>
      <c r="B442" s="4">
        <v>0.0</v>
      </c>
      <c r="C442" s="1" t="s">
        <v>1950</v>
      </c>
      <c r="D442" s="1" t="s">
        <v>1951</v>
      </c>
    </row>
    <row r="443">
      <c r="A443" s="4">
        <v>506464.0</v>
      </c>
      <c r="B443" s="4">
        <v>189.0</v>
      </c>
      <c r="C443" s="1" t="s">
        <v>37</v>
      </c>
      <c r="D443" s="1" t="s">
        <v>1954</v>
      </c>
    </row>
    <row r="444">
      <c r="A444" s="4">
        <v>5064750.0</v>
      </c>
      <c r="B444" s="4">
        <v>0.0</v>
      </c>
      <c r="C444" s="1" t="s">
        <v>365</v>
      </c>
      <c r="D444" s="1" t="s">
        <v>1957</v>
      </c>
    </row>
    <row r="445">
      <c r="A445" s="4">
        <v>506474.0</v>
      </c>
      <c r="B445" s="4">
        <v>129.0</v>
      </c>
      <c r="C445" s="1" t="s">
        <v>195</v>
      </c>
      <c r="D445" s="1" t="s">
        <v>1961</v>
      </c>
    </row>
    <row r="446">
      <c r="A446" s="4">
        <v>506440.0</v>
      </c>
      <c r="B446" s="4">
        <v>0.0</v>
      </c>
      <c r="C446" s="1" t="s">
        <v>1965</v>
      </c>
      <c r="D446" s="1" t="s">
        <v>1966</v>
      </c>
    </row>
    <row r="447">
      <c r="A447" s="4">
        <v>5064450.0</v>
      </c>
      <c r="B447" s="4">
        <v>0.0</v>
      </c>
      <c r="C447" s="1" t="s">
        <v>1970</v>
      </c>
      <c r="D447" s="1" t="s">
        <v>1971</v>
      </c>
    </row>
    <row r="448">
      <c r="A448" s="4">
        <v>506451.0</v>
      </c>
      <c r="B448" s="4">
        <v>30.0</v>
      </c>
      <c r="C448" s="1" t="s">
        <v>1974</v>
      </c>
      <c r="D448" s="1" t="s">
        <v>1975</v>
      </c>
    </row>
    <row r="449">
      <c r="A449" s="4">
        <v>506454.0</v>
      </c>
      <c r="B449" s="4">
        <v>0.0</v>
      </c>
      <c r="C449" s="1" t="s">
        <v>1979</v>
      </c>
      <c r="D449" s="1" t="s">
        <v>1980</v>
      </c>
    </row>
    <row r="450">
      <c r="A450" s="4">
        <v>5.063015E7</v>
      </c>
      <c r="B450" s="4">
        <v>0.0</v>
      </c>
      <c r="C450" s="1" t="s">
        <v>1983</v>
      </c>
      <c r="D450" s="1" t="s">
        <v>1984</v>
      </c>
    </row>
    <row r="451">
      <c r="A451" s="4">
        <v>5063014.0</v>
      </c>
      <c r="B451" s="4">
        <v>0.0</v>
      </c>
      <c r="C451" s="1" t="s">
        <v>1988</v>
      </c>
      <c r="D451" s="1" t="s">
        <v>1989</v>
      </c>
    </row>
    <row r="452">
      <c r="A452" s="4">
        <v>5063054.0</v>
      </c>
      <c r="B452" s="4">
        <v>0.0</v>
      </c>
      <c r="C452" s="1" t="s">
        <v>417</v>
      </c>
      <c r="D452" s="1" t="s">
        <v>1992</v>
      </c>
    </row>
    <row r="453">
      <c r="A453" s="4">
        <v>5063057.0</v>
      </c>
      <c r="B453" s="4">
        <v>0.0</v>
      </c>
      <c r="C453" s="1" t="s">
        <v>1568</v>
      </c>
      <c r="D453" s="1" t="s">
        <v>1996</v>
      </c>
    </row>
    <row r="454">
      <c r="A454" s="4">
        <v>5063055.0</v>
      </c>
      <c r="B454" s="4">
        <v>0.0</v>
      </c>
      <c r="C454" s="1" t="s">
        <v>1367</v>
      </c>
      <c r="D454" s="1" t="s">
        <v>1999</v>
      </c>
    </row>
    <row r="455">
      <c r="A455" s="4">
        <v>5.06305E7</v>
      </c>
      <c r="B455" s="4">
        <v>0.0</v>
      </c>
      <c r="C455" s="1" t="s">
        <v>2002</v>
      </c>
      <c r="D455" s="1" t="s">
        <v>2003</v>
      </c>
    </row>
    <row r="456">
      <c r="A456" s="4">
        <v>5.0630505E8</v>
      </c>
      <c r="B456" s="4">
        <v>40.0</v>
      </c>
      <c r="C456" s="1" t="s">
        <v>2004</v>
      </c>
      <c r="D456" s="1" t="s">
        <v>2005</v>
      </c>
    </row>
    <row r="457">
      <c r="A457" s="4">
        <v>5.0630505E7</v>
      </c>
      <c r="B457" s="4">
        <v>0.0</v>
      </c>
      <c r="C457" s="1" t="s">
        <v>2008</v>
      </c>
      <c r="D457" s="1" t="s">
        <v>2009</v>
      </c>
    </row>
    <row r="458">
      <c r="A458" s="4">
        <v>5063071.0</v>
      </c>
      <c r="B458" s="4">
        <v>0.0</v>
      </c>
      <c r="C458" s="1" t="s">
        <v>534</v>
      </c>
      <c r="D458" s="1" t="s">
        <v>2013</v>
      </c>
    </row>
    <row r="459">
      <c r="A459" s="4">
        <v>5.063075E7</v>
      </c>
      <c r="B459" s="4">
        <v>0.0</v>
      </c>
      <c r="C459" s="1" t="s">
        <v>1215</v>
      </c>
      <c r="D459" s="1" t="s">
        <v>2017</v>
      </c>
    </row>
    <row r="460">
      <c r="A460" s="4">
        <v>5063076.0</v>
      </c>
      <c r="B460" s="4">
        <v>0.0</v>
      </c>
      <c r="C460" s="1" t="s">
        <v>2021</v>
      </c>
      <c r="D460" s="1" t="s">
        <v>2022</v>
      </c>
    </row>
    <row r="461">
      <c r="A461" s="4">
        <v>5.063045E7</v>
      </c>
      <c r="B461" s="4">
        <v>0.0</v>
      </c>
      <c r="C461" s="1" t="s">
        <v>2026</v>
      </c>
      <c r="D461" s="1" t="s">
        <v>2027</v>
      </c>
    </row>
    <row r="462">
      <c r="A462" s="4">
        <v>5063044.0</v>
      </c>
      <c r="B462" s="4">
        <v>0.0</v>
      </c>
      <c r="C462" s="1" t="s">
        <v>417</v>
      </c>
      <c r="D462" s="1" t="s">
        <v>2031</v>
      </c>
    </row>
    <row r="463">
      <c r="A463" s="4">
        <v>5063045.0</v>
      </c>
      <c r="B463" s="4">
        <v>0.0</v>
      </c>
      <c r="C463" s="1" t="s">
        <v>1367</v>
      </c>
      <c r="D463" s="1" t="s">
        <v>2035</v>
      </c>
    </row>
    <row r="464">
      <c r="A464" s="4">
        <v>5.063053E7</v>
      </c>
      <c r="B464" s="4">
        <v>0.0</v>
      </c>
      <c r="C464" s="1" t="s">
        <v>2038</v>
      </c>
      <c r="D464" s="1" t="s">
        <v>2039</v>
      </c>
    </row>
    <row r="465">
      <c r="A465" s="4">
        <v>5063054.0</v>
      </c>
      <c r="B465" s="4">
        <v>0.0</v>
      </c>
      <c r="C465" s="1" t="s">
        <v>365</v>
      </c>
      <c r="D465" s="1" t="s">
        <v>2042</v>
      </c>
    </row>
    <row r="466">
      <c r="A466" s="4">
        <v>5066030.0</v>
      </c>
      <c r="B466" s="4">
        <v>0.0</v>
      </c>
      <c r="C466" s="1" t="s">
        <v>2046</v>
      </c>
      <c r="D466" s="1" t="s">
        <v>2047</v>
      </c>
    </row>
    <row r="467">
      <c r="A467" s="4">
        <v>506607.0</v>
      </c>
      <c r="B467" s="4">
        <v>0.0</v>
      </c>
      <c r="C467" s="1" t="s">
        <v>705</v>
      </c>
      <c r="D467" s="1" t="s">
        <v>2051</v>
      </c>
    </row>
    <row r="468">
      <c r="A468" s="4">
        <v>506610.0</v>
      </c>
      <c r="B468" s="4">
        <v>0.0</v>
      </c>
      <c r="C468" s="1" t="s">
        <v>2054</v>
      </c>
      <c r="D468" s="1" t="s">
        <v>2055</v>
      </c>
    </row>
    <row r="469">
      <c r="A469" s="4">
        <v>506615.0</v>
      </c>
      <c r="B469" s="4">
        <v>0.0</v>
      </c>
      <c r="C469" s="1" t="s">
        <v>195</v>
      </c>
      <c r="D469" s="1" t="s">
        <v>2059</v>
      </c>
    </row>
    <row r="470">
      <c r="A470" s="4">
        <v>506616.0</v>
      </c>
      <c r="B470" s="4">
        <v>0.0</v>
      </c>
      <c r="C470" s="1" t="s">
        <v>1384</v>
      </c>
      <c r="D470" s="1" t="s">
        <v>2063</v>
      </c>
    </row>
    <row r="471">
      <c r="A471" s="4">
        <v>506655.0</v>
      </c>
      <c r="B471" s="4">
        <v>0.0</v>
      </c>
      <c r="C471" s="1" t="s">
        <v>195</v>
      </c>
      <c r="D471" s="1" t="s">
        <v>2066</v>
      </c>
    </row>
    <row r="472">
      <c r="A472" s="4">
        <v>506656.0</v>
      </c>
      <c r="B472" s="4">
        <v>0.0</v>
      </c>
      <c r="C472" s="1" t="s">
        <v>2070</v>
      </c>
      <c r="D472" s="1" t="s">
        <v>2071</v>
      </c>
    </row>
    <row r="473">
      <c r="A473" s="4">
        <v>506655.0</v>
      </c>
      <c r="B473" s="4">
        <v>0.0</v>
      </c>
      <c r="C473" s="1" t="s">
        <v>2074</v>
      </c>
      <c r="D473" s="1" t="s">
        <v>2075</v>
      </c>
    </row>
    <row r="474">
      <c r="A474" s="4">
        <v>5066507.0</v>
      </c>
      <c r="B474" s="4">
        <v>0.0</v>
      </c>
      <c r="C474" s="1" t="s">
        <v>2076</v>
      </c>
      <c r="D474" s="1" t="s">
        <v>2077</v>
      </c>
    </row>
    <row r="475">
      <c r="A475" s="4">
        <v>5066450.0</v>
      </c>
      <c r="B475" s="4">
        <v>0.0</v>
      </c>
      <c r="C475" s="1" t="s">
        <v>365</v>
      </c>
      <c r="D475" s="1" t="s">
        <v>2081</v>
      </c>
    </row>
    <row r="476">
      <c r="A476" s="4">
        <v>506644.0</v>
      </c>
      <c r="B476" s="4">
        <v>0.0</v>
      </c>
      <c r="C476" s="1" t="s">
        <v>321</v>
      </c>
      <c r="D476" s="1" t="s">
        <v>2085</v>
      </c>
    </row>
    <row r="477">
      <c r="A477" s="4">
        <v>5066430.0</v>
      </c>
      <c r="B477" s="4">
        <v>0.0</v>
      </c>
      <c r="C477" s="1" t="s">
        <v>2088</v>
      </c>
      <c r="D477" s="1" t="s">
        <v>2089</v>
      </c>
    </row>
    <row r="478">
      <c r="A478" s="4">
        <v>5066300.0</v>
      </c>
      <c r="B478" s="4">
        <v>0.0</v>
      </c>
      <c r="C478" s="1" t="s">
        <v>365</v>
      </c>
      <c r="D478" s="1" t="s">
        <v>2093</v>
      </c>
    </row>
    <row r="479">
      <c r="A479" s="4">
        <v>5066301.0</v>
      </c>
      <c r="B479" s="4">
        <v>0.0</v>
      </c>
      <c r="C479" s="1" t="s">
        <v>2095</v>
      </c>
      <c r="D479" s="1" t="s">
        <v>2096</v>
      </c>
    </row>
    <row r="480">
      <c r="A480" s="4">
        <v>5066304.0</v>
      </c>
      <c r="B480" s="4">
        <v>0.0</v>
      </c>
      <c r="C480" s="1" t="s">
        <v>182</v>
      </c>
      <c r="D480" s="1" t="s">
        <v>2099</v>
      </c>
    </row>
    <row r="481">
      <c r="A481" s="4">
        <v>5.066303E7</v>
      </c>
      <c r="B481" s="4">
        <v>0.0</v>
      </c>
      <c r="C481" s="1" t="s">
        <v>1367</v>
      </c>
      <c r="D481" s="1" t="s">
        <v>2103</v>
      </c>
    </row>
    <row r="482">
      <c r="A482" s="4">
        <v>5066304.0</v>
      </c>
      <c r="B482" s="4">
        <v>0.0</v>
      </c>
      <c r="C482" s="1" t="s">
        <v>365</v>
      </c>
      <c r="D482" s="1" t="s">
        <v>2106</v>
      </c>
    </row>
    <row r="483">
      <c r="A483" s="4">
        <v>5066305.0</v>
      </c>
      <c r="B483" s="4">
        <v>0.0</v>
      </c>
      <c r="C483" s="1" t="s">
        <v>2110</v>
      </c>
      <c r="D483" s="1" t="s">
        <v>2111</v>
      </c>
    </row>
    <row r="484">
      <c r="A484" s="4">
        <v>506661.0</v>
      </c>
      <c r="B484" s="4">
        <v>0.0</v>
      </c>
      <c r="C484" s="1" t="s">
        <v>2115</v>
      </c>
      <c r="D484" s="1" t="s">
        <v>2116</v>
      </c>
    </row>
    <row r="485">
      <c r="A485" s="4">
        <v>5066630.0</v>
      </c>
      <c r="B485" s="4">
        <v>0.0</v>
      </c>
      <c r="C485" s="1" t="s">
        <v>195</v>
      </c>
      <c r="D485" s="1" t="s">
        <v>2119</v>
      </c>
    </row>
    <row r="486">
      <c r="A486" s="4">
        <v>506666.0</v>
      </c>
      <c r="B486" s="4">
        <v>0.0</v>
      </c>
      <c r="C486" s="1" t="s">
        <v>2123</v>
      </c>
      <c r="D486" s="1" t="s">
        <v>2124</v>
      </c>
    </row>
    <row r="487">
      <c r="A487" s="4">
        <v>506664.0</v>
      </c>
      <c r="B487" s="4">
        <v>0.0</v>
      </c>
      <c r="C487" s="1" t="s">
        <v>1367</v>
      </c>
      <c r="D487" s="1" t="s">
        <v>2128</v>
      </c>
    </row>
    <row r="488">
      <c r="A488" s="4">
        <v>506677.0</v>
      </c>
      <c r="B488" s="4">
        <v>0.0</v>
      </c>
      <c r="C488" s="1" t="s">
        <v>2129</v>
      </c>
      <c r="D488" s="1" t="s">
        <v>2130</v>
      </c>
    </row>
    <row r="489">
      <c r="A489" s="4">
        <v>506674.0</v>
      </c>
      <c r="B489" s="4">
        <v>0.0</v>
      </c>
      <c r="C489" s="1" t="s">
        <v>2131</v>
      </c>
      <c r="D489" s="1" t="s">
        <v>2132</v>
      </c>
    </row>
    <row r="490">
      <c r="A490" s="4">
        <v>506675.0</v>
      </c>
      <c r="B490" s="4">
        <v>0.0</v>
      </c>
      <c r="C490" s="1" t="s">
        <v>2136</v>
      </c>
      <c r="D490" s="1" t="s">
        <v>2137</v>
      </c>
    </row>
    <row r="491">
      <c r="A491" s="4">
        <v>506645.0</v>
      </c>
      <c r="B491" s="4">
        <v>0.0</v>
      </c>
      <c r="C491" s="1" t="s">
        <v>2138</v>
      </c>
      <c r="D491" s="1" t="s">
        <v>2139</v>
      </c>
    </row>
    <row r="492">
      <c r="A492" s="4">
        <v>506644.0</v>
      </c>
      <c r="B492" s="4">
        <v>0.0</v>
      </c>
      <c r="C492" s="1" t="s">
        <v>2143</v>
      </c>
      <c r="D492" s="1" t="s">
        <v>2144</v>
      </c>
    </row>
    <row r="493">
      <c r="A493" s="4">
        <v>506646.0</v>
      </c>
      <c r="B493" s="4">
        <v>0.0</v>
      </c>
      <c r="C493" s="1" t="s">
        <v>2147</v>
      </c>
      <c r="D493" s="1" t="s">
        <v>2148</v>
      </c>
    </row>
    <row r="494">
      <c r="A494" s="4">
        <v>506644.0</v>
      </c>
      <c r="B494" s="4">
        <v>0.0</v>
      </c>
      <c r="C494" s="1" t="s">
        <v>2151</v>
      </c>
      <c r="D494" s="1" t="s">
        <v>2152</v>
      </c>
    </row>
    <row r="495">
      <c r="A495" s="4">
        <v>506645.0</v>
      </c>
      <c r="B495" s="4">
        <v>0.0</v>
      </c>
      <c r="C495" s="1" t="s">
        <v>195</v>
      </c>
      <c r="D495" s="1" t="s">
        <v>2155</v>
      </c>
    </row>
    <row r="496">
      <c r="A496" s="4">
        <v>506650.0</v>
      </c>
      <c r="B496" s="4">
        <v>0.0</v>
      </c>
      <c r="C496" s="1" t="s">
        <v>25</v>
      </c>
      <c r="D496" s="1" t="s">
        <v>2157</v>
      </c>
    </row>
    <row r="497">
      <c r="A497" s="4">
        <v>506651.0</v>
      </c>
      <c r="B497" s="4">
        <v>0.0</v>
      </c>
      <c r="C497" s="1" t="s">
        <v>2160</v>
      </c>
      <c r="D497" s="1" t="s">
        <v>2161</v>
      </c>
    </row>
    <row r="498">
      <c r="A498" s="4">
        <v>506655.0</v>
      </c>
      <c r="B498" s="4">
        <v>0.0</v>
      </c>
      <c r="C498" s="1" t="s">
        <v>1970</v>
      </c>
      <c r="D498" s="1" t="s">
        <v>1971</v>
      </c>
    </row>
    <row r="499">
      <c r="A499" s="4">
        <v>5066550.0</v>
      </c>
      <c r="B499" s="4">
        <v>0.0</v>
      </c>
      <c r="C499" s="1" t="s">
        <v>182</v>
      </c>
      <c r="D499" s="1" t="s">
        <v>2167</v>
      </c>
    </row>
    <row r="500">
      <c r="A500" s="4">
        <v>506654.0</v>
      </c>
      <c r="B500" s="4">
        <v>0.0</v>
      </c>
      <c r="C500" s="1" t="s">
        <v>195</v>
      </c>
      <c r="D500" s="1" t="s">
        <v>2171</v>
      </c>
    </row>
    <row r="501">
      <c r="A501" s="4">
        <v>5066530.0</v>
      </c>
      <c r="B501" s="4">
        <v>0.0</v>
      </c>
      <c r="C501" s="1" t="s">
        <v>1524</v>
      </c>
      <c r="D501" s="1" t="s">
        <v>2175</v>
      </c>
    </row>
    <row r="502">
      <c r="A502" s="4">
        <v>506656.0</v>
      </c>
      <c r="B502" s="4">
        <v>0.0</v>
      </c>
      <c r="C502" s="1" t="s">
        <v>2178</v>
      </c>
      <c r="D502" s="1" t="s">
        <v>2179</v>
      </c>
    </row>
    <row r="503">
      <c r="A503" s="4">
        <v>506657.0</v>
      </c>
      <c r="B503" s="4">
        <v>0.0</v>
      </c>
      <c r="C503" s="1" t="s">
        <v>2183</v>
      </c>
      <c r="D503" s="1" t="s">
        <v>2184</v>
      </c>
    </row>
    <row r="504">
      <c r="A504" s="4">
        <v>506654.0</v>
      </c>
      <c r="B504" s="4">
        <v>0.0</v>
      </c>
      <c r="C504" s="1" t="s">
        <v>1524</v>
      </c>
      <c r="D504" s="1" t="s">
        <v>2188</v>
      </c>
    </row>
    <row r="505">
      <c r="A505" s="4">
        <v>506655.0</v>
      </c>
      <c r="B505" s="4">
        <v>0.0</v>
      </c>
      <c r="C505" s="1" t="s">
        <v>1599</v>
      </c>
      <c r="D505" s="1" t="s">
        <v>2191</v>
      </c>
    </row>
    <row r="506">
      <c r="A506" s="4">
        <v>506700.0</v>
      </c>
      <c r="B506" s="4">
        <v>0.0</v>
      </c>
      <c r="C506" s="1" t="s">
        <v>2194</v>
      </c>
      <c r="D506" s="1" t="s">
        <v>2195</v>
      </c>
    </row>
    <row r="507">
      <c r="A507" s="4">
        <v>506701.0</v>
      </c>
      <c r="B507" s="4">
        <v>0.0</v>
      </c>
      <c r="C507" s="1" t="s">
        <v>2197</v>
      </c>
      <c r="D507" s="1" t="s">
        <v>2198</v>
      </c>
    </row>
    <row r="508">
      <c r="A508" s="4">
        <v>506705.0</v>
      </c>
      <c r="B508" s="4">
        <v>0.0</v>
      </c>
      <c r="C508" s="1" t="s">
        <v>76</v>
      </c>
      <c r="D508" s="1" t="s">
        <v>2202</v>
      </c>
    </row>
    <row r="509">
      <c r="A509" s="4">
        <v>5067050.0</v>
      </c>
      <c r="B509" s="4">
        <v>0.0</v>
      </c>
      <c r="C509" s="1" t="s">
        <v>2205</v>
      </c>
      <c r="D509" s="1" t="s">
        <v>2206</v>
      </c>
    </row>
    <row r="510">
      <c r="A510" s="4">
        <v>506704.0</v>
      </c>
      <c r="B510" s="4">
        <v>0.0</v>
      </c>
      <c r="C510" s="1" t="s">
        <v>2210</v>
      </c>
      <c r="D510" s="1" t="s">
        <v>2211</v>
      </c>
    </row>
    <row r="511">
      <c r="A511" s="4">
        <v>5067030.0</v>
      </c>
      <c r="B511" s="4">
        <v>0.0</v>
      </c>
      <c r="C511" s="1" t="s">
        <v>25</v>
      </c>
      <c r="D511" s="1" t="s">
        <v>2214</v>
      </c>
    </row>
    <row r="512">
      <c r="A512" s="4">
        <v>506706.0</v>
      </c>
      <c r="B512" s="4">
        <v>0.0</v>
      </c>
      <c r="C512" s="1" t="s">
        <v>2217</v>
      </c>
      <c r="D512" s="1" t="s">
        <v>2218</v>
      </c>
    </row>
    <row r="513">
      <c r="A513" s="4">
        <v>506704.0</v>
      </c>
      <c r="B513" s="4">
        <v>0.0</v>
      </c>
      <c r="C513" s="1" t="s">
        <v>1599</v>
      </c>
      <c r="D513" s="1" t="s">
        <v>2221</v>
      </c>
    </row>
    <row r="514">
      <c r="A514" s="4">
        <v>506705.0</v>
      </c>
      <c r="B514" s="4">
        <v>0.0</v>
      </c>
      <c r="C514" s="1" t="s">
        <v>2222</v>
      </c>
      <c r="D514" s="1" t="s">
        <v>2223</v>
      </c>
    </row>
    <row r="515">
      <c r="A515" s="4">
        <v>506710.0</v>
      </c>
      <c r="B515" s="4">
        <v>0.0</v>
      </c>
      <c r="C515" s="1" t="s">
        <v>1367</v>
      </c>
      <c r="D515" s="1" t="s">
        <v>2226</v>
      </c>
    </row>
    <row r="516">
      <c r="A516" s="4">
        <v>506711.0</v>
      </c>
      <c r="B516" s="4">
        <v>0.0</v>
      </c>
      <c r="C516" s="1" t="s">
        <v>232</v>
      </c>
      <c r="D516" s="1" t="s">
        <v>233</v>
      </c>
    </row>
    <row r="517">
      <c r="A517" s="4">
        <v>506715.0</v>
      </c>
      <c r="B517" s="4">
        <v>0.0</v>
      </c>
      <c r="C517" s="1" t="s">
        <v>2231</v>
      </c>
      <c r="D517" s="1" t="s">
        <v>2232</v>
      </c>
    </row>
    <row r="518">
      <c r="A518" s="4">
        <v>5067150.0</v>
      </c>
      <c r="B518" s="4">
        <v>0.0</v>
      </c>
      <c r="C518" s="1" t="s">
        <v>2235</v>
      </c>
      <c r="D518" s="1" t="s">
        <v>2236</v>
      </c>
    </row>
    <row r="519">
      <c r="A519" s="4">
        <v>506717.0</v>
      </c>
      <c r="B519" s="4">
        <v>0.0</v>
      </c>
      <c r="C519" s="1" t="s">
        <v>321</v>
      </c>
      <c r="D519" s="1" t="s">
        <v>2240</v>
      </c>
    </row>
    <row r="520">
      <c r="A520" s="4">
        <v>506714.0</v>
      </c>
      <c r="B520" s="4">
        <v>0.0</v>
      </c>
      <c r="C520" s="1" t="s">
        <v>182</v>
      </c>
      <c r="D520" s="1" t="s">
        <v>2241</v>
      </c>
    </row>
    <row r="521">
      <c r="A521" s="4">
        <v>506715.0</v>
      </c>
      <c r="B521" s="4">
        <v>0.0</v>
      </c>
      <c r="C521" s="1" t="s">
        <v>1331</v>
      </c>
      <c r="D521" s="1" t="s">
        <v>2245</v>
      </c>
    </row>
    <row r="522">
      <c r="A522" s="4">
        <v>506750.0</v>
      </c>
      <c r="B522" s="4">
        <v>0.0</v>
      </c>
      <c r="C522" s="1" t="s">
        <v>2246</v>
      </c>
      <c r="D522" s="1" t="s">
        <v>2247</v>
      </c>
    </row>
    <row r="523">
      <c r="A523" s="4">
        <v>506751.0</v>
      </c>
      <c r="B523" s="4">
        <v>0.0</v>
      </c>
      <c r="C523" s="1" t="s">
        <v>2250</v>
      </c>
      <c r="D523" s="1" t="s">
        <v>2251</v>
      </c>
    </row>
    <row r="524">
      <c r="A524" s="4">
        <v>506755.0</v>
      </c>
      <c r="B524" s="4">
        <v>0.0</v>
      </c>
      <c r="C524" s="1" t="s">
        <v>25</v>
      </c>
      <c r="D524" s="1" t="s">
        <v>2255</v>
      </c>
    </row>
    <row r="525">
      <c r="A525" s="4">
        <v>5067550.0</v>
      </c>
      <c r="B525" s="4">
        <v>0.0</v>
      </c>
      <c r="C525" s="1" t="s">
        <v>2256</v>
      </c>
      <c r="D525" s="1" t="s">
        <v>2257</v>
      </c>
    </row>
    <row r="526">
      <c r="A526" s="4">
        <v>506754.0</v>
      </c>
      <c r="B526" s="4">
        <v>0.0</v>
      </c>
      <c r="C526" s="1" t="s">
        <v>2261</v>
      </c>
      <c r="D526" s="1" t="s">
        <v>2262</v>
      </c>
    </row>
    <row r="527">
      <c r="A527" s="4">
        <v>5067530.0</v>
      </c>
      <c r="B527" s="4">
        <v>0.0</v>
      </c>
      <c r="C527" s="1" t="s">
        <v>2265</v>
      </c>
      <c r="D527" s="1" t="s">
        <v>2266</v>
      </c>
    </row>
    <row r="528">
      <c r="A528" s="4">
        <v>506756.0</v>
      </c>
      <c r="B528" s="4">
        <v>0.0</v>
      </c>
      <c r="C528" s="1" t="s">
        <v>2269</v>
      </c>
      <c r="D528" s="1" t="s">
        <v>2270</v>
      </c>
    </row>
    <row r="529">
      <c r="A529" s="4">
        <v>506757.0</v>
      </c>
      <c r="B529" s="4">
        <v>0.0</v>
      </c>
      <c r="C529" s="1" t="s">
        <v>2273</v>
      </c>
      <c r="D529" s="1" t="s">
        <v>2274</v>
      </c>
    </row>
    <row r="530">
      <c r="A530" s="4">
        <v>506754.0</v>
      </c>
      <c r="B530" s="4">
        <v>0.0</v>
      </c>
      <c r="C530" s="1" t="s">
        <v>1599</v>
      </c>
      <c r="D530" s="1" t="s">
        <v>2278</v>
      </c>
    </row>
    <row r="531">
      <c r="A531" s="4">
        <v>506755.0</v>
      </c>
      <c r="B531" s="4">
        <v>0.0</v>
      </c>
      <c r="C531" s="1" t="s">
        <v>2281</v>
      </c>
      <c r="D531" s="1" t="s">
        <v>2282</v>
      </c>
    </row>
    <row r="532">
      <c r="A532" s="4">
        <v>5067500.0</v>
      </c>
      <c r="B532" s="4">
        <v>0.0</v>
      </c>
      <c r="C532" s="1" t="s">
        <v>1367</v>
      </c>
      <c r="D532" s="1" t="s">
        <v>2285</v>
      </c>
    </row>
    <row r="533">
      <c r="A533" s="4">
        <v>5067501.0</v>
      </c>
      <c r="B533" s="4">
        <v>0.0</v>
      </c>
      <c r="C533" s="1" t="s">
        <v>2289</v>
      </c>
      <c r="D533" s="1" t="s">
        <v>2290</v>
      </c>
    </row>
    <row r="534">
      <c r="A534" s="4">
        <v>5067505.0</v>
      </c>
      <c r="B534" s="4">
        <v>0.0</v>
      </c>
      <c r="C534" s="1" t="s">
        <v>25</v>
      </c>
      <c r="D534" s="1" t="s">
        <v>2293</v>
      </c>
    </row>
    <row r="535">
      <c r="A535" s="4">
        <v>5.067505E7</v>
      </c>
      <c r="B535" s="4">
        <v>0.0</v>
      </c>
      <c r="C535" s="1" t="s">
        <v>2296</v>
      </c>
      <c r="D535" s="1" t="s">
        <v>2297</v>
      </c>
    </row>
    <row r="536">
      <c r="A536" s="4">
        <v>5067504.0</v>
      </c>
      <c r="B536" s="4">
        <v>0.0</v>
      </c>
      <c r="C536" s="1" t="s">
        <v>37</v>
      </c>
      <c r="D536" s="1" t="s">
        <v>2298</v>
      </c>
    </row>
    <row r="537">
      <c r="A537" s="4">
        <v>5.067503E7</v>
      </c>
      <c r="B537" s="4">
        <v>0.0</v>
      </c>
      <c r="C537" s="1" t="s">
        <v>1575</v>
      </c>
      <c r="D537" s="1" t="s">
        <v>2301</v>
      </c>
    </row>
    <row r="538">
      <c r="A538" s="4">
        <v>5067506.0</v>
      </c>
      <c r="B538" s="4">
        <v>0.0</v>
      </c>
      <c r="C538" s="1" t="s">
        <v>2304</v>
      </c>
      <c r="D538" s="1" t="s">
        <v>2305</v>
      </c>
    </row>
    <row r="539">
      <c r="A539" s="4">
        <v>5067507.0</v>
      </c>
      <c r="B539" s="4">
        <v>0.0</v>
      </c>
      <c r="C539" s="1" t="s">
        <v>37</v>
      </c>
      <c r="D539" s="1" t="s">
        <v>2308</v>
      </c>
    </row>
    <row r="540">
      <c r="A540" s="4">
        <v>5067504.0</v>
      </c>
      <c r="B540" s="4">
        <v>0.0</v>
      </c>
      <c r="C540" s="1" t="s">
        <v>2311</v>
      </c>
      <c r="D540" s="1" t="s">
        <v>2312</v>
      </c>
    </row>
    <row r="541">
      <c r="A541" s="4">
        <v>5067505.0</v>
      </c>
      <c r="B541" s="4">
        <v>0.0</v>
      </c>
      <c r="C541" s="1" t="s">
        <v>2314</v>
      </c>
      <c r="D541" s="1" t="s">
        <v>2315</v>
      </c>
    </row>
    <row r="542">
      <c r="A542" s="4">
        <v>506740.0</v>
      </c>
      <c r="B542" s="4">
        <v>0.0</v>
      </c>
      <c r="C542" s="1" t="s">
        <v>1746</v>
      </c>
      <c r="D542" s="1" t="s">
        <v>2318</v>
      </c>
    </row>
    <row r="543">
      <c r="A543" s="4">
        <v>506741.0</v>
      </c>
      <c r="B543" s="4">
        <v>0.0</v>
      </c>
      <c r="C543" s="1" t="s">
        <v>2321</v>
      </c>
      <c r="D543" s="1" t="s">
        <v>2322</v>
      </c>
    </row>
    <row r="544">
      <c r="A544" s="4">
        <v>506745.0</v>
      </c>
      <c r="B544" s="4">
        <v>0.0</v>
      </c>
      <c r="C544" s="1" t="s">
        <v>1524</v>
      </c>
      <c r="D544" s="1" t="s">
        <v>2323</v>
      </c>
    </row>
    <row r="545">
      <c r="A545" s="4">
        <v>5067450.0</v>
      </c>
      <c r="B545" s="4">
        <v>0.0</v>
      </c>
      <c r="C545" s="1" t="s">
        <v>2326</v>
      </c>
      <c r="D545" s="1" t="s">
        <v>2327</v>
      </c>
    </row>
    <row r="546">
      <c r="A546" s="4">
        <v>506744.0</v>
      </c>
      <c r="B546" s="4">
        <v>0.0</v>
      </c>
      <c r="C546" s="1" t="s">
        <v>365</v>
      </c>
      <c r="D546" s="1" t="s">
        <v>2330</v>
      </c>
    </row>
    <row r="547">
      <c r="A547" s="4">
        <v>5067430.0</v>
      </c>
      <c r="B547" s="4">
        <v>0.0</v>
      </c>
      <c r="C547" s="1" t="s">
        <v>1746</v>
      </c>
      <c r="D547" s="1" t="s">
        <v>2334</v>
      </c>
    </row>
    <row r="548">
      <c r="A548" s="4">
        <v>506746.0</v>
      </c>
      <c r="B548" s="4">
        <v>0.0</v>
      </c>
      <c r="C548" s="1" t="s">
        <v>2337</v>
      </c>
      <c r="D548" s="1" t="s">
        <v>2338</v>
      </c>
    </row>
    <row r="549">
      <c r="A549" s="4">
        <v>506747.0</v>
      </c>
      <c r="B549" s="4">
        <v>0.0</v>
      </c>
      <c r="C549" s="1" t="s">
        <v>2341</v>
      </c>
      <c r="D549" s="1" t="s">
        <v>2342</v>
      </c>
    </row>
    <row r="550">
      <c r="A550" s="4">
        <v>506744.0</v>
      </c>
      <c r="B550" s="4">
        <v>0.0</v>
      </c>
      <c r="C550" s="1" t="s">
        <v>37</v>
      </c>
      <c r="D550" s="1" t="s">
        <v>2343</v>
      </c>
    </row>
    <row r="551">
      <c r="A551" s="4"/>
      <c r="B551" s="4"/>
      <c r="C551" s="1"/>
      <c r="D551" s="1"/>
    </row>
    <row r="552">
      <c r="A552" s="4"/>
      <c r="B552" s="4"/>
      <c r="C552" s="1"/>
      <c r="D55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13" t="s">
        <v>0</v>
      </c>
      <c r="B1" s="13" t="s">
        <v>19</v>
      </c>
      <c r="C1" s="13" t="s">
        <v>20</v>
      </c>
      <c r="D1" s="13" t="s">
        <v>2345</v>
      </c>
    </row>
    <row r="2">
      <c r="A2" s="4">
        <v>530.0</v>
      </c>
      <c r="B2" s="4" t="s">
        <v>29</v>
      </c>
      <c r="C2" s="5" t="b">
        <v>0</v>
      </c>
      <c r="D2" s="4">
        <v>53706.0</v>
      </c>
    </row>
    <row r="3">
      <c r="A3" s="4">
        <v>570.0</v>
      </c>
      <c r="B3" s="4" t="s">
        <v>34</v>
      </c>
      <c r="C3" s="5" t="b">
        <v>0</v>
      </c>
      <c r="D3" s="4">
        <v>35262.0</v>
      </c>
    </row>
    <row r="4">
      <c r="A4" s="4">
        <v>5047.0</v>
      </c>
      <c r="B4" s="4" t="s">
        <v>40</v>
      </c>
      <c r="C4" s="5" t="b">
        <v>0</v>
      </c>
      <c r="D4" s="4">
        <v>19843.0</v>
      </c>
    </row>
    <row r="5">
      <c r="A5" s="4">
        <v>4530.0</v>
      </c>
      <c r="B5" s="4" t="s">
        <v>44</v>
      </c>
      <c r="C5" s="5" t="b">
        <v>0</v>
      </c>
      <c r="D5" s="4">
        <v>7690.0</v>
      </c>
    </row>
    <row r="6">
      <c r="A6" s="4">
        <v>655.0</v>
      </c>
      <c r="B6" s="4" t="s">
        <v>40</v>
      </c>
      <c r="C6" s="5" t="b">
        <v>0</v>
      </c>
      <c r="D6" s="4">
        <v>30686.0</v>
      </c>
    </row>
    <row r="7">
      <c r="A7" s="4">
        <v>767.0</v>
      </c>
      <c r="B7" s="4" t="s">
        <v>34</v>
      </c>
      <c r="C7" s="5" t="b">
        <v>0</v>
      </c>
      <c r="D7" s="4">
        <v>26552.0</v>
      </c>
    </row>
    <row r="8">
      <c r="A8" s="4">
        <v>550304.0</v>
      </c>
      <c r="B8" s="4" t="s">
        <v>40</v>
      </c>
      <c r="C8" s="5" t="b">
        <v>0</v>
      </c>
      <c r="D8" s="4">
        <v>805.0</v>
      </c>
    </row>
    <row r="9">
      <c r="A9" s="4">
        <v>530505.0</v>
      </c>
      <c r="B9" s="4" t="s">
        <v>60</v>
      </c>
      <c r="C9" s="5" t="b">
        <v>0</v>
      </c>
      <c r="D9" s="4">
        <v>2455.0</v>
      </c>
    </row>
    <row r="10">
      <c r="A10" s="4">
        <v>103050.0</v>
      </c>
      <c r="B10" s="4" t="s">
        <v>64</v>
      </c>
      <c r="C10" s="5" t="b">
        <v>0</v>
      </c>
      <c r="D10" s="4">
        <v>23792.0</v>
      </c>
    </row>
    <row r="11">
      <c r="A11" s="4">
        <v>1104.0</v>
      </c>
      <c r="B11" s="4">
        <v>0.0</v>
      </c>
      <c r="C11" s="5" t="b">
        <v>0</v>
      </c>
      <c r="D11" s="4">
        <v>0.0</v>
      </c>
    </row>
    <row r="12">
      <c r="A12" s="4">
        <v>1140.0</v>
      </c>
      <c r="B12" s="4" t="s">
        <v>73</v>
      </c>
      <c r="C12" s="5" t="b">
        <v>0</v>
      </c>
      <c r="D12" s="4">
        <v>0.0</v>
      </c>
    </row>
    <row r="13">
      <c r="A13" s="4">
        <v>150530.0</v>
      </c>
      <c r="B13" s="4" t="s">
        <v>78</v>
      </c>
      <c r="C13" s="5" t="b">
        <v>0</v>
      </c>
      <c r="D13" s="4">
        <v>2245.0</v>
      </c>
    </row>
    <row r="14">
      <c r="A14" s="4">
        <v>1445.0</v>
      </c>
      <c r="B14" s="4">
        <v>0.0</v>
      </c>
      <c r="C14" s="5" t="b">
        <v>0</v>
      </c>
      <c r="D14" s="4">
        <v>0.0</v>
      </c>
    </row>
    <row r="15">
      <c r="A15" s="4">
        <v>13055.0</v>
      </c>
      <c r="B15" s="4" t="s">
        <v>73</v>
      </c>
      <c r="C15" s="5" t="b">
        <v>0</v>
      </c>
      <c r="D15" s="4">
        <v>0.0</v>
      </c>
    </row>
    <row r="16">
      <c r="A16" s="4">
        <v>1605.0</v>
      </c>
      <c r="B16" s="4" t="s">
        <v>73</v>
      </c>
      <c r="C16" s="5" t="b">
        <v>0</v>
      </c>
      <c r="D16" s="4">
        <v>8241.0</v>
      </c>
    </row>
    <row r="17">
      <c r="A17" s="4">
        <v>1701.0</v>
      </c>
      <c r="B17" s="4" t="s">
        <v>73</v>
      </c>
      <c r="C17" s="5" t="b">
        <v>0</v>
      </c>
      <c r="D17" s="4">
        <v>0.0</v>
      </c>
    </row>
    <row r="18">
      <c r="A18" s="4">
        <v>1775.0</v>
      </c>
      <c r="B18" s="4" t="s">
        <v>73</v>
      </c>
      <c r="C18" s="5" t="b">
        <v>0</v>
      </c>
      <c r="D18" s="4">
        <v>0.0</v>
      </c>
    </row>
    <row r="19">
      <c r="A19" s="4">
        <v>14504.0</v>
      </c>
      <c r="B19" s="4" t="s">
        <v>73</v>
      </c>
      <c r="C19" s="5" t="b">
        <v>0</v>
      </c>
      <c r="D19" s="4">
        <v>0.0</v>
      </c>
    </row>
    <row r="20">
      <c r="A20" s="4">
        <v>1450.0</v>
      </c>
      <c r="B20" s="4" t="s">
        <v>73</v>
      </c>
      <c r="C20" s="5" t="b">
        <v>0</v>
      </c>
      <c r="D20" s="4">
        <v>0.0</v>
      </c>
    </row>
    <row r="21">
      <c r="A21" s="4">
        <v>1514.0</v>
      </c>
      <c r="B21" s="4" t="s">
        <v>73</v>
      </c>
      <c r="C21" s="5" t="b">
        <v>0</v>
      </c>
      <c r="D21" s="4">
        <v>0.0</v>
      </c>
    </row>
    <row r="22">
      <c r="A22" s="4">
        <v>5051.0</v>
      </c>
      <c r="B22" s="4" t="s">
        <v>73</v>
      </c>
      <c r="C22" s="5" t="b">
        <v>0</v>
      </c>
      <c r="D22" s="4">
        <v>0.0</v>
      </c>
    </row>
    <row r="23">
      <c r="A23" s="4">
        <v>55150.0</v>
      </c>
      <c r="B23" s="4" t="s">
        <v>73</v>
      </c>
      <c r="C23" s="5" t="b">
        <v>0</v>
      </c>
      <c r="D23" s="4">
        <v>0.0</v>
      </c>
    </row>
    <row r="24">
      <c r="A24" s="4">
        <v>55506.0</v>
      </c>
      <c r="B24" s="4">
        <v>0.0</v>
      </c>
      <c r="C24" s="5" t="b">
        <v>0</v>
      </c>
      <c r="D24" s="4">
        <v>0.0</v>
      </c>
    </row>
    <row r="25">
      <c r="A25" s="4">
        <v>5544.0</v>
      </c>
      <c r="B25" s="4">
        <v>0.0</v>
      </c>
      <c r="C25" s="5" t="b">
        <v>0</v>
      </c>
      <c r="D25" s="4">
        <v>3.0</v>
      </c>
    </row>
    <row r="26">
      <c r="A26" s="4">
        <v>54550.0</v>
      </c>
      <c r="B26" s="4" t="s">
        <v>145</v>
      </c>
      <c r="C26" s="5" t="b">
        <v>0</v>
      </c>
      <c r="D26" s="4">
        <v>11855.0</v>
      </c>
    </row>
    <row r="27">
      <c r="A27" s="4">
        <v>56750.0</v>
      </c>
      <c r="B27" s="4" t="s">
        <v>149</v>
      </c>
      <c r="C27" s="5" t="b">
        <v>0</v>
      </c>
      <c r="D27" s="4">
        <v>1865.0</v>
      </c>
    </row>
    <row r="28">
      <c r="A28" s="4">
        <v>5764.0</v>
      </c>
      <c r="B28" s="4" t="s">
        <v>73</v>
      </c>
      <c r="C28" s="5" t="b">
        <v>0</v>
      </c>
      <c r="D28" s="4">
        <v>0.0</v>
      </c>
    </row>
    <row r="29">
      <c r="A29" s="4">
        <v>54505.0</v>
      </c>
      <c r="B29" s="4" t="s">
        <v>159</v>
      </c>
      <c r="C29" s="5" t="b">
        <v>1</v>
      </c>
      <c r="D29" s="4">
        <v>2458.0</v>
      </c>
    </row>
    <row r="30">
      <c r="A30" s="4">
        <v>55630.0</v>
      </c>
      <c r="B30" s="4" t="s">
        <v>165</v>
      </c>
      <c r="C30" s="5" t="b">
        <v>0</v>
      </c>
      <c r="D30" s="4">
        <v>3404.0</v>
      </c>
    </row>
    <row r="31">
      <c r="A31" s="4">
        <v>500450.0</v>
      </c>
      <c r="B31" s="4" t="s">
        <v>170</v>
      </c>
      <c r="C31" s="5" t="b">
        <v>0</v>
      </c>
      <c r="D31" s="4">
        <v>11795.0</v>
      </c>
    </row>
    <row r="32">
      <c r="A32" s="4">
        <v>50445.0</v>
      </c>
      <c r="B32" s="4" t="s">
        <v>174</v>
      </c>
      <c r="C32" s="5" t="b">
        <v>0</v>
      </c>
      <c r="D32" s="4">
        <v>5131.0</v>
      </c>
    </row>
    <row r="33">
      <c r="A33" s="4">
        <v>430450.0</v>
      </c>
      <c r="B33" s="4" t="s">
        <v>179</v>
      </c>
      <c r="C33" s="5" t="b">
        <v>0</v>
      </c>
      <c r="D33" s="4">
        <v>23513.0</v>
      </c>
    </row>
    <row r="34">
      <c r="A34" s="4">
        <v>3030501.0</v>
      </c>
      <c r="B34" s="4" t="s">
        <v>186</v>
      </c>
      <c r="C34" s="5" t="b">
        <v>0</v>
      </c>
      <c r="D34" s="4">
        <v>56.0</v>
      </c>
    </row>
    <row r="35">
      <c r="A35" s="4">
        <v>306507.0</v>
      </c>
      <c r="B35" s="4" t="s">
        <v>192</v>
      </c>
      <c r="C35" s="5" t="b">
        <v>0</v>
      </c>
      <c r="D35" s="4">
        <v>14.0</v>
      </c>
    </row>
    <row r="36">
      <c r="A36" s="4">
        <v>6617.0</v>
      </c>
      <c r="B36" s="4" t="s">
        <v>198</v>
      </c>
      <c r="C36" s="5" t="b">
        <v>0</v>
      </c>
      <c r="D36" s="4">
        <v>38.0</v>
      </c>
    </row>
    <row r="37">
      <c r="A37" s="4">
        <v>6456.0</v>
      </c>
      <c r="B37" s="4" t="s">
        <v>73</v>
      </c>
      <c r="C37" s="5" t="b">
        <v>0</v>
      </c>
      <c r="D37" s="4">
        <v>36.0</v>
      </c>
    </row>
    <row r="38">
      <c r="A38" s="4">
        <v>7146.0</v>
      </c>
      <c r="B38" s="4" t="s">
        <v>198</v>
      </c>
      <c r="C38" s="5" t="b">
        <v>0</v>
      </c>
      <c r="D38" s="4">
        <v>2761.0</v>
      </c>
    </row>
    <row r="39">
      <c r="A39" s="4">
        <v>7605.0</v>
      </c>
      <c r="B39" s="4" t="s">
        <v>213</v>
      </c>
      <c r="C39" s="5" t="b">
        <v>0</v>
      </c>
      <c r="D39" s="4">
        <v>7.0</v>
      </c>
    </row>
    <row r="40">
      <c r="A40" s="4">
        <v>7757.0</v>
      </c>
      <c r="B40" s="4">
        <v>0.0</v>
      </c>
      <c r="C40" s="5" t="b">
        <v>0</v>
      </c>
      <c r="D40" s="4">
        <v>6.0</v>
      </c>
    </row>
    <row r="41">
      <c r="A41" s="4">
        <v>40430.0</v>
      </c>
      <c r="B41" s="4" t="s">
        <v>73</v>
      </c>
      <c r="C41" s="5" t="b">
        <v>1</v>
      </c>
      <c r="D41" s="4">
        <v>1651.0</v>
      </c>
    </row>
    <row r="42">
      <c r="A42" s="4">
        <v>41504.0</v>
      </c>
      <c r="B42" s="4" t="s">
        <v>225</v>
      </c>
      <c r="C42" s="5" t="b">
        <v>0</v>
      </c>
      <c r="D42" s="4">
        <v>3195.0</v>
      </c>
    </row>
    <row r="43">
      <c r="A43" s="4">
        <v>5565.0</v>
      </c>
      <c r="B43" s="4" t="s">
        <v>40</v>
      </c>
      <c r="C43" s="5" t="b">
        <v>0</v>
      </c>
      <c r="D43" s="4">
        <v>9761.0</v>
      </c>
    </row>
    <row r="44">
      <c r="A44" s="4">
        <v>105505.0</v>
      </c>
      <c r="B44" s="4">
        <v>0.0</v>
      </c>
      <c r="C44" s="5" t="b">
        <v>0</v>
      </c>
      <c r="D44" s="4">
        <v>74.0</v>
      </c>
    </row>
    <row r="45">
      <c r="A45" s="4">
        <v>10545.0</v>
      </c>
      <c r="B45" s="4" t="s">
        <v>40</v>
      </c>
      <c r="C45" s="5" t="b">
        <v>0</v>
      </c>
      <c r="D45" s="4">
        <v>10605.0</v>
      </c>
    </row>
    <row r="46">
      <c r="A46" s="4">
        <v>1050430.0</v>
      </c>
      <c r="B46" s="4" t="s">
        <v>241</v>
      </c>
      <c r="C46" s="5" t="b">
        <v>0</v>
      </c>
      <c r="D46" s="4">
        <v>257.0</v>
      </c>
    </row>
    <row r="47">
      <c r="A47" s="4">
        <v>11061.0</v>
      </c>
      <c r="B47" s="4" t="s">
        <v>186</v>
      </c>
      <c r="C47" s="5" t="b">
        <v>0</v>
      </c>
      <c r="D47" s="4">
        <v>4708.0</v>
      </c>
    </row>
    <row r="48">
      <c r="A48" s="4">
        <v>115045.0</v>
      </c>
      <c r="B48" s="4" t="s">
        <v>252</v>
      </c>
      <c r="C48" s="5" t="b">
        <v>0</v>
      </c>
      <c r="D48" s="4">
        <v>5088.0</v>
      </c>
    </row>
    <row r="49">
      <c r="A49" s="4">
        <v>150514.0</v>
      </c>
      <c r="B49" s="4">
        <v>0.0</v>
      </c>
      <c r="C49" s="5" t="b">
        <v>0</v>
      </c>
      <c r="D49" s="4">
        <v>4884.0</v>
      </c>
    </row>
    <row r="50">
      <c r="A50" s="4">
        <v>150571.0</v>
      </c>
      <c r="B50" s="4" t="s">
        <v>261</v>
      </c>
      <c r="C50" s="5" t="b">
        <v>0</v>
      </c>
      <c r="D50" s="4">
        <v>16751.0</v>
      </c>
    </row>
    <row r="51">
      <c r="A51" s="4">
        <v>1.506303E7</v>
      </c>
      <c r="B51" s="4" t="s">
        <v>266</v>
      </c>
      <c r="C51" s="5" t="b">
        <v>0</v>
      </c>
      <c r="D51" s="4">
        <v>6458.0</v>
      </c>
    </row>
    <row r="52">
      <c r="A52" s="4">
        <v>145004.0</v>
      </c>
      <c r="B52" s="4" t="s">
        <v>271</v>
      </c>
      <c r="C52" s="5" t="b">
        <v>0</v>
      </c>
      <c r="D52" s="4">
        <v>8310.0</v>
      </c>
    </row>
    <row r="53">
      <c r="A53" s="4">
        <v>1450307.0</v>
      </c>
      <c r="B53" s="4" t="s">
        <v>277</v>
      </c>
      <c r="C53" s="5" t="b">
        <v>0</v>
      </c>
      <c r="D53" s="4">
        <v>3095.0</v>
      </c>
    </row>
    <row r="54">
      <c r="A54" s="4">
        <v>14405.0</v>
      </c>
      <c r="B54" s="4" t="s">
        <v>282</v>
      </c>
      <c r="C54" s="5" t="b">
        <v>0</v>
      </c>
      <c r="D54" s="4">
        <v>7862.0</v>
      </c>
    </row>
    <row r="55">
      <c r="A55" s="4">
        <v>143001.0</v>
      </c>
      <c r="B55" s="4" t="s">
        <v>287</v>
      </c>
      <c r="C55" s="5" t="b">
        <v>0</v>
      </c>
      <c r="D55" s="4">
        <v>4612.0</v>
      </c>
    </row>
    <row r="56">
      <c r="A56" s="4">
        <v>144550.0</v>
      </c>
      <c r="B56" s="4" t="s">
        <v>292</v>
      </c>
      <c r="C56" s="5" t="b">
        <v>0</v>
      </c>
      <c r="D56" s="4">
        <v>322.0</v>
      </c>
    </row>
    <row r="57">
      <c r="A57" s="4">
        <v>144305.0</v>
      </c>
      <c r="B57" s="4" t="s">
        <v>297</v>
      </c>
      <c r="C57" s="5" t="b">
        <v>0</v>
      </c>
      <c r="D57" s="4">
        <v>9230.0</v>
      </c>
    </row>
    <row r="58">
      <c r="A58" s="4">
        <v>14515.0</v>
      </c>
      <c r="B58" s="4" t="s">
        <v>302</v>
      </c>
      <c r="C58" s="5" t="b">
        <v>0</v>
      </c>
      <c r="D58" s="4">
        <v>5703.0</v>
      </c>
    </row>
    <row r="59">
      <c r="A59" s="4">
        <v>145307.0</v>
      </c>
      <c r="B59" s="4" t="s">
        <v>308</v>
      </c>
      <c r="C59" s="5" t="b">
        <v>0</v>
      </c>
      <c r="D59" s="4">
        <v>6737.0</v>
      </c>
    </row>
    <row r="60">
      <c r="A60" s="4">
        <v>130515.0</v>
      </c>
      <c r="B60" s="4" t="s">
        <v>40</v>
      </c>
      <c r="C60" s="5" t="b">
        <v>0</v>
      </c>
      <c r="D60" s="4">
        <v>4832.0</v>
      </c>
    </row>
    <row r="61">
      <c r="A61" s="4">
        <v>1305030.0</v>
      </c>
      <c r="B61" s="4" t="s">
        <v>318</v>
      </c>
      <c r="C61" s="5" t="b">
        <v>0</v>
      </c>
      <c r="D61" s="4">
        <v>2081.0</v>
      </c>
    </row>
    <row r="62">
      <c r="A62" s="4">
        <v>16040.0</v>
      </c>
      <c r="B62" s="4" t="s">
        <v>323</v>
      </c>
      <c r="C62" s="5" t="b">
        <v>0</v>
      </c>
      <c r="D62" s="4">
        <v>2454.0</v>
      </c>
    </row>
    <row r="63">
      <c r="A63" s="4">
        <v>16041.0</v>
      </c>
      <c r="B63" s="4" t="s">
        <v>40</v>
      </c>
      <c r="C63" s="5" t="b">
        <v>0</v>
      </c>
      <c r="D63" s="4">
        <v>6328.0</v>
      </c>
    </row>
    <row r="64">
      <c r="A64" s="4">
        <v>16064.0</v>
      </c>
      <c r="B64" s="4" t="s">
        <v>40</v>
      </c>
      <c r="C64" s="5" t="b">
        <v>0</v>
      </c>
      <c r="D64" s="4">
        <v>7372.0</v>
      </c>
    </row>
    <row r="65">
      <c r="A65" s="4">
        <v>16144.0</v>
      </c>
      <c r="B65" s="4" t="s">
        <v>336</v>
      </c>
      <c r="C65" s="5" t="b">
        <v>0</v>
      </c>
      <c r="D65" s="4">
        <v>5508.0</v>
      </c>
    </row>
    <row r="66">
      <c r="A66" s="4">
        <v>161430.0</v>
      </c>
      <c r="B66" s="4" t="s">
        <v>198</v>
      </c>
      <c r="C66" s="5" t="b">
        <v>0</v>
      </c>
      <c r="D66" s="4">
        <v>4767.0</v>
      </c>
    </row>
    <row r="67">
      <c r="A67" s="4">
        <v>1613030.0</v>
      </c>
      <c r="B67" s="4" t="s">
        <v>345</v>
      </c>
      <c r="C67" s="5" t="b">
        <v>0</v>
      </c>
      <c r="D67" s="4">
        <v>9658.0</v>
      </c>
    </row>
    <row r="68">
      <c r="A68" s="4">
        <v>165074.0</v>
      </c>
      <c r="B68" s="4">
        <v>0.0</v>
      </c>
      <c r="C68" s="5" t="b">
        <v>0</v>
      </c>
      <c r="D68" s="4">
        <v>76.0</v>
      </c>
    </row>
    <row r="69">
      <c r="A69" s="4">
        <v>1650550.0</v>
      </c>
      <c r="B69" s="4" t="s">
        <v>354</v>
      </c>
      <c r="C69" s="5" t="b">
        <v>0</v>
      </c>
      <c r="D69" s="4">
        <v>6214.0</v>
      </c>
    </row>
    <row r="70">
      <c r="A70" s="4">
        <v>16740.0</v>
      </c>
      <c r="B70" s="4" t="s">
        <v>358</v>
      </c>
      <c r="C70" s="5" t="b">
        <v>0</v>
      </c>
      <c r="D70" s="4">
        <v>1259.0</v>
      </c>
    </row>
    <row r="71">
      <c r="A71" s="4">
        <v>16765.0</v>
      </c>
      <c r="B71" s="4" t="s">
        <v>362</v>
      </c>
      <c r="C71" s="5" t="b">
        <v>0</v>
      </c>
      <c r="D71" s="4">
        <v>5396.0</v>
      </c>
    </row>
    <row r="72">
      <c r="A72" s="4">
        <v>17665.0</v>
      </c>
      <c r="B72" s="4" t="s">
        <v>367</v>
      </c>
      <c r="C72" s="5" t="b">
        <v>0</v>
      </c>
      <c r="D72" s="4">
        <v>25.0</v>
      </c>
    </row>
    <row r="73">
      <c r="A73" s="4">
        <v>14044.0</v>
      </c>
      <c r="B73" s="4" t="s">
        <v>358</v>
      </c>
      <c r="C73" s="5" t="b">
        <v>0</v>
      </c>
      <c r="D73" s="4">
        <v>60.0</v>
      </c>
    </row>
    <row r="74">
      <c r="A74" s="4">
        <v>14155.0</v>
      </c>
      <c r="B74" s="4" t="s">
        <v>375</v>
      </c>
      <c r="C74" s="5" t="b">
        <v>0</v>
      </c>
      <c r="D74" s="4">
        <v>1425.0</v>
      </c>
    </row>
    <row r="75">
      <c r="A75" s="4">
        <v>145004.0</v>
      </c>
      <c r="B75" s="4" t="s">
        <v>380</v>
      </c>
      <c r="C75" s="5" t="b">
        <v>0</v>
      </c>
      <c r="D75" s="4">
        <v>8160.0</v>
      </c>
    </row>
    <row r="76">
      <c r="A76" s="4">
        <v>145056.0</v>
      </c>
      <c r="B76" s="4" t="s">
        <v>385</v>
      </c>
      <c r="C76" s="5" t="b">
        <v>0</v>
      </c>
      <c r="D76" s="4">
        <v>3126.0</v>
      </c>
    </row>
    <row r="77">
      <c r="A77" s="4">
        <v>14441.0</v>
      </c>
      <c r="B77" s="4" t="s">
        <v>389</v>
      </c>
      <c r="C77" s="5" t="b">
        <v>0</v>
      </c>
      <c r="D77" s="4">
        <v>1167.0</v>
      </c>
    </row>
    <row r="78">
      <c r="A78" s="4">
        <v>155550.0</v>
      </c>
      <c r="B78" s="4" t="s">
        <v>395</v>
      </c>
      <c r="C78" s="5" t="b">
        <v>0</v>
      </c>
      <c r="D78" s="4">
        <v>4382.0</v>
      </c>
    </row>
    <row r="79">
      <c r="A79" s="4">
        <v>154550.0</v>
      </c>
      <c r="B79" s="4" t="s">
        <v>354</v>
      </c>
      <c r="C79" s="5" t="b">
        <v>0</v>
      </c>
      <c r="D79" s="4">
        <v>8328.0</v>
      </c>
    </row>
    <row r="80">
      <c r="A80" s="4">
        <v>15446.0</v>
      </c>
      <c r="B80" s="4" t="s">
        <v>405</v>
      </c>
      <c r="C80" s="5" t="b">
        <v>0</v>
      </c>
      <c r="D80" s="4">
        <v>4869.0</v>
      </c>
    </row>
    <row r="81">
      <c r="A81" s="4">
        <v>154630.0</v>
      </c>
      <c r="B81" s="4" t="s">
        <v>266</v>
      </c>
      <c r="C81" s="5" t="b">
        <v>0</v>
      </c>
      <c r="D81" s="4">
        <v>2741.0</v>
      </c>
    </row>
    <row r="82">
      <c r="A82" s="4">
        <v>15441.0</v>
      </c>
      <c r="B82" s="4" t="s">
        <v>414</v>
      </c>
      <c r="C82" s="5" t="b">
        <v>0</v>
      </c>
      <c r="D82" s="4">
        <v>9548.0</v>
      </c>
    </row>
    <row r="83">
      <c r="A83" s="4">
        <v>15447.0</v>
      </c>
      <c r="B83" s="4" t="s">
        <v>420</v>
      </c>
      <c r="C83" s="5" t="b">
        <v>0</v>
      </c>
      <c r="D83" s="4">
        <v>7167.0</v>
      </c>
    </row>
    <row r="84">
      <c r="A84" s="4">
        <v>15556.0</v>
      </c>
      <c r="B84" s="4" t="s">
        <v>34</v>
      </c>
      <c r="C84" s="5" t="b">
        <v>0</v>
      </c>
      <c r="D84" s="4">
        <v>6752.0</v>
      </c>
    </row>
    <row r="85">
      <c r="A85" s="4">
        <v>155505.0</v>
      </c>
      <c r="B85" s="4" t="s">
        <v>429</v>
      </c>
      <c r="C85" s="5" t="b">
        <v>0</v>
      </c>
      <c r="D85" s="4">
        <v>16389.0</v>
      </c>
    </row>
    <row r="86">
      <c r="A86" s="4">
        <v>50016.0</v>
      </c>
      <c r="B86" s="4" t="s">
        <v>34</v>
      </c>
      <c r="C86" s="5" t="b">
        <v>0</v>
      </c>
      <c r="D86" s="4">
        <v>5410.0</v>
      </c>
    </row>
    <row r="87">
      <c r="A87" s="4">
        <v>50057.0</v>
      </c>
      <c r="B87" s="4" t="s">
        <v>198</v>
      </c>
      <c r="C87" s="5" t="b">
        <v>0</v>
      </c>
      <c r="D87" s="4">
        <v>7561.0</v>
      </c>
    </row>
    <row r="88">
      <c r="A88" s="4">
        <v>500430.0</v>
      </c>
      <c r="B88" s="4" t="s">
        <v>441</v>
      </c>
      <c r="C88" s="5" t="b">
        <v>0</v>
      </c>
      <c r="D88" s="4">
        <v>29482.0</v>
      </c>
    </row>
    <row r="89">
      <c r="A89" s="4">
        <v>50505.0</v>
      </c>
      <c r="B89" s="4" t="s">
        <v>170</v>
      </c>
      <c r="C89" s="5" t="b">
        <v>0</v>
      </c>
      <c r="D89" s="4">
        <v>13610.0</v>
      </c>
    </row>
    <row r="90">
      <c r="A90" s="4">
        <v>50440.0</v>
      </c>
      <c r="B90" s="4" t="s">
        <v>287</v>
      </c>
      <c r="C90" s="5" t="b">
        <v>0</v>
      </c>
      <c r="D90" s="4">
        <v>1524.0</v>
      </c>
    </row>
    <row r="91">
      <c r="A91" s="4">
        <v>503055.0</v>
      </c>
      <c r="B91" s="4" t="s">
        <v>34</v>
      </c>
      <c r="C91" s="5" t="b">
        <v>0</v>
      </c>
      <c r="D91" s="4">
        <v>5349.0</v>
      </c>
    </row>
    <row r="92">
      <c r="A92" s="4">
        <v>5030430.0</v>
      </c>
      <c r="B92" s="4" t="s">
        <v>457</v>
      </c>
      <c r="C92" s="5" t="b">
        <v>0</v>
      </c>
      <c r="D92" s="4">
        <v>12685.0</v>
      </c>
    </row>
    <row r="93">
      <c r="A93" s="4">
        <v>503065.0</v>
      </c>
      <c r="B93" s="4" t="s">
        <v>462</v>
      </c>
      <c r="C93" s="5" t="b">
        <v>0</v>
      </c>
      <c r="D93" s="4">
        <v>12682.0</v>
      </c>
    </row>
    <row r="94">
      <c r="A94" s="4">
        <v>503055.0</v>
      </c>
      <c r="B94" s="4" t="s">
        <v>467</v>
      </c>
      <c r="C94" s="5" t="b">
        <v>1</v>
      </c>
      <c r="D94" s="4">
        <v>11633.0</v>
      </c>
    </row>
    <row r="95">
      <c r="A95" s="4">
        <v>50644.0</v>
      </c>
      <c r="B95" s="4" t="s">
        <v>40</v>
      </c>
      <c r="C95" s="5" t="b">
        <v>0</v>
      </c>
      <c r="D95" s="4">
        <v>13559.0</v>
      </c>
    </row>
    <row r="96">
      <c r="A96" s="4">
        <v>507507.0</v>
      </c>
      <c r="B96" s="4" t="s">
        <v>192</v>
      </c>
      <c r="C96" s="5" t="b">
        <v>0</v>
      </c>
      <c r="D96" s="4">
        <v>1082.0</v>
      </c>
    </row>
    <row r="97">
      <c r="A97" s="4">
        <v>50457.0</v>
      </c>
      <c r="B97" s="4" t="s">
        <v>476</v>
      </c>
      <c r="C97" s="5" t="b">
        <v>0</v>
      </c>
      <c r="D97" s="4">
        <v>8396.0</v>
      </c>
    </row>
    <row r="98">
      <c r="A98" s="4">
        <v>505030.0</v>
      </c>
      <c r="B98" s="4" t="s">
        <v>380</v>
      </c>
      <c r="C98" s="5" t="b">
        <v>0</v>
      </c>
      <c r="D98" s="4">
        <v>4930.0</v>
      </c>
    </row>
    <row r="99">
      <c r="A99" s="4">
        <v>50506.0</v>
      </c>
      <c r="B99" s="4" t="s">
        <v>149</v>
      </c>
      <c r="C99" s="5" t="b">
        <v>0</v>
      </c>
      <c r="D99" s="4">
        <v>4151.0</v>
      </c>
    </row>
    <row r="100">
      <c r="A100" s="4">
        <v>50541.0</v>
      </c>
      <c r="B100" s="4" t="s">
        <v>488</v>
      </c>
      <c r="C100" s="5" t="b">
        <v>0</v>
      </c>
      <c r="D100" s="4">
        <v>2154.0</v>
      </c>
    </row>
    <row r="101">
      <c r="A101" s="4">
        <v>50547.0</v>
      </c>
      <c r="B101" s="4" t="s">
        <v>354</v>
      </c>
      <c r="C101" s="5" t="b">
        <v>0</v>
      </c>
      <c r="D101" s="4">
        <v>2941.0</v>
      </c>
    </row>
    <row r="102">
      <c r="A102" s="4">
        <v>51056.0</v>
      </c>
      <c r="B102" s="4" t="s">
        <v>498</v>
      </c>
      <c r="C102" s="5" t="b">
        <v>0</v>
      </c>
      <c r="D102" s="4">
        <v>4468.0</v>
      </c>
    </row>
    <row r="103">
      <c r="A103" s="4">
        <v>510505.0</v>
      </c>
      <c r="B103" s="4" t="s">
        <v>261</v>
      </c>
      <c r="C103" s="5" t="b">
        <v>0</v>
      </c>
      <c r="D103" s="4">
        <v>2816.0</v>
      </c>
    </row>
    <row r="104">
      <c r="A104" s="4">
        <v>51040.0</v>
      </c>
      <c r="B104" s="4" t="s">
        <v>507</v>
      </c>
      <c r="C104" s="5" t="b">
        <v>0</v>
      </c>
      <c r="D104" s="4">
        <v>2259.0</v>
      </c>
    </row>
    <row r="105">
      <c r="A105" s="4">
        <v>51067.0</v>
      </c>
      <c r="B105" s="4" t="s">
        <v>512</v>
      </c>
      <c r="C105" s="5" t="b">
        <v>0</v>
      </c>
      <c r="D105" s="4">
        <v>5162.0</v>
      </c>
    </row>
    <row r="106">
      <c r="A106" s="4">
        <v>510430.0</v>
      </c>
      <c r="B106" s="4" t="s">
        <v>516</v>
      </c>
      <c r="C106" s="5" t="b">
        <v>0</v>
      </c>
      <c r="D106" s="4">
        <v>5609.0</v>
      </c>
    </row>
    <row r="107">
      <c r="A107" s="4">
        <v>51055.0</v>
      </c>
      <c r="B107" s="4" t="s">
        <v>521</v>
      </c>
      <c r="C107" s="5" t="b">
        <v>0</v>
      </c>
      <c r="D107" s="4">
        <v>3396.0</v>
      </c>
    </row>
    <row r="108">
      <c r="A108" s="4">
        <v>511505.0</v>
      </c>
      <c r="B108" s="4" t="s">
        <v>527</v>
      </c>
      <c r="C108" s="5" t="b">
        <v>0</v>
      </c>
      <c r="D108" s="4">
        <v>15195.0</v>
      </c>
    </row>
    <row r="109">
      <c r="A109" s="4">
        <v>51550.0</v>
      </c>
      <c r="B109" s="4">
        <v>0.0</v>
      </c>
      <c r="C109" s="5" t="b">
        <v>0</v>
      </c>
      <c r="D109" s="4">
        <v>3287.0</v>
      </c>
    </row>
    <row r="110">
      <c r="A110" s="4">
        <v>515306.0</v>
      </c>
      <c r="B110" s="4" t="s">
        <v>252</v>
      </c>
      <c r="C110" s="5" t="b">
        <v>0</v>
      </c>
      <c r="D110" s="4">
        <v>2868.0</v>
      </c>
    </row>
    <row r="111">
      <c r="A111" s="4">
        <v>515055.0</v>
      </c>
      <c r="B111" s="4" t="s">
        <v>541</v>
      </c>
      <c r="C111" s="5" t="b">
        <v>0</v>
      </c>
      <c r="D111" s="4">
        <v>2697.0</v>
      </c>
    </row>
    <row r="112">
      <c r="A112" s="4">
        <v>5150506.0</v>
      </c>
      <c r="B112" s="4">
        <v>0.0</v>
      </c>
      <c r="C112" s="5" t="b">
        <v>0</v>
      </c>
      <c r="D112" s="4">
        <v>6459.0</v>
      </c>
    </row>
    <row r="113">
      <c r="A113" s="4">
        <v>5150305.0</v>
      </c>
      <c r="B113" s="4" t="s">
        <v>551</v>
      </c>
      <c r="C113" s="5" t="b">
        <v>0</v>
      </c>
      <c r="D113" s="4">
        <v>14914.0</v>
      </c>
    </row>
    <row r="114">
      <c r="A114" s="4">
        <v>51400.0</v>
      </c>
      <c r="B114" s="4" t="s">
        <v>174</v>
      </c>
      <c r="C114" s="5" t="b">
        <v>1</v>
      </c>
      <c r="D114" s="4">
        <v>1697.0</v>
      </c>
    </row>
    <row r="115">
      <c r="A115" s="4">
        <v>5145050.0</v>
      </c>
      <c r="B115" s="4" t="s">
        <v>560</v>
      </c>
      <c r="C115" s="5" t="b">
        <v>0</v>
      </c>
      <c r="D115" s="4">
        <v>11858.0</v>
      </c>
    </row>
    <row r="116">
      <c r="A116" s="4">
        <v>51441.0</v>
      </c>
      <c r="B116" s="4">
        <v>0.0</v>
      </c>
      <c r="C116" s="5" t="b">
        <v>0</v>
      </c>
      <c r="D116" s="4">
        <v>2285.0</v>
      </c>
    </row>
    <row r="117">
      <c r="A117" s="4">
        <v>5130504.0</v>
      </c>
      <c r="B117" s="4" t="s">
        <v>570</v>
      </c>
      <c r="C117" s="5" t="b">
        <v>0</v>
      </c>
      <c r="D117" s="4">
        <v>15589.0</v>
      </c>
    </row>
    <row r="118">
      <c r="A118" s="4">
        <v>513057.0</v>
      </c>
      <c r="B118" s="4" t="s">
        <v>576</v>
      </c>
      <c r="C118" s="5" t="b">
        <v>0</v>
      </c>
      <c r="D118" s="4">
        <v>2516.0</v>
      </c>
    </row>
    <row r="119">
      <c r="A119" s="4">
        <v>514305.0</v>
      </c>
      <c r="B119" s="4" t="s">
        <v>580</v>
      </c>
      <c r="C119" s="5" t="b">
        <v>0</v>
      </c>
      <c r="D119" s="4">
        <v>4175.0</v>
      </c>
    </row>
    <row r="120">
      <c r="A120" s="4">
        <v>51466.0</v>
      </c>
      <c r="B120" s="4" t="s">
        <v>585</v>
      </c>
      <c r="C120" s="5" t="b">
        <v>0</v>
      </c>
      <c r="D120" s="4">
        <v>3186.0</v>
      </c>
    </row>
    <row r="121">
      <c r="A121" s="4">
        <v>515501.0</v>
      </c>
      <c r="B121" s="4" t="s">
        <v>589</v>
      </c>
      <c r="C121" s="5" t="b">
        <v>0</v>
      </c>
      <c r="D121" s="4">
        <v>3731.0</v>
      </c>
    </row>
    <row r="122">
      <c r="A122" s="4">
        <v>55505.0</v>
      </c>
      <c r="B122" s="4" t="s">
        <v>591</v>
      </c>
      <c r="C122" s="5" t="b">
        <v>0</v>
      </c>
      <c r="D122" s="4">
        <v>1785.0</v>
      </c>
    </row>
    <row r="123">
      <c r="A123" s="4">
        <v>55555.0</v>
      </c>
      <c r="B123" s="4" t="s">
        <v>596</v>
      </c>
      <c r="C123" s="5" t="b">
        <v>0</v>
      </c>
      <c r="D123" s="4">
        <v>13994.0</v>
      </c>
    </row>
    <row r="124">
      <c r="A124" s="4">
        <v>55464.0</v>
      </c>
      <c r="B124" s="4" t="s">
        <v>601</v>
      </c>
      <c r="C124" s="5" t="b">
        <v>0</v>
      </c>
      <c r="D124" s="4">
        <v>2224.0</v>
      </c>
    </row>
    <row r="125">
      <c r="A125" s="4">
        <v>55447.0</v>
      </c>
      <c r="B125" s="4" t="s">
        <v>606</v>
      </c>
      <c r="C125" s="5" t="b">
        <v>0</v>
      </c>
      <c r="D125" s="4">
        <v>6126.0</v>
      </c>
    </row>
    <row r="126">
      <c r="A126" s="4">
        <v>5530306.0</v>
      </c>
      <c r="B126" s="4" t="s">
        <v>611</v>
      </c>
      <c r="C126" s="5" t="b">
        <v>0</v>
      </c>
      <c r="D126" s="4">
        <v>1675.0</v>
      </c>
    </row>
    <row r="127">
      <c r="A127" s="4">
        <v>553071.0</v>
      </c>
      <c r="B127" s="4">
        <v>0.0</v>
      </c>
      <c r="C127" s="5" t="b">
        <v>0</v>
      </c>
      <c r="D127" s="4">
        <v>191.0</v>
      </c>
    </row>
    <row r="128">
      <c r="A128" s="4">
        <v>55644.0</v>
      </c>
      <c r="B128" s="4" t="s">
        <v>576</v>
      </c>
      <c r="C128" s="5" t="b">
        <v>0</v>
      </c>
      <c r="D128" s="4">
        <v>3936.0</v>
      </c>
    </row>
    <row r="129">
      <c r="A129" s="4">
        <v>556450.0</v>
      </c>
      <c r="B129" s="4" t="s">
        <v>622</v>
      </c>
      <c r="C129" s="5" t="b">
        <v>0</v>
      </c>
      <c r="D129" s="4">
        <v>14340.0</v>
      </c>
    </row>
    <row r="130">
      <c r="A130" s="4">
        <v>54176.0</v>
      </c>
      <c r="B130" s="4" t="s">
        <v>628</v>
      </c>
      <c r="C130" s="5" t="b">
        <v>0</v>
      </c>
      <c r="D130" s="4">
        <v>5651.0</v>
      </c>
    </row>
    <row r="131">
      <c r="A131" s="4">
        <v>54470.0</v>
      </c>
      <c r="B131" s="4" t="s">
        <v>633</v>
      </c>
      <c r="C131" s="5" t="b">
        <v>1</v>
      </c>
      <c r="D131" s="4">
        <v>10356.0</v>
      </c>
    </row>
    <row r="132">
      <c r="A132" s="4">
        <v>545504.0</v>
      </c>
      <c r="B132" s="4" t="s">
        <v>639</v>
      </c>
      <c r="C132" s="5" t="b">
        <v>0</v>
      </c>
      <c r="D132" s="4">
        <v>13296.0</v>
      </c>
    </row>
    <row r="133">
      <c r="A133" s="4">
        <v>54561.0</v>
      </c>
      <c r="B133" s="4" t="s">
        <v>380</v>
      </c>
      <c r="C133" s="5" t="b">
        <v>0</v>
      </c>
      <c r="D133" s="4">
        <v>2906.0</v>
      </c>
    </row>
    <row r="134">
      <c r="A134" s="4">
        <v>545530.0</v>
      </c>
      <c r="B134" s="4" t="s">
        <v>648</v>
      </c>
      <c r="C134" s="5" t="b">
        <v>0</v>
      </c>
      <c r="D134" s="4">
        <v>23674.0</v>
      </c>
    </row>
    <row r="135">
      <c r="A135" s="4">
        <v>530054.0</v>
      </c>
      <c r="B135" s="4" t="s">
        <v>653</v>
      </c>
      <c r="C135" s="5" t="b">
        <v>0</v>
      </c>
      <c r="D135" s="4">
        <v>5189.0</v>
      </c>
    </row>
    <row r="136">
      <c r="A136" s="4">
        <v>530040.0</v>
      </c>
      <c r="B136" s="4">
        <v>0.0</v>
      </c>
      <c r="C136" s="5" t="b">
        <v>0</v>
      </c>
      <c r="D136" s="4">
        <v>1210.0</v>
      </c>
    </row>
    <row r="137">
      <c r="A137" s="4">
        <v>5300450.0</v>
      </c>
      <c r="B137" s="4" t="s">
        <v>170</v>
      </c>
      <c r="C137" s="5" t="b">
        <v>0</v>
      </c>
      <c r="D137" s="4">
        <v>6710.0</v>
      </c>
    </row>
    <row r="138">
      <c r="A138" s="4">
        <v>530144.0</v>
      </c>
      <c r="B138" s="4" t="s">
        <v>665</v>
      </c>
      <c r="C138" s="5" t="b">
        <v>0</v>
      </c>
      <c r="D138" s="4">
        <v>1787.0</v>
      </c>
    </row>
    <row r="139">
      <c r="A139" s="4">
        <v>5305050.0</v>
      </c>
      <c r="B139" s="4" t="s">
        <v>670</v>
      </c>
      <c r="C139" s="5" t="b">
        <v>0</v>
      </c>
      <c r="D139" s="4">
        <v>3626.0</v>
      </c>
    </row>
    <row r="140">
      <c r="A140" s="4">
        <v>530545.0</v>
      </c>
      <c r="B140" s="4">
        <v>0.0</v>
      </c>
      <c r="C140" s="5" t="b">
        <v>0</v>
      </c>
      <c r="D140" s="4">
        <v>6039.0</v>
      </c>
    </row>
    <row r="141">
      <c r="A141" s="4">
        <v>5305054.0</v>
      </c>
      <c r="B141" s="4" t="s">
        <v>429</v>
      </c>
      <c r="C141" s="5" t="b">
        <v>0</v>
      </c>
      <c r="D141" s="4">
        <v>2946.0</v>
      </c>
    </row>
    <row r="142">
      <c r="A142" s="4">
        <v>5305064.0</v>
      </c>
      <c r="B142" s="4" t="s">
        <v>576</v>
      </c>
      <c r="C142" s="5" t="b">
        <v>0</v>
      </c>
      <c r="D142" s="4">
        <v>2489.0</v>
      </c>
    </row>
    <row r="143">
      <c r="A143" s="4">
        <v>5305071.0</v>
      </c>
      <c r="B143" s="4" t="s">
        <v>358</v>
      </c>
      <c r="C143" s="5" t="b">
        <v>0</v>
      </c>
      <c r="D143" s="4">
        <v>2442.0</v>
      </c>
    </row>
    <row r="144">
      <c r="A144" s="4">
        <v>5305075.0</v>
      </c>
      <c r="B144" s="4" t="s">
        <v>689</v>
      </c>
      <c r="C144" s="5" t="b">
        <v>0</v>
      </c>
      <c r="D144" s="4">
        <v>2130.0</v>
      </c>
    </row>
    <row r="145">
      <c r="A145" s="4">
        <v>5305040.0</v>
      </c>
      <c r="B145" s="4" t="s">
        <v>689</v>
      </c>
      <c r="C145" s="5" t="b">
        <v>0</v>
      </c>
      <c r="D145" s="4">
        <v>3324.0</v>
      </c>
    </row>
    <row r="146">
      <c r="A146" s="4">
        <v>5.305043E7</v>
      </c>
      <c r="B146" s="4" t="s">
        <v>170</v>
      </c>
      <c r="C146" s="5" t="b">
        <v>0</v>
      </c>
      <c r="D146" s="4">
        <v>7452.0</v>
      </c>
    </row>
    <row r="147">
      <c r="A147" s="4">
        <v>5303050.0</v>
      </c>
      <c r="B147" s="4" t="s">
        <v>699</v>
      </c>
      <c r="C147" s="5" t="b">
        <v>0</v>
      </c>
      <c r="D147" s="4">
        <v>10562.0</v>
      </c>
    </row>
    <row r="148">
      <c r="A148" s="4">
        <v>5303044.0</v>
      </c>
      <c r="B148" s="4">
        <v>0.0</v>
      </c>
      <c r="C148" s="5" t="b">
        <v>0</v>
      </c>
      <c r="D148" s="4">
        <v>117.0</v>
      </c>
    </row>
    <row r="149">
      <c r="A149" s="4">
        <v>5303056.0</v>
      </c>
      <c r="B149" s="4">
        <v>0.0</v>
      </c>
      <c r="C149" s="5" t="b">
        <v>0</v>
      </c>
      <c r="D149" s="4">
        <v>2056.0</v>
      </c>
    </row>
    <row r="150">
      <c r="A150" s="4">
        <v>530604.0</v>
      </c>
      <c r="B150" s="4" t="s">
        <v>711</v>
      </c>
      <c r="C150" s="5" t="b">
        <v>1</v>
      </c>
      <c r="D150" s="4">
        <v>1860.0</v>
      </c>
    </row>
    <row r="151">
      <c r="A151" s="4">
        <v>530666.0</v>
      </c>
      <c r="B151" s="4" t="s">
        <v>716</v>
      </c>
      <c r="C151" s="5" t="b">
        <v>0</v>
      </c>
      <c r="D151" s="4">
        <v>4789.0</v>
      </c>
    </row>
    <row r="152">
      <c r="A152" s="4">
        <v>530644.0</v>
      </c>
      <c r="B152" s="4" t="s">
        <v>721</v>
      </c>
      <c r="C152" s="5" t="b">
        <v>0</v>
      </c>
      <c r="D152" s="4">
        <v>3724.0</v>
      </c>
    </row>
    <row r="153">
      <c r="A153" s="4">
        <v>5307030.0</v>
      </c>
      <c r="B153" s="4" t="s">
        <v>726</v>
      </c>
      <c r="C153" s="5" t="b">
        <v>0</v>
      </c>
      <c r="D153" s="4">
        <v>9695.0</v>
      </c>
    </row>
    <row r="154">
      <c r="A154" s="4">
        <v>530761.0</v>
      </c>
      <c r="B154" s="4" t="s">
        <v>170</v>
      </c>
      <c r="C154" s="5" t="b">
        <v>0</v>
      </c>
      <c r="D154" s="4">
        <v>3463.0</v>
      </c>
    </row>
    <row r="155">
      <c r="A155" s="4">
        <v>530416.0</v>
      </c>
      <c r="B155" s="4" t="s">
        <v>261</v>
      </c>
      <c r="C155" s="5" t="b">
        <v>0</v>
      </c>
      <c r="D155" s="4">
        <v>2594.0</v>
      </c>
    </row>
    <row r="156">
      <c r="A156" s="4">
        <v>5304450.0</v>
      </c>
      <c r="B156" s="4" t="s">
        <v>420</v>
      </c>
      <c r="C156" s="5" t="b">
        <v>0</v>
      </c>
      <c r="D156" s="4">
        <v>5450.0</v>
      </c>
    </row>
    <row r="157">
      <c r="A157" s="4">
        <v>530455.0</v>
      </c>
      <c r="B157" s="4" t="s">
        <v>292</v>
      </c>
      <c r="C157" s="5" t="b">
        <v>0</v>
      </c>
      <c r="D157" s="4">
        <v>2591.0</v>
      </c>
    </row>
    <row r="158">
      <c r="A158" s="4">
        <v>530516.0</v>
      </c>
      <c r="B158" s="4" t="s">
        <v>746</v>
      </c>
      <c r="C158" s="5" t="b">
        <v>0</v>
      </c>
      <c r="D158" s="4">
        <v>1426.0</v>
      </c>
    </row>
    <row r="159">
      <c r="A159" s="4">
        <v>5305304.0</v>
      </c>
      <c r="B159" s="4" t="s">
        <v>380</v>
      </c>
      <c r="C159" s="5" t="b">
        <v>0</v>
      </c>
      <c r="D159" s="4">
        <v>3442.0</v>
      </c>
    </row>
    <row r="160">
      <c r="A160" s="4">
        <v>56005.0</v>
      </c>
      <c r="B160" s="4" t="s">
        <v>756</v>
      </c>
      <c r="C160" s="5" t="b">
        <v>1</v>
      </c>
      <c r="D160" s="4">
        <v>6726.0</v>
      </c>
    </row>
    <row r="161">
      <c r="A161" s="4">
        <v>56115.0</v>
      </c>
      <c r="B161" s="4" t="s">
        <v>323</v>
      </c>
      <c r="C161" s="5" t="b">
        <v>0</v>
      </c>
      <c r="D161" s="4">
        <v>361.0</v>
      </c>
    </row>
    <row r="162">
      <c r="A162" s="4">
        <v>565501.0</v>
      </c>
      <c r="B162" s="4" t="s">
        <v>764</v>
      </c>
      <c r="C162" s="5" t="b">
        <v>0</v>
      </c>
      <c r="D162" s="4">
        <v>2081.0</v>
      </c>
    </row>
    <row r="163">
      <c r="A163" s="4">
        <v>5655030.0</v>
      </c>
      <c r="B163" s="4" t="s">
        <v>628</v>
      </c>
      <c r="C163" s="5" t="b">
        <v>0</v>
      </c>
      <c r="D163" s="4">
        <v>6782.0</v>
      </c>
    </row>
    <row r="164">
      <c r="A164" s="4">
        <v>56556.0</v>
      </c>
      <c r="B164" s="4" t="s">
        <v>774</v>
      </c>
      <c r="C164" s="5" t="b">
        <v>0</v>
      </c>
      <c r="D164" s="4">
        <v>1332.0</v>
      </c>
    </row>
    <row r="165">
      <c r="A165" s="4">
        <v>564304.0</v>
      </c>
      <c r="B165" s="4" t="s">
        <v>516</v>
      </c>
      <c r="C165" s="5" t="b">
        <v>0</v>
      </c>
      <c r="D165" s="4">
        <v>5465.0</v>
      </c>
    </row>
    <row r="166">
      <c r="A166" s="4">
        <v>563006.0</v>
      </c>
      <c r="B166" s="4" t="s">
        <v>783</v>
      </c>
      <c r="C166" s="5" t="b">
        <v>0</v>
      </c>
      <c r="D166" s="4">
        <v>1297.0</v>
      </c>
    </row>
    <row r="167">
      <c r="A167" s="4">
        <v>563014.0</v>
      </c>
      <c r="B167" s="4" t="s">
        <v>788</v>
      </c>
      <c r="C167" s="5" t="b">
        <v>0</v>
      </c>
      <c r="D167" s="4">
        <v>2431.0</v>
      </c>
    </row>
    <row r="168">
      <c r="A168" s="4">
        <v>567304.0</v>
      </c>
      <c r="B168" s="4" t="s">
        <v>793</v>
      </c>
      <c r="C168" s="5" t="b">
        <v>0</v>
      </c>
      <c r="D168" s="4">
        <v>3790.0</v>
      </c>
    </row>
    <row r="169">
      <c r="A169" s="4">
        <v>56555.0</v>
      </c>
      <c r="B169" s="4" t="s">
        <v>689</v>
      </c>
      <c r="C169" s="5" t="b">
        <v>0</v>
      </c>
      <c r="D169" s="4">
        <v>2214.0</v>
      </c>
    </row>
    <row r="170">
      <c r="A170" s="4">
        <v>57004.0</v>
      </c>
      <c r="B170" s="4" t="s">
        <v>801</v>
      </c>
      <c r="C170" s="5" t="b">
        <v>0</v>
      </c>
      <c r="D170" s="4">
        <v>24.0</v>
      </c>
    </row>
    <row r="171">
      <c r="A171" s="4">
        <v>57044.0</v>
      </c>
      <c r="B171" s="4" t="s">
        <v>689</v>
      </c>
      <c r="C171" s="5" t="b">
        <v>0</v>
      </c>
      <c r="D171" s="4">
        <v>2186.0</v>
      </c>
    </row>
    <row r="172">
      <c r="A172" s="4">
        <v>57065.0</v>
      </c>
      <c r="B172" s="4" t="s">
        <v>354</v>
      </c>
      <c r="C172" s="5" t="b">
        <v>0</v>
      </c>
      <c r="D172" s="4">
        <v>1946.0</v>
      </c>
    </row>
    <row r="173">
      <c r="A173" s="4">
        <v>57141.0</v>
      </c>
      <c r="B173" s="4" t="s">
        <v>815</v>
      </c>
      <c r="C173" s="5" t="b">
        <v>0</v>
      </c>
      <c r="D173" s="4">
        <v>840.0</v>
      </c>
    </row>
    <row r="174">
      <c r="A174" s="4">
        <v>571530.0</v>
      </c>
      <c r="B174" s="4">
        <v>0.0</v>
      </c>
      <c r="C174" s="5" t="b">
        <v>0</v>
      </c>
      <c r="D174" s="4">
        <v>35.0</v>
      </c>
    </row>
    <row r="175">
      <c r="A175" s="4">
        <v>575304.0</v>
      </c>
      <c r="B175" s="4" t="s">
        <v>823</v>
      </c>
      <c r="C175" s="5" t="b">
        <v>0</v>
      </c>
      <c r="D175" s="4">
        <v>30.0</v>
      </c>
    </row>
    <row r="176">
      <c r="A176" s="4">
        <v>573000.0</v>
      </c>
      <c r="B176" s="4" t="s">
        <v>149</v>
      </c>
      <c r="C176" s="5" t="b">
        <v>0</v>
      </c>
      <c r="D176" s="4">
        <v>2333.0</v>
      </c>
    </row>
    <row r="177">
      <c r="A177" s="4">
        <v>573014.0</v>
      </c>
      <c r="B177" s="4" t="s">
        <v>832</v>
      </c>
      <c r="C177" s="5" t="b">
        <v>0</v>
      </c>
      <c r="D177" s="4">
        <v>4517.0</v>
      </c>
    </row>
    <row r="178">
      <c r="A178" s="4">
        <v>57615.0</v>
      </c>
      <c r="B178" s="4">
        <v>38.0</v>
      </c>
      <c r="C178" s="5" t="b">
        <v>0</v>
      </c>
      <c r="D178" s="4">
        <v>1913.0</v>
      </c>
    </row>
    <row r="179">
      <c r="A179" s="4">
        <v>57444.0</v>
      </c>
      <c r="B179" s="4" t="s">
        <v>292</v>
      </c>
      <c r="C179" s="5" t="b">
        <v>0</v>
      </c>
      <c r="D179" s="4">
        <v>268.0</v>
      </c>
    </row>
    <row r="180">
      <c r="A180" s="4">
        <v>57504.0</v>
      </c>
      <c r="B180" s="4" t="s">
        <v>689</v>
      </c>
      <c r="C180" s="5" t="b">
        <v>0</v>
      </c>
      <c r="D180" s="4">
        <v>238.0</v>
      </c>
    </row>
    <row r="181">
      <c r="A181" s="4">
        <v>57544.0</v>
      </c>
      <c r="B181" s="4" t="s">
        <v>849</v>
      </c>
      <c r="C181" s="5" t="b">
        <v>0</v>
      </c>
      <c r="D181" s="4">
        <v>2275.0</v>
      </c>
    </row>
    <row r="182">
      <c r="A182" s="4">
        <v>540630.0</v>
      </c>
      <c r="B182" s="4" t="s">
        <v>854</v>
      </c>
      <c r="C182" s="5" t="b">
        <v>0</v>
      </c>
      <c r="D182" s="4">
        <v>2358.0</v>
      </c>
    </row>
    <row r="183">
      <c r="A183" s="4">
        <v>54146.0</v>
      </c>
      <c r="B183" s="4" t="s">
        <v>512</v>
      </c>
      <c r="C183" s="5" t="b">
        <v>0</v>
      </c>
      <c r="D183" s="4">
        <v>1931.0</v>
      </c>
    </row>
    <row r="184">
      <c r="A184" s="4">
        <v>54160.0</v>
      </c>
      <c r="B184" s="4">
        <v>0.0</v>
      </c>
      <c r="C184" s="5" t="b">
        <v>0</v>
      </c>
      <c r="D184" s="4">
        <v>1103.0</v>
      </c>
    </row>
    <row r="185">
      <c r="A185" s="4">
        <v>54170.0</v>
      </c>
      <c r="B185" s="4" t="s">
        <v>868</v>
      </c>
      <c r="C185" s="5" t="b">
        <v>0</v>
      </c>
      <c r="D185" s="4">
        <v>4756.0</v>
      </c>
    </row>
    <row r="186">
      <c r="A186" s="4">
        <v>545550.0</v>
      </c>
      <c r="B186" s="4" t="s">
        <v>462</v>
      </c>
      <c r="C186" s="5" t="b">
        <v>0</v>
      </c>
      <c r="D186" s="4">
        <v>156.0</v>
      </c>
    </row>
    <row r="187">
      <c r="A187" s="4">
        <v>54544.0</v>
      </c>
      <c r="B187" s="4">
        <v>0.0</v>
      </c>
      <c r="C187" s="5" t="b">
        <v>0</v>
      </c>
      <c r="D187" s="4">
        <v>2709.0</v>
      </c>
    </row>
    <row r="188">
      <c r="A188" s="4">
        <v>5450050.0</v>
      </c>
      <c r="B188" s="4">
        <v>0.0</v>
      </c>
      <c r="C188" s="5" t="b">
        <v>0</v>
      </c>
      <c r="D188" s="4">
        <v>54.0</v>
      </c>
    </row>
    <row r="189">
      <c r="A189" s="4">
        <v>545074.0</v>
      </c>
      <c r="B189" s="4" t="s">
        <v>611</v>
      </c>
      <c r="C189" s="5" t="b">
        <v>0</v>
      </c>
      <c r="D189" s="4">
        <v>347.0</v>
      </c>
    </row>
    <row r="190">
      <c r="A190" s="4">
        <v>54414.0</v>
      </c>
      <c r="B190" s="4" t="s">
        <v>576</v>
      </c>
      <c r="C190" s="5" t="b">
        <v>0</v>
      </c>
      <c r="D190" s="4">
        <v>50.0</v>
      </c>
    </row>
    <row r="191">
      <c r="A191" s="4">
        <v>54460.0</v>
      </c>
      <c r="B191" s="4" t="s">
        <v>405</v>
      </c>
      <c r="C191" s="5" t="b">
        <v>0</v>
      </c>
      <c r="D191" s="4">
        <v>2426.0</v>
      </c>
    </row>
    <row r="192">
      <c r="A192" s="4">
        <v>543076.0</v>
      </c>
      <c r="B192" s="4" t="s">
        <v>34</v>
      </c>
      <c r="C192" s="5" t="b">
        <v>0</v>
      </c>
      <c r="D192" s="4">
        <v>4840.0</v>
      </c>
    </row>
    <row r="193">
      <c r="A193" s="4">
        <v>54756.0</v>
      </c>
      <c r="B193" s="4" t="s">
        <v>900</v>
      </c>
      <c r="C193" s="5" t="b">
        <v>0</v>
      </c>
      <c r="D193" s="4">
        <v>1030.0</v>
      </c>
    </row>
    <row r="194">
      <c r="A194" s="4">
        <v>544550.0</v>
      </c>
      <c r="B194" s="4" t="s">
        <v>380</v>
      </c>
      <c r="C194" s="5" t="b">
        <v>0</v>
      </c>
      <c r="D194" s="4">
        <v>1388.0</v>
      </c>
    </row>
    <row r="195">
      <c r="A195" s="4">
        <v>544305.0</v>
      </c>
      <c r="B195" s="4" t="s">
        <v>909</v>
      </c>
      <c r="C195" s="5" t="b">
        <v>0</v>
      </c>
      <c r="D195" s="4">
        <v>3204.0</v>
      </c>
    </row>
    <row r="196">
      <c r="A196" s="4">
        <v>54465.0</v>
      </c>
      <c r="B196" s="4" t="s">
        <v>764</v>
      </c>
      <c r="C196" s="5" t="b">
        <v>0</v>
      </c>
      <c r="D196" s="4">
        <v>1165.0</v>
      </c>
    </row>
    <row r="197">
      <c r="A197" s="4">
        <v>544730.0</v>
      </c>
      <c r="B197" s="4" t="s">
        <v>919</v>
      </c>
      <c r="C197" s="5" t="b">
        <v>0</v>
      </c>
      <c r="D197" s="4">
        <v>119.0</v>
      </c>
    </row>
    <row r="198">
      <c r="A198" s="4">
        <v>544450.0</v>
      </c>
      <c r="B198" s="4" t="s">
        <v>923</v>
      </c>
      <c r="C198" s="5" t="b">
        <v>1</v>
      </c>
      <c r="D198" s="4">
        <v>4425.0</v>
      </c>
    </row>
    <row r="199">
      <c r="A199" s="4">
        <v>54504.0</v>
      </c>
      <c r="B199" s="4" t="s">
        <v>375</v>
      </c>
      <c r="C199" s="5" t="b">
        <v>0</v>
      </c>
      <c r="D199" s="4">
        <v>3316.0</v>
      </c>
    </row>
    <row r="200">
      <c r="A200" s="4">
        <v>54506.0</v>
      </c>
      <c r="B200" s="4" t="s">
        <v>931</v>
      </c>
      <c r="C200" s="5" t="b">
        <v>0</v>
      </c>
      <c r="D200" s="4">
        <v>5167.0</v>
      </c>
    </row>
    <row r="201">
      <c r="A201" s="4">
        <v>54574.0</v>
      </c>
      <c r="B201" s="4" t="s">
        <v>516</v>
      </c>
      <c r="C201" s="5" t="b">
        <v>0</v>
      </c>
      <c r="D201" s="4">
        <v>1399.0</v>
      </c>
    </row>
    <row r="202">
      <c r="A202" s="4">
        <v>54544.0</v>
      </c>
      <c r="B202" s="4" t="s">
        <v>271</v>
      </c>
      <c r="C202" s="5" t="b">
        <v>0</v>
      </c>
      <c r="D202" s="4">
        <v>1561.0</v>
      </c>
    </row>
    <row r="203">
      <c r="A203" s="4">
        <v>55016.0</v>
      </c>
      <c r="B203" s="4" t="s">
        <v>266</v>
      </c>
      <c r="C203" s="5" t="b">
        <v>0</v>
      </c>
      <c r="D203" s="4">
        <v>3889.0</v>
      </c>
    </row>
    <row r="204">
      <c r="A204" s="4">
        <v>55017.0</v>
      </c>
      <c r="B204" s="4" t="s">
        <v>949</v>
      </c>
      <c r="C204" s="5" t="b">
        <v>0</v>
      </c>
      <c r="D204" s="4">
        <v>4665.0</v>
      </c>
    </row>
    <row r="205">
      <c r="A205" s="4">
        <v>55545.0</v>
      </c>
      <c r="B205" s="4" t="s">
        <v>955</v>
      </c>
      <c r="C205" s="5" t="b">
        <v>0</v>
      </c>
      <c r="D205" s="4">
        <v>648.0</v>
      </c>
    </row>
    <row r="206">
      <c r="A206" s="4">
        <v>555550.0</v>
      </c>
      <c r="B206" s="4" t="s">
        <v>960</v>
      </c>
      <c r="C206" s="5" t="b">
        <v>0</v>
      </c>
      <c r="D206" s="4">
        <v>70.0</v>
      </c>
    </row>
    <row r="207">
      <c r="A207" s="4">
        <v>55407.0</v>
      </c>
      <c r="B207" s="4" t="s">
        <v>966</v>
      </c>
      <c r="C207" s="5" t="b">
        <v>0</v>
      </c>
      <c r="D207" s="4">
        <v>3997.0</v>
      </c>
    </row>
    <row r="208">
      <c r="A208" s="4">
        <v>55405.0</v>
      </c>
      <c r="B208" s="4" t="s">
        <v>971</v>
      </c>
      <c r="C208" s="5" t="b">
        <v>0</v>
      </c>
      <c r="D208" s="4">
        <v>779.0</v>
      </c>
    </row>
    <row r="209">
      <c r="A209" s="4">
        <v>55410.0</v>
      </c>
      <c r="B209" s="4" t="s">
        <v>976</v>
      </c>
      <c r="C209" s="5" t="b">
        <v>0</v>
      </c>
      <c r="D209" s="4">
        <v>557.0</v>
      </c>
    </row>
    <row r="210">
      <c r="A210" s="4">
        <v>55416.0</v>
      </c>
      <c r="B210" s="4">
        <v>0.0</v>
      </c>
      <c r="C210" s="5" t="b">
        <v>0</v>
      </c>
      <c r="D210" s="4">
        <v>225.0</v>
      </c>
    </row>
    <row r="211">
      <c r="A211" s="4">
        <v>554505.0</v>
      </c>
      <c r="B211" s="4" t="s">
        <v>987</v>
      </c>
      <c r="C211" s="5" t="b">
        <v>0</v>
      </c>
      <c r="D211" s="4">
        <v>1732.0</v>
      </c>
    </row>
    <row r="212">
      <c r="A212" s="4">
        <v>554304.0</v>
      </c>
      <c r="B212" s="4" t="s">
        <v>993</v>
      </c>
      <c r="C212" s="5" t="b">
        <v>0</v>
      </c>
      <c r="D212" s="4">
        <v>407.0</v>
      </c>
    </row>
    <row r="213">
      <c r="A213" s="4">
        <v>55461.0</v>
      </c>
      <c r="B213" s="4" t="s">
        <v>998</v>
      </c>
      <c r="C213" s="5" t="b">
        <v>0</v>
      </c>
      <c r="D213" s="4">
        <v>179.0</v>
      </c>
    </row>
    <row r="214">
      <c r="A214" s="4">
        <v>55464.0</v>
      </c>
      <c r="B214" s="4" t="s">
        <v>1004</v>
      </c>
      <c r="C214" s="5" t="b">
        <v>0</v>
      </c>
      <c r="D214" s="4">
        <v>569.0</v>
      </c>
    </row>
    <row r="215">
      <c r="A215" s="4">
        <v>554630.0</v>
      </c>
      <c r="B215" s="4" t="s">
        <v>1010</v>
      </c>
      <c r="C215" s="5" t="b">
        <v>0</v>
      </c>
      <c r="D215" s="4">
        <v>478.0</v>
      </c>
    </row>
    <row r="216">
      <c r="A216" s="4">
        <v>55465.0</v>
      </c>
      <c r="B216" s="4" t="s">
        <v>354</v>
      </c>
      <c r="C216" s="5" t="b">
        <v>0</v>
      </c>
      <c r="D216" s="4">
        <v>271.0</v>
      </c>
    </row>
    <row r="217">
      <c r="A217" s="4">
        <v>55470.0</v>
      </c>
      <c r="B217" s="4" t="s">
        <v>1020</v>
      </c>
      <c r="C217" s="5" t="b">
        <v>0</v>
      </c>
      <c r="D217" s="4">
        <v>2796.0</v>
      </c>
    </row>
    <row r="218">
      <c r="A218" s="4">
        <v>55444.0</v>
      </c>
      <c r="B218" s="4" t="s">
        <v>1025</v>
      </c>
      <c r="C218" s="5" t="b">
        <v>0</v>
      </c>
      <c r="D218" s="4">
        <v>1149.0</v>
      </c>
    </row>
    <row r="219">
      <c r="A219" s="4">
        <v>55455.0</v>
      </c>
      <c r="B219" s="4" t="s">
        <v>576</v>
      </c>
      <c r="C219" s="5" t="b">
        <v>0</v>
      </c>
      <c r="D219" s="4">
        <v>59.0</v>
      </c>
    </row>
    <row r="220">
      <c r="A220" s="4">
        <v>553017.0</v>
      </c>
      <c r="B220" s="4" t="s">
        <v>1036</v>
      </c>
      <c r="C220" s="5" t="b">
        <v>0</v>
      </c>
      <c r="D220" s="4">
        <v>944.0</v>
      </c>
    </row>
    <row r="221">
      <c r="A221" s="4">
        <v>553051.0</v>
      </c>
      <c r="B221" s="4" t="s">
        <v>774</v>
      </c>
      <c r="C221" s="5" t="b">
        <v>0</v>
      </c>
      <c r="D221" s="4">
        <v>1477.0</v>
      </c>
    </row>
    <row r="222">
      <c r="A222" s="4">
        <v>5530501.0</v>
      </c>
      <c r="B222" s="4" t="s">
        <v>512</v>
      </c>
      <c r="C222" s="5" t="b">
        <v>0</v>
      </c>
      <c r="D222" s="4">
        <v>2167.0</v>
      </c>
    </row>
    <row r="223">
      <c r="A223" s="4">
        <v>5530504.0</v>
      </c>
      <c r="B223" s="4" t="s">
        <v>1052</v>
      </c>
      <c r="C223" s="5" t="b">
        <v>0</v>
      </c>
      <c r="D223" s="4">
        <v>1450.0</v>
      </c>
    </row>
    <row r="224">
      <c r="A224" s="4">
        <v>553044.0</v>
      </c>
      <c r="B224" s="4" t="s">
        <v>462</v>
      </c>
      <c r="C224" s="5" t="b">
        <v>0</v>
      </c>
      <c r="D224" s="4">
        <v>588.0</v>
      </c>
    </row>
    <row r="225">
      <c r="A225" s="4">
        <v>553066.0</v>
      </c>
      <c r="B225" s="4" t="s">
        <v>1010</v>
      </c>
      <c r="C225" s="5" t="b">
        <v>0</v>
      </c>
      <c r="D225" s="4">
        <v>59.0</v>
      </c>
    </row>
    <row r="226">
      <c r="A226" s="4">
        <v>553064.0</v>
      </c>
      <c r="B226" s="4" t="s">
        <v>576</v>
      </c>
      <c r="C226" s="5" t="b">
        <v>0</v>
      </c>
      <c r="D226" s="4">
        <v>43.0</v>
      </c>
    </row>
    <row r="227">
      <c r="A227" s="4">
        <v>553054.0</v>
      </c>
      <c r="B227" s="4" t="s">
        <v>1067</v>
      </c>
      <c r="C227" s="5" t="b">
        <v>1</v>
      </c>
      <c r="D227" s="4">
        <v>67.0</v>
      </c>
    </row>
    <row r="228">
      <c r="A228" s="4">
        <v>55617.0</v>
      </c>
      <c r="B228" s="4" t="s">
        <v>1072</v>
      </c>
      <c r="C228" s="5" t="b">
        <v>0</v>
      </c>
      <c r="D228" s="4">
        <v>1007.0</v>
      </c>
    </row>
    <row r="229">
      <c r="A229" s="4">
        <v>556506.0</v>
      </c>
      <c r="B229" s="4" t="s">
        <v>1072</v>
      </c>
      <c r="C229" s="5" t="b">
        <v>0</v>
      </c>
      <c r="D229" s="4">
        <v>610.0</v>
      </c>
    </row>
    <row r="230">
      <c r="A230" s="4">
        <v>55646.0</v>
      </c>
      <c r="B230" s="4" t="s">
        <v>345</v>
      </c>
      <c r="C230" s="5" t="b">
        <v>0</v>
      </c>
      <c r="D230" s="4">
        <v>32.0</v>
      </c>
    </row>
    <row r="231">
      <c r="A231" s="4">
        <v>55665.0</v>
      </c>
      <c r="B231" s="4" t="s">
        <v>1086</v>
      </c>
      <c r="C231" s="5" t="b">
        <v>0</v>
      </c>
      <c r="D231" s="4">
        <v>600.0</v>
      </c>
    </row>
    <row r="232">
      <c r="A232" s="4">
        <v>55666.0</v>
      </c>
      <c r="B232" s="4">
        <v>0.0</v>
      </c>
      <c r="C232" s="5" t="b">
        <v>0</v>
      </c>
      <c r="D232" s="4">
        <v>722.0</v>
      </c>
    </row>
    <row r="233">
      <c r="A233" s="4">
        <v>55664.0</v>
      </c>
      <c r="B233" s="4" t="s">
        <v>993</v>
      </c>
      <c r="C233" s="5" t="b">
        <v>0</v>
      </c>
      <c r="D233" s="4">
        <v>28.0</v>
      </c>
    </row>
    <row r="234">
      <c r="A234" s="4">
        <v>55754.0</v>
      </c>
      <c r="B234" s="4" t="s">
        <v>287</v>
      </c>
      <c r="C234" s="5" t="b">
        <v>0</v>
      </c>
      <c r="D234" s="4">
        <v>2081.0</v>
      </c>
    </row>
    <row r="235">
      <c r="A235" s="4">
        <v>55767.0</v>
      </c>
      <c r="B235" s="4" t="s">
        <v>1103</v>
      </c>
      <c r="C235" s="5" t="b">
        <v>1</v>
      </c>
      <c r="D235" s="4">
        <v>408.0</v>
      </c>
    </row>
    <row r="236">
      <c r="A236" s="4">
        <v>55405.0</v>
      </c>
      <c r="B236" s="4" t="s">
        <v>1107</v>
      </c>
      <c r="C236" s="5" t="b">
        <v>0</v>
      </c>
      <c r="D236" s="4">
        <v>2032.0</v>
      </c>
    </row>
    <row r="237">
      <c r="A237" s="4">
        <v>554305.0</v>
      </c>
      <c r="B237" s="4" t="s">
        <v>527</v>
      </c>
      <c r="C237" s="5" t="b">
        <v>0</v>
      </c>
      <c r="D237" s="4">
        <v>3344.0</v>
      </c>
    </row>
    <row r="238">
      <c r="A238" s="4">
        <v>554304.0</v>
      </c>
      <c r="B238" s="4">
        <v>0.0</v>
      </c>
      <c r="C238" s="5" t="b">
        <v>0</v>
      </c>
      <c r="D238" s="4">
        <v>2842.0</v>
      </c>
    </row>
    <row r="239">
      <c r="A239" s="4">
        <v>55457.0</v>
      </c>
      <c r="B239" s="4" t="s">
        <v>1120</v>
      </c>
      <c r="C239" s="5" t="b">
        <v>0</v>
      </c>
      <c r="D239" s="4">
        <v>1274.0</v>
      </c>
    </row>
    <row r="240">
      <c r="A240" s="4">
        <v>555505.0</v>
      </c>
      <c r="B240" s="4" t="s">
        <v>1124</v>
      </c>
      <c r="C240" s="5" t="b">
        <v>0</v>
      </c>
      <c r="D240" s="4">
        <v>1223.0</v>
      </c>
    </row>
    <row r="241">
      <c r="A241" s="4">
        <v>500141.0</v>
      </c>
      <c r="B241" s="4" t="s">
        <v>380</v>
      </c>
      <c r="C241" s="5" t="b">
        <v>0</v>
      </c>
      <c r="D241" s="4">
        <v>1578.0</v>
      </c>
    </row>
    <row r="242">
      <c r="A242" s="4">
        <v>500510.0</v>
      </c>
      <c r="B242" s="4" t="s">
        <v>1132</v>
      </c>
      <c r="C242" s="5" t="b">
        <v>0</v>
      </c>
      <c r="D242" s="4">
        <v>164.0</v>
      </c>
    </row>
    <row r="243">
      <c r="A243" s="4">
        <v>500515.0</v>
      </c>
      <c r="B243" s="4" t="s">
        <v>213</v>
      </c>
      <c r="C243" s="5" t="b">
        <v>0</v>
      </c>
      <c r="D243" s="4">
        <v>2247.0</v>
      </c>
    </row>
    <row r="244">
      <c r="A244" s="4">
        <v>500571.0</v>
      </c>
      <c r="B244" s="4" t="s">
        <v>1036</v>
      </c>
      <c r="C244" s="5" t="b">
        <v>0</v>
      </c>
      <c r="D244" s="4">
        <v>4041.0</v>
      </c>
    </row>
    <row r="245">
      <c r="A245" s="4">
        <v>5005430.0</v>
      </c>
      <c r="B245" s="4" t="s">
        <v>1148</v>
      </c>
      <c r="C245" s="5" t="b">
        <v>0</v>
      </c>
      <c r="D245" s="4">
        <v>1416.0</v>
      </c>
    </row>
    <row r="246">
      <c r="A246" s="4">
        <v>500401.0</v>
      </c>
      <c r="B246" s="4" t="s">
        <v>993</v>
      </c>
      <c r="C246" s="5" t="b">
        <v>0</v>
      </c>
      <c r="D246" s="4">
        <v>451.0</v>
      </c>
    </row>
    <row r="247">
      <c r="A247" s="4">
        <v>5004450.0</v>
      </c>
      <c r="B247" s="4">
        <v>0.0</v>
      </c>
      <c r="C247" s="5" t="b">
        <v>0</v>
      </c>
      <c r="D247" s="4">
        <v>3311.0</v>
      </c>
    </row>
    <row r="248">
      <c r="A248" s="4">
        <v>5004430.0</v>
      </c>
      <c r="B248" s="4" t="s">
        <v>1159</v>
      </c>
      <c r="C248" s="5" t="b">
        <v>0</v>
      </c>
      <c r="D248" s="4">
        <v>102.0</v>
      </c>
    </row>
    <row r="249">
      <c r="A249" s="4">
        <v>500457.0</v>
      </c>
      <c r="B249" s="4" t="s">
        <v>998</v>
      </c>
      <c r="C249" s="5" t="b">
        <v>0</v>
      </c>
      <c r="D249" s="4">
        <v>968.0</v>
      </c>
    </row>
    <row r="250">
      <c r="A250" s="4">
        <v>5003057.0</v>
      </c>
      <c r="B250" s="4" t="s">
        <v>1168</v>
      </c>
      <c r="C250" s="5" t="b">
        <v>1</v>
      </c>
      <c r="D250" s="4">
        <v>1915.0</v>
      </c>
    </row>
    <row r="251">
      <c r="A251" s="4">
        <v>5.0030305E8</v>
      </c>
      <c r="B251" s="4" t="s">
        <v>1173</v>
      </c>
      <c r="C251" s="5" t="b">
        <v>0</v>
      </c>
      <c r="D251" s="4">
        <v>804.0</v>
      </c>
    </row>
    <row r="252">
      <c r="A252" s="4">
        <v>500667.0</v>
      </c>
      <c r="B252" s="4">
        <v>0.0</v>
      </c>
      <c r="C252" s="5" t="b">
        <v>0</v>
      </c>
      <c r="D252" s="4">
        <v>126.0</v>
      </c>
    </row>
    <row r="253">
      <c r="A253" s="4">
        <v>500646.0</v>
      </c>
      <c r="B253" s="4" t="s">
        <v>192</v>
      </c>
      <c r="C253" s="5" t="b">
        <v>0</v>
      </c>
      <c r="D253" s="4">
        <v>350.0</v>
      </c>
    </row>
    <row r="254">
      <c r="A254" s="4">
        <v>500655.0</v>
      </c>
      <c r="B254" s="4" t="s">
        <v>611</v>
      </c>
      <c r="C254" s="5" t="b">
        <v>0</v>
      </c>
      <c r="D254" s="4">
        <v>762.0</v>
      </c>
    </row>
    <row r="255">
      <c r="A255" s="4">
        <v>5004150.0</v>
      </c>
      <c r="B255" s="4" t="s">
        <v>354</v>
      </c>
      <c r="C255" s="5" t="b">
        <v>0</v>
      </c>
      <c r="D255" s="4">
        <v>33.0</v>
      </c>
    </row>
    <row r="256">
      <c r="A256" s="4">
        <v>5004506.0</v>
      </c>
      <c r="B256" s="4" t="s">
        <v>1192</v>
      </c>
      <c r="C256" s="5" t="b">
        <v>0</v>
      </c>
      <c r="D256" s="4">
        <v>1252.0</v>
      </c>
    </row>
    <row r="257">
      <c r="A257" s="4">
        <v>500447.0</v>
      </c>
      <c r="B257" s="4">
        <v>0.0</v>
      </c>
      <c r="C257" s="5" t="b">
        <v>0</v>
      </c>
      <c r="D257" s="4">
        <v>508.0</v>
      </c>
    </row>
    <row r="258">
      <c r="A258" s="4">
        <v>500444.0</v>
      </c>
      <c r="B258" s="4" t="s">
        <v>354</v>
      </c>
      <c r="C258" s="5" t="b">
        <v>0</v>
      </c>
      <c r="D258" s="4">
        <v>3047.0</v>
      </c>
    </row>
    <row r="259">
      <c r="A259" s="4">
        <v>500554.0</v>
      </c>
      <c r="B259" s="4" t="s">
        <v>998</v>
      </c>
      <c r="C259" s="5" t="b">
        <v>0</v>
      </c>
      <c r="D259" s="4">
        <v>2397.0</v>
      </c>
    </row>
    <row r="260">
      <c r="A260" s="4">
        <v>5005450.0</v>
      </c>
      <c r="B260" s="4" t="s">
        <v>380</v>
      </c>
      <c r="C260" s="5" t="b">
        <v>0</v>
      </c>
      <c r="D260" s="4">
        <v>3722.0</v>
      </c>
    </row>
    <row r="261">
      <c r="A261" s="4">
        <v>500547.0</v>
      </c>
      <c r="B261" s="4" t="s">
        <v>354</v>
      </c>
      <c r="C261" s="5" t="b">
        <v>0</v>
      </c>
      <c r="D261" s="4">
        <v>1121.0</v>
      </c>
    </row>
    <row r="262">
      <c r="A262" s="4">
        <v>5005750.0</v>
      </c>
      <c r="B262" s="4">
        <v>0.0</v>
      </c>
      <c r="C262" s="5" t="b">
        <v>0</v>
      </c>
      <c r="D262" s="4">
        <v>16.0</v>
      </c>
    </row>
    <row r="263">
      <c r="A263" s="4">
        <v>501004.0</v>
      </c>
      <c r="B263" s="4" t="s">
        <v>516</v>
      </c>
      <c r="C263" s="5" t="b">
        <v>0</v>
      </c>
      <c r="D263" s="4">
        <v>1678.0</v>
      </c>
    </row>
    <row r="264">
      <c r="A264" s="4">
        <v>5010430.0</v>
      </c>
      <c r="B264" s="4" t="s">
        <v>1227</v>
      </c>
      <c r="C264" s="5" t="b">
        <v>0</v>
      </c>
      <c r="D264" s="4">
        <v>1650.0</v>
      </c>
    </row>
    <row r="265">
      <c r="A265" s="4">
        <v>5011050.0</v>
      </c>
      <c r="B265" s="4" t="s">
        <v>1232</v>
      </c>
      <c r="C265" s="5" t="b">
        <v>0</v>
      </c>
      <c r="D265" s="4">
        <v>1709.0</v>
      </c>
    </row>
    <row r="266">
      <c r="A266" s="4">
        <v>5011504.0</v>
      </c>
      <c r="B266" s="4" t="s">
        <v>198</v>
      </c>
      <c r="C266" s="5" t="b">
        <v>0</v>
      </c>
      <c r="D266" s="4">
        <v>133.0</v>
      </c>
    </row>
    <row r="267">
      <c r="A267" s="4">
        <v>501160.0</v>
      </c>
      <c r="B267" s="4" t="s">
        <v>323</v>
      </c>
      <c r="C267" s="5" t="b">
        <v>0</v>
      </c>
      <c r="D267" s="4">
        <v>3601.0</v>
      </c>
    </row>
    <row r="268">
      <c r="A268" s="4">
        <v>501545.0</v>
      </c>
      <c r="B268" s="4" t="s">
        <v>1247</v>
      </c>
      <c r="C268" s="5" t="b">
        <v>0</v>
      </c>
      <c r="D268" s="4">
        <v>1501.0</v>
      </c>
    </row>
    <row r="269">
      <c r="A269" s="4">
        <v>501547.0</v>
      </c>
      <c r="B269" s="4" t="s">
        <v>1148</v>
      </c>
      <c r="C269" s="5" t="b">
        <v>0</v>
      </c>
      <c r="D269" s="4">
        <v>1032.0</v>
      </c>
    </row>
    <row r="270">
      <c r="A270" s="4">
        <v>5015050.0</v>
      </c>
      <c r="B270" s="4" t="s">
        <v>1255</v>
      </c>
      <c r="C270" s="5" t="b">
        <v>0</v>
      </c>
      <c r="D270" s="4">
        <v>4711.0</v>
      </c>
    </row>
    <row r="271">
      <c r="A271" s="4">
        <v>501416.0</v>
      </c>
      <c r="B271" s="4" t="s">
        <v>302</v>
      </c>
      <c r="C271" s="5" t="b">
        <v>0</v>
      </c>
      <c r="D271" s="4">
        <v>1108.0</v>
      </c>
    </row>
    <row r="272">
      <c r="A272" s="4">
        <v>5014550.0</v>
      </c>
      <c r="B272" s="4" t="s">
        <v>1263</v>
      </c>
      <c r="C272" s="5" t="b">
        <v>0</v>
      </c>
      <c r="D272" s="4">
        <v>3241.0</v>
      </c>
    </row>
    <row r="273">
      <c r="A273" s="4">
        <v>501447.0</v>
      </c>
      <c r="B273" s="4" t="s">
        <v>271</v>
      </c>
      <c r="C273" s="5" t="b">
        <v>0</v>
      </c>
      <c r="D273" s="4">
        <v>764.0</v>
      </c>
    </row>
    <row r="274">
      <c r="A274" s="4">
        <v>5013047.0</v>
      </c>
      <c r="B274" s="4" t="s">
        <v>1273</v>
      </c>
      <c r="C274" s="5" t="b">
        <v>0</v>
      </c>
      <c r="D274" s="4">
        <v>201.0</v>
      </c>
    </row>
    <row r="275">
      <c r="A275" s="4">
        <v>5013050.0</v>
      </c>
      <c r="B275" s="4" t="s">
        <v>165</v>
      </c>
      <c r="C275" s="5" t="b">
        <v>0</v>
      </c>
      <c r="D275" s="4">
        <v>283.0</v>
      </c>
    </row>
    <row r="276">
      <c r="A276" s="4">
        <v>501674.0</v>
      </c>
      <c r="B276" s="4" t="s">
        <v>1283</v>
      </c>
      <c r="C276" s="5" t="b">
        <v>0</v>
      </c>
      <c r="D276" s="4">
        <v>988.0</v>
      </c>
    </row>
    <row r="277">
      <c r="A277" s="4">
        <v>501757.0</v>
      </c>
      <c r="B277" s="4" t="s">
        <v>1036</v>
      </c>
      <c r="C277" s="5" t="b">
        <v>0</v>
      </c>
      <c r="D277" s="4">
        <v>564.0</v>
      </c>
    </row>
    <row r="278">
      <c r="A278" s="4">
        <v>501771.0</v>
      </c>
      <c r="B278" s="4" t="s">
        <v>1293</v>
      </c>
      <c r="C278" s="5" t="b">
        <v>0</v>
      </c>
      <c r="D278" s="4">
        <v>3628.0</v>
      </c>
    </row>
    <row r="279">
      <c r="A279" s="4">
        <v>5017730.0</v>
      </c>
      <c r="B279" s="4">
        <v>0.0</v>
      </c>
      <c r="C279" s="5" t="b">
        <v>1</v>
      </c>
      <c r="D279" s="4">
        <v>0.0</v>
      </c>
    </row>
    <row r="280">
      <c r="A280" s="4">
        <v>5.014305E7</v>
      </c>
      <c r="B280" s="4" t="s">
        <v>576</v>
      </c>
      <c r="C280" s="5" t="b">
        <v>0</v>
      </c>
      <c r="D280" s="4">
        <v>1871.0</v>
      </c>
    </row>
    <row r="281">
      <c r="A281" s="4">
        <v>501464.0</v>
      </c>
      <c r="B281" s="4" t="s">
        <v>1306</v>
      </c>
      <c r="C281" s="5" t="b">
        <v>0</v>
      </c>
      <c r="D281" s="4">
        <v>307.0</v>
      </c>
    </row>
    <row r="282">
      <c r="A282" s="4">
        <v>501550.0</v>
      </c>
      <c r="B282" s="4" t="s">
        <v>1312</v>
      </c>
      <c r="C282" s="5" t="b">
        <v>0</v>
      </c>
      <c r="D282" s="4">
        <v>848.0</v>
      </c>
    </row>
    <row r="283">
      <c r="A283" s="4">
        <v>5015550.0</v>
      </c>
      <c r="B283" s="4" t="s">
        <v>323</v>
      </c>
      <c r="C283" s="5" t="b">
        <v>0</v>
      </c>
      <c r="D283" s="4">
        <v>41.0</v>
      </c>
    </row>
    <row r="284">
      <c r="A284" s="4">
        <v>5015504.0</v>
      </c>
      <c r="B284" s="4">
        <v>0.0</v>
      </c>
      <c r="C284" s="5" t="b">
        <v>0</v>
      </c>
      <c r="D284" s="4">
        <v>1.0</v>
      </c>
    </row>
    <row r="285">
      <c r="A285" s="4">
        <v>505054.0</v>
      </c>
      <c r="B285" s="4" t="s">
        <v>1322</v>
      </c>
      <c r="C285" s="5" t="b">
        <v>0</v>
      </c>
      <c r="D285" s="4">
        <v>1160.0</v>
      </c>
    </row>
    <row r="286">
      <c r="A286" s="4">
        <v>505504.0</v>
      </c>
      <c r="B286" s="4" t="s">
        <v>1328</v>
      </c>
      <c r="C286" s="5" t="b">
        <v>0</v>
      </c>
      <c r="D286" s="4">
        <v>1855.0</v>
      </c>
    </row>
    <row r="287">
      <c r="A287" s="4">
        <v>505504.0</v>
      </c>
      <c r="B287" s="4" t="s">
        <v>788</v>
      </c>
      <c r="C287" s="5" t="b">
        <v>0</v>
      </c>
      <c r="D287" s="4">
        <v>2228.0</v>
      </c>
    </row>
    <row r="288">
      <c r="A288" s="4">
        <v>505514.0</v>
      </c>
      <c r="B288" s="4">
        <v>0.0</v>
      </c>
      <c r="C288" s="5" t="b">
        <v>0</v>
      </c>
      <c r="D288" s="4">
        <v>10.0</v>
      </c>
    </row>
    <row r="289">
      <c r="A289" s="4">
        <v>505574.0</v>
      </c>
      <c r="B289" s="4" t="s">
        <v>1342</v>
      </c>
      <c r="C289" s="5" t="b">
        <v>0</v>
      </c>
      <c r="D289" s="4">
        <v>2379.0</v>
      </c>
    </row>
    <row r="290">
      <c r="A290" s="4">
        <v>505576.0</v>
      </c>
      <c r="B290" s="4" t="s">
        <v>1346</v>
      </c>
      <c r="C290" s="5" t="b">
        <v>0</v>
      </c>
      <c r="D290" s="4">
        <v>2990.0</v>
      </c>
    </row>
    <row r="291">
      <c r="A291" s="4">
        <v>5055060.0</v>
      </c>
      <c r="B291" s="4" t="s">
        <v>993</v>
      </c>
      <c r="C291" s="5" t="b">
        <v>0</v>
      </c>
      <c r="D291" s="4">
        <v>510.0</v>
      </c>
    </row>
    <row r="292">
      <c r="A292" s="4">
        <v>5055054.0</v>
      </c>
      <c r="B292" s="4" t="s">
        <v>192</v>
      </c>
      <c r="C292" s="5" t="b">
        <v>1</v>
      </c>
      <c r="D292" s="4">
        <v>399.0</v>
      </c>
    </row>
    <row r="293">
      <c r="A293" s="4">
        <v>5054500.0</v>
      </c>
      <c r="B293" s="4">
        <v>0.0</v>
      </c>
      <c r="C293" s="5" t="b">
        <v>0</v>
      </c>
      <c r="D293" s="4">
        <v>502.0</v>
      </c>
    </row>
    <row r="294">
      <c r="A294" s="4">
        <v>5054650.0</v>
      </c>
      <c r="B294" s="4" t="s">
        <v>1364</v>
      </c>
      <c r="C294" s="5" t="b">
        <v>0</v>
      </c>
      <c r="D294" s="4">
        <v>788.0</v>
      </c>
    </row>
    <row r="295">
      <c r="A295" s="4">
        <v>5053010.0</v>
      </c>
      <c r="B295" s="4" t="s">
        <v>292</v>
      </c>
      <c r="C295" s="5" t="b">
        <v>0</v>
      </c>
      <c r="D295" s="4">
        <v>151.0</v>
      </c>
    </row>
    <row r="296">
      <c r="A296" s="4">
        <v>5056530.0</v>
      </c>
      <c r="B296" s="4" t="s">
        <v>174</v>
      </c>
      <c r="C296" s="5" t="b">
        <v>0</v>
      </c>
      <c r="D296" s="4">
        <v>771.0</v>
      </c>
    </row>
    <row r="297">
      <c r="A297" s="4">
        <v>505641.0</v>
      </c>
      <c r="B297" s="4" t="s">
        <v>993</v>
      </c>
      <c r="C297" s="5" t="b">
        <v>0</v>
      </c>
      <c r="D297" s="4">
        <v>524.0</v>
      </c>
    </row>
    <row r="298">
      <c r="A298" s="4">
        <v>505704.0</v>
      </c>
      <c r="B298" s="4" t="s">
        <v>1381</v>
      </c>
      <c r="C298" s="5" t="b">
        <v>0</v>
      </c>
      <c r="D298" s="4">
        <v>1892.0</v>
      </c>
    </row>
    <row r="299">
      <c r="A299" s="4">
        <v>505741.0</v>
      </c>
      <c r="B299" s="4" t="s">
        <v>611</v>
      </c>
      <c r="C299" s="5" t="b">
        <v>0</v>
      </c>
      <c r="D299" s="4">
        <v>563.0</v>
      </c>
    </row>
    <row r="300">
      <c r="A300" s="4">
        <v>505400.0</v>
      </c>
      <c r="B300" s="4" t="s">
        <v>611</v>
      </c>
      <c r="C300" s="5" t="b">
        <v>0</v>
      </c>
      <c r="D300" s="4">
        <v>570.0</v>
      </c>
    </row>
    <row r="301">
      <c r="A301" s="4">
        <v>505414.0</v>
      </c>
      <c r="B301" s="4">
        <v>0.0</v>
      </c>
      <c r="C301" s="5" t="b">
        <v>0</v>
      </c>
      <c r="D301" s="4">
        <v>252.0</v>
      </c>
    </row>
    <row r="302">
      <c r="A302" s="4">
        <v>5.0500505E7</v>
      </c>
      <c r="B302" s="4" t="s">
        <v>73</v>
      </c>
      <c r="C302" s="5" t="b">
        <v>0</v>
      </c>
      <c r="D302" s="4">
        <v>577.0</v>
      </c>
    </row>
    <row r="303">
      <c r="A303" s="4">
        <v>5050077.0</v>
      </c>
      <c r="B303" s="4">
        <v>0.0</v>
      </c>
      <c r="C303" s="5" t="b">
        <v>0</v>
      </c>
      <c r="D303" s="4">
        <v>707.0</v>
      </c>
    </row>
    <row r="304">
      <c r="A304" s="4">
        <v>5.050143E7</v>
      </c>
      <c r="B304" s="4" t="s">
        <v>354</v>
      </c>
      <c r="C304" s="5" t="b">
        <v>1</v>
      </c>
      <c r="D304" s="4">
        <v>827.0</v>
      </c>
    </row>
    <row r="305">
      <c r="A305" s="4">
        <v>5050145.0</v>
      </c>
      <c r="B305" s="4" t="s">
        <v>611</v>
      </c>
      <c r="C305" s="5" t="b">
        <v>0</v>
      </c>
      <c r="D305" s="4">
        <v>753.0</v>
      </c>
    </row>
    <row r="306">
      <c r="A306" s="4">
        <v>5.050143E7</v>
      </c>
      <c r="B306" s="4" t="s">
        <v>192</v>
      </c>
      <c r="C306" s="5" t="b">
        <v>0</v>
      </c>
      <c r="D306" s="4">
        <v>263.0</v>
      </c>
    </row>
    <row r="307">
      <c r="A307" s="4">
        <v>5.0505014E7</v>
      </c>
      <c r="B307" s="4">
        <v>0.0</v>
      </c>
      <c r="C307" s="5" t="b">
        <v>0</v>
      </c>
      <c r="D307" s="4">
        <v>0.0</v>
      </c>
    </row>
    <row r="308">
      <c r="A308" s="4">
        <v>5.050506E7</v>
      </c>
      <c r="B308" s="4" t="s">
        <v>266</v>
      </c>
      <c r="C308" s="5" t="b">
        <v>0</v>
      </c>
      <c r="D308" s="4">
        <v>154.0</v>
      </c>
    </row>
    <row r="309">
      <c r="A309" s="4">
        <v>5.0505063E8</v>
      </c>
      <c r="B309" s="4" t="s">
        <v>993</v>
      </c>
      <c r="C309" s="5" t="b">
        <v>0</v>
      </c>
      <c r="D309" s="4">
        <v>285.0</v>
      </c>
    </row>
    <row r="310">
      <c r="A310" s="4">
        <v>5.0505074E7</v>
      </c>
      <c r="B310" s="4">
        <v>0.0</v>
      </c>
      <c r="C310" s="5" t="b">
        <v>0</v>
      </c>
      <c r="D310" s="4">
        <v>0.0</v>
      </c>
    </row>
    <row r="311">
      <c r="A311" s="4">
        <v>5.0505041E7</v>
      </c>
      <c r="B311" s="4">
        <v>0.0</v>
      </c>
      <c r="C311" s="5" t="b">
        <v>0</v>
      </c>
      <c r="D311" s="4">
        <v>119.0</v>
      </c>
    </row>
    <row r="312">
      <c r="A312" s="4">
        <v>5.0503054E7</v>
      </c>
      <c r="B312" s="4">
        <v>0.0</v>
      </c>
      <c r="C312" s="5" t="b">
        <v>0</v>
      </c>
      <c r="D312" s="4">
        <v>6.0</v>
      </c>
    </row>
    <row r="313">
      <c r="A313" s="4">
        <v>5.05030504E8</v>
      </c>
      <c r="B313" s="4" t="s">
        <v>1447</v>
      </c>
      <c r="C313" s="5" t="b">
        <v>0</v>
      </c>
      <c r="D313" s="4">
        <v>1372.0</v>
      </c>
    </row>
    <row r="314">
      <c r="A314" s="4">
        <v>5.0506504E7</v>
      </c>
      <c r="B314" s="4" t="s">
        <v>611</v>
      </c>
      <c r="C314" s="5" t="b">
        <v>0</v>
      </c>
      <c r="D314" s="4">
        <v>706.0</v>
      </c>
    </row>
    <row r="315">
      <c r="A315" s="4">
        <v>5050664.0</v>
      </c>
      <c r="B315" s="4" t="s">
        <v>192</v>
      </c>
      <c r="C315" s="5" t="b">
        <v>0</v>
      </c>
      <c r="D315" s="4">
        <v>47.0</v>
      </c>
    </row>
    <row r="316">
      <c r="A316" s="4">
        <v>5050745.0</v>
      </c>
      <c r="B316" s="4" t="s">
        <v>1458</v>
      </c>
      <c r="C316" s="5" t="b">
        <v>0</v>
      </c>
      <c r="D316" s="4">
        <v>94.0</v>
      </c>
    </row>
    <row r="317">
      <c r="A317" s="4">
        <v>5050740.0</v>
      </c>
      <c r="B317" s="4">
        <v>0.0</v>
      </c>
      <c r="C317" s="5" t="b">
        <v>0</v>
      </c>
      <c r="D317" s="4">
        <v>1271.0</v>
      </c>
    </row>
    <row r="318">
      <c r="A318" s="4">
        <v>5.050455E7</v>
      </c>
      <c r="B318" s="4" t="s">
        <v>1148</v>
      </c>
      <c r="C318" s="5" t="b">
        <v>0</v>
      </c>
      <c r="D318" s="4">
        <v>48.0</v>
      </c>
    </row>
    <row r="319">
      <c r="A319" s="4">
        <v>5050446.0</v>
      </c>
      <c r="B319" s="4" t="s">
        <v>213</v>
      </c>
      <c r="C319" s="5" t="b">
        <v>0</v>
      </c>
      <c r="D319" s="4">
        <v>113.0</v>
      </c>
    </row>
    <row r="320">
      <c r="A320" s="4">
        <v>5.0504305E7</v>
      </c>
      <c r="B320" s="4" t="s">
        <v>1477</v>
      </c>
      <c r="C320" s="5" t="b">
        <v>0</v>
      </c>
      <c r="D320" s="4">
        <v>49.0</v>
      </c>
    </row>
    <row r="321">
      <c r="A321" s="4">
        <v>5050506.0</v>
      </c>
      <c r="B321" s="4">
        <v>0.0</v>
      </c>
      <c r="C321" s="5" t="b">
        <v>0</v>
      </c>
      <c r="D321" s="4">
        <v>597.0</v>
      </c>
    </row>
    <row r="322">
      <c r="A322" s="4">
        <v>5050511.0</v>
      </c>
      <c r="B322" s="4" t="s">
        <v>1487</v>
      </c>
      <c r="C322" s="5" t="b">
        <v>0</v>
      </c>
      <c r="D322" s="4">
        <v>405.0</v>
      </c>
    </row>
    <row r="323">
      <c r="A323" s="4">
        <v>5040504.0</v>
      </c>
      <c r="B323" s="4">
        <v>0.0</v>
      </c>
      <c r="C323" s="5" t="b">
        <v>1</v>
      </c>
      <c r="D323" s="4">
        <v>71.0</v>
      </c>
    </row>
    <row r="324">
      <c r="A324" s="4">
        <v>504054.0</v>
      </c>
      <c r="B324" s="4" t="s">
        <v>302</v>
      </c>
      <c r="C324" s="5" t="b">
        <v>1</v>
      </c>
      <c r="D324" s="4">
        <v>348.0</v>
      </c>
    </row>
    <row r="325">
      <c r="A325" s="4">
        <v>504554.0</v>
      </c>
      <c r="B325" s="4" t="s">
        <v>1501</v>
      </c>
      <c r="C325" s="5" t="b">
        <v>0</v>
      </c>
      <c r="D325" s="4">
        <v>113.0</v>
      </c>
    </row>
    <row r="326">
      <c r="A326" s="4">
        <v>5045307.0</v>
      </c>
      <c r="B326" s="4" t="s">
        <v>1507</v>
      </c>
      <c r="C326" s="5" t="b">
        <v>0</v>
      </c>
      <c r="D326" s="4">
        <v>619.0</v>
      </c>
    </row>
    <row r="327">
      <c r="A327" s="4">
        <v>5045046.0</v>
      </c>
      <c r="B327" s="4" t="s">
        <v>1010</v>
      </c>
      <c r="C327" s="5" t="b">
        <v>0</v>
      </c>
      <c r="D327" s="4">
        <v>180.0</v>
      </c>
    </row>
    <row r="328">
      <c r="A328" s="4">
        <v>5045070.0</v>
      </c>
      <c r="B328" s="4" t="s">
        <v>764</v>
      </c>
      <c r="C328" s="5" t="b">
        <v>1</v>
      </c>
      <c r="D328" s="4">
        <v>55.0</v>
      </c>
    </row>
    <row r="329">
      <c r="A329" s="4">
        <v>5044030.0</v>
      </c>
      <c r="B329" s="4" t="s">
        <v>1521</v>
      </c>
      <c r="C329" s="5" t="b">
        <v>0</v>
      </c>
      <c r="D329" s="4">
        <v>126.0</v>
      </c>
    </row>
    <row r="330">
      <c r="A330" s="4">
        <v>504475.0</v>
      </c>
      <c r="B330" s="4">
        <v>0.0</v>
      </c>
      <c r="C330" s="5" t="b">
        <v>0</v>
      </c>
      <c r="D330" s="4">
        <v>0.0</v>
      </c>
    </row>
    <row r="331">
      <c r="A331" s="4">
        <v>5044450.0</v>
      </c>
      <c r="B331" s="4">
        <v>0.0</v>
      </c>
      <c r="C331" s="5" t="b">
        <v>0</v>
      </c>
      <c r="D331" s="4">
        <v>13.0</v>
      </c>
    </row>
    <row r="332">
      <c r="A332" s="4">
        <v>5043050.0</v>
      </c>
      <c r="B332" s="4">
        <v>0.0</v>
      </c>
      <c r="C332" s="5" t="b">
        <v>0</v>
      </c>
      <c r="D332" s="4">
        <v>372.0</v>
      </c>
    </row>
    <row r="333">
      <c r="A333" s="4">
        <v>5046501.0</v>
      </c>
      <c r="B333" s="4">
        <v>0.0</v>
      </c>
      <c r="C333" s="5" t="b">
        <v>0</v>
      </c>
      <c r="D333" s="4">
        <v>52.0</v>
      </c>
    </row>
    <row r="334">
      <c r="A334" s="4">
        <v>5.046303E7</v>
      </c>
      <c r="B334" s="4" t="s">
        <v>1537</v>
      </c>
      <c r="C334" s="5" t="b">
        <v>0</v>
      </c>
      <c r="D334" s="4">
        <v>1787.0</v>
      </c>
    </row>
    <row r="335">
      <c r="A335" s="4">
        <v>5047430.0</v>
      </c>
      <c r="B335" s="4">
        <v>0.0</v>
      </c>
      <c r="C335" s="5" t="b">
        <v>0</v>
      </c>
      <c r="D335" s="4">
        <v>121.0</v>
      </c>
    </row>
    <row r="336">
      <c r="A336" s="4">
        <v>5047301.0</v>
      </c>
      <c r="B336" s="4">
        <v>0.0</v>
      </c>
      <c r="C336" s="5" t="b">
        <v>0</v>
      </c>
      <c r="D336" s="4">
        <v>1.0</v>
      </c>
    </row>
    <row r="337">
      <c r="A337" s="4">
        <v>504404.0</v>
      </c>
      <c r="B337" s="4">
        <v>0.0</v>
      </c>
      <c r="C337" s="5" t="b">
        <v>1</v>
      </c>
      <c r="D337" s="4">
        <v>60.0</v>
      </c>
    </row>
    <row r="338">
      <c r="A338" s="4">
        <v>5044506.0</v>
      </c>
      <c r="B338" s="4">
        <v>0.0</v>
      </c>
      <c r="C338" s="5" t="b">
        <v>0</v>
      </c>
      <c r="D338" s="4">
        <v>0.0</v>
      </c>
    </row>
    <row r="339">
      <c r="A339" s="4">
        <v>5044450.0</v>
      </c>
      <c r="B339" s="4">
        <v>0.0</v>
      </c>
      <c r="C339" s="5" t="b">
        <v>0</v>
      </c>
      <c r="D339" s="4">
        <v>462.0</v>
      </c>
    </row>
    <row r="340">
      <c r="A340" s="4">
        <v>504464.0</v>
      </c>
      <c r="B340" s="4" t="s">
        <v>993</v>
      </c>
      <c r="C340" s="5" t="b">
        <v>0</v>
      </c>
      <c r="D340" s="4">
        <v>534.0</v>
      </c>
    </row>
    <row r="341">
      <c r="A341" s="4">
        <v>504451.0</v>
      </c>
      <c r="B341" s="4">
        <v>0.0</v>
      </c>
      <c r="C341" s="5" t="b">
        <v>0</v>
      </c>
      <c r="D341" s="4">
        <v>1.0</v>
      </c>
    </row>
    <row r="342">
      <c r="A342" s="4">
        <v>504455.0</v>
      </c>
      <c r="B342" s="4" t="s">
        <v>323</v>
      </c>
      <c r="C342" s="5" t="b">
        <v>0</v>
      </c>
      <c r="D342" s="4">
        <v>68.0</v>
      </c>
    </row>
    <row r="343">
      <c r="A343" s="4">
        <v>504545.0</v>
      </c>
      <c r="B343" s="4" t="s">
        <v>323</v>
      </c>
      <c r="C343" s="5" t="b">
        <v>0</v>
      </c>
      <c r="D343" s="4">
        <v>18.0</v>
      </c>
    </row>
    <row r="344">
      <c r="A344" s="4">
        <v>5045304.0</v>
      </c>
      <c r="B344" s="4">
        <v>0.0</v>
      </c>
      <c r="C344" s="5" t="b">
        <v>0</v>
      </c>
      <c r="D344" s="4">
        <v>11.0</v>
      </c>
    </row>
    <row r="345">
      <c r="A345" s="4">
        <v>504540.0</v>
      </c>
      <c r="B345" s="4" t="s">
        <v>323</v>
      </c>
      <c r="C345" s="5" t="b">
        <v>0</v>
      </c>
      <c r="D345" s="4">
        <v>261.0</v>
      </c>
    </row>
    <row r="346">
      <c r="A346" s="4">
        <v>5045530.0</v>
      </c>
      <c r="B346" s="4">
        <v>0.0</v>
      </c>
      <c r="C346" s="5" t="b">
        <v>1</v>
      </c>
      <c r="D346" s="4">
        <v>285.0</v>
      </c>
    </row>
    <row r="347">
      <c r="A347" s="4">
        <v>5.0300304E7</v>
      </c>
      <c r="B347" s="4">
        <v>0.0</v>
      </c>
      <c r="C347" s="5" t="b">
        <v>0</v>
      </c>
      <c r="D347" s="4">
        <v>0.0</v>
      </c>
    </row>
    <row r="348">
      <c r="A348" s="4">
        <v>5.030045E7</v>
      </c>
      <c r="B348" s="4">
        <v>0.0</v>
      </c>
      <c r="C348" s="5" t="b">
        <v>0</v>
      </c>
      <c r="D348" s="4">
        <v>1.0</v>
      </c>
    </row>
    <row r="349">
      <c r="A349" s="4">
        <v>5.0301507E7</v>
      </c>
      <c r="B349" s="4" t="s">
        <v>576</v>
      </c>
      <c r="C349" s="5" t="b">
        <v>0</v>
      </c>
      <c r="D349" s="4">
        <v>507.0</v>
      </c>
    </row>
    <row r="350">
      <c r="A350" s="4">
        <v>5030144.0</v>
      </c>
      <c r="B350" s="4">
        <v>0.0</v>
      </c>
      <c r="C350" s="5" t="b">
        <v>0</v>
      </c>
      <c r="D350" s="4">
        <v>48.0</v>
      </c>
    </row>
    <row r="351">
      <c r="A351" s="4">
        <v>5030144.0</v>
      </c>
      <c r="B351" s="4" t="s">
        <v>1601</v>
      </c>
      <c r="C351" s="5" t="b">
        <v>0</v>
      </c>
      <c r="D351" s="4">
        <v>21.0</v>
      </c>
    </row>
    <row r="352">
      <c r="A352" s="4">
        <v>5.0301305E7</v>
      </c>
      <c r="B352" s="4" t="s">
        <v>611</v>
      </c>
      <c r="C352" s="5" t="b">
        <v>0</v>
      </c>
      <c r="D352" s="4">
        <v>585.0</v>
      </c>
    </row>
    <row r="353">
      <c r="A353" s="4">
        <v>5030170.0</v>
      </c>
      <c r="B353" s="4" t="s">
        <v>1611</v>
      </c>
      <c r="C353" s="5" t="b">
        <v>0</v>
      </c>
      <c r="D353" s="4">
        <v>246.0</v>
      </c>
    </row>
    <row r="354">
      <c r="A354" s="4">
        <v>5.030173E7</v>
      </c>
      <c r="B354" s="4">
        <v>0.0</v>
      </c>
      <c r="C354" s="5" t="b">
        <v>0</v>
      </c>
      <c r="D354" s="4">
        <v>17.0</v>
      </c>
    </row>
    <row r="355">
      <c r="A355" s="4">
        <v>5030154.0</v>
      </c>
      <c r="B355" s="4">
        <v>0.0</v>
      </c>
      <c r="C355" s="5" t="b">
        <v>0</v>
      </c>
      <c r="D355" s="4">
        <v>32.0</v>
      </c>
    </row>
    <row r="356">
      <c r="A356" s="4">
        <v>5030504.0</v>
      </c>
      <c r="B356" s="4">
        <v>0.0</v>
      </c>
      <c r="C356" s="5" t="b">
        <v>0</v>
      </c>
      <c r="D356" s="4">
        <v>273.0</v>
      </c>
    </row>
    <row r="357">
      <c r="A357" s="4">
        <v>5.0305505E7</v>
      </c>
      <c r="B357" s="4" t="s">
        <v>1322</v>
      </c>
      <c r="C357" s="5" t="b">
        <v>0</v>
      </c>
      <c r="D357" s="4">
        <v>144.0</v>
      </c>
    </row>
    <row r="358">
      <c r="A358" s="4">
        <v>5.0305307E7</v>
      </c>
      <c r="B358" s="4">
        <v>0.0</v>
      </c>
      <c r="C358" s="5" t="b">
        <v>0</v>
      </c>
      <c r="D358" s="4">
        <v>709.0</v>
      </c>
    </row>
    <row r="359">
      <c r="A359" s="4">
        <v>5.030553E7</v>
      </c>
      <c r="B359" s="4">
        <v>0.0</v>
      </c>
      <c r="C359" s="5" t="b">
        <v>0</v>
      </c>
      <c r="D359" s="4">
        <v>23.0</v>
      </c>
    </row>
    <row r="360">
      <c r="A360" s="4">
        <v>5.0305017E7</v>
      </c>
      <c r="B360" s="4">
        <v>0.0</v>
      </c>
      <c r="C360" s="5" t="b">
        <v>0</v>
      </c>
      <c r="D360" s="4">
        <v>106.0</v>
      </c>
    </row>
    <row r="361">
      <c r="A361" s="4">
        <v>5.0305055E8</v>
      </c>
      <c r="B361" s="4">
        <v>0.0</v>
      </c>
      <c r="C361" s="5" t="b">
        <v>0</v>
      </c>
      <c r="D361" s="4">
        <v>1.0</v>
      </c>
    </row>
    <row r="362">
      <c r="A362" s="4">
        <v>5.0305047E7</v>
      </c>
      <c r="B362" s="4">
        <v>0.0</v>
      </c>
      <c r="C362" s="5" t="b">
        <v>0</v>
      </c>
      <c r="D362" s="4">
        <v>7.0</v>
      </c>
    </row>
    <row r="363">
      <c r="A363" s="4">
        <v>5.030503E8</v>
      </c>
      <c r="B363" s="4">
        <v>0.0</v>
      </c>
      <c r="C363" s="5" t="b">
        <v>0</v>
      </c>
      <c r="D363" s="4">
        <v>9.0</v>
      </c>
    </row>
    <row r="364">
      <c r="A364" s="4">
        <v>5030400.0</v>
      </c>
      <c r="B364" s="4">
        <v>0.0</v>
      </c>
      <c r="C364" s="5" t="b">
        <v>0</v>
      </c>
      <c r="D364" s="4">
        <v>21.0</v>
      </c>
    </row>
    <row r="365">
      <c r="A365" s="4">
        <v>5030404.0</v>
      </c>
      <c r="B365" s="4">
        <v>0.0</v>
      </c>
      <c r="C365" s="5" t="b">
        <v>0</v>
      </c>
      <c r="D365" s="4">
        <v>32.0</v>
      </c>
    </row>
    <row r="366">
      <c r="A366" s="4">
        <v>5030444.0</v>
      </c>
      <c r="B366" s="4" t="s">
        <v>1601</v>
      </c>
      <c r="C366" s="5" t="b">
        <v>0</v>
      </c>
      <c r="D366" s="4">
        <v>51.0</v>
      </c>
    </row>
    <row r="367">
      <c r="A367" s="4">
        <v>5.0303005E7</v>
      </c>
      <c r="B367" s="4" t="s">
        <v>976</v>
      </c>
      <c r="C367" s="5" t="b">
        <v>0</v>
      </c>
      <c r="D367" s="4">
        <v>169.0</v>
      </c>
    </row>
    <row r="368">
      <c r="A368" s="4">
        <v>5.0303016E7</v>
      </c>
      <c r="B368" s="4" t="s">
        <v>192</v>
      </c>
      <c r="C368" s="5" t="b">
        <v>0</v>
      </c>
      <c r="D368" s="4">
        <v>65.0</v>
      </c>
    </row>
    <row r="369">
      <c r="A369" s="4">
        <v>5.03030505E8</v>
      </c>
      <c r="B369" s="4">
        <v>0.0</v>
      </c>
      <c r="C369" s="5" t="b">
        <v>0</v>
      </c>
      <c r="D369" s="4">
        <v>1.0</v>
      </c>
    </row>
    <row r="370">
      <c r="A370" s="4">
        <v>5030604.0</v>
      </c>
      <c r="B370" s="4">
        <v>0.0</v>
      </c>
      <c r="C370" s="5" t="b">
        <v>0</v>
      </c>
      <c r="D370" s="4">
        <v>1.0</v>
      </c>
    </row>
    <row r="371">
      <c r="A371" s="4">
        <v>5030617.0</v>
      </c>
      <c r="B371" s="4">
        <v>0.0</v>
      </c>
      <c r="C371" s="5" t="b">
        <v>0</v>
      </c>
      <c r="D371" s="4">
        <v>23.0</v>
      </c>
    </row>
    <row r="372">
      <c r="A372" s="4">
        <v>5.0306505E7</v>
      </c>
      <c r="B372" s="4">
        <v>0.0</v>
      </c>
      <c r="C372" s="5" t="b">
        <v>0</v>
      </c>
      <c r="D372" s="4">
        <v>57.0</v>
      </c>
    </row>
    <row r="373">
      <c r="A373" s="4">
        <v>5030641.0</v>
      </c>
      <c r="B373" s="4" t="s">
        <v>1601</v>
      </c>
      <c r="C373" s="5" t="b">
        <v>1</v>
      </c>
      <c r="D373" s="4">
        <v>4.0</v>
      </c>
    </row>
    <row r="374">
      <c r="A374" s="4">
        <v>5030644.0</v>
      </c>
      <c r="B374" s="4">
        <v>0.0</v>
      </c>
      <c r="C374" s="5" t="b">
        <v>0</v>
      </c>
      <c r="D374" s="4">
        <v>641.0</v>
      </c>
    </row>
    <row r="375">
      <c r="A375" s="4">
        <v>5030646.0</v>
      </c>
      <c r="B375" s="4">
        <v>0.0</v>
      </c>
      <c r="C375" s="5" t="b">
        <v>0</v>
      </c>
      <c r="D375" s="4">
        <v>37.0</v>
      </c>
    </row>
    <row r="376">
      <c r="A376" s="4">
        <v>5030655.0</v>
      </c>
      <c r="B376" s="4" t="s">
        <v>764</v>
      </c>
      <c r="C376" s="5" t="b">
        <v>0</v>
      </c>
      <c r="D376" s="4">
        <v>23.0</v>
      </c>
    </row>
    <row r="377">
      <c r="A377" s="4">
        <v>5.030705E7</v>
      </c>
      <c r="B377" s="4">
        <v>0.0</v>
      </c>
      <c r="C377" s="5" t="b">
        <v>0</v>
      </c>
      <c r="D377" s="4">
        <v>1.0</v>
      </c>
    </row>
    <row r="378">
      <c r="A378" s="4">
        <v>5.030753E7</v>
      </c>
      <c r="B378" s="4">
        <v>0.0</v>
      </c>
      <c r="C378" s="5" t="b">
        <v>0</v>
      </c>
      <c r="D378" s="4">
        <v>28.0</v>
      </c>
    </row>
    <row r="379">
      <c r="A379" s="4">
        <v>5030740.0</v>
      </c>
      <c r="B379" s="4">
        <v>0.0</v>
      </c>
      <c r="C379" s="5" t="b">
        <v>0</v>
      </c>
      <c r="D379" s="4">
        <v>4.0</v>
      </c>
    </row>
    <row r="380">
      <c r="A380" s="4">
        <v>5.0307304E7</v>
      </c>
      <c r="B380" s="4">
        <v>0.0</v>
      </c>
      <c r="C380" s="5" t="b">
        <v>0</v>
      </c>
      <c r="D380" s="4">
        <v>39.0</v>
      </c>
    </row>
    <row r="381">
      <c r="A381" s="4">
        <v>5.030775E7</v>
      </c>
      <c r="B381" s="4" t="s">
        <v>1601</v>
      </c>
      <c r="C381" s="5" t="b">
        <v>0</v>
      </c>
      <c r="D381" s="4">
        <v>230.0</v>
      </c>
    </row>
    <row r="382">
      <c r="A382" s="4">
        <v>5030744.0</v>
      </c>
      <c r="B382" s="4">
        <v>0.0</v>
      </c>
      <c r="C382" s="5" t="b">
        <v>0</v>
      </c>
      <c r="D382" s="4">
        <v>32.0</v>
      </c>
    </row>
    <row r="383">
      <c r="A383" s="4">
        <v>5.030753E7</v>
      </c>
      <c r="B383" s="4">
        <v>0.0</v>
      </c>
      <c r="C383" s="5" t="b">
        <v>0</v>
      </c>
      <c r="D383" s="4">
        <v>18.0</v>
      </c>
    </row>
    <row r="384">
      <c r="A384" s="4">
        <v>5030756.0</v>
      </c>
      <c r="B384" s="4">
        <v>0.0</v>
      </c>
      <c r="C384" s="5" t="b">
        <v>1</v>
      </c>
      <c r="D384" s="4">
        <v>0.0</v>
      </c>
    </row>
    <row r="385">
      <c r="A385" s="4">
        <v>5030414.0</v>
      </c>
      <c r="B385" s="4">
        <v>0.0</v>
      </c>
      <c r="C385" s="5" t="b">
        <v>0</v>
      </c>
      <c r="D385" s="4">
        <v>80.0</v>
      </c>
    </row>
    <row r="386">
      <c r="A386" s="4">
        <v>5030454.0</v>
      </c>
      <c r="B386" s="4">
        <v>0.0</v>
      </c>
      <c r="C386" s="5" t="b">
        <v>0</v>
      </c>
      <c r="D386" s="4">
        <v>20.0</v>
      </c>
    </row>
    <row r="387">
      <c r="A387" s="4">
        <v>5030444.0</v>
      </c>
      <c r="B387" s="4">
        <v>0.0</v>
      </c>
      <c r="C387" s="5" t="b">
        <v>0</v>
      </c>
      <c r="D387" s="4">
        <v>3.0</v>
      </c>
    </row>
    <row r="388">
      <c r="A388" s="4">
        <v>5030454.0</v>
      </c>
      <c r="B388" s="4">
        <v>0.0</v>
      </c>
      <c r="C388" s="5" t="b">
        <v>0</v>
      </c>
      <c r="D388" s="4">
        <v>0.0</v>
      </c>
    </row>
    <row r="389">
      <c r="A389" s="4">
        <v>5030507.0</v>
      </c>
      <c r="B389" s="4" t="s">
        <v>1748</v>
      </c>
      <c r="C389" s="5" t="b">
        <v>0</v>
      </c>
      <c r="D389" s="4">
        <v>66.0</v>
      </c>
    </row>
    <row r="390">
      <c r="A390" s="4">
        <v>5.030515E7</v>
      </c>
      <c r="B390" s="4">
        <v>0.0</v>
      </c>
      <c r="C390" s="5" t="b">
        <v>0</v>
      </c>
      <c r="D390" s="4">
        <v>14.0</v>
      </c>
    </row>
    <row r="391">
      <c r="A391" s="4">
        <v>5030515.0</v>
      </c>
      <c r="B391" s="4">
        <v>0.0</v>
      </c>
      <c r="C391" s="5" t="b">
        <v>0</v>
      </c>
      <c r="D391" s="4">
        <v>45.0</v>
      </c>
    </row>
    <row r="392">
      <c r="A392" s="4">
        <v>5030550.0</v>
      </c>
      <c r="B392" s="4">
        <v>0.0</v>
      </c>
      <c r="C392" s="5" t="b">
        <v>1</v>
      </c>
      <c r="D392" s="4">
        <v>49.0</v>
      </c>
    </row>
    <row r="393">
      <c r="A393" s="4">
        <v>5.030543E7</v>
      </c>
      <c r="B393" s="4">
        <v>0.0</v>
      </c>
      <c r="C393" s="5" t="b">
        <v>0</v>
      </c>
      <c r="D393" s="4">
        <v>20.0</v>
      </c>
    </row>
    <row r="394">
      <c r="A394" s="4">
        <v>5030577.0</v>
      </c>
      <c r="B394" s="4">
        <v>0.0</v>
      </c>
      <c r="C394" s="5" t="b">
        <v>0</v>
      </c>
      <c r="D394" s="4">
        <v>109.0</v>
      </c>
    </row>
    <row r="395">
      <c r="A395" s="4">
        <v>5030540.0</v>
      </c>
      <c r="B395" s="4">
        <v>0.0</v>
      </c>
      <c r="C395" s="5" t="b">
        <v>0</v>
      </c>
      <c r="D395" s="4">
        <v>5.0</v>
      </c>
    </row>
    <row r="396">
      <c r="A396" s="4">
        <v>5030545.0</v>
      </c>
      <c r="B396" s="4" t="s">
        <v>287</v>
      </c>
      <c r="C396" s="5" t="b">
        <v>0</v>
      </c>
      <c r="D396" s="4">
        <v>59.0</v>
      </c>
    </row>
    <row r="397">
      <c r="A397" s="4">
        <v>5030544.0</v>
      </c>
      <c r="B397" s="4">
        <v>0.0</v>
      </c>
      <c r="C397" s="5" t="b">
        <v>1</v>
      </c>
      <c r="D397" s="4">
        <v>23.0</v>
      </c>
    </row>
    <row r="398">
      <c r="A398" s="4">
        <v>5030547.0</v>
      </c>
      <c r="B398" s="4" t="s">
        <v>1601</v>
      </c>
      <c r="C398" s="5" t="b">
        <v>0</v>
      </c>
      <c r="D398" s="4">
        <v>29.0</v>
      </c>
    </row>
    <row r="399">
      <c r="A399" s="4">
        <v>5030556.0</v>
      </c>
      <c r="B399" s="4">
        <v>0.0</v>
      </c>
      <c r="C399" s="5" t="b">
        <v>1</v>
      </c>
      <c r="D399" s="4">
        <v>50.0</v>
      </c>
    </row>
    <row r="400">
      <c r="A400" s="4">
        <v>5030555.0</v>
      </c>
      <c r="B400" s="4" t="s">
        <v>323</v>
      </c>
      <c r="C400" s="5" t="b">
        <v>0</v>
      </c>
      <c r="D400" s="4">
        <v>24.0</v>
      </c>
    </row>
    <row r="401">
      <c r="A401" s="4">
        <v>5060150.0</v>
      </c>
      <c r="B401" s="4">
        <v>0.0</v>
      </c>
      <c r="C401" s="5" t="b">
        <v>0</v>
      </c>
      <c r="D401" s="4">
        <v>0.0</v>
      </c>
    </row>
    <row r="402">
      <c r="A402" s="4">
        <v>5.060305E7</v>
      </c>
      <c r="B402" s="4">
        <v>0.0</v>
      </c>
      <c r="C402" s="5" t="b">
        <v>0</v>
      </c>
      <c r="D402" s="4">
        <v>56.0</v>
      </c>
    </row>
    <row r="403">
      <c r="A403" s="4">
        <v>506074.0</v>
      </c>
      <c r="B403" s="4">
        <v>0.0</v>
      </c>
      <c r="C403" s="5" t="b">
        <v>0</v>
      </c>
      <c r="D403" s="4">
        <v>534.0</v>
      </c>
    </row>
    <row r="404">
      <c r="A404" s="4">
        <v>506044.0</v>
      </c>
      <c r="B404" s="4">
        <v>0.0</v>
      </c>
      <c r="C404" s="5" t="b">
        <v>0</v>
      </c>
      <c r="D404" s="4">
        <v>0.0</v>
      </c>
    </row>
    <row r="405">
      <c r="A405" s="4">
        <v>506046.0</v>
      </c>
      <c r="B405" s="4">
        <v>0.0</v>
      </c>
      <c r="C405" s="5" t="b">
        <v>0</v>
      </c>
      <c r="D405" s="4">
        <v>40.0</v>
      </c>
    </row>
    <row r="406">
      <c r="A406" s="4">
        <v>506110.0</v>
      </c>
      <c r="B406" s="4">
        <v>0.0</v>
      </c>
      <c r="C406" s="5" t="b">
        <v>0</v>
      </c>
      <c r="D406" s="4">
        <v>25.0</v>
      </c>
    </row>
    <row r="407">
      <c r="A407" s="4">
        <v>506115.0</v>
      </c>
      <c r="B407" s="4">
        <v>0.0</v>
      </c>
      <c r="C407" s="5" t="b">
        <v>0</v>
      </c>
      <c r="D407" s="4">
        <v>0.0</v>
      </c>
    </row>
    <row r="408">
      <c r="A408" s="4">
        <v>5061501.0</v>
      </c>
      <c r="B408" s="4">
        <v>0.0</v>
      </c>
      <c r="C408" s="5" t="b">
        <v>0</v>
      </c>
      <c r="D408" s="4">
        <v>4.0</v>
      </c>
    </row>
    <row r="409">
      <c r="A409" s="4">
        <v>506146.0</v>
      </c>
      <c r="B409" s="4">
        <v>0.0</v>
      </c>
      <c r="C409" s="5" t="b">
        <v>1</v>
      </c>
      <c r="D409" s="4">
        <v>0.0</v>
      </c>
    </row>
    <row r="410">
      <c r="A410" s="4">
        <v>506177.0</v>
      </c>
      <c r="B410" s="4" t="s">
        <v>192</v>
      </c>
      <c r="C410" s="5" t="b">
        <v>0</v>
      </c>
      <c r="D410" s="4">
        <v>13.0</v>
      </c>
    </row>
    <row r="411">
      <c r="A411" s="4">
        <v>506141.0</v>
      </c>
      <c r="B411" s="4">
        <v>0.0</v>
      </c>
      <c r="C411" s="5" t="b">
        <v>0</v>
      </c>
      <c r="D411" s="4">
        <v>15.0</v>
      </c>
    </row>
    <row r="412">
      <c r="A412" s="4">
        <v>506154.0</v>
      </c>
      <c r="B412" s="4">
        <v>0.0</v>
      </c>
      <c r="C412" s="5" t="b">
        <v>0</v>
      </c>
      <c r="D412" s="4">
        <v>1.0</v>
      </c>
    </row>
    <row r="413">
      <c r="A413" s="4">
        <v>506554.0</v>
      </c>
      <c r="B413" s="4">
        <v>0.0</v>
      </c>
      <c r="C413" s="5" t="b">
        <v>0</v>
      </c>
      <c r="D413" s="4">
        <v>0.0</v>
      </c>
    </row>
    <row r="414">
      <c r="A414" s="4">
        <v>506541.0</v>
      </c>
      <c r="B414" s="4">
        <v>0.0</v>
      </c>
      <c r="C414" s="5" t="b">
        <v>0</v>
      </c>
      <c r="D414" s="4">
        <v>52.0</v>
      </c>
    </row>
    <row r="415">
      <c r="A415" s="4">
        <v>5065430.0</v>
      </c>
      <c r="B415" s="4">
        <v>0.0</v>
      </c>
      <c r="C415" s="5" t="b">
        <v>1</v>
      </c>
      <c r="D415" s="4">
        <v>56.0</v>
      </c>
    </row>
    <row r="416">
      <c r="A416" s="4">
        <v>506546.0</v>
      </c>
      <c r="B416" s="4">
        <v>0.0</v>
      </c>
      <c r="C416" s="5" t="b">
        <v>0</v>
      </c>
      <c r="D416" s="4">
        <v>15.0</v>
      </c>
    </row>
    <row r="417">
      <c r="A417" s="4">
        <v>5065306.0</v>
      </c>
      <c r="B417" s="4">
        <v>0.0</v>
      </c>
      <c r="C417" s="5" t="b">
        <v>0</v>
      </c>
      <c r="D417" s="4">
        <v>39.0</v>
      </c>
    </row>
    <row r="418">
      <c r="A418" s="4">
        <v>506565.0</v>
      </c>
      <c r="B418" s="4">
        <v>0.0</v>
      </c>
      <c r="C418" s="5" t="b">
        <v>0</v>
      </c>
      <c r="D418" s="4">
        <v>90.0</v>
      </c>
    </row>
    <row r="419">
      <c r="A419" s="4">
        <v>506571.0</v>
      </c>
      <c r="B419" s="4">
        <v>0.0</v>
      </c>
      <c r="C419" s="5" t="b">
        <v>0</v>
      </c>
      <c r="D419" s="4">
        <v>16.0</v>
      </c>
    </row>
    <row r="420">
      <c r="A420" s="4">
        <v>506576.0</v>
      </c>
      <c r="B420" s="4">
        <v>0.0</v>
      </c>
      <c r="C420" s="5" t="b">
        <v>0</v>
      </c>
      <c r="D420" s="4">
        <v>0.0</v>
      </c>
    </row>
    <row r="421">
      <c r="A421" s="4">
        <v>5.065003E7</v>
      </c>
      <c r="B421" s="4">
        <v>0.0</v>
      </c>
      <c r="C421" s="5" t="b">
        <v>0</v>
      </c>
      <c r="D421" s="4">
        <v>68.0</v>
      </c>
    </row>
    <row r="422">
      <c r="A422" s="4">
        <v>5065055.0</v>
      </c>
      <c r="B422" s="4">
        <v>0.0</v>
      </c>
      <c r="C422" s="5" t="b">
        <v>0</v>
      </c>
      <c r="D422" s="4">
        <v>61.0</v>
      </c>
    </row>
    <row r="423">
      <c r="A423" s="4">
        <v>5.065055E7</v>
      </c>
      <c r="B423" s="4">
        <v>0.0</v>
      </c>
      <c r="C423" s="5" t="b">
        <v>0</v>
      </c>
      <c r="D423" s="4">
        <v>0.0</v>
      </c>
    </row>
    <row r="424">
      <c r="A424" s="4">
        <v>5065055.0</v>
      </c>
      <c r="B424" s="4">
        <v>0.0</v>
      </c>
      <c r="C424" s="5" t="b">
        <v>1</v>
      </c>
      <c r="D424" s="4">
        <v>11.0</v>
      </c>
    </row>
    <row r="425">
      <c r="A425" s="4">
        <v>5.0650506E7</v>
      </c>
      <c r="B425" s="4">
        <v>0.0</v>
      </c>
      <c r="C425" s="5" t="b">
        <v>0</v>
      </c>
      <c r="D425" s="4">
        <v>0.0</v>
      </c>
    </row>
    <row r="426">
      <c r="A426" s="4">
        <v>5065045.0</v>
      </c>
      <c r="B426" s="4">
        <v>0.0</v>
      </c>
      <c r="C426" s="5" t="b">
        <v>0</v>
      </c>
      <c r="D426" s="4">
        <v>0.0</v>
      </c>
    </row>
    <row r="427">
      <c r="A427" s="4">
        <v>5.0650307E7</v>
      </c>
      <c r="B427" s="4">
        <v>0.0</v>
      </c>
      <c r="C427" s="5" t="b">
        <v>0</v>
      </c>
      <c r="D427" s="4">
        <v>0.0</v>
      </c>
    </row>
    <row r="428">
      <c r="A428" s="4">
        <v>5.065063E7</v>
      </c>
      <c r="B428" s="4">
        <v>0.0</v>
      </c>
      <c r="C428" s="5" t="b">
        <v>0</v>
      </c>
      <c r="D428" s="4">
        <v>52.0</v>
      </c>
    </row>
    <row r="429">
      <c r="A429" s="4">
        <v>5065065.0</v>
      </c>
      <c r="B429" s="4">
        <v>0.0</v>
      </c>
      <c r="C429" s="5" t="b">
        <v>0</v>
      </c>
      <c r="D429" s="4">
        <v>0.0</v>
      </c>
    </row>
    <row r="430">
      <c r="A430" s="4">
        <v>5065074.0</v>
      </c>
      <c r="B430" s="4">
        <v>0.0</v>
      </c>
      <c r="C430" s="5" t="b">
        <v>0</v>
      </c>
      <c r="D430" s="4">
        <v>0.0</v>
      </c>
    </row>
    <row r="431">
      <c r="A431" s="4">
        <v>5065047.0</v>
      </c>
      <c r="B431" s="4" t="s">
        <v>192</v>
      </c>
      <c r="C431" s="5" t="b">
        <v>0</v>
      </c>
      <c r="D431" s="4">
        <v>36.0</v>
      </c>
    </row>
    <row r="432">
      <c r="A432" s="4">
        <v>5065045.0</v>
      </c>
      <c r="B432" s="4">
        <v>0.0</v>
      </c>
      <c r="C432" s="5" t="b">
        <v>0</v>
      </c>
      <c r="D432" s="4">
        <v>0.0</v>
      </c>
    </row>
    <row r="433">
      <c r="A433" s="4">
        <v>5065056.0</v>
      </c>
      <c r="B433" s="4">
        <v>0.0</v>
      </c>
      <c r="C433" s="5" t="b">
        <v>0</v>
      </c>
      <c r="D433" s="4">
        <v>0.0</v>
      </c>
    </row>
    <row r="434">
      <c r="A434" s="4">
        <v>5065054.0</v>
      </c>
      <c r="B434" s="4">
        <v>0.0</v>
      </c>
      <c r="C434" s="5" t="b">
        <v>0</v>
      </c>
      <c r="D434" s="4">
        <v>0.0</v>
      </c>
    </row>
    <row r="435">
      <c r="A435" s="4">
        <v>506406.0</v>
      </c>
      <c r="B435" s="4">
        <v>0.0</v>
      </c>
      <c r="C435" s="5" t="b">
        <v>0</v>
      </c>
      <c r="D435" s="4">
        <v>94.0</v>
      </c>
    </row>
    <row r="436">
      <c r="A436" s="4">
        <v>506407.0</v>
      </c>
      <c r="B436" s="4">
        <v>0.0</v>
      </c>
      <c r="C436" s="5" t="b">
        <v>0</v>
      </c>
      <c r="D436" s="4">
        <v>0.0</v>
      </c>
    </row>
    <row r="437">
      <c r="A437" s="4">
        <v>506414.0</v>
      </c>
      <c r="B437" s="4">
        <v>0.0</v>
      </c>
      <c r="C437" s="5" t="b">
        <v>0</v>
      </c>
      <c r="D437" s="4">
        <v>0.0</v>
      </c>
    </row>
    <row r="438">
      <c r="A438" s="4">
        <v>506445.0</v>
      </c>
      <c r="B438" s="4">
        <v>0.0</v>
      </c>
      <c r="C438" s="5" t="b">
        <v>0</v>
      </c>
      <c r="D438" s="4">
        <v>0.0</v>
      </c>
    </row>
    <row r="439">
      <c r="A439" s="4">
        <v>506444.0</v>
      </c>
      <c r="B439" s="4">
        <v>0.0</v>
      </c>
      <c r="C439" s="5" t="b">
        <v>0</v>
      </c>
      <c r="D439" s="4">
        <v>0.0</v>
      </c>
    </row>
    <row r="440">
      <c r="A440" s="4">
        <v>5064306.0</v>
      </c>
      <c r="B440" s="4">
        <v>0.0</v>
      </c>
      <c r="C440" s="5" t="b">
        <v>0</v>
      </c>
      <c r="D440" s="4">
        <v>24.0</v>
      </c>
    </row>
    <row r="441">
      <c r="A441" s="4">
        <v>506461.0</v>
      </c>
      <c r="B441" s="4">
        <v>0.0</v>
      </c>
      <c r="C441" s="5" t="b">
        <v>0</v>
      </c>
      <c r="D441" s="4">
        <v>17.0</v>
      </c>
    </row>
    <row r="442">
      <c r="A442" s="4">
        <v>506465.0</v>
      </c>
      <c r="B442" s="4">
        <v>0.0</v>
      </c>
      <c r="C442" s="5" t="b">
        <v>0</v>
      </c>
      <c r="D442" s="4">
        <v>0.0</v>
      </c>
    </row>
    <row r="443">
      <c r="A443" s="4">
        <v>506464.0</v>
      </c>
      <c r="B443" s="4">
        <v>0.0</v>
      </c>
      <c r="C443" s="5" t="b">
        <v>0</v>
      </c>
      <c r="D443" s="4">
        <v>91.0</v>
      </c>
    </row>
    <row r="444">
      <c r="A444" s="4">
        <v>5064750.0</v>
      </c>
      <c r="B444" s="4">
        <v>0.0</v>
      </c>
      <c r="C444" s="5" t="b">
        <v>0</v>
      </c>
      <c r="D444" s="4">
        <v>0.0</v>
      </c>
    </row>
    <row r="445">
      <c r="A445" s="4">
        <v>506474.0</v>
      </c>
      <c r="B445" s="4" t="s">
        <v>192</v>
      </c>
      <c r="C445" s="5" t="b">
        <v>1</v>
      </c>
      <c r="D445" s="4">
        <v>42.0</v>
      </c>
    </row>
    <row r="446">
      <c r="A446" s="4">
        <v>506440.0</v>
      </c>
      <c r="B446" s="4">
        <v>0.0</v>
      </c>
      <c r="C446" s="5" t="b">
        <v>1</v>
      </c>
      <c r="D446" s="4">
        <v>0.0</v>
      </c>
    </row>
    <row r="447">
      <c r="A447" s="4">
        <v>5064450.0</v>
      </c>
      <c r="B447" s="4">
        <v>0.0</v>
      </c>
      <c r="C447" s="5" t="b">
        <v>0</v>
      </c>
      <c r="D447" s="4">
        <v>0.0</v>
      </c>
    </row>
    <row r="448">
      <c r="A448" s="4">
        <v>506451.0</v>
      </c>
      <c r="B448" s="4">
        <v>0.0</v>
      </c>
      <c r="C448" s="5" t="b">
        <v>0</v>
      </c>
      <c r="D448" s="4">
        <v>26.0</v>
      </c>
    </row>
    <row r="449">
      <c r="A449" s="4">
        <v>506454.0</v>
      </c>
      <c r="B449" s="4">
        <v>0.0</v>
      </c>
      <c r="C449" s="5" t="b">
        <v>0</v>
      </c>
      <c r="D449" s="4">
        <v>0.0</v>
      </c>
    </row>
    <row r="450">
      <c r="A450" s="4">
        <v>5.063015E7</v>
      </c>
      <c r="B450" s="4">
        <v>0.0</v>
      </c>
      <c r="C450" s="5" t="b">
        <v>0</v>
      </c>
      <c r="D450" s="4">
        <v>0.0</v>
      </c>
    </row>
    <row r="451">
      <c r="A451" s="4">
        <v>5063014.0</v>
      </c>
      <c r="B451" s="4">
        <v>0.0</v>
      </c>
      <c r="C451" s="5" t="b">
        <v>0</v>
      </c>
      <c r="D451" s="4">
        <v>0.0</v>
      </c>
    </row>
    <row r="452">
      <c r="A452" s="4">
        <v>5063054.0</v>
      </c>
      <c r="B452" s="4">
        <v>0.0</v>
      </c>
      <c r="C452" s="5" t="b">
        <v>0</v>
      </c>
      <c r="D452" s="4">
        <v>0.0</v>
      </c>
    </row>
    <row r="453">
      <c r="A453" s="4">
        <v>5063057.0</v>
      </c>
      <c r="B453" s="4">
        <v>0.0</v>
      </c>
      <c r="C453" s="5" t="b">
        <v>0</v>
      </c>
      <c r="D453" s="4">
        <v>0.0</v>
      </c>
    </row>
    <row r="454">
      <c r="A454" s="4">
        <v>5063055.0</v>
      </c>
      <c r="B454" s="4">
        <v>0.0</v>
      </c>
      <c r="C454" s="5" t="b">
        <v>0</v>
      </c>
      <c r="D454" s="4">
        <v>0.0</v>
      </c>
    </row>
    <row r="455">
      <c r="A455" s="4">
        <v>5.06305E7</v>
      </c>
      <c r="B455" s="4">
        <v>0.0</v>
      </c>
      <c r="C455" s="5" t="b">
        <v>0</v>
      </c>
      <c r="D455" s="4">
        <v>0.0</v>
      </c>
    </row>
    <row r="456">
      <c r="A456" s="4">
        <v>5.0630505E8</v>
      </c>
      <c r="B456" s="4">
        <v>0.0</v>
      </c>
      <c r="C456" s="5" t="b">
        <v>1</v>
      </c>
      <c r="D456" s="4">
        <v>32.0</v>
      </c>
    </row>
    <row r="457">
      <c r="A457" s="4">
        <v>5.0630505E7</v>
      </c>
      <c r="B457" s="4">
        <v>0.0</v>
      </c>
      <c r="C457" s="5" t="b">
        <v>0</v>
      </c>
      <c r="D457" s="4">
        <v>0.0</v>
      </c>
    </row>
    <row r="458">
      <c r="A458" s="4">
        <v>5063071.0</v>
      </c>
      <c r="B458" s="4">
        <v>0.0</v>
      </c>
      <c r="C458" s="5" t="b">
        <v>0</v>
      </c>
      <c r="D458" s="4">
        <v>0.0</v>
      </c>
    </row>
    <row r="459">
      <c r="A459" s="4">
        <v>5.063075E7</v>
      </c>
      <c r="B459" s="4">
        <v>0.0</v>
      </c>
      <c r="C459" s="5" t="b">
        <v>0</v>
      </c>
      <c r="D459" s="4">
        <v>0.0</v>
      </c>
    </row>
    <row r="460">
      <c r="A460" s="4">
        <v>5063076.0</v>
      </c>
      <c r="B460" s="4">
        <v>0.0</v>
      </c>
      <c r="C460" s="5" t="b">
        <v>0</v>
      </c>
      <c r="D460" s="4">
        <v>0.0</v>
      </c>
    </row>
    <row r="461">
      <c r="A461" s="4">
        <v>5.063045E7</v>
      </c>
      <c r="B461" s="4">
        <v>0.0</v>
      </c>
      <c r="C461" s="5" t="b">
        <v>0</v>
      </c>
      <c r="D461" s="4">
        <v>0.0</v>
      </c>
    </row>
    <row r="462">
      <c r="A462" s="4">
        <v>5063044.0</v>
      </c>
      <c r="B462" s="4">
        <v>0.0</v>
      </c>
      <c r="C462" s="5" t="b">
        <v>0</v>
      </c>
      <c r="D462" s="4">
        <v>0.0</v>
      </c>
    </row>
    <row r="463">
      <c r="A463" s="4">
        <v>5063045.0</v>
      </c>
      <c r="B463" s="4">
        <v>0.0</v>
      </c>
      <c r="C463" s="5" t="b">
        <v>0</v>
      </c>
      <c r="D463" s="4">
        <v>0.0</v>
      </c>
    </row>
    <row r="464">
      <c r="A464" s="4">
        <v>5.063053E7</v>
      </c>
      <c r="B464" s="4">
        <v>0.0</v>
      </c>
      <c r="C464" s="5" t="b">
        <v>0</v>
      </c>
      <c r="D464" s="4">
        <v>0.0</v>
      </c>
    </row>
    <row r="465">
      <c r="A465" s="4">
        <v>5063054.0</v>
      </c>
      <c r="B465" s="4">
        <v>0.0</v>
      </c>
      <c r="C465" s="5" t="b">
        <v>0</v>
      </c>
      <c r="D465" s="4">
        <v>0.0</v>
      </c>
    </row>
    <row r="466">
      <c r="A466" s="4">
        <v>5066030.0</v>
      </c>
      <c r="B466" s="4">
        <v>0.0</v>
      </c>
      <c r="C466" s="5" t="b">
        <v>0</v>
      </c>
      <c r="D466" s="4">
        <v>0.0</v>
      </c>
    </row>
    <row r="467">
      <c r="A467" s="4">
        <v>506607.0</v>
      </c>
      <c r="B467" s="4">
        <v>0.0</v>
      </c>
      <c r="C467" s="5" t="b">
        <v>0</v>
      </c>
      <c r="D467" s="4">
        <v>0.0</v>
      </c>
    </row>
    <row r="468">
      <c r="A468" s="4">
        <v>506610.0</v>
      </c>
      <c r="B468" s="4">
        <v>0.0</v>
      </c>
      <c r="C468" s="5" t="b">
        <v>0</v>
      </c>
      <c r="D468" s="4">
        <v>0.0</v>
      </c>
    </row>
    <row r="469">
      <c r="A469" s="4">
        <v>506615.0</v>
      </c>
      <c r="B469" s="4">
        <v>0.0</v>
      </c>
      <c r="C469" s="5" t="b">
        <v>0</v>
      </c>
      <c r="D469" s="4">
        <v>0.0</v>
      </c>
    </row>
    <row r="470">
      <c r="A470" s="4">
        <v>506616.0</v>
      </c>
      <c r="B470" s="4">
        <v>0.0</v>
      </c>
      <c r="C470" s="5" t="b">
        <v>0</v>
      </c>
      <c r="D470" s="4">
        <v>0.0</v>
      </c>
    </row>
    <row r="471">
      <c r="A471" s="4">
        <v>506655.0</v>
      </c>
      <c r="B471" s="4">
        <v>0.0</v>
      </c>
      <c r="C471" s="5" t="b">
        <v>0</v>
      </c>
      <c r="D471" s="4">
        <v>0.0</v>
      </c>
    </row>
    <row r="472">
      <c r="A472" s="4">
        <v>506656.0</v>
      </c>
      <c r="B472" s="4">
        <v>0.0</v>
      </c>
      <c r="C472" s="5" t="b">
        <v>0</v>
      </c>
      <c r="D472" s="4">
        <v>0.0</v>
      </c>
    </row>
    <row r="473">
      <c r="A473" s="4">
        <v>506655.0</v>
      </c>
      <c r="B473" s="4">
        <v>0.0</v>
      </c>
      <c r="C473" s="5" t="b">
        <v>0</v>
      </c>
      <c r="D473" s="4">
        <v>0.0</v>
      </c>
    </row>
    <row r="474">
      <c r="A474" s="4">
        <v>5066507.0</v>
      </c>
      <c r="B474" s="4">
        <v>0.0</v>
      </c>
      <c r="C474" s="5" t="b">
        <v>0</v>
      </c>
      <c r="D474" s="4">
        <v>0.0</v>
      </c>
    </row>
    <row r="475">
      <c r="A475" s="4">
        <v>5066450.0</v>
      </c>
      <c r="B475" s="4">
        <v>0.0</v>
      </c>
      <c r="C475" s="5" t="b">
        <v>0</v>
      </c>
      <c r="D475" s="4">
        <v>0.0</v>
      </c>
    </row>
    <row r="476">
      <c r="A476" s="4">
        <v>506644.0</v>
      </c>
      <c r="B476" s="4">
        <v>0.0</v>
      </c>
      <c r="C476" s="5" t="b">
        <v>0</v>
      </c>
      <c r="D476" s="4">
        <v>0.0</v>
      </c>
    </row>
    <row r="477">
      <c r="A477" s="4">
        <v>5066430.0</v>
      </c>
      <c r="B477" s="4">
        <v>0.0</v>
      </c>
      <c r="C477" s="5" t="b">
        <v>0</v>
      </c>
      <c r="D477" s="4">
        <v>0.0</v>
      </c>
    </row>
    <row r="478">
      <c r="A478" s="4">
        <v>5066300.0</v>
      </c>
      <c r="B478" s="4">
        <v>0.0</v>
      </c>
      <c r="C478" s="5" t="b">
        <v>0</v>
      </c>
      <c r="D478" s="4">
        <v>0.0</v>
      </c>
    </row>
    <row r="479">
      <c r="A479" s="4">
        <v>5066301.0</v>
      </c>
      <c r="B479" s="4">
        <v>0.0</v>
      </c>
      <c r="C479" s="5" t="b">
        <v>0</v>
      </c>
      <c r="D479" s="4">
        <v>0.0</v>
      </c>
    </row>
    <row r="480">
      <c r="A480" s="4">
        <v>5066304.0</v>
      </c>
      <c r="B480" s="4">
        <v>0.0</v>
      </c>
      <c r="C480" s="5" t="b">
        <v>0</v>
      </c>
      <c r="D480" s="4">
        <v>0.0</v>
      </c>
    </row>
    <row r="481">
      <c r="A481" s="4">
        <v>5.066303E7</v>
      </c>
      <c r="B481" s="4">
        <v>0.0</v>
      </c>
      <c r="C481" s="5" t="b">
        <v>0</v>
      </c>
      <c r="D481" s="4">
        <v>0.0</v>
      </c>
    </row>
    <row r="482">
      <c r="A482" s="4">
        <v>5066304.0</v>
      </c>
      <c r="B482" s="4">
        <v>0.0</v>
      </c>
      <c r="C482" s="5" t="b">
        <v>0</v>
      </c>
      <c r="D482" s="4">
        <v>0.0</v>
      </c>
    </row>
    <row r="483">
      <c r="A483" s="4">
        <v>5066305.0</v>
      </c>
      <c r="B483" s="4">
        <v>0.0</v>
      </c>
      <c r="C483" s="5" t="b">
        <v>0</v>
      </c>
      <c r="D483" s="4">
        <v>0.0</v>
      </c>
    </row>
    <row r="484">
      <c r="A484" s="4">
        <v>506661.0</v>
      </c>
      <c r="B484" s="4">
        <v>0.0</v>
      </c>
      <c r="C484" s="5" t="b">
        <v>0</v>
      </c>
      <c r="D484" s="4">
        <v>0.0</v>
      </c>
    </row>
    <row r="485">
      <c r="A485" s="4">
        <v>5066630.0</v>
      </c>
      <c r="B485" s="4">
        <v>0.0</v>
      </c>
      <c r="C485" s="5" t="b">
        <v>0</v>
      </c>
      <c r="D485" s="4">
        <v>0.0</v>
      </c>
    </row>
    <row r="486">
      <c r="A486" s="4">
        <v>506666.0</v>
      </c>
      <c r="B486" s="4">
        <v>0.0</v>
      </c>
      <c r="C486" s="5" t="b">
        <v>0</v>
      </c>
      <c r="D486" s="4">
        <v>0.0</v>
      </c>
    </row>
    <row r="487">
      <c r="A487" s="4">
        <v>506664.0</v>
      </c>
      <c r="B487" s="4">
        <v>0.0</v>
      </c>
      <c r="C487" s="5" t="b">
        <v>0</v>
      </c>
      <c r="D487" s="4">
        <v>0.0</v>
      </c>
    </row>
    <row r="488">
      <c r="A488" s="4">
        <v>506677.0</v>
      </c>
      <c r="B488" s="4">
        <v>0.0</v>
      </c>
      <c r="C488" s="5" t="b">
        <v>0</v>
      </c>
      <c r="D488" s="4">
        <v>0.0</v>
      </c>
    </row>
    <row r="489">
      <c r="A489" s="4">
        <v>506674.0</v>
      </c>
      <c r="B489" s="4">
        <v>0.0</v>
      </c>
      <c r="C489" s="5" t="b">
        <v>0</v>
      </c>
      <c r="D489" s="4">
        <v>0.0</v>
      </c>
    </row>
    <row r="490">
      <c r="A490" s="4">
        <v>506675.0</v>
      </c>
      <c r="B490" s="4">
        <v>0.0</v>
      </c>
      <c r="C490" s="5" t="b">
        <v>0</v>
      </c>
      <c r="D490" s="4">
        <v>0.0</v>
      </c>
    </row>
    <row r="491">
      <c r="A491" s="4">
        <v>506645.0</v>
      </c>
      <c r="B491" s="4">
        <v>0.0</v>
      </c>
      <c r="C491" s="5" t="b">
        <v>0</v>
      </c>
      <c r="D491" s="4">
        <v>0.0</v>
      </c>
    </row>
    <row r="492">
      <c r="A492" s="4">
        <v>506644.0</v>
      </c>
      <c r="B492" s="4">
        <v>0.0</v>
      </c>
      <c r="C492" s="5" t="b">
        <v>0</v>
      </c>
      <c r="D492" s="4">
        <v>0.0</v>
      </c>
    </row>
    <row r="493">
      <c r="A493" s="4">
        <v>506646.0</v>
      </c>
      <c r="B493" s="4">
        <v>0.0</v>
      </c>
      <c r="C493" s="5" t="b">
        <v>0</v>
      </c>
      <c r="D493" s="4">
        <v>0.0</v>
      </c>
    </row>
    <row r="494">
      <c r="A494" s="4">
        <v>506644.0</v>
      </c>
      <c r="B494" s="4">
        <v>0.0</v>
      </c>
      <c r="C494" s="5" t="b">
        <v>0</v>
      </c>
      <c r="D494" s="4">
        <v>0.0</v>
      </c>
    </row>
    <row r="495">
      <c r="A495" s="4">
        <v>506645.0</v>
      </c>
      <c r="B495" s="4">
        <v>0.0</v>
      </c>
      <c r="C495" s="5" t="b">
        <v>0</v>
      </c>
      <c r="D495" s="4">
        <v>0.0</v>
      </c>
    </row>
    <row r="496">
      <c r="A496" s="4">
        <v>506650.0</v>
      </c>
      <c r="B496" s="4">
        <v>0.0</v>
      </c>
      <c r="C496" s="5" t="b">
        <v>0</v>
      </c>
      <c r="D496" s="4">
        <v>0.0</v>
      </c>
    </row>
    <row r="497">
      <c r="A497" s="4">
        <v>506651.0</v>
      </c>
      <c r="B497" s="4">
        <v>0.0</v>
      </c>
      <c r="C497" s="5" t="b">
        <v>0</v>
      </c>
      <c r="D497" s="4">
        <v>0.0</v>
      </c>
    </row>
    <row r="498">
      <c r="A498" s="4">
        <v>506655.0</v>
      </c>
      <c r="B498" s="4">
        <v>0.0</v>
      </c>
      <c r="C498" s="5" t="b">
        <v>0</v>
      </c>
      <c r="D498" s="4">
        <v>0.0</v>
      </c>
    </row>
    <row r="499">
      <c r="A499" s="4">
        <v>5066550.0</v>
      </c>
      <c r="B499" s="4">
        <v>0.0</v>
      </c>
      <c r="C499" s="5" t="b">
        <v>0</v>
      </c>
      <c r="D499" s="4">
        <v>0.0</v>
      </c>
    </row>
    <row r="500">
      <c r="A500" s="4">
        <v>506654.0</v>
      </c>
      <c r="B500" s="4">
        <v>0.0</v>
      </c>
      <c r="C500" s="5" t="b">
        <v>0</v>
      </c>
      <c r="D500" s="4">
        <v>0.0</v>
      </c>
    </row>
    <row r="501">
      <c r="A501" s="4">
        <v>5066530.0</v>
      </c>
      <c r="B501" s="4">
        <v>0.0</v>
      </c>
      <c r="C501" s="5" t="b">
        <v>0</v>
      </c>
      <c r="D501" s="4">
        <v>0.0</v>
      </c>
    </row>
    <row r="502">
      <c r="A502" s="4">
        <v>506656.0</v>
      </c>
      <c r="B502" s="4">
        <v>0.0</v>
      </c>
      <c r="C502" s="5" t="b">
        <v>0</v>
      </c>
      <c r="D502" s="4">
        <v>0.0</v>
      </c>
    </row>
    <row r="503">
      <c r="A503" s="4">
        <v>506657.0</v>
      </c>
      <c r="B503" s="4">
        <v>0.0</v>
      </c>
      <c r="C503" s="5" t="b">
        <v>0</v>
      </c>
      <c r="D503" s="4">
        <v>0.0</v>
      </c>
    </row>
    <row r="504">
      <c r="A504" s="4">
        <v>506654.0</v>
      </c>
      <c r="B504" s="4">
        <v>0.0</v>
      </c>
      <c r="C504" s="5" t="b">
        <v>0</v>
      </c>
      <c r="D504" s="4">
        <v>0.0</v>
      </c>
    </row>
    <row r="505">
      <c r="A505" s="4">
        <v>506655.0</v>
      </c>
      <c r="B505" s="4">
        <v>0.0</v>
      </c>
      <c r="C505" s="5" t="b">
        <v>0</v>
      </c>
      <c r="D505" s="4">
        <v>0.0</v>
      </c>
    </row>
    <row r="506">
      <c r="A506" s="4">
        <v>506700.0</v>
      </c>
      <c r="B506" s="4">
        <v>0.0</v>
      </c>
      <c r="C506" s="5" t="b">
        <v>0</v>
      </c>
      <c r="D506" s="4">
        <v>0.0</v>
      </c>
    </row>
    <row r="507">
      <c r="A507" s="4">
        <v>506701.0</v>
      </c>
      <c r="B507" s="4">
        <v>0.0</v>
      </c>
      <c r="C507" s="5" t="b">
        <v>0</v>
      </c>
      <c r="D507" s="4">
        <v>0.0</v>
      </c>
    </row>
    <row r="508">
      <c r="A508" s="4">
        <v>506705.0</v>
      </c>
      <c r="B508" s="4">
        <v>0.0</v>
      </c>
      <c r="C508" s="5" t="b">
        <v>0</v>
      </c>
      <c r="D508" s="4">
        <v>0.0</v>
      </c>
    </row>
    <row r="509">
      <c r="A509" s="4">
        <v>5067050.0</v>
      </c>
      <c r="B509" s="4">
        <v>0.0</v>
      </c>
      <c r="C509" s="5" t="b">
        <v>0</v>
      </c>
      <c r="D509" s="4">
        <v>0.0</v>
      </c>
    </row>
    <row r="510">
      <c r="A510" s="4">
        <v>506704.0</v>
      </c>
      <c r="B510" s="4">
        <v>0.0</v>
      </c>
      <c r="C510" s="5" t="b">
        <v>0</v>
      </c>
      <c r="D510" s="4">
        <v>0.0</v>
      </c>
    </row>
    <row r="511">
      <c r="A511" s="4">
        <v>5067030.0</v>
      </c>
      <c r="B511" s="4">
        <v>0.0</v>
      </c>
      <c r="C511" s="5" t="b">
        <v>0</v>
      </c>
      <c r="D511" s="4">
        <v>0.0</v>
      </c>
    </row>
    <row r="512">
      <c r="A512" s="4">
        <v>506706.0</v>
      </c>
      <c r="B512" s="4">
        <v>0.0</v>
      </c>
      <c r="C512" s="5" t="b">
        <v>0</v>
      </c>
      <c r="D512" s="4">
        <v>0.0</v>
      </c>
    </row>
    <row r="513">
      <c r="A513" s="4">
        <v>506704.0</v>
      </c>
      <c r="B513" s="4">
        <v>0.0</v>
      </c>
      <c r="C513" s="5" t="b">
        <v>0</v>
      </c>
      <c r="D513" s="4">
        <v>0.0</v>
      </c>
    </row>
    <row r="514">
      <c r="A514" s="4">
        <v>506705.0</v>
      </c>
      <c r="B514" s="4">
        <v>0.0</v>
      </c>
      <c r="C514" s="5" t="b">
        <v>0</v>
      </c>
      <c r="D514" s="4">
        <v>0.0</v>
      </c>
    </row>
    <row r="515">
      <c r="A515" s="4">
        <v>506710.0</v>
      </c>
      <c r="B515" s="4">
        <v>0.0</v>
      </c>
      <c r="C515" s="5" t="b">
        <v>1</v>
      </c>
      <c r="D515" s="4">
        <v>0.0</v>
      </c>
    </row>
    <row r="516">
      <c r="A516" s="4">
        <v>506711.0</v>
      </c>
      <c r="B516" s="4">
        <v>0.0</v>
      </c>
      <c r="C516" s="5" t="b">
        <v>0</v>
      </c>
      <c r="D516" s="4">
        <v>0.0</v>
      </c>
    </row>
    <row r="517">
      <c r="A517" s="4">
        <v>506715.0</v>
      </c>
      <c r="B517" s="4">
        <v>0.0</v>
      </c>
      <c r="C517" s="5" t="b">
        <v>0</v>
      </c>
      <c r="D517" s="4">
        <v>0.0</v>
      </c>
    </row>
    <row r="518">
      <c r="A518" s="4">
        <v>5067150.0</v>
      </c>
      <c r="B518" s="4">
        <v>0.0</v>
      </c>
      <c r="C518" s="5" t="b">
        <v>0</v>
      </c>
      <c r="D518" s="4">
        <v>0.0</v>
      </c>
    </row>
    <row r="519">
      <c r="A519" s="4">
        <v>506717.0</v>
      </c>
      <c r="B519" s="4">
        <v>0.0</v>
      </c>
      <c r="C519" s="5" t="b">
        <v>0</v>
      </c>
      <c r="D519" s="4">
        <v>0.0</v>
      </c>
    </row>
    <row r="520">
      <c r="A520" s="4">
        <v>506714.0</v>
      </c>
      <c r="B520" s="4">
        <v>0.0</v>
      </c>
      <c r="C520" s="5" t="b">
        <v>1</v>
      </c>
      <c r="D520" s="4">
        <v>0.0</v>
      </c>
    </row>
    <row r="521">
      <c r="A521" s="4">
        <v>506715.0</v>
      </c>
      <c r="B521" s="4">
        <v>0.0</v>
      </c>
      <c r="C521" s="5" t="b">
        <v>0</v>
      </c>
      <c r="D521" s="4">
        <v>0.0</v>
      </c>
    </row>
    <row r="522">
      <c r="A522" s="4">
        <v>506750.0</v>
      </c>
      <c r="B522" s="4">
        <v>0.0</v>
      </c>
      <c r="C522" s="5" t="b">
        <v>0</v>
      </c>
      <c r="D522" s="4">
        <v>0.0</v>
      </c>
    </row>
    <row r="523">
      <c r="A523" s="4">
        <v>506751.0</v>
      </c>
      <c r="B523" s="4">
        <v>0.0</v>
      </c>
      <c r="C523" s="5" t="b">
        <v>1</v>
      </c>
      <c r="D523" s="4">
        <v>0.0</v>
      </c>
    </row>
    <row r="524">
      <c r="A524" s="4">
        <v>506755.0</v>
      </c>
      <c r="B524" s="4">
        <v>0.0</v>
      </c>
      <c r="C524" s="5" t="b">
        <v>0</v>
      </c>
      <c r="D524" s="4">
        <v>0.0</v>
      </c>
    </row>
    <row r="525">
      <c r="A525" s="4">
        <v>5067550.0</v>
      </c>
      <c r="B525" s="4">
        <v>0.0</v>
      </c>
      <c r="C525" s="5" t="b">
        <v>0</v>
      </c>
      <c r="D525" s="4">
        <v>0.0</v>
      </c>
    </row>
    <row r="526">
      <c r="A526" s="4">
        <v>506754.0</v>
      </c>
      <c r="B526" s="4">
        <v>0.0</v>
      </c>
      <c r="C526" s="5" t="b">
        <v>0</v>
      </c>
      <c r="D526" s="4">
        <v>0.0</v>
      </c>
    </row>
    <row r="527">
      <c r="A527" s="4">
        <v>5067530.0</v>
      </c>
      <c r="B527" s="4">
        <v>0.0</v>
      </c>
      <c r="C527" s="5" t="b">
        <v>0</v>
      </c>
      <c r="D527" s="4">
        <v>0.0</v>
      </c>
    </row>
    <row r="528">
      <c r="A528" s="4">
        <v>506756.0</v>
      </c>
      <c r="B528" s="4">
        <v>0.0</v>
      </c>
      <c r="C528" s="5" t="b">
        <v>0</v>
      </c>
      <c r="D528" s="4">
        <v>0.0</v>
      </c>
    </row>
    <row r="529">
      <c r="A529" s="4">
        <v>506757.0</v>
      </c>
      <c r="B529" s="4">
        <v>0.0</v>
      </c>
      <c r="C529" s="5" t="b">
        <v>0</v>
      </c>
      <c r="D529" s="4">
        <v>0.0</v>
      </c>
    </row>
    <row r="530">
      <c r="A530" s="4">
        <v>506754.0</v>
      </c>
      <c r="B530" s="4">
        <v>0.0</v>
      </c>
      <c r="C530" s="5" t="b">
        <v>0</v>
      </c>
      <c r="D530" s="4">
        <v>0.0</v>
      </c>
    </row>
    <row r="531">
      <c r="A531" s="4">
        <v>506755.0</v>
      </c>
      <c r="B531" s="4">
        <v>0.0</v>
      </c>
      <c r="C531" s="5" t="b">
        <v>0</v>
      </c>
      <c r="D531" s="4">
        <v>0.0</v>
      </c>
    </row>
    <row r="532">
      <c r="A532" s="4">
        <v>5067500.0</v>
      </c>
      <c r="B532" s="4">
        <v>0.0</v>
      </c>
      <c r="C532" s="5" t="b">
        <v>0</v>
      </c>
      <c r="D532" s="4">
        <v>0.0</v>
      </c>
    </row>
    <row r="533">
      <c r="A533" s="4">
        <v>5067501.0</v>
      </c>
      <c r="B533" s="4">
        <v>0.0</v>
      </c>
      <c r="C533" s="5" t="b">
        <v>0</v>
      </c>
      <c r="D533" s="4">
        <v>0.0</v>
      </c>
    </row>
    <row r="534">
      <c r="A534" s="4">
        <v>5067505.0</v>
      </c>
      <c r="B534" s="4">
        <v>0.0</v>
      </c>
      <c r="C534" s="5" t="b">
        <v>0</v>
      </c>
      <c r="D534" s="4">
        <v>0.0</v>
      </c>
    </row>
    <row r="535">
      <c r="A535" s="4">
        <v>5.067505E7</v>
      </c>
      <c r="B535" s="4">
        <v>0.0</v>
      </c>
      <c r="C535" s="5" t="b">
        <v>0</v>
      </c>
      <c r="D535" s="4">
        <v>0.0</v>
      </c>
    </row>
    <row r="536">
      <c r="A536" s="4">
        <v>5067504.0</v>
      </c>
      <c r="B536" s="4">
        <v>0.0</v>
      </c>
      <c r="C536" s="5" t="b">
        <v>0</v>
      </c>
      <c r="D536" s="4">
        <v>0.0</v>
      </c>
    </row>
    <row r="537">
      <c r="A537" s="4">
        <v>5.067503E7</v>
      </c>
      <c r="B537" s="4">
        <v>0.0</v>
      </c>
      <c r="C537" s="5" t="b">
        <v>0</v>
      </c>
      <c r="D537" s="4">
        <v>0.0</v>
      </c>
    </row>
    <row r="538">
      <c r="A538" s="4">
        <v>5067506.0</v>
      </c>
      <c r="B538" s="4">
        <v>0.0</v>
      </c>
      <c r="C538" s="5" t="b">
        <v>0</v>
      </c>
      <c r="D538" s="4">
        <v>0.0</v>
      </c>
    </row>
    <row r="539">
      <c r="A539" s="4">
        <v>5067507.0</v>
      </c>
      <c r="B539" s="4">
        <v>0.0</v>
      </c>
      <c r="C539" s="5" t="b">
        <v>0</v>
      </c>
      <c r="D539" s="4">
        <v>0.0</v>
      </c>
    </row>
    <row r="540">
      <c r="A540" s="4">
        <v>5067504.0</v>
      </c>
      <c r="B540" s="4">
        <v>0.0</v>
      </c>
      <c r="C540" s="5" t="b">
        <v>0</v>
      </c>
      <c r="D540" s="4">
        <v>0.0</v>
      </c>
    </row>
    <row r="541">
      <c r="A541" s="4">
        <v>5067505.0</v>
      </c>
      <c r="B541" s="4">
        <v>0.0</v>
      </c>
      <c r="C541" s="5" t="b">
        <v>0</v>
      </c>
      <c r="D541" s="4">
        <v>0.0</v>
      </c>
    </row>
    <row r="542">
      <c r="A542" s="4">
        <v>506740.0</v>
      </c>
      <c r="B542" s="4">
        <v>0.0</v>
      </c>
      <c r="C542" s="5" t="b">
        <v>0</v>
      </c>
      <c r="D542" s="4">
        <v>0.0</v>
      </c>
    </row>
    <row r="543">
      <c r="A543" s="4">
        <v>506741.0</v>
      </c>
      <c r="B543" s="4">
        <v>0.0</v>
      </c>
      <c r="C543" s="5" t="b">
        <v>0</v>
      </c>
      <c r="D543" s="4">
        <v>0.0</v>
      </c>
    </row>
    <row r="544">
      <c r="A544" s="4">
        <v>506745.0</v>
      </c>
      <c r="B544" s="4">
        <v>0.0</v>
      </c>
      <c r="C544" s="5" t="b">
        <v>0</v>
      </c>
      <c r="D544" s="4">
        <v>0.0</v>
      </c>
    </row>
    <row r="545">
      <c r="A545" s="4">
        <v>5067450.0</v>
      </c>
      <c r="B545" s="4">
        <v>0.0</v>
      </c>
      <c r="C545" s="5" t="b">
        <v>0</v>
      </c>
      <c r="D545" s="4">
        <v>0.0</v>
      </c>
    </row>
    <row r="546">
      <c r="A546" s="4">
        <v>506744.0</v>
      </c>
      <c r="B546" s="4">
        <v>0.0</v>
      </c>
      <c r="C546" s="5" t="b">
        <v>0</v>
      </c>
      <c r="D546" s="4">
        <v>0.0</v>
      </c>
    </row>
    <row r="547">
      <c r="A547" s="4">
        <v>5067430.0</v>
      </c>
      <c r="B547" s="4">
        <v>0.0</v>
      </c>
      <c r="C547" s="5" t="b">
        <v>0</v>
      </c>
      <c r="D547" s="4">
        <v>0.0</v>
      </c>
    </row>
    <row r="548">
      <c r="A548" s="4">
        <v>506746.0</v>
      </c>
      <c r="B548" s="4">
        <v>0.0</v>
      </c>
      <c r="C548" s="5" t="b">
        <v>0</v>
      </c>
      <c r="D548" s="4">
        <v>0.0</v>
      </c>
    </row>
    <row r="549">
      <c r="A549" s="4">
        <v>506747.0</v>
      </c>
      <c r="B549" s="4">
        <v>0.0</v>
      </c>
      <c r="C549" s="5" t="b">
        <v>0</v>
      </c>
      <c r="D549" s="4">
        <v>0.0</v>
      </c>
    </row>
    <row r="550">
      <c r="A550" s="4">
        <v>506744.0</v>
      </c>
      <c r="B550" s="4">
        <v>0.0</v>
      </c>
      <c r="C550" s="5" t="b">
        <v>0</v>
      </c>
      <c r="D550" s="4">
        <v>0.0</v>
      </c>
    </row>
    <row r="551">
      <c r="A551" s="4"/>
      <c r="B551" s="4"/>
      <c r="C551" s="5"/>
      <c r="D551" s="4"/>
    </row>
    <row r="552">
      <c r="A552" s="4"/>
      <c r="B552" s="4"/>
      <c r="C552" s="5"/>
      <c r="D552" s="4"/>
    </row>
  </sheetData>
  <drawing r:id="rId1"/>
</worksheet>
</file>