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analisis_datos_entrevista\"/>
    </mc:Choice>
  </mc:AlternateContent>
  <xr:revisionPtr revIDLastSave="0" documentId="13_ncr:1_{D75B7760-FC2B-46AF-9BC5-74FF7511E1C3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Case 1" sheetId="1" r:id="rId1"/>
    <sheet name="Case 1.1" sheetId="2" r:id="rId2"/>
    <sheet name="Case 1.2" sheetId="3" r:id="rId3"/>
    <sheet name="Hoja1" sheetId="13" r:id="rId4"/>
    <sheet name="Hoja8" sheetId="11" r:id="rId5"/>
    <sheet name="Hoja9" sheetId="12" r:id="rId6"/>
  </sheets>
  <definedNames>
    <definedName name="_xlnm._FilterDatabase" localSheetId="0" hidden="1">'Case 1'!$A$1:$W$550</definedName>
    <definedName name="_xlnm._FilterDatabase" localSheetId="1" hidden="1">'Case 1.1'!$A$1:$J$550</definedName>
    <definedName name="_xlnm._FilterDatabase" localSheetId="2" hidden="1">'Case 1.2'!$A$1:$D$550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8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E2" i="2"/>
  <c r="G2" i="2" s="1"/>
  <c r="H2" i="2" s="1"/>
  <c r="E3" i="2"/>
  <c r="G3" i="2" s="1"/>
  <c r="H3" i="2" s="1"/>
  <c r="E4" i="2"/>
  <c r="G4" i="2" s="1"/>
  <c r="H4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E9" i="2"/>
  <c r="G9" i="2" s="1"/>
  <c r="H9" i="2" s="1"/>
  <c r="E10" i="2"/>
  <c r="G10" i="2" s="1"/>
  <c r="H10" i="2" s="1"/>
  <c r="E11" i="2"/>
  <c r="G11" i="2" s="1"/>
  <c r="H11" i="2" s="1"/>
  <c r="E12" i="2"/>
  <c r="G12" i="2" s="1"/>
  <c r="H12" i="2" s="1"/>
  <c r="E13" i="2"/>
  <c r="G13" i="2" s="1"/>
  <c r="H13" i="2" s="1"/>
  <c r="E14" i="2"/>
  <c r="G14" i="2" s="1"/>
  <c r="H14" i="2" s="1"/>
  <c r="E15" i="2"/>
  <c r="G15" i="2" s="1"/>
  <c r="H15" i="2" s="1"/>
  <c r="E16" i="2"/>
  <c r="G16" i="2" s="1"/>
  <c r="H16" i="2" s="1"/>
  <c r="E17" i="2"/>
  <c r="G17" i="2" s="1"/>
  <c r="H17" i="2" s="1"/>
  <c r="E18" i="2"/>
  <c r="G18" i="2" s="1"/>
  <c r="H18" i="2" s="1"/>
  <c r="E19" i="2"/>
  <c r="G19" i="2" s="1"/>
  <c r="H19" i="2" s="1"/>
  <c r="E20" i="2"/>
  <c r="G20" i="2" s="1"/>
  <c r="H20" i="2" s="1"/>
  <c r="E21" i="2"/>
  <c r="G21" i="2" s="1"/>
  <c r="H21" i="2" s="1"/>
  <c r="E22" i="2"/>
  <c r="G22" i="2" s="1"/>
  <c r="H22" i="2" s="1"/>
  <c r="E23" i="2"/>
  <c r="G23" i="2" s="1"/>
  <c r="H23" i="2" s="1"/>
  <c r="E24" i="2"/>
  <c r="G24" i="2" s="1"/>
  <c r="H24" i="2" s="1"/>
  <c r="E25" i="2"/>
  <c r="G25" i="2" s="1"/>
  <c r="H25" i="2" s="1"/>
  <c r="E26" i="2"/>
  <c r="G26" i="2" s="1"/>
  <c r="H26" i="2" s="1"/>
  <c r="E27" i="2"/>
  <c r="G27" i="2" s="1"/>
  <c r="H27" i="2" s="1"/>
  <c r="E28" i="2"/>
  <c r="G28" i="2" s="1"/>
  <c r="H28" i="2" s="1"/>
  <c r="E29" i="2"/>
  <c r="G29" i="2" s="1"/>
  <c r="H29" i="2" s="1"/>
  <c r="E30" i="2"/>
  <c r="G30" i="2" s="1"/>
  <c r="H30" i="2" s="1"/>
  <c r="E31" i="2"/>
  <c r="G31" i="2" s="1"/>
  <c r="H31" i="2" s="1"/>
  <c r="E32" i="2"/>
  <c r="G32" i="2" s="1"/>
  <c r="H32" i="2" s="1"/>
  <c r="E33" i="2"/>
  <c r="G33" i="2" s="1"/>
  <c r="H33" i="2" s="1"/>
  <c r="E34" i="2"/>
  <c r="G34" i="2" s="1"/>
  <c r="H34" i="2" s="1"/>
  <c r="E35" i="2"/>
  <c r="G35" i="2" s="1"/>
  <c r="H35" i="2" s="1"/>
  <c r="E36" i="2"/>
  <c r="G36" i="2" s="1"/>
  <c r="H36" i="2" s="1"/>
  <c r="E37" i="2"/>
  <c r="G37" i="2" s="1"/>
  <c r="H37" i="2" s="1"/>
  <c r="E38" i="2"/>
  <c r="G38" i="2" s="1"/>
  <c r="H38" i="2" s="1"/>
  <c r="E39" i="2"/>
  <c r="G39" i="2" s="1"/>
  <c r="H39" i="2" s="1"/>
  <c r="E40" i="2"/>
  <c r="G40" i="2" s="1"/>
  <c r="H40" i="2" s="1"/>
  <c r="E41" i="2"/>
  <c r="G41" i="2" s="1"/>
  <c r="H41" i="2" s="1"/>
  <c r="E42" i="2"/>
  <c r="G42" i="2" s="1"/>
  <c r="H42" i="2" s="1"/>
  <c r="E43" i="2"/>
  <c r="G43" i="2" s="1"/>
  <c r="H43" i="2" s="1"/>
  <c r="E44" i="2"/>
  <c r="G44" i="2" s="1"/>
  <c r="H44" i="2" s="1"/>
  <c r="E45" i="2"/>
  <c r="G45" i="2" s="1"/>
  <c r="H45" i="2" s="1"/>
  <c r="E46" i="2"/>
  <c r="G46" i="2" s="1"/>
  <c r="H46" i="2" s="1"/>
  <c r="E47" i="2"/>
  <c r="G47" i="2" s="1"/>
  <c r="H47" i="2" s="1"/>
  <c r="E48" i="2"/>
  <c r="G48" i="2" s="1"/>
  <c r="H48" i="2" s="1"/>
  <c r="E49" i="2"/>
  <c r="G49" i="2" s="1"/>
  <c r="H49" i="2" s="1"/>
  <c r="E50" i="2"/>
  <c r="G50" i="2" s="1"/>
  <c r="H50" i="2" s="1"/>
  <c r="E51" i="2"/>
  <c r="G51" i="2" s="1"/>
  <c r="H51" i="2" s="1"/>
  <c r="E52" i="2"/>
  <c r="G52" i="2" s="1"/>
  <c r="H52" i="2" s="1"/>
  <c r="E53" i="2"/>
  <c r="G53" i="2" s="1"/>
  <c r="H53" i="2" s="1"/>
  <c r="E54" i="2"/>
  <c r="G54" i="2" s="1"/>
  <c r="H54" i="2" s="1"/>
  <c r="E55" i="2"/>
  <c r="G55" i="2" s="1"/>
  <c r="H55" i="2" s="1"/>
  <c r="E56" i="2"/>
  <c r="G56" i="2" s="1"/>
  <c r="H56" i="2" s="1"/>
  <c r="E57" i="2"/>
  <c r="G57" i="2" s="1"/>
  <c r="H57" i="2" s="1"/>
  <c r="E58" i="2"/>
  <c r="G58" i="2" s="1"/>
  <c r="H58" i="2" s="1"/>
  <c r="E59" i="2"/>
  <c r="G59" i="2" s="1"/>
  <c r="H59" i="2" s="1"/>
  <c r="E60" i="2"/>
  <c r="G60" i="2" s="1"/>
  <c r="H60" i="2" s="1"/>
  <c r="E61" i="2"/>
  <c r="G61" i="2" s="1"/>
  <c r="H61" i="2" s="1"/>
  <c r="E62" i="2"/>
  <c r="G62" i="2" s="1"/>
  <c r="H62" i="2" s="1"/>
  <c r="E63" i="2"/>
  <c r="G63" i="2" s="1"/>
  <c r="H63" i="2" s="1"/>
  <c r="E64" i="2"/>
  <c r="G64" i="2" s="1"/>
  <c r="H64" i="2" s="1"/>
  <c r="E65" i="2"/>
  <c r="G65" i="2" s="1"/>
  <c r="H65" i="2" s="1"/>
  <c r="E66" i="2"/>
  <c r="G66" i="2" s="1"/>
  <c r="H66" i="2" s="1"/>
  <c r="E67" i="2"/>
  <c r="G67" i="2" s="1"/>
  <c r="H67" i="2" s="1"/>
  <c r="E68" i="2"/>
  <c r="G68" i="2" s="1"/>
  <c r="H68" i="2" s="1"/>
  <c r="E69" i="2"/>
  <c r="G69" i="2" s="1"/>
  <c r="H69" i="2" s="1"/>
  <c r="E70" i="2"/>
  <c r="G70" i="2" s="1"/>
  <c r="H70" i="2" s="1"/>
  <c r="E71" i="2"/>
  <c r="G71" i="2" s="1"/>
  <c r="H71" i="2" s="1"/>
  <c r="E72" i="2"/>
  <c r="G72" i="2" s="1"/>
  <c r="H72" i="2" s="1"/>
  <c r="E73" i="2"/>
  <c r="G73" i="2" s="1"/>
  <c r="H73" i="2" s="1"/>
  <c r="E74" i="2"/>
  <c r="G74" i="2" s="1"/>
  <c r="H74" i="2" s="1"/>
  <c r="E75" i="2"/>
  <c r="G75" i="2" s="1"/>
  <c r="H75" i="2" s="1"/>
  <c r="E76" i="2"/>
  <c r="G76" i="2" s="1"/>
  <c r="H76" i="2" s="1"/>
  <c r="E77" i="2"/>
  <c r="G77" i="2" s="1"/>
  <c r="H77" i="2" s="1"/>
  <c r="E78" i="2"/>
  <c r="G78" i="2" s="1"/>
  <c r="H78" i="2" s="1"/>
  <c r="E79" i="2"/>
  <c r="G79" i="2" s="1"/>
  <c r="H79" i="2" s="1"/>
  <c r="E80" i="2"/>
  <c r="G80" i="2" s="1"/>
  <c r="H80" i="2" s="1"/>
  <c r="E81" i="2"/>
  <c r="G81" i="2" s="1"/>
  <c r="H81" i="2" s="1"/>
  <c r="E82" i="2"/>
  <c r="G82" i="2" s="1"/>
  <c r="H82" i="2" s="1"/>
  <c r="E83" i="2"/>
  <c r="G83" i="2" s="1"/>
  <c r="H83" i="2" s="1"/>
  <c r="E84" i="2"/>
  <c r="G84" i="2" s="1"/>
  <c r="H84" i="2" s="1"/>
  <c r="E85" i="2"/>
  <c r="G85" i="2" s="1"/>
  <c r="H85" i="2" s="1"/>
  <c r="E86" i="2"/>
  <c r="G86" i="2" s="1"/>
  <c r="H86" i="2" s="1"/>
  <c r="E87" i="2"/>
  <c r="G87" i="2" s="1"/>
  <c r="H87" i="2" s="1"/>
  <c r="E88" i="2"/>
  <c r="G88" i="2" s="1"/>
  <c r="H88" i="2" s="1"/>
  <c r="E89" i="2"/>
  <c r="G89" i="2" s="1"/>
  <c r="H89" i="2" s="1"/>
  <c r="E90" i="2"/>
  <c r="G90" i="2" s="1"/>
  <c r="H90" i="2" s="1"/>
  <c r="E91" i="2"/>
  <c r="G91" i="2" s="1"/>
  <c r="H91" i="2" s="1"/>
  <c r="E92" i="2"/>
  <c r="G92" i="2" s="1"/>
  <c r="H92" i="2" s="1"/>
  <c r="E93" i="2"/>
  <c r="G93" i="2" s="1"/>
  <c r="H93" i="2" s="1"/>
  <c r="E94" i="2"/>
  <c r="G94" i="2" s="1"/>
  <c r="H94" i="2" s="1"/>
  <c r="E95" i="2"/>
  <c r="G95" i="2" s="1"/>
  <c r="H95" i="2" s="1"/>
  <c r="E96" i="2"/>
  <c r="G96" i="2" s="1"/>
  <c r="H96" i="2" s="1"/>
  <c r="E97" i="2"/>
  <c r="G97" i="2" s="1"/>
  <c r="H97" i="2" s="1"/>
  <c r="E98" i="2"/>
  <c r="G98" i="2" s="1"/>
  <c r="H98" i="2" s="1"/>
  <c r="E99" i="2"/>
  <c r="G99" i="2" s="1"/>
  <c r="H99" i="2" s="1"/>
  <c r="E100" i="2"/>
  <c r="G100" i="2" s="1"/>
  <c r="H100" i="2" s="1"/>
  <c r="E101" i="2"/>
  <c r="G101" i="2" s="1"/>
  <c r="H101" i="2" s="1"/>
  <c r="E102" i="2"/>
  <c r="G102" i="2" s="1"/>
  <c r="H102" i="2" s="1"/>
  <c r="E103" i="2"/>
  <c r="G103" i="2" s="1"/>
  <c r="H103" i="2" s="1"/>
  <c r="E104" i="2"/>
  <c r="G104" i="2" s="1"/>
  <c r="H104" i="2" s="1"/>
  <c r="E105" i="2"/>
  <c r="G105" i="2" s="1"/>
  <c r="H105" i="2" s="1"/>
  <c r="E106" i="2"/>
  <c r="G106" i="2" s="1"/>
  <c r="H106" i="2" s="1"/>
  <c r="E107" i="2"/>
  <c r="G107" i="2" s="1"/>
  <c r="H107" i="2" s="1"/>
  <c r="E108" i="2"/>
  <c r="G108" i="2" s="1"/>
  <c r="H108" i="2" s="1"/>
  <c r="E109" i="2"/>
  <c r="G109" i="2" s="1"/>
  <c r="H109" i="2" s="1"/>
  <c r="E110" i="2"/>
  <c r="G110" i="2" s="1"/>
  <c r="H110" i="2" s="1"/>
  <c r="E111" i="2"/>
  <c r="G111" i="2" s="1"/>
  <c r="H111" i="2" s="1"/>
  <c r="E112" i="2"/>
  <c r="G112" i="2" s="1"/>
  <c r="H112" i="2" s="1"/>
  <c r="E113" i="2"/>
  <c r="G113" i="2" s="1"/>
  <c r="H113" i="2" s="1"/>
  <c r="E114" i="2"/>
  <c r="G114" i="2" s="1"/>
  <c r="H114" i="2" s="1"/>
  <c r="E115" i="2"/>
  <c r="G115" i="2" s="1"/>
  <c r="H115" i="2" s="1"/>
  <c r="E116" i="2"/>
  <c r="G116" i="2" s="1"/>
  <c r="H116" i="2" s="1"/>
  <c r="E117" i="2"/>
  <c r="G117" i="2" s="1"/>
  <c r="H117" i="2" s="1"/>
  <c r="E118" i="2"/>
  <c r="G118" i="2" s="1"/>
  <c r="H118" i="2" s="1"/>
  <c r="E119" i="2"/>
  <c r="G119" i="2" s="1"/>
  <c r="H119" i="2" s="1"/>
  <c r="E120" i="2"/>
  <c r="G120" i="2" s="1"/>
  <c r="H120" i="2" s="1"/>
  <c r="E121" i="2"/>
  <c r="G121" i="2" s="1"/>
  <c r="H121" i="2" s="1"/>
  <c r="E122" i="2"/>
  <c r="G122" i="2" s="1"/>
  <c r="H122" i="2" s="1"/>
  <c r="E123" i="2"/>
  <c r="G123" i="2" s="1"/>
  <c r="H123" i="2" s="1"/>
  <c r="E124" i="2"/>
  <c r="G124" i="2" s="1"/>
  <c r="H124" i="2" s="1"/>
  <c r="E125" i="2"/>
  <c r="G125" i="2" s="1"/>
  <c r="H125" i="2" s="1"/>
  <c r="E126" i="2"/>
  <c r="G126" i="2" s="1"/>
  <c r="H126" i="2" s="1"/>
  <c r="E127" i="2"/>
  <c r="G127" i="2" s="1"/>
  <c r="H127" i="2" s="1"/>
  <c r="E128" i="2"/>
  <c r="G128" i="2" s="1"/>
  <c r="H128" i="2" s="1"/>
  <c r="E129" i="2"/>
  <c r="G129" i="2" s="1"/>
  <c r="H129" i="2" s="1"/>
  <c r="E130" i="2"/>
  <c r="G130" i="2" s="1"/>
  <c r="H130" i="2" s="1"/>
  <c r="E131" i="2"/>
  <c r="G131" i="2" s="1"/>
  <c r="H131" i="2" s="1"/>
  <c r="E132" i="2"/>
  <c r="G132" i="2" s="1"/>
  <c r="H132" i="2" s="1"/>
  <c r="E133" i="2"/>
  <c r="G133" i="2" s="1"/>
  <c r="H133" i="2" s="1"/>
  <c r="E134" i="2"/>
  <c r="G134" i="2" s="1"/>
  <c r="H134" i="2" s="1"/>
  <c r="E135" i="2"/>
  <c r="G135" i="2" s="1"/>
  <c r="H135" i="2" s="1"/>
  <c r="E136" i="2"/>
  <c r="G136" i="2" s="1"/>
  <c r="H136" i="2" s="1"/>
  <c r="E137" i="2"/>
  <c r="G137" i="2" s="1"/>
  <c r="H137" i="2" s="1"/>
  <c r="E138" i="2"/>
  <c r="G138" i="2" s="1"/>
  <c r="H138" i="2" s="1"/>
  <c r="E139" i="2"/>
  <c r="G139" i="2" s="1"/>
  <c r="H139" i="2" s="1"/>
  <c r="E140" i="2"/>
  <c r="G140" i="2" s="1"/>
  <c r="H140" i="2" s="1"/>
  <c r="E141" i="2"/>
  <c r="G141" i="2" s="1"/>
  <c r="H141" i="2" s="1"/>
  <c r="E142" i="2"/>
  <c r="G142" i="2" s="1"/>
  <c r="H142" i="2" s="1"/>
  <c r="E143" i="2"/>
  <c r="G143" i="2" s="1"/>
  <c r="H143" i="2" s="1"/>
  <c r="E144" i="2"/>
  <c r="G144" i="2" s="1"/>
  <c r="H144" i="2" s="1"/>
  <c r="E145" i="2"/>
  <c r="G145" i="2" s="1"/>
  <c r="H145" i="2" s="1"/>
  <c r="E146" i="2"/>
  <c r="G146" i="2" s="1"/>
  <c r="H146" i="2" s="1"/>
  <c r="E147" i="2"/>
  <c r="G147" i="2" s="1"/>
  <c r="H147" i="2" s="1"/>
  <c r="E148" i="2"/>
  <c r="G148" i="2" s="1"/>
  <c r="H148" i="2" s="1"/>
  <c r="E149" i="2"/>
  <c r="G149" i="2" s="1"/>
  <c r="H149" i="2" s="1"/>
  <c r="E150" i="2"/>
  <c r="G150" i="2" s="1"/>
  <c r="H150" i="2" s="1"/>
  <c r="E151" i="2"/>
  <c r="G151" i="2" s="1"/>
  <c r="H151" i="2" s="1"/>
  <c r="E152" i="2"/>
  <c r="G152" i="2" s="1"/>
  <c r="H152" i="2" s="1"/>
  <c r="E153" i="2"/>
  <c r="G153" i="2" s="1"/>
  <c r="H153" i="2" s="1"/>
  <c r="E154" i="2"/>
  <c r="G154" i="2" s="1"/>
  <c r="H154" i="2" s="1"/>
  <c r="E155" i="2"/>
  <c r="G155" i="2" s="1"/>
  <c r="H155" i="2" s="1"/>
  <c r="E156" i="2"/>
  <c r="G156" i="2" s="1"/>
  <c r="H156" i="2" s="1"/>
  <c r="E157" i="2"/>
  <c r="G157" i="2" s="1"/>
  <c r="H157" i="2" s="1"/>
  <c r="E158" i="2"/>
  <c r="G158" i="2" s="1"/>
  <c r="H158" i="2" s="1"/>
  <c r="E159" i="2"/>
  <c r="G159" i="2" s="1"/>
  <c r="H159" i="2" s="1"/>
  <c r="E160" i="2"/>
  <c r="G160" i="2" s="1"/>
  <c r="H160" i="2" s="1"/>
  <c r="E161" i="2"/>
  <c r="G161" i="2" s="1"/>
  <c r="H161" i="2" s="1"/>
  <c r="E162" i="2"/>
  <c r="G162" i="2" s="1"/>
  <c r="H162" i="2" s="1"/>
  <c r="E163" i="2"/>
  <c r="G163" i="2" s="1"/>
  <c r="H163" i="2" s="1"/>
  <c r="E164" i="2"/>
  <c r="G164" i="2" s="1"/>
  <c r="H164" i="2" s="1"/>
  <c r="E165" i="2"/>
  <c r="G165" i="2" s="1"/>
  <c r="H165" i="2" s="1"/>
  <c r="E166" i="2"/>
  <c r="G166" i="2" s="1"/>
  <c r="H166" i="2" s="1"/>
  <c r="E167" i="2"/>
  <c r="G167" i="2" s="1"/>
  <c r="H167" i="2" s="1"/>
  <c r="E168" i="2"/>
  <c r="G168" i="2" s="1"/>
  <c r="H168" i="2" s="1"/>
  <c r="E169" i="2"/>
  <c r="G169" i="2" s="1"/>
  <c r="H169" i="2" s="1"/>
  <c r="E170" i="2"/>
  <c r="G170" i="2" s="1"/>
  <c r="H170" i="2" s="1"/>
  <c r="E171" i="2"/>
  <c r="G171" i="2" s="1"/>
  <c r="H171" i="2" s="1"/>
  <c r="E172" i="2"/>
  <c r="G172" i="2" s="1"/>
  <c r="H172" i="2" s="1"/>
  <c r="E173" i="2"/>
  <c r="G173" i="2" s="1"/>
  <c r="H173" i="2" s="1"/>
  <c r="E174" i="2"/>
  <c r="G174" i="2" s="1"/>
  <c r="H174" i="2" s="1"/>
  <c r="E175" i="2"/>
  <c r="G175" i="2" s="1"/>
  <c r="H175" i="2" s="1"/>
  <c r="E176" i="2"/>
  <c r="G176" i="2" s="1"/>
  <c r="H176" i="2" s="1"/>
  <c r="E177" i="2"/>
  <c r="G177" i="2" s="1"/>
  <c r="H177" i="2" s="1"/>
  <c r="E178" i="2"/>
  <c r="G178" i="2" s="1"/>
  <c r="H178" i="2" s="1"/>
  <c r="E179" i="2"/>
  <c r="G179" i="2" s="1"/>
  <c r="H179" i="2" s="1"/>
  <c r="E180" i="2"/>
  <c r="G180" i="2" s="1"/>
  <c r="H180" i="2" s="1"/>
  <c r="E181" i="2"/>
  <c r="G181" i="2" s="1"/>
  <c r="H181" i="2" s="1"/>
  <c r="E182" i="2"/>
  <c r="G182" i="2" s="1"/>
  <c r="H182" i="2" s="1"/>
  <c r="E183" i="2"/>
  <c r="G183" i="2" s="1"/>
  <c r="H183" i="2" s="1"/>
  <c r="E184" i="2"/>
  <c r="G184" i="2" s="1"/>
  <c r="H184" i="2" s="1"/>
  <c r="E185" i="2"/>
  <c r="G185" i="2" s="1"/>
  <c r="H185" i="2" s="1"/>
  <c r="E186" i="2"/>
  <c r="G186" i="2" s="1"/>
  <c r="H186" i="2" s="1"/>
  <c r="E187" i="2"/>
  <c r="G187" i="2" s="1"/>
  <c r="H187" i="2" s="1"/>
  <c r="E188" i="2"/>
  <c r="G188" i="2" s="1"/>
  <c r="H188" i="2" s="1"/>
  <c r="E189" i="2"/>
  <c r="G189" i="2" s="1"/>
  <c r="H189" i="2" s="1"/>
  <c r="E190" i="2"/>
  <c r="G190" i="2" s="1"/>
  <c r="H190" i="2" s="1"/>
  <c r="E191" i="2"/>
  <c r="G191" i="2" s="1"/>
  <c r="H191" i="2" s="1"/>
  <c r="E192" i="2"/>
  <c r="G192" i="2" s="1"/>
  <c r="H192" i="2" s="1"/>
  <c r="E193" i="2"/>
  <c r="G193" i="2" s="1"/>
  <c r="H193" i="2" s="1"/>
  <c r="E194" i="2"/>
  <c r="G194" i="2" s="1"/>
  <c r="H194" i="2" s="1"/>
  <c r="E195" i="2"/>
  <c r="G195" i="2" s="1"/>
  <c r="H195" i="2" s="1"/>
  <c r="E196" i="2"/>
  <c r="G196" i="2" s="1"/>
  <c r="H196" i="2" s="1"/>
  <c r="E197" i="2"/>
  <c r="G197" i="2" s="1"/>
  <c r="H197" i="2" s="1"/>
  <c r="E198" i="2"/>
  <c r="G198" i="2" s="1"/>
  <c r="H198" i="2" s="1"/>
  <c r="E199" i="2"/>
  <c r="G199" i="2" s="1"/>
  <c r="H199" i="2" s="1"/>
  <c r="E200" i="2"/>
  <c r="G200" i="2" s="1"/>
  <c r="H200" i="2" s="1"/>
  <c r="E201" i="2"/>
  <c r="G201" i="2" s="1"/>
  <c r="H201" i="2" s="1"/>
  <c r="E202" i="2"/>
  <c r="G202" i="2" s="1"/>
  <c r="H202" i="2" s="1"/>
  <c r="E203" i="2"/>
  <c r="G203" i="2" s="1"/>
  <c r="H203" i="2" s="1"/>
  <c r="E204" i="2"/>
  <c r="G204" i="2" s="1"/>
  <c r="H204" i="2" s="1"/>
  <c r="E205" i="2"/>
  <c r="G205" i="2" s="1"/>
  <c r="H205" i="2" s="1"/>
  <c r="E206" i="2"/>
  <c r="G206" i="2" s="1"/>
  <c r="H206" i="2" s="1"/>
  <c r="E207" i="2"/>
  <c r="G207" i="2" s="1"/>
  <c r="H207" i="2" s="1"/>
  <c r="E208" i="2"/>
  <c r="G208" i="2" s="1"/>
  <c r="H208" i="2" s="1"/>
  <c r="E209" i="2"/>
  <c r="G209" i="2" s="1"/>
  <c r="H209" i="2" s="1"/>
  <c r="E210" i="2"/>
  <c r="G210" i="2" s="1"/>
  <c r="H210" i="2" s="1"/>
  <c r="E211" i="2"/>
  <c r="G211" i="2" s="1"/>
  <c r="H211" i="2" s="1"/>
  <c r="E212" i="2"/>
  <c r="G212" i="2" s="1"/>
  <c r="H212" i="2" s="1"/>
  <c r="E213" i="2"/>
  <c r="G213" i="2" s="1"/>
  <c r="H213" i="2" s="1"/>
  <c r="E214" i="2"/>
  <c r="G214" i="2" s="1"/>
  <c r="H214" i="2" s="1"/>
  <c r="E215" i="2"/>
  <c r="G215" i="2" s="1"/>
  <c r="H215" i="2" s="1"/>
  <c r="E216" i="2"/>
  <c r="G216" i="2" s="1"/>
  <c r="H216" i="2" s="1"/>
  <c r="E217" i="2"/>
  <c r="G217" i="2" s="1"/>
  <c r="H217" i="2" s="1"/>
  <c r="E218" i="2"/>
  <c r="G218" i="2" s="1"/>
  <c r="H218" i="2" s="1"/>
  <c r="E219" i="2"/>
  <c r="G219" i="2" s="1"/>
  <c r="H219" i="2" s="1"/>
  <c r="E220" i="2"/>
  <c r="G220" i="2" s="1"/>
  <c r="H220" i="2" s="1"/>
  <c r="E221" i="2"/>
  <c r="G221" i="2" s="1"/>
  <c r="H221" i="2" s="1"/>
  <c r="E222" i="2"/>
  <c r="G222" i="2" s="1"/>
  <c r="H222" i="2" s="1"/>
  <c r="E223" i="2"/>
  <c r="G223" i="2" s="1"/>
  <c r="H223" i="2" s="1"/>
  <c r="E224" i="2"/>
  <c r="G224" i="2" s="1"/>
  <c r="H224" i="2" s="1"/>
  <c r="E225" i="2"/>
  <c r="G225" i="2" s="1"/>
  <c r="H225" i="2" s="1"/>
  <c r="E226" i="2"/>
  <c r="G226" i="2" s="1"/>
  <c r="H226" i="2" s="1"/>
  <c r="E227" i="2"/>
  <c r="G227" i="2" s="1"/>
  <c r="H227" i="2" s="1"/>
  <c r="E228" i="2"/>
  <c r="G228" i="2" s="1"/>
  <c r="H228" i="2" s="1"/>
  <c r="E229" i="2"/>
  <c r="G229" i="2" s="1"/>
  <c r="H229" i="2" s="1"/>
  <c r="E230" i="2"/>
  <c r="G230" i="2" s="1"/>
  <c r="H230" i="2" s="1"/>
  <c r="E231" i="2"/>
  <c r="G231" i="2" s="1"/>
  <c r="H231" i="2" s="1"/>
  <c r="E232" i="2"/>
  <c r="G232" i="2" s="1"/>
  <c r="H232" i="2" s="1"/>
  <c r="E233" i="2"/>
  <c r="G233" i="2" s="1"/>
  <c r="H233" i="2" s="1"/>
  <c r="E234" i="2"/>
  <c r="G234" i="2" s="1"/>
  <c r="H234" i="2" s="1"/>
  <c r="E235" i="2"/>
  <c r="G235" i="2" s="1"/>
  <c r="H235" i="2" s="1"/>
  <c r="E236" i="2"/>
  <c r="G236" i="2" s="1"/>
  <c r="H236" i="2" s="1"/>
  <c r="E237" i="2"/>
  <c r="G237" i="2" s="1"/>
  <c r="H237" i="2" s="1"/>
  <c r="E238" i="2"/>
  <c r="G238" i="2" s="1"/>
  <c r="H238" i="2" s="1"/>
  <c r="E239" i="2"/>
  <c r="G239" i="2" s="1"/>
  <c r="H239" i="2" s="1"/>
  <c r="E240" i="2"/>
  <c r="G240" i="2" s="1"/>
  <c r="H240" i="2" s="1"/>
  <c r="E241" i="2"/>
  <c r="G241" i="2" s="1"/>
  <c r="H241" i="2" s="1"/>
  <c r="E242" i="2"/>
  <c r="G242" i="2" s="1"/>
  <c r="H242" i="2" s="1"/>
  <c r="E243" i="2"/>
  <c r="G243" i="2" s="1"/>
  <c r="H243" i="2" s="1"/>
  <c r="E244" i="2"/>
  <c r="G244" i="2" s="1"/>
  <c r="H244" i="2" s="1"/>
  <c r="E245" i="2"/>
  <c r="G245" i="2" s="1"/>
  <c r="H245" i="2" s="1"/>
  <c r="E246" i="2"/>
  <c r="G246" i="2" s="1"/>
  <c r="H246" i="2" s="1"/>
  <c r="E247" i="2"/>
  <c r="G247" i="2" s="1"/>
  <c r="H247" i="2" s="1"/>
  <c r="E248" i="2"/>
  <c r="G248" i="2" s="1"/>
  <c r="H248" i="2" s="1"/>
  <c r="E249" i="2"/>
  <c r="G249" i="2" s="1"/>
  <c r="H249" i="2" s="1"/>
  <c r="E250" i="2"/>
  <c r="G250" i="2" s="1"/>
  <c r="H250" i="2" s="1"/>
  <c r="E251" i="2"/>
  <c r="G251" i="2" s="1"/>
  <c r="H251" i="2" s="1"/>
  <c r="E252" i="2"/>
  <c r="G252" i="2" s="1"/>
  <c r="H252" i="2" s="1"/>
  <c r="E253" i="2"/>
  <c r="G253" i="2" s="1"/>
  <c r="H253" i="2" s="1"/>
  <c r="E254" i="2"/>
  <c r="G254" i="2" s="1"/>
  <c r="H254" i="2" s="1"/>
  <c r="E255" i="2"/>
  <c r="G255" i="2" s="1"/>
  <c r="H255" i="2" s="1"/>
  <c r="E256" i="2"/>
  <c r="G256" i="2" s="1"/>
  <c r="H256" i="2" s="1"/>
  <c r="E257" i="2"/>
  <c r="G257" i="2" s="1"/>
  <c r="H257" i="2" s="1"/>
  <c r="E258" i="2"/>
  <c r="G258" i="2" s="1"/>
  <c r="H258" i="2" s="1"/>
  <c r="E259" i="2"/>
  <c r="G259" i="2" s="1"/>
  <c r="H259" i="2" s="1"/>
  <c r="E260" i="2"/>
  <c r="G260" i="2" s="1"/>
  <c r="H260" i="2" s="1"/>
  <c r="E261" i="2"/>
  <c r="G261" i="2" s="1"/>
  <c r="H261" i="2" s="1"/>
  <c r="E262" i="2"/>
  <c r="G262" i="2" s="1"/>
  <c r="H262" i="2" s="1"/>
  <c r="E263" i="2"/>
  <c r="G263" i="2" s="1"/>
  <c r="H263" i="2" s="1"/>
  <c r="E264" i="2"/>
  <c r="G264" i="2" s="1"/>
  <c r="H264" i="2" s="1"/>
  <c r="E265" i="2"/>
  <c r="G265" i="2" s="1"/>
  <c r="H265" i="2" s="1"/>
  <c r="E266" i="2"/>
  <c r="G266" i="2" s="1"/>
  <c r="H266" i="2" s="1"/>
  <c r="E267" i="2"/>
  <c r="G267" i="2" s="1"/>
  <c r="H267" i="2" s="1"/>
  <c r="E268" i="2"/>
  <c r="G268" i="2" s="1"/>
  <c r="H268" i="2" s="1"/>
  <c r="E269" i="2"/>
  <c r="G269" i="2" s="1"/>
  <c r="H269" i="2" s="1"/>
  <c r="E270" i="2"/>
  <c r="G270" i="2" s="1"/>
  <c r="H270" i="2" s="1"/>
  <c r="E271" i="2"/>
  <c r="G271" i="2" s="1"/>
  <c r="H271" i="2" s="1"/>
  <c r="E272" i="2"/>
  <c r="G272" i="2" s="1"/>
  <c r="H272" i="2" s="1"/>
  <c r="E273" i="2"/>
  <c r="G273" i="2" s="1"/>
  <c r="H273" i="2" s="1"/>
  <c r="E274" i="2"/>
  <c r="G274" i="2" s="1"/>
  <c r="H274" i="2" s="1"/>
  <c r="E275" i="2"/>
  <c r="G275" i="2" s="1"/>
  <c r="H275" i="2" s="1"/>
  <c r="E276" i="2"/>
  <c r="G276" i="2" s="1"/>
  <c r="H276" i="2" s="1"/>
  <c r="E277" i="2"/>
  <c r="G277" i="2" s="1"/>
  <c r="H277" i="2" s="1"/>
  <c r="E278" i="2"/>
  <c r="G278" i="2" s="1"/>
  <c r="H278" i="2" s="1"/>
  <c r="E279" i="2"/>
  <c r="E280" i="2"/>
  <c r="G280" i="2" s="1"/>
  <c r="H280" i="2" s="1"/>
  <c r="E281" i="2"/>
  <c r="G281" i="2" s="1"/>
  <c r="H281" i="2" s="1"/>
  <c r="E282" i="2"/>
  <c r="G282" i="2" s="1"/>
  <c r="H282" i="2" s="1"/>
  <c r="E283" i="2"/>
  <c r="G283" i="2" s="1"/>
  <c r="H283" i="2" s="1"/>
  <c r="E284" i="2"/>
  <c r="G284" i="2" s="1"/>
  <c r="H284" i="2" s="1"/>
  <c r="E285" i="2"/>
  <c r="G285" i="2" s="1"/>
  <c r="H285" i="2" s="1"/>
  <c r="E286" i="2"/>
  <c r="G286" i="2" s="1"/>
  <c r="H286" i="2" s="1"/>
  <c r="E287" i="2"/>
  <c r="G287" i="2" s="1"/>
  <c r="H287" i="2" s="1"/>
  <c r="E288" i="2"/>
  <c r="G288" i="2" s="1"/>
  <c r="H288" i="2" s="1"/>
  <c r="E289" i="2"/>
  <c r="G289" i="2" s="1"/>
  <c r="H289" i="2" s="1"/>
  <c r="E290" i="2"/>
  <c r="G290" i="2" s="1"/>
  <c r="H290" i="2" s="1"/>
  <c r="E291" i="2"/>
  <c r="G291" i="2" s="1"/>
  <c r="H291" i="2" s="1"/>
  <c r="E292" i="2"/>
  <c r="G292" i="2" s="1"/>
  <c r="H292" i="2" s="1"/>
  <c r="E293" i="2"/>
  <c r="G293" i="2" s="1"/>
  <c r="H293" i="2" s="1"/>
  <c r="E294" i="2"/>
  <c r="G294" i="2" s="1"/>
  <c r="H294" i="2" s="1"/>
  <c r="E295" i="2"/>
  <c r="G295" i="2" s="1"/>
  <c r="H295" i="2" s="1"/>
  <c r="E296" i="2"/>
  <c r="G296" i="2" s="1"/>
  <c r="H296" i="2" s="1"/>
  <c r="E297" i="2"/>
  <c r="G297" i="2" s="1"/>
  <c r="H297" i="2" s="1"/>
  <c r="E298" i="2"/>
  <c r="G298" i="2" s="1"/>
  <c r="H298" i="2" s="1"/>
  <c r="E299" i="2"/>
  <c r="G299" i="2" s="1"/>
  <c r="H299" i="2" s="1"/>
  <c r="E300" i="2"/>
  <c r="G300" i="2" s="1"/>
  <c r="H300" i="2" s="1"/>
  <c r="E301" i="2"/>
  <c r="G301" i="2" s="1"/>
  <c r="H301" i="2" s="1"/>
  <c r="E302" i="2"/>
  <c r="G302" i="2" s="1"/>
  <c r="H302" i="2" s="1"/>
  <c r="E303" i="2"/>
  <c r="G303" i="2" s="1"/>
  <c r="H303" i="2" s="1"/>
  <c r="E304" i="2"/>
  <c r="E305" i="2"/>
  <c r="G305" i="2" s="1"/>
  <c r="H305" i="2" s="1"/>
  <c r="E306" i="2"/>
  <c r="G306" i="2" s="1"/>
  <c r="H306" i="2" s="1"/>
  <c r="E307" i="2"/>
  <c r="G307" i="2" s="1"/>
  <c r="H307" i="2" s="1"/>
  <c r="E308" i="2"/>
  <c r="G308" i="2" s="1"/>
  <c r="H308" i="2" s="1"/>
  <c r="E309" i="2"/>
  <c r="G309" i="2" s="1"/>
  <c r="H309" i="2" s="1"/>
  <c r="E310" i="2"/>
  <c r="G310" i="2" s="1"/>
  <c r="H310" i="2" s="1"/>
  <c r="E311" i="2"/>
  <c r="G311" i="2" s="1"/>
  <c r="H311" i="2" s="1"/>
  <c r="E312" i="2"/>
  <c r="G312" i="2" s="1"/>
  <c r="H312" i="2" s="1"/>
  <c r="E313" i="2"/>
  <c r="G313" i="2" s="1"/>
  <c r="H313" i="2" s="1"/>
  <c r="E314" i="2"/>
  <c r="G314" i="2" s="1"/>
  <c r="H314" i="2" s="1"/>
  <c r="E315" i="2"/>
  <c r="G315" i="2" s="1"/>
  <c r="H315" i="2" s="1"/>
  <c r="E316" i="2"/>
  <c r="G316" i="2" s="1"/>
  <c r="H316" i="2" s="1"/>
  <c r="E317" i="2"/>
  <c r="G317" i="2" s="1"/>
  <c r="H317" i="2" s="1"/>
  <c r="E318" i="2"/>
  <c r="G318" i="2" s="1"/>
  <c r="H318" i="2" s="1"/>
  <c r="E319" i="2"/>
  <c r="G319" i="2" s="1"/>
  <c r="H319" i="2" s="1"/>
  <c r="E320" i="2"/>
  <c r="G320" i="2" s="1"/>
  <c r="H320" i="2" s="1"/>
  <c r="E321" i="2"/>
  <c r="G321" i="2" s="1"/>
  <c r="H321" i="2" s="1"/>
  <c r="E322" i="2"/>
  <c r="G322" i="2" s="1"/>
  <c r="H322" i="2" s="1"/>
  <c r="E323" i="2"/>
  <c r="G323" i="2" s="1"/>
  <c r="H323" i="2" s="1"/>
  <c r="E324" i="2"/>
  <c r="G324" i="2" s="1"/>
  <c r="H324" i="2" s="1"/>
  <c r="E325" i="2"/>
  <c r="G325" i="2" s="1"/>
  <c r="H325" i="2" s="1"/>
  <c r="E326" i="2"/>
  <c r="G326" i="2" s="1"/>
  <c r="H326" i="2" s="1"/>
  <c r="E327" i="2"/>
  <c r="G327" i="2" s="1"/>
  <c r="H327" i="2" s="1"/>
  <c r="E328" i="2"/>
  <c r="G328" i="2" s="1"/>
  <c r="H328" i="2" s="1"/>
  <c r="E329" i="2"/>
  <c r="G329" i="2" s="1"/>
  <c r="H329" i="2" s="1"/>
  <c r="E330" i="2"/>
  <c r="G330" i="2" s="1"/>
  <c r="H330" i="2" s="1"/>
  <c r="E331" i="2"/>
  <c r="G331" i="2" s="1"/>
  <c r="H331" i="2" s="1"/>
  <c r="E332" i="2"/>
  <c r="G332" i="2" s="1"/>
  <c r="H332" i="2" s="1"/>
  <c r="E333" i="2"/>
  <c r="G333" i="2" s="1"/>
  <c r="H333" i="2" s="1"/>
  <c r="E334" i="2"/>
  <c r="G334" i="2" s="1"/>
  <c r="H334" i="2" s="1"/>
  <c r="E335" i="2"/>
  <c r="G335" i="2" s="1"/>
  <c r="H335" i="2" s="1"/>
  <c r="E336" i="2"/>
  <c r="G336" i="2" s="1"/>
  <c r="H336" i="2" s="1"/>
  <c r="E337" i="2"/>
  <c r="G337" i="2" s="1"/>
  <c r="H337" i="2" s="1"/>
  <c r="E338" i="2"/>
  <c r="G338" i="2" s="1"/>
  <c r="H338" i="2" s="1"/>
  <c r="E339" i="2"/>
  <c r="G339" i="2" s="1"/>
  <c r="H339" i="2" s="1"/>
  <c r="E340" i="2"/>
  <c r="G340" i="2" s="1"/>
  <c r="H340" i="2" s="1"/>
  <c r="E341" i="2"/>
  <c r="G341" i="2" s="1"/>
  <c r="H341" i="2" s="1"/>
  <c r="E342" i="2"/>
  <c r="G342" i="2" s="1"/>
  <c r="H342" i="2" s="1"/>
  <c r="E343" i="2"/>
  <c r="G343" i="2" s="1"/>
  <c r="H343" i="2" s="1"/>
  <c r="E344" i="2"/>
  <c r="G344" i="2" s="1"/>
  <c r="H344" i="2" s="1"/>
  <c r="E345" i="2"/>
  <c r="G345" i="2" s="1"/>
  <c r="H345" i="2" s="1"/>
  <c r="E346" i="2"/>
  <c r="G346" i="2" s="1"/>
  <c r="H346" i="2" s="1"/>
  <c r="E347" i="2"/>
  <c r="G347" i="2" s="1"/>
  <c r="H347" i="2" s="1"/>
  <c r="E348" i="2"/>
  <c r="G348" i="2" s="1"/>
  <c r="H348" i="2" s="1"/>
  <c r="E349" i="2"/>
  <c r="G349" i="2" s="1"/>
  <c r="H349" i="2" s="1"/>
  <c r="E350" i="2"/>
  <c r="G350" i="2" s="1"/>
  <c r="H350" i="2" s="1"/>
  <c r="E351" i="2"/>
  <c r="G351" i="2" s="1"/>
  <c r="H351" i="2" s="1"/>
  <c r="E352" i="2"/>
  <c r="G352" i="2" s="1"/>
  <c r="H352" i="2" s="1"/>
  <c r="E353" i="2"/>
  <c r="G353" i="2" s="1"/>
  <c r="H353" i="2" s="1"/>
  <c r="E354" i="2"/>
  <c r="G354" i="2" s="1"/>
  <c r="H354" i="2" s="1"/>
  <c r="E355" i="2"/>
  <c r="G355" i="2" s="1"/>
  <c r="H355" i="2" s="1"/>
  <c r="E356" i="2"/>
  <c r="G356" i="2" s="1"/>
  <c r="H356" i="2" s="1"/>
  <c r="E357" i="2"/>
  <c r="G357" i="2" s="1"/>
  <c r="H357" i="2" s="1"/>
  <c r="E358" i="2"/>
  <c r="G358" i="2" s="1"/>
  <c r="H358" i="2" s="1"/>
  <c r="E359" i="2"/>
  <c r="G359" i="2" s="1"/>
  <c r="H359" i="2" s="1"/>
  <c r="E360" i="2"/>
  <c r="G360" i="2" s="1"/>
  <c r="H360" i="2" s="1"/>
  <c r="E361" i="2"/>
  <c r="G361" i="2" s="1"/>
  <c r="H361" i="2" s="1"/>
  <c r="E362" i="2"/>
  <c r="G362" i="2" s="1"/>
  <c r="H362" i="2" s="1"/>
  <c r="E363" i="2"/>
  <c r="G363" i="2" s="1"/>
  <c r="H363" i="2" s="1"/>
  <c r="E364" i="2"/>
  <c r="G364" i="2" s="1"/>
  <c r="H364" i="2" s="1"/>
  <c r="E365" i="2"/>
  <c r="G365" i="2" s="1"/>
  <c r="H365" i="2" s="1"/>
  <c r="E366" i="2"/>
  <c r="G366" i="2" s="1"/>
  <c r="H366" i="2" s="1"/>
  <c r="E367" i="2"/>
  <c r="G367" i="2" s="1"/>
  <c r="H367" i="2" s="1"/>
  <c r="E368" i="2"/>
  <c r="G368" i="2" s="1"/>
  <c r="H368" i="2" s="1"/>
  <c r="E369" i="2"/>
  <c r="G369" i="2" s="1"/>
  <c r="H369" i="2" s="1"/>
  <c r="E370" i="2"/>
  <c r="G370" i="2" s="1"/>
  <c r="H370" i="2" s="1"/>
  <c r="E371" i="2"/>
  <c r="G371" i="2" s="1"/>
  <c r="H371" i="2" s="1"/>
  <c r="E372" i="2"/>
  <c r="G372" i="2" s="1"/>
  <c r="H372" i="2" s="1"/>
  <c r="E373" i="2"/>
  <c r="G373" i="2" s="1"/>
  <c r="H373" i="2" s="1"/>
  <c r="E374" i="2"/>
  <c r="G374" i="2" s="1"/>
  <c r="H374" i="2" s="1"/>
  <c r="E375" i="2"/>
  <c r="G375" i="2" s="1"/>
  <c r="H375" i="2" s="1"/>
  <c r="E376" i="2"/>
  <c r="G376" i="2" s="1"/>
  <c r="H376" i="2" s="1"/>
  <c r="E377" i="2"/>
  <c r="G377" i="2" s="1"/>
  <c r="H377" i="2" s="1"/>
  <c r="E378" i="2"/>
  <c r="G378" i="2" s="1"/>
  <c r="H378" i="2" s="1"/>
  <c r="E379" i="2"/>
  <c r="G379" i="2" s="1"/>
  <c r="H379" i="2" s="1"/>
  <c r="E380" i="2"/>
  <c r="G380" i="2" s="1"/>
  <c r="H380" i="2" s="1"/>
  <c r="E381" i="2"/>
  <c r="G381" i="2" s="1"/>
  <c r="H381" i="2" s="1"/>
  <c r="E382" i="2"/>
  <c r="G382" i="2" s="1"/>
  <c r="H382" i="2" s="1"/>
  <c r="E383" i="2"/>
  <c r="G383" i="2" s="1"/>
  <c r="H383" i="2" s="1"/>
  <c r="E384" i="2"/>
  <c r="G384" i="2" s="1"/>
  <c r="H384" i="2" s="1"/>
  <c r="E385" i="2"/>
  <c r="G385" i="2" s="1"/>
  <c r="H385" i="2" s="1"/>
  <c r="E386" i="2"/>
  <c r="G386" i="2" s="1"/>
  <c r="H386" i="2" s="1"/>
  <c r="E387" i="2"/>
  <c r="G387" i="2" s="1"/>
  <c r="H387" i="2" s="1"/>
  <c r="E388" i="2"/>
  <c r="G388" i="2" s="1"/>
  <c r="H388" i="2" s="1"/>
  <c r="E389" i="2"/>
  <c r="G389" i="2" s="1"/>
  <c r="H389" i="2" s="1"/>
  <c r="E390" i="2"/>
  <c r="G390" i="2" s="1"/>
  <c r="H390" i="2" s="1"/>
  <c r="E391" i="2"/>
  <c r="G391" i="2" s="1"/>
  <c r="H391" i="2" s="1"/>
  <c r="E392" i="2"/>
  <c r="G392" i="2" s="1"/>
  <c r="H392" i="2" s="1"/>
  <c r="E393" i="2"/>
  <c r="G393" i="2" s="1"/>
  <c r="H393" i="2" s="1"/>
  <c r="E394" i="2"/>
  <c r="G394" i="2" s="1"/>
  <c r="H394" i="2" s="1"/>
  <c r="E395" i="2"/>
  <c r="G395" i="2" s="1"/>
  <c r="H395" i="2" s="1"/>
  <c r="E396" i="2"/>
  <c r="G396" i="2" s="1"/>
  <c r="H396" i="2" s="1"/>
  <c r="E397" i="2"/>
  <c r="G397" i="2" s="1"/>
  <c r="H397" i="2" s="1"/>
  <c r="E398" i="2"/>
  <c r="G398" i="2" s="1"/>
  <c r="H398" i="2" s="1"/>
  <c r="E399" i="2"/>
  <c r="G399" i="2" s="1"/>
  <c r="H399" i="2" s="1"/>
  <c r="E400" i="2"/>
  <c r="G400" i="2" s="1"/>
  <c r="H400" i="2" s="1"/>
  <c r="E401" i="2"/>
  <c r="G401" i="2" s="1"/>
  <c r="H401" i="2" s="1"/>
  <c r="E402" i="2"/>
  <c r="G402" i="2" s="1"/>
  <c r="H402" i="2" s="1"/>
  <c r="E403" i="2"/>
  <c r="G403" i="2" s="1"/>
  <c r="H403" i="2" s="1"/>
  <c r="E404" i="2"/>
  <c r="G404" i="2" s="1"/>
  <c r="H404" i="2" s="1"/>
  <c r="E405" i="2"/>
  <c r="G405" i="2" s="1"/>
  <c r="H405" i="2" s="1"/>
  <c r="E406" i="2"/>
  <c r="G406" i="2" s="1"/>
  <c r="H406" i="2" s="1"/>
  <c r="E407" i="2"/>
  <c r="G407" i="2" s="1"/>
  <c r="H407" i="2" s="1"/>
  <c r="E408" i="2"/>
  <c r="G408" i="2" s="1"/>
  <c r="H408" i="2" s="1"/>
  <c r="E409" i="2"/>
  <c r="G409" i="2" s="1"/>
  <c r="H409" i="2" s="1"/>
  <c r="E410" i="2"/>
  <c r="G410" i="2" s="1"/>
  <c r="H410" i="2" s="1"/>
  <c r="E411" i="2"/>
  <c r="G411" i="2" s="1"/>
  <c r="H411" i="2" s="1"/>
  <c r="E412" i="2"/>
  <c r="G412" i="2" s="1"/>
  <c r="H412" i="2" s="1"/>
  <c r="E413" i="2"/>
  <c r="G413" i="2" s="1"/>
  <c r="H413" i="2" s="1"/>
  <c r="E414" i="2"/>
  <c r="G414" i="2" s="1"/>
  <c r="H414" i="2" s="1"/>
  <c r="E415" i="2"/>
  <c r="G415" i="2" s="1"/>
  <c r="H415" i="2" s="1"/>
  <c r="E416" i="2"/>
  <c r="G416" i="2" s="1"/>
  <c r="H416" i="2" s="1"/>
  <c r="E417" i="2"/>
  <c r="G417" i="2" s="1"/>
  <c r="H417" i="2" s="1"/>
  <c r="E418" i="2"/>
  <c r="G418" i="2" s="1"/>
  <c r="H418" i="2" s="1"/>
  <c r="E419" i="2"/>
  <c r="G419" i="2" s="1"/>
  <c r="H419" i="2" s="1"/>
  <c r="E420" i="2"/>
  <c r="G420" i="2" s="1"/>
  <c r="H420" i="2" s="1"/>
  <c r="E421" i="2"/>
  <c r="G421" i="2" s="1"/>
  <c r="H421" i="2" s="1"/>
  <c r="E422" i="2"/>
  <c r="G422" i="2" s="1"/>
  <c r="H422" i="2" s="1"/>
  <c r="E423" i="2"/>
  <c r="G423" i="2" s="1"/>
  <c r="H423" i="2" s="1"/>
  <c r="E424" i="2"/>
  <c r="G424" i="2" s="1"/>
  <c r="H424" i="2" s="1"/>
  <c r="E425" i="2"/>
  <c r="G425" i="2" s="1"/>
  <c r="H425" i="2" s="1"/>
  <c r="E426" i="2"/>
  <c r="G426" i="2" s="1"/>
  <c r="H426" i="2" s="1"/>
  <c r="E427" i="2"/>
  <c r="G427" i="2" s="1"/>
  <c r="H427" i="2" s="1"/>
  <c r="E428" i="2"/>
  <c r="G428" i="2" s="1"/>
  <c r="H428" i="2" s="1"/>
  <c r="E429" i="2"/>
  <c r="G429" i="2" s="1"/>
  <c r="H429" i="2" s="1"/>
  <c r="E430" i="2"/>
  <c r="G430" i="2" s="1"/>
  <c r="H430" i="2" s="1"/>
  <c r="E431" i="2"/>
  <c r="G431" i="2" s="1"/>
  <c r="H431" i="2" s="1"/>
  <c r="E432" i="2"/>
  <c r="G432" i="2" s="1"/>
  <c r="H432" i="2" s="1"/>
  <c r="E433" i="2"/>
  <c r="G433" i="2" s="1"/>
  <c r="H433" i="2" s="1"/>
  <c r="E434" i="2"/>
  <c r="G434" i="2" s="1"/>
  <c r="H434" i="2" s="1"/>
  <c r="E435" i="2"/>
  <c r="G435" i="2" s="1"/>
  <c r="H435" i="2" s="1"/>
  <c r="E436" i="2"/>
  <c r="G436" i="2" s="1"/>
  <c r="H436" i="2" s="1"/>
  <c r="E437" i="2"/>
  <c r="G437" i="2" s="1"/>
  <c r="H437" i="2" s="1"/>
  <c r="E438" i="2"/>
  <c r="G438" i="2" s="1"/>
  <c r="H438" i="2" s="1"/>
  <c r="E439" i="2"/>
  <c r="G439" i="2" s="1"/>
  <c r="H439" i="2" s="1"/>
  <c r="E440" i="2"/>
  <c r="G440" i="2" s="1"/>
  <c r="H440" i="2" s="1"/>
  <c r="E441" i="2"/>
  <c r="G441" i="2" s="1"/>
  <c r="H441" i="2" s="1"/>
  <c r="E442" i="2"/>
  <c r="G442" i="2" s="1"/>
  <c r="H442" i="2" s="1"/>
  <c r="E443" i="2"/>
  <c r="G443" i="2" s="1"/>
  <c r="H443" i="2" s="1"/>
  <c r="E444" i="2"/>
  <c r="G444" i="2" s="1"/>
  <c r="H444" i="2" s="1"/>
  <c r="E445" i="2"/>
  <c r="G445" i="2" s="1"/>
  <c r="H445" i="2" s="1"/>
  <c r="E446" i="2"/>
  <c r="G446" i="2" s="1"/>
  <c r="H446" i="2" s="1"/>
  <c r="E447" i="2"/>
  <c r="G447" i="2" s="1"/>
  <c r="H447" i="2" s="1"/>
  <c r="E448" i="2"/>
  <c r="G448" i="2" s="1"/>
  <c r="H448" i="2" s="1"/>
  <c r="E449" i="2"/>
  <c r="G449" i="2" s="1"/>
  <c r="H449" i="2" s="1"/>
  <c r="E450" i="2"/>
  <c r="G450" i="2" s="1"/>
  <c r="H450" i="2" s="1"/>
  <c r="E451" i="2"/>
  <c r="G451" i="2" s="1"/>
  <c r="H451" i="2" s="1"/>
  <c r="E452" i="2"/>
  <c r="G452" i="2" s="1"/>
  <c r="H452" i="2" s="1"/>
  <c r="E453" i="2"/>
  <c r="G453" i="2" s="1"/>
  <c r="H453" i="2" s="1"/>
  <c r="E454" i="2"/>
  <c r="G454" i="2" s="1"/>
  <c r="H454" i="2" s="1"/>
  <c r="E455" i="2"/>
  <c r="G455" i="2" s="1"/>
  <c r="H455" i="2" s="1"/>
  <c r="E456" i="2"/>
  <c r="G456" i="2" s="1"/>
  <c r="H456" i="2" s="1"/>
  <c r="E457" i="2"/>
  <c r="G457" i="2" s="1"/>
  <c r="H457" i="2" s="1"/>
  <c r="E458" i="2"/>
  <c r="G458" i="2" s="1"/>
  <c r="H458" i="2" s="1"/>
  <c r="E459" i="2"/>
  <c r="G459" i="2" s="1"/>
  <c r="H459" i="2" s="1"/>
  <c r="E460" i="2"/>
  <c r="G460" i="2" s="1"/>
  <c r="H460" i="2" s="1"/>
  <c r="E461" i="2"/>
  <c r="G461" i="2" s="1"/>
  <c r="H461" i="2" s="1"/>
  <c r="E462" i="2"/>
  <c r="G462" i="2" s="1"/>
  <c r="H462" i="2" s="1"/>
  <c r="E463" i="2"/>
  <c r="G463" i="2" s="1"/>
  <c r="H463" i="2" s="1"/>
  <c r="E464" i="2"/>
  <c r="G464" i="2" s="1"/>
  <c r="H464" i="2" s="1"/>
  <c r="E465" i="2"/>
  <c r="G465" i="2" s="1"/>
  <c r="H465" i="2" s="1"/>
  <c r="E466" i="2"/>
  <c r="G466" i="2" s="1"/>
  <c r="H466" i="2" s="1"/>
  <c r="E467" i="2"/>
  <c r="G467" i="2" s="1"/>
  <c r="H467" i="2" s="1"/>
  <c r="E468" i="2"/>
  <c r="G468" i="2" s="1"/>
  <c r="H468" i="2" s="1"/>
  <c r="E469" i="2"/>
  <c r="G469" i="2" s="1"/>
  <c r="H469" i="2" s="1"/>
  <c r="E470" i="2"/>
  <c r="G470" i="2" s="1"/>
  <c r="H470" i="2" s="1"/>
  <c r="E471" i="2"/>
  <c r="G471" i="2" s="1"/>
  <c r="H471" i="2" s="1"/>
  <c r="E472" i="2"/>
  <c r="G472" i="2" s="1"/>
  <c r="H472" i="2" s="1"/>
  <c r="E473" i="2"/>
  <c r="G473" i="2" s="1"/>
  <c r="H473" i="2" s="1"/>
  <c r="E474" i="2"/>
  <c r="G474" i="2" s="1"/>
  <c r="H474" i="2" s="1"/>
  <c r="E475" i="2"/>
  <c r="G475" i="2" s="1"/>
  <c r="H475" i="2" s="1"/>
  <c r="E476" i="2"/>
  <c r="G476" i="2" s="1"/>
  <c r="H476" i="2" s="1"/>
  <c r="E477" i="2"/>
  <c r="G477" i="2" s="1"/>
  <c r="H477" i="2" s="1"/>
  <c r="E478" i="2"/>
  <c r="G478" i="2" s="1"/>
  <c r="H478" i="2" s="1"/>
  <c r="E479" i="2"/>
  <c r="G479" i="2" s="1"/>
  <c r="H479" i="2" s="1"/>
  <c r="E480" i="2"/>
  <c r="G480" i="2" s="1"/>
  <c r="H480" i="2" s="1"/>
  <c r="E481" i="2"/>
  <c r="G481" i="2" s="1"/>
  <c r="H481" i="2" s="1"/>
  <c r="E482" i="2"/>
  <c r="G482" i="2" s="1"/>
  <c r="H482" i="2" s="1"/>
  <c r="E483" i="2"/>
  <c r="G483" i="2" s="1"/>
  <c r="H483" i="2" s="1"/>
  <c r="E484" i="2"/>
  <c r="G484" i="2" s="1"/>
  <c r="H484" i="2" s="1"/>
  <c r="E485" i="2"/>
  <c r="G485" i="2" s="1"/>
  <c r="H485" i="2" s="1"/>
  <c r="E486" i="2"/>
  <c r="G486" i="2" s="1"/>
  <c r="H486" i="2" s="1"/>
  <c r="E487" i="2"/>
  <c r="G487" i="2" s="1"/>
  <c r="H487" i="2" s="1"/>
  <c r="E488" i="2"/>
  <c r="G488" i="2" s="1"/>
  <c r="H488" i="2" s="1"/>
  <c r="E489" i="2"/>
  <c r="G489" i="2" s="1"/>
  <c r="H489" i="2" s="1"/>
  <c r="E490" i="2"/>
  <c r="G490" i="2" s="1"/>
  <c r="H490" i="2" s="1"/>
  <c r="E491" i="2"/>
  <c r="G491" i="2" s="1"/>
  <c r="H491" i="2" s="1"/>
  <c r="E492" i="2"/>
  <c r="G492" i="2" s="1"/>
  <c r="H492" i="2" s="1"/>
  <c r="E493" i="2"/>
  <c r="G493" i="2" s="1"/>
  <c r="H493" i="2" s="1"/>
  <c r="E494" i="2"/>
  <c r="G494" i="2" s="1"/>
  <c r="H494" i="2" s="1"/>
  <c r="E495" i="2"/>
  <c r="G495" i="2" s="1"/>
  <c r="H495" i="2" s="1"/>
  <c r="E496" i="2"/>
  <c r="G496" i="2" s="1"/>
  <c r="H496" i="2" s="1"/>
  <c r="E497" i="2"/>
  <c r="G497" i="2" s="1"/>
  <c r="H497" i="2" s="1"/>
  <c r="E498" i="2"/>
  <c r="G498" i="2" s="1"/>
  <c r="H498" i="2" s="1"/>
  <c r="E499" i="2"/>
  <c r="G499" i="2" s="1"/>
  <c r="H499" i="2" s="1"/>
  <c r="E500" i="2"/>
  <c r="G500" i="2" s="1"/>
  <c r="H500" i="2" s="1"/>
  <c r="E501" i="2"/>
  <c r="G501" i="2" s="1"/>
  <c r="H501" i="2" s="1"/>
  <c r="E502" i="2"/>
  <c r="G502" i="2" s="1"/>
  <c r="H502" i="2" s="1"/>
  <c r="E503" i="2"/>
  <c r="G503" i="2" s="1"/>
  <c r="H503" i="2" s="1"/>
  <c r="E504" i="2"/>
  <c r="G504" i="2" s="1"/>
  <c r="H504" i="2" s="1"/>
  <c r="E505" i="2"/>
  <c r="G505" i="2" s="1"/>
  <c r="H505" i="2" s="1"/>
  <c r="E506" i="2"/>
  <c r="G506" i="2" s="1"/>
  <c r="H506" i="2" s="1"/>
  <c r="E507" i="2"/>
  <c r="G507" i="2" s="1"/>
  <c r="H507" i="2" s="1"/>
  <c r="E508" i="2"/>
  <c r="G508" i="2" s="1"/>
  <c r="H508" i="2" s="1"/>
  <c r="E509" i="2"/>
  <c r="G509" i="2" s="1"/>
  <c r="H509" i="2" s="1"/>
  <c r="E510" i="2"/>
  <c r="G510" i="2" s="1"/>
  <c r="H510" i="2" s="1"/>
  <c r="E511" i="2"/>
  <c r="G511" i="2" s="1"/>
  <c r="H511" i="2" s="1"/>
  <c r="E512" i="2"/>
  <c r="G512" i="2" s="1"/>
  <c r="H512" i="2" s="1"/>
  <c r="E513" i="2"/>
  <c r="G513" i="2" s="1"/>
  <c r="H513" i="2" s="1"/>
  <c r="E514" i="2"/>
  <c r="G514" i="2" s="1"/>
  <c r="H514" i="2" s="1"/>
  <c r="E515" i="2"/>
  <c r="G515" i="2" s="1"/>
  <c r="H515" i="2" s="1"/>
  <c r="E516" i="2"/>
  <c r="G516" i="2" s="1"/>
  <c r="H516" i="2" s="1"/>
  <c r="E517" i="2"/>
  <c r="G517" i="2" s="1"/>
  <c r="H517" i="2" s="1"/>
  <c r="E518" i="2"/>
  <c r="G518" i="2" s="1"/>
  <c r="H518" i="2" s="1"/>
  <c r="E519" i="2"/>
  <c r="G519" i="2" s="1"/>
  <c r="H519" i="2" s="1"/>
  <c r="E520" i="2"/>
  <c r="G520" i="2" s="1"/>
  <c r="H520" i="2" s="1"/>
  <c r="E521" i="2"/>
  <c r="G521" i="2" s="1"/>
  <c r="H521" i="2" s="1"/>
  <c r="E522" i="2"/>
  <c r="G522" i="2" s="1"/>
  <c r="H522" i="2" s="1"/>
  <c r="E523" i="2"/>
  <c r="G523" i="2" s="1"/>
  <c r="H523" i="2" s="1"/>
  <c r="E524" i="2"/>
  <c r="G524" i="2" s="1"/>
  <c r="H524" i="2" s="1"/>
  <c r="E525" i="2"/>
  <c r="G525" i="2" s="1"/>
  <c r="H525" i="2" s="1"/>
  <c r="E526" i="2"/>
  <c r="G526" i="2" s="1"/>
  <c r="H526" i="2" s="1"/>
  <c r="E527" i="2"/>
  <c r="G527" i="2" s="1"/>
  <c r="H527" i="2" s="1"/>
  <c r="E528" i="2"/>
  <c r="G528" i="2" s="1"/>
  <c r="H528" i="2" s="1"/>
  <c r="E529" i="2"/>
  <c r="G529" i="2" s="1"/>
  <c r="H529" i="2" s="1"/>
  <c r="E530" i="2"/>
  <c r="G530" i="2" s="1"/>
  <c r="H530" i="2" s="1"/>
  <c r="E531" i="2"/>
  <c r="G531" i="2" s="1"/>
  <c r="H531" i="2" s="1"/>
  <c r="E532" i="2"/>
  <c r="G532" i="2" s="1"/>
  <c r="H532" i="2" s="1"/>
  <c r="E533" i="2"/>
  <c r="G533" i="2" s="1"/>
  <c r="H533" i="2" s="1"/>
  <c r="E534" i="2"/>
  <c r="G534" i="2" s="1"/>
  <c r="H534" i="2" s="1"/>
  <c r="E535" i="2"/>
  <c r="G535" i="2" s="1"/>
  <c r="H535" i="2" s="1"/>
  <c r="E536" i="2"/>
  <c r="G536" i="2" s="1"/>
  <c r="H536" i="2" s="1"/>
  <c r="E537" i="2"/>
  <c r="G537" i="2" s="1"/>
  <c r="H537" i="2" s="1"/>
  <c r="E538" i="2"/>
  <c r="G538" i="2" s="1"/>
  <c r="H538" i="2" s="1"/>
  <c r="E539" i="2"/>
  <c r="G539" i="2" s="1"/>
  <c r="H539" i="2" s="1"/>
  <c r="E540" i="2"/>
  <c r="G540" i="2" s="1"/>
  <c r="H540" i="2" s="1"/>
  <c r="E541" i="2"/>
  <c r="G541" i="2" s="1"/>
  <c r="H541" i="2" s="1"/>
  <c r="E542" i="2"/>
  <c r="G542" i="2" s="1"/>
  <c r="H542" i="2" s="1"/>
  <c r="E543" i="2"/>
  <c r="G543" i="2" s="1"/>
  <c r="H543" i="2" s="1"/>
  <c r="E544" i="2"/>
  <c r="G544" i="2" s="1"/>
  <c r="H544" i="2" s="1"/>
  <c r="E545" i="2"/>
  <c r="G545" i="2" s="1"/>
  <c r="H545" i="2" s="1"/>
  <c r="E546" i="2"/>
  <c r="G546" i="2" s="1"/>
  <c r="H546" i="2" s="1"/>
  <c r="E547" i="2"/>
  <c r="G547" i="2" s="1"/>
  <c r="H547" i="2" s="1"/>
  <c r="E548" i="2"/>
  <c r="G548" i="2" s="1"/>
  <c r="H548" i="2" s="1"/>
  <c r="E549" i="2"/>
  <c r="G549" i="2" s="1"/>
  <c r="H549" i="2" s="1"/>
  <c r="E550" i="2"/>
  <c r="G550" i="2" s="1"/>
  <c r="H550" i="2" s="1"/>
  <c r="G279" i="2"/>
  <c r="H279" i="2" s="1"/>
  <c r="G304" i="2"/>
  <c r="H304" i="2" s="1"/>
  <c r="J267" i="1"/>
  <c r="J270" i="1"/>
  <c r="J269" i="1"/>
  <c r="J460" i="1"/>
  <c r="J266" i="1"/>
  <c r="J461" i="1"/>
  <c r="J268" i="1"/>
  <c r="J264" i="1"/>
  <c r="J467" i="1"/>
  <c r="J465" i="1"/>
  <c r="J469" i="1"/>
  <c r="J468" i="1"/>
  <c r="J541" i="1"/>
  <c r="J464" i="1"/>
  <c r="J466" i="1"/>
  <c r="J463" i="1"/>
  <c r="J462" i="1"/>
  <c r="J276" i="1"/>
  <c r="J274" i="1"/>
  <c r="J278" i="1"/>
  <c r="J277" i="1"/>
  <c r="J470" i="1"/>
  <c r="J273" i="1"/>
  <c r="J471" i="1"/>
  <c r="J275" i="1"/>
  <c r="J272" i="1"/>
  <c r="J271" i="1"/>
  <c r="J262" i="1"/>
  <c r="J263" i="1"/>
  <c r="J459" i="1"/>
  <c r="J261" i="1"/>
  <c r="J259" i="1"/>
  <c r="J258" i="1"/>
  <c r="J256" i="1"/>
  <c r="J254" i="1"/>
  <c r="J257" i="1"/>
  <c r="J457" i="1"/>
  <c r="J253" i="1"/>
  <c r="J458" i="1"/>
  <c r="J255" i="1"/>
  <c r="J252" i="1"/>
  <c r="J251" i="1"/>
  <c r="J5" i="1"/>
  <c r="J241" i="1"/>
  <c r="J244" i="1"/>
  <c r="J243" i="1"/>
  <c r="J454" i="1"/>
  <c r="J240" i="1"/>
  <c r="J455" i="1"/>
  <c r="J4" i="1"/>
  <c r="J239" i="1"/>
  <c r="J238" i="1"/>
  <c r="J236" i="1"/>
  <c r="J234" i="1"/>
  <c r="J237" i="1"/>
  <c r="J233" i="1"/>
  <c r="J235" i="1"/>
  <c r="J249" i="1"/>
  <c r="J248" i="1"/>
  <c r="J250" i="1"/>
  <c r="J246" i="1"/>
  <c r="J247" i="1"/>
  <c r="J456" i="1"/>
  <c r="J245" i="1"/>
  <c r="J450" i="1"/>
  <c r="J449" i="1"/>
  <c r="J540" i="1"/>
  <c r="J448" i="1"/>
  <c r="J447" i="1"/>
  <c r="J446" i="1"/>
  <c r="J451" i="1"/>
  <c r="J232" i="1"/>
  <c r="J452" i="1"/>
  <c r="J453" i="1"/>
  <c r="J3" i="1"/>
  <c r="J242" i="1"/>
  <c r="J2" i="1"/>
  <c r="J231" i="1"/>
  <c r="J230" i="1"/>
  <c r="J229" i="1"/>
  <c r="J228" i="1"/>
  <c r="J445" i="1"/>
  <c r="J426" i="1"/>
  <c r="J533" i="1"/>
  <c r="J424" i="1"/>
  <c r="J423" i="1"/>
  <c r="J530" i="1"/>
  <c r="J430" i="1"/>
  <c r="J534" i="1"/>
  <c r="J429" i="1"/>
  <c r="J532" i="1"/>
  <c r="J550" i="1"/>
  <c r="J531" i="1"/>
  <c r="J427" i="1"/>
  <c r="J428" i="1"/>
  <c r="J425" i="1"/>
  <c r="J422" i="1"/>
  <c r="J529" i="1"/>
  <c r="J217" i="1"/>
  <c r="J216" i="1"/>
  <c r="J213" i="1"/>
  <c r="J221" i="1"/>
  <c r="J433" i="1"/>
  <c r="J219" i="1"/>
  <c r="J220" i="1"/>
  <c r="J218" i="1"/>
  <c r="J431" i="1"/>
  <c r="J214" i="1"/>
  <c r="J215" i="1"/>
  <c r="J212" i="1"/>
  <c r="J211" i="1"/>
  <c r="J210" i="1"/>
  <c r="J437" i="1"/>
  <c r="J440" i="1"/>
  <c r="J435" i="1"/>
  <c r="J436" i="1"/>
  <c r="J442" i="1"/>
  <c r="J441" i="1"/>
  <c r="J539" i="1"/>
  <c r="J536" i="1"/>
  <c r="J434" i="1"/>
  <c r="J537" i="1"/>
  <c r="J439" i="1"/>
  <c r="J538" i="1"/>
  <c r="J438" i="1"/>
  <c r="J535" i="1"/>
  <c r="J227" i="1"/>
  <c r="J226" i="1"/>
  <c r="J225" i="1"/>
  <c r="J443" i="1"/>
  <c r="J223" i="1"/>
  <c r="J444" i="1"/>
  <c r="J222" i="1"/>
  <c r="J224" i="1"/>
  <c r="J208" i="1"/>
  <c r="J206" i="1"/>
  <c r="J209" i="1"/>
  <c r="J207" i="1"/>
  <c r="J421" i="1"/>
  <c r="J205" i="1"/>
  <c r="J204" i="1"/>
  <c r="J202" i="1"/>
  <c r="J201" i="1"/>
  <c r="J203" i="1"/>
  <c r="J528" i="1"/>
  <c r="J420" i="1"/>
  <c r="J380" i="1"/>
  <c r="J381" i="1"/>
  <c r="J378" i="1"/>
  <c r="J376" i="1"/>
  <c r="J377" i="1"/>
  <c r="J375" i="1"/>
  <c r="J382" i="1"/>
  <c r="J507" i="1"/>
  <c r="J379" i="1"/>
  <c r="J374" i="1"/>
  <c r="J505" i="1"/>
  <c r="J373" i="1"/>
  <c r="J371" i="1"/>
  <c r="J369" i="1"/>
  <c r="J370" i="1"/>
  <c r="J366" i="1"/>
  <c r="J391" i="1"/>
  <c r="J514" i="1"/>
  <c r="J390" i="1"/>
  <c r="J515" i="1"/>
  <c r="J512" i="1"/>
  <c r="J389" i="1"/>
  <c r="J513" i="1"/>
  <c r="J511" i="1"/>
  <c r="J388" i="1"/>
  <c r="J387" i="1"/>
  <c r="J386" i="1"/>
  <c r="J385" i="1"/>
  <c r="J510" i="1"/>
  <c r="J384" i="1"/>
  <c r="J383" i="1"/>
  <c r="J545" i="1"/>
  <c r="J502" i="1"/>
  <c r="J501" i="1"/>
  <c r="J368" i="1"/>
  <c r="J365" i="1"/>
  <c r="J364" i="1"/>
  <c r="J546" i="1"/>
  <c r="J547" i="1"/>
  <c r="J503" i="1"/>
  <c r="J509" i="1"/>
  <c r="J506" i="1"/>
  <c r="J508" i="1"/>
  <c r="J372" i="1"/>
  <c r="J362" i="1"/>
  <c r="J363" i="1"/>
  <c r="J498" i="1"/>
  <c r="J361" i="1"/>
  <c r="J360" i="1"/>
  <c r="J499" i="1"/>
  <c r="J497" i="1"/>
  <c r="J496" i="1"/>
  <c r="J186" i="1"/>
  <c r="J400" i="1"/>
  <c r="J187" i="1"/>
  <c r="J183" i="1"/>
  <c r="J182" i="1"/>
  <c r="J184" i="1"/>
  <c r="J396" i="1"/>
  <c r="J397" i="1"/>
  <c r="J181" i="1"/>
  <c r="J404" i="1"/>
  <c r="J405" i="1"/>
  <c r="J516" i="1"/>
  <c r="J403" i="1"/>
  <c r="J393" i="1"/>
  <c r="J395" i="1"/>
  <c r="J185" i="1"/>
  <c r="J394" i="1"/>
  <c r="J399" i="1"/>
  <c r="J398" i="1"/>
  <c r="J401" i="1"/>
  <c r="J188" i="1"/>
  <c r="J180" i="1"/>
  <c r="J392" i="1"/>
  <c r="J410" i="1"/>
  <c r="J409" i="1"/>
  <c r="J521" i="1"/>
  <c r="J408" i="1"/>
  <c r="J522" i="1"/>
  <c r="J412" i="1"/>
  <c r="J413" i="1"/>
  <c r="J411" i="1"/>
  <c r="J527" i="1"/>
  <c r="J548" i="1"/>
  <c r="J520" i="1"/>
  <c r="J524" i="1"/>
  <c r="J526" i="1"/>
  <c r="J549" i="1"/>
  <c r="J525" i="1"/>
  <c r="J523" i="1"/>
  <c r="J519" i="1"/>
  <c r="J407" i="1"/>
  <c r="J518" i="1"/>
  <c r="J406" i="1"/>
  <c r="J517" i="1"/>
  <c r="J192" i="1"/>
  <c r="J191" i="1"/>
  <c r="J200" i="1"/>
  <c r="J199" i="1"/>
  <c r="J198" i="1"/>
  <c r="J419" i="1"/>
  <c r="J414" i="1"/>
  <c r="J416" i="1"/>
  <c r="J415" i="1"/>
  <c r="J417" i="1"/>
  <c r="J418" i="1"/>
  <c r="J197" i="1"/>
  <c r="J196" i="1"/>
  <c r="J195" i="1"/>
  <c r="J194" i="1"/>
  <c r="J193" i="1"/>
  <c r="J190" i="1"/>
  <c r="J357" i="1"/>
  <c r="J358" i="1"/>
  <c r="J173" i="1"/>
  <c r="J170" i="1"/>
  <c r="J495" i="1"/>
  <c r="J359" i="1"/>
  <c r="J176" i="1"/>
  <c r="J175" i="1"/>
  <c r="J174" i="1"/>
  <c r="J354" i="1"/>
  <c r="J353" i="1"/>
  <c r="J169" i="1"/>
  <c r="J355" i="1"/>
  <c r="J168" i="1"/>
  <c r="J356" i="1"/>
  <c r="J172" i="1"/>
  <c r="J171" i="1"/>
  <c r="J167" i="1"/>
  <c r="J352" i="1"/>
  <c r="J351" i="1"/>
  <c r="J350" i="1"/>
  <c r="J166" i="1"/>
  <c r="J349" i="1"/>
  <c r="J160" i="1"/>
  <c r="J348" i="1"/>
  <c r="J161" i="1"/>
  <c r="J154" i="1"/>
  <c r="J155" i="1"/>
  <c r="J346" i="1"/>
  <c r="J343" i="1"/>
  <c r="J164" i="1"/>
  <c r="J163" i="1"/>
  <c r="J165" i="1"/>
  <c r="J544" i="1"/>
  <c r="J342" i="1"/>
  <c r="J157" i="1"/>
  <c r="J344" i="1"/>
  <c r="J345" i="1"/>
  <c r="J152" i="1"/>
  <c r="J347" i="1"/>
  <c r="J162" i="1"/>
  <c r="J159" i="1"/>
  <c r="J158" i="1"/>
  <c r="J151" i="1"/>
  <c r="J323" i="1"/>
  <c r="J97" i="1"/>
  <c r="J319" i="1"/>
  <c r="J320" i="1"/>
  <c r="J90" i="1"/>
  <c r="J115" i="1"/>
  <c r="J114" i="1"/>
  <c r="J111" i="1"/>
  <c r="J113" i="1"/>
  <c r="J112" i="1"/>
  <c r="J110" i="1"/>
  <c r="J326" i="1"/>
  <c r="J107" i="1"/>
  <c r="J314" i="1"/>
  <c r="J315" i="1"/>
  <c r="J316" i="1"/>
  <c r="J312" i="1"/>
  <c r="J492" i="1"/>
  <c r="J491" i="1"/>
  <c r="J313" i="1"/>
  <c r="J311" i="1"/>
  <c r="J96" i="1"/>
  <c r="J94" i="1"/>
  <c r="J102" i="1"/>
  <c r="J101" i="1"/>
  <c r="J322" i="1"/>
  <c r="J100" i="1"/>
  <c r="J98" i="1"/>
  <c r="J318" i="1"/>
  <c r="J321" i="1"/>
  <c r="J93" i="1"/>
  <c r="J92" i="1"/>
  <c r="J89" i="1"/>
  <c r="J91" i="1"/>
  <c r="J324" i="1"/>
  <c r="J105" i="1"/>
  <c r="J86" i="1"/>
  <c r="J81" i="1"/>
  <c r="J84" i="1"/>
  <c r="J79" i="1"/>
  <c r="J77" i="1"/>
  <c r="J303" i="1"/>
  <c r="J75" i="1"/>
  <c r="J302" i="1"/>
  <c r="J304" i="1"/>
  <c r="J85" i="1"/>
  <c r="J301" i="1"/>
  <c r="J74" i="1"/>
  <c r="J306" i="1"/>
  <c r="J489" i="1"/>
  <c r="J80" i="1"/>
  <c r="J309" i="1"/>
  <c r="J71" i="1"/>
  <c r="J70" i="1"/>
  <c r="J69" i="1"/>
  <c r="J300" i="1"/>
  <c r="J127" i="1"/>
  <c r="J126" i="1"/>
  <c r="J125" i="1"/>
  <c r="J128" i="1"/>
  <c r="J334" i="1"/>
  <c r="J333" i="1"/>
  <c r="J335" i="1"/>
  <c r="J332" i="1"/>
  <c r="J124" i="1"/>
  <c r="J123" i="1"/>
  <c r="J122" i="1"/>
  <c r="J121" i="1"/>
  <c r="J118" i="1"/>
  <c r="J331" i="1"/>
  <c r="J328" i="1"/>
  <c r="J327" i="1"/>
  <c r="J329" i="1"/>
  <c r="J119" i="1"/>
  <c r="J493" i="1"/>
  <c r="J330" i="1"/>
  <c r="J117" i="1"/>
  <c r="J116" i="1"/>
  <c r="J487" i="1"/>
  <c r="J294" i="1"/>
  <c r="J292" i="1"/>
  <c r="J480" i="1"/>
  <c r="J291" i="1"/>
  <c r="J299" i="1"/>
  <c r="J488" i="1"/>
  <c r="J297" i="1"/>
  <c r="J298" i="1"/>
  <c r="J296" i="1"/>
  <c r="J479" i="1"/>
  <c r="J477" i="1"/>
  <c r="J478" i="1"/>
  <c r="J481" i="1"/>
  <c r="J486" i="1"/>
  <c r="J485" i="1"/>
  <c r="J484" i="1"/>
  <c r="J483" i="1"/>
  <c r="J295" i="1"/>
  <c r="J482" i="1"/>
  <c r="J290" i="1"/>
  <c r="J476" i="1"/>
  <c r="J289" i="1"/>
  <c r="J308" i="1"/>
  <c r="J83" i="1"/>
  <c r="J307" i="1"/>
  <c r="J76" i="1"/>
  <c r="J72" i="1"/>
  <c r="J325" i="1"/>
  <c r="J109" i="1"/>
  <c r="J317" i="1"/>
  <c r="J490" i="1"/>
  <c r="J95" i="1"/>
  <c r="J99" i="1"/>
  <c r="J106" i="1"/>
  <c r="J103" i="1"/>
  <c r="J287" i="1"/>
  <c r="J67" i="1"/>
  <c r="J284" i="1"/>
  <c r="J472" i="1"/>
  <c r="J66" i="1"/>
  <c r="J473" i="1"/>
  <c r="J65" i="1"/>
  <c r="J474" i="1"/>
  <c r="J475" i="1"/>
  <c r="J285" i="1"/>
  <c r="J286" i="1"/>
  <c r="J68" i="1"/>
  <c r="J282" i="1"/>
  <c r="J62" i="1"/>
  <c r="J280" i="1"/>
  <c r="J64" i="1"/>
  <c r="J61" i="1"/>
  <c r="J281" i="1"/>
  <c r="J63" i="1"/>
  <c r="J59" i="1"/>
  <c r="J58" i="1"/>
  <c r="J57" i="1"/>
  <c r="J189" i="1"/>
  <c r="J55" i="1"/>
  <c r="J279" i="1"/>
  <c r="J60" i="1"/>
  <c r="J178" i="1"/>
  <c r="J179" i="1"/>
  <c r="J367" i="1"/>
  <c r="J177" i="1"/>
  <c r="J53" i="1"/>
  <c r="J56" i="1"/>
  <c r="J153" i="1"/>
  <c r="J52" i="1"/>
  <c r="J51" i="1"/>
  <c r="J145" i="1"/>
  <c r="J41" i="1"/>
  <c r="J40" i="1"/>
  <c r="J38" i="1"/>
  <c r="J144" i="1"/>
  <c r="J39" i="1"/>
  <c r="J143" i="1"/>
  <c r="J146" i="1"/>
  <c r="J35" i="1"/>
  <c r="J138" i="1"/>
  <c r="J137" i="1"/>
  <c r="J33" i="1"/>
  <c r="J32" i="1"/>
  <c r="J48" i="1"/>
  <c r="J47" i="1"/>
  <c r="J46" i="1"/>
  <c r="J340" i="1"/>
  <c r="J148" i="1"/>
  <c r="J339" i="1"/>
  <c r="J147" i="1"/>
  <c r="J45" i="1"/>
  <c r="J44" i="1"/>
  <c r="J43" i="1"/>
  <c r="J42" i="1"/>
  <c r="J337" i="1"/>
  <c r="J132" i="1"/>
  <c r="J139" i="1"/>
  <c r="J37" i="1"/>
  <c r="J134" i="1"/>
  <c r="J135" i="1"/>
  <c r="J133" i="1"/>
  <c r="J34" i="1"/>
  <c r="J338" i="1"/>
  <c r="J136" i="1"/>
  <c r="J494" i="1"/>
  <c r="J142" i="1"/>
  <c r="J131" i="1"/>
  <c r="J30" i="1"/>
  <c r="J336" i="1"/>
  <c r="J29" i="1"/>
  <c r="J130" i="1"/>
  <c r="J22" i="1"/>
  <c r="J50" i="1"/>
  <c r="J49" i="1"/>
  <c r="J28" i="1"/>
  <c r="J27" i="1"/>
  <c r="J26" i="1"/>
  <c r="J24" i="1"/>
  <c r="J25" i="1"/>
  <c r="J149" i="1"/>
  <c r="J341" i="1"/>
  <c r="J150" i="1"/>
  <c r="J54" i="1"/>
  <c r="J156" i="1"/>
  <c r="J108" i="1"/>
  <c r="J78" i="1"/>
  <c r="J120" i="1"/>
  <c r="J82" i="1"/>
  <c r="J15" i="1"/>
  <c r="J141" i="1"/>
  <c r="J129" i="1"/>
  <c r="J293" i="1"/>
  <c r="J310" i="1"/>
  <c r="J9" i="1"/>
  <c r="J8" i="1"/>
  <c r="J18" i="1"/>
  <c r="J19" i="1"/>
  <c r="J7" i="1"/>
  <c r="J6" i="1"/>
</calcChain>
</file>

<file path=xl/sharedStrings.xml><?xml version="1.0" encoding="utf-8"?>
<sst xmlns="http://schemas.openxmlformats.org/spreadsheetml/2006/main" count="4787" uniqueCount="2360">
  <si>
    <t>id</t>
  </si>
  <si>
    <t>enabled</t>
  </si>
  <si>
    <t>venue_name</t>
  </si>
  <si>
    <t>company_name</t>
  </si>
  <si>
    <t>latitude</t>
  </si>
  <si>
    <t>longitude</t>
  </si>
  <si>
    <t>town</t>
  </si>
  <si>
    <t>formatted_address</t>
  </si>
  <si>
    <t>created_at</t>
  </si>
  <si>
    <t>phone</t>
  </si>
  <si>
    <t>reviews_count</t>
  </si>
  <si>
    <t>average_rating</t>
  </si>
  <si>
    <t>vat_number</t>
  </si>
  <si>
    <t>customers_count</t>
  </si>
  <si>
    <t>staff_members_count</t>
  </si>
  <si>
    <t>plan</t>
  </si>
  <si>
    <t>purchasable_online</t>
  </si>
  <si>
    <t>accepts_online_payments</t>
  </si>
  <si>
    <t>online_payment_only</t>
  </si>
  <si>
    <t>average_time_day_appointment_per_customer</t>
  </si>
  <si>
    <t>daily_booking_only</t>
  </si>
  <si>
    <t>last_online_appointment</t>
  </si>
  <si>
    <t>last_salon_appointement</t>
  </si>
  <si>
    <t>Beauty Salon 1354</t>
  </si>
  <si>
    <t>Company Beauty SL1354</t>
  </si>
  <si>
    <t>Roma</t>
  </si>
  <si>
    <t>Via Lione, 24, 00144 Roma, Italia</t>
  </si>
  <si>
    <t>4,3</t>
  </si>
  <si>
    <t>Premium</t>
  </si>
  <si>
    <t>44,46</t>
  </si>
  <si>
    <t>Beauty Salon 1770</t>
  </si>
  <si>
    <t>Company Beauty SL1770</t>
  </si>
  <si>
    <t>Via Angelo Brofferio, 12, 00195 Roma, Italia</t>
  </si>
  <si>
    <t>Advanced</t>
  </si>
  <si>
    <t>0,44</t>
  </si>
  <si>
    <t>Beauty Salon 4875</t>
  </si>
  <si>
    <t>Company Beauty SL4875</t>
  </si>
  <si>
    <t>Milano</t>
  </si>
  <si>
    <t>Via Cesare Cesariano, 6, 20154 Milano, Italia</t>
  </si>
  <si>
    <t>Starter</t>
  </si>
  <si>
    <t>0,42</t>
  </si>
  <si>
    <t>Beauty Salon 4913</t>
  </si>
  <si>
    <t>Company Beauty SL4913</t>
  </si>
  <si>
    <t>Via di Gesù e Maria, 11, 00187 Roma, Italia</t>
  </si>
  <si>
    <t>43,19</t>
  </si>
  <si>
    <t>Beauty Salon 4323</t>
  </si>
  <si>
    <t>Company Beauty SL4323</t>
  </si>
  <si>
    <t>Via del Pianeta Venere, 37, 00144 Roma, Italia</t>
  </si>
  <si>
    <t>Beauty Salon 1083</t>
  </si>
  <si>
    <t>Company Beauty SL1083</t>
  </si>
  <si>
    <t>Bettolle</t>
  </si>
  <si>
    <t>Via Giuseppe di Vittorio, 99, 53048 Bettolle SI, Italia</t>
  </si>
  <si>
    <t>Beauty Salon 3374</t>
  </si>
  <si>
    <t>Company Beauty SL3374</t>
  </si>
  <si>
    <t>Αθήνα</t>
  </si>
  <si>
    <t>Παναγιώτου Αναγνωστοπούλου 41, Αθήνα 106 73, Ελλάδα</t>
  </si>
  <si>
    <t>Beauty Salon 1905</t>
  </si>
  <si>
    <t>Company Beauty SL1905</t>
  </si>
  <si>
    <t>Εύοσμος</t>
  </si>
  <si>
    <t>Στρατάρχου Αλεξάνδρου Παπάγου 45, Εύοσμος 562 24, Ελλάδα</t>
  </si>
  <si>
    <t>27,32</t>
  </si>
  <si>
    <t>Beauty Salon 1866</t>
  </si>
  <si>
    <t>Company Beauty SL1866</t>
  </si>
  <si>
    <t>Via Bergamo, 14, 20135 Milano MI, Italia</t>
  </si>
  <si>
    <t>43,48</t>
  </si>
  <si>
    <t>Beauty Salon 3908</t>
  </si>
  <si>
    <t>Company Beauty SL3908</t>
  </si>
  <si>
    <t>Pozzomaggiore</t>
  </si>
  <si>
    <t>Via Trifoglio, 3, 07018 Pozzomaggiore SS, Italia</t>
  </si>
  <si>
    <t>Beauty Salon 215</t>
  </si>
  <si>
    <t>Company Beauty SL215</t>
  </si>
  <si>
    <t>Augusta</t>
  </si>
  <si>
    <t>Via Papa Giovanni XXIII, 15, 96011 Augusta SR, Italia</t>
  </si>
  <si>
    <t>0,01</t>
  </si>
  <si>
    <t>Beauty Salon 4687</t>
  </si>
  <si>
    <t>Company Beauty SL4687</t>
  </si>
  <si>
    <t>Verona</t>
  </si>
  <si>
    <t>Via Agrigento, 10a, 37138 Verona VR, Italia</t>
  </si>
  <si>
    <t>37,48</t>
  </si>
  <si>
    <t>Beauty Salon 1708</t>
  </si>
  <si>
    <t>Company Beauty SL1708</t>
  </si>
  <si>
    <t>Trento</t>
  </si>
  <si>
    <t>Via Fratelli Fontana, 1, 38121 Trento, Italia</t>
  </si>
  <si>
    <t>4,2</t>
  </si>
  <si>
    <t>Beauty Salon 3331</t>
  </si>
  <si>
    <t>Company Beauty SL3331</t>
  </si>
  <si>
    <t>Reggio Emilia</t>
  </si>
  <si>
    <t>Via Emilia S. Pietro, 48, 42121 Reggio Emilia RE, Italia</t>
  </si>
  <si>
    <t>0588 538305</t>
  </si>
  <si>
    <t>Beauty Salon 1553</t>
  </si>
  <si>
    <t>Company Beauty SL1553</t>
  </si>
  <si>
    <t>Viale Ippocrate, 35, 00161 Roma RM, Italia</t>
  </si>
  <si>
    <t>Beauty Salon 2981</t>
  </si>
  <si>
    <t>Company Beauty SL2981</t>
  </si>
  <si>
    <t>Martignacco</t>
  </si>
  <si>
    <t>Via Antonio Bardelli, 4, 33035 Martignacco UD, Italia</t>
  </si>
  <si>
    <t>0538 508553</t>
  </si>
  <si>
    <t>4,4</t>
  </si>
  <si>
    <t>Beauty Salon 536</t>
  </si>
  <si>
    <t>Company Beauty SL536</t>
  </si>
  <si>
    <t>Ravenna</t>
  </si>
  <si>
    <t>Via Portorose, 37, 48122 Ravenna RA, Italia</t>
  </si>
  <si>
    <t>0555 595559</t>
  </si>
  <si>
    <t>Beauty Salon 2499</t>
  </si>
  <si>
    <t>Company Beauty SL2499</t>
  </si>
  <si>
    <t>Galleria Pellicciai, 16, 37121 Verona VR, Italia</t>
  </si>
  <si>
    <t>055 5008939</t>
  </si>
  <si>
    <t>Beauty Salon 244</t>
  </si>
  <si>
    <t>Company Beauty SL244</t>
  </si>
  <si>
    <t>La Spezia</t>
  </si>
  <si>
    <t>Corso Nazionale, 156, 19126 La Spezia SP, Italia</t>
  </si>
  <si>
    <t>0355 505553</t>
  </si>
  <si>
    <t>4,7</t>
  </si>
  <si>
    <t>Beauty Salon 1751</t>
  </si>
  <si>
    <t>Company Beauty SL1751</t>
  </si>
  <si>
    <t>Asti</t>
  </si>
  <si>
    <t>Piazza Vittorio Alfieri, 26, 14100 Asti AT, Italia</t>
  </si>
  <si>
    <t>0353 595300</t>
  </si>
  <si>
    <t>4,6</t>
  </si>
  <si>
    <t>Beauty Salon 4734</t>
  </si>
  <si>
    <t>Company Beauty SL4734</t>
  </si>
  <si>
    <t>Foggia</t>
  </si>
  <si>
    <t>Via Carlo Ciampitti, 38, 71121 Foggia FG, Italia</t>
  </si>
  <si>
    <t>0553 558355</t>
  </si>
  <si>
    <t>4,9</t>
  </si>
  <si>
    <t>Beauty Salon 606</t>
  </si>
  <si>
    <t>Company Beauty SL606</t>
  </si>
  <si>
    <t>Ancona</t>
  </si>
  <si>
    <t>Via Duilio Scandali, 69, 60122 Ancona, Italia</t>
  </si>
  <si>
    <t>053 803583</t>
  </si>
  <si>
    <t>4,5</t>
  </si>
  <si>
    <t>Beauty Salon 3741</t>
  </si>
  <si>
    <t>Company Beauty SL3741</t>
  </si>
  <si>
    <t>Collestrada</t>
  </si>
  <si>
    <t>Str. Centrale Umbra, 28, 06135 Collestrada PG, Italia</t>
  </si>
  <si>
    <t>055 3588939</t>
  </si>
  <si>
    <t>4,1</t>
  </si>
  <si>
    <t>Beauty Salon 3566</t>
  </si>
  <si>
    <t>Company Beauty SL3566</t>
  </si>
  <si>
    <t>Borgomanero</t>
  </si>
  <si>
    <t>Via Gozzano, 78, 28021 Borgomanero NO, Italia</t>
  </si>
  <si>
    <t>Beauty Salon 269</t>
  </si>
  <si>
    <t>Company Beauty SL269</t>
  </si>
  <si>
    <t>Napoli</t>
  </si>
  <si>
    <t>Via Eduardo Suarez, 32, 80129 Napoli, Italia</t>
  </si>
  <si>
    <t>39,77</t>
  </si>
  <si>
    <t>Beauty Salon 3052</t>
  </si>
  <si>
    <t>Company Beauty SL3052</t>
  </si>
  <si>
    <t>Via Enrico Tellini, 14, 20155 Milano, Italia</t>
  </si>
  <si>
    <t>0,39</t>
  </si>
  <si>
    <t>Beauty Salon 1774</t>
  </si>
  <si>
    <t>Company Beauty SL1774</t>
  </si>
  <si>
    <t>Vercelli</t>
  </si>
  <si>
    <t>Via Aravecchia, 12, 13100 Vercelli VC, Italia</t>
  </si>
  <si>
    <t>0393 503098</t>
  </si>
  <si>
    <t>Beauty Salon 4787</t>
  </si>
  <si>
    <t>Company Beauty SL4787</t>
  </si>
  <si>
    <t>Livorno</t>
  </si>
  <si>
    <t>Corso Amedeo, 269, 57125 Livorno LI, Italia</t>
  </si>
  <si>
    <t>30,51</t>
  </si>
  <si>
    <t>Beauty Salon 3028</t>
  </si>
  <si>
    <t>Company Beauty SL3028</t>
  </si>
  <si>
    <t>Sant Cugat del Vallès</t>
  </si>
  <si>
    <t>Passeig de Francesc Macià, 67, 08173 Sant Cugat del Vallès, Barcelona, Spagna</t>
  </si>
  <si>
    <t>B63333333</t>
  </si>
  <si>
    <t>35,29</t>
  </si>
  <si>
    <t>Beauty Salon 2853</t>
  </si>
  <si>
    <t>Company Beauty SL2853</t>
  </si>
  <si>
    <t>Casalecchio di Reno</t>
  </si>
  <si>
    <t>Via Francesco Petrarca, 11, 40033 Casalecchio di Reno BO, Italia</t>
  </si>
  <si>
    <t>0,43</t>
  </si>
  <si>
    <t>Beauty Salon 1730</t>
  </si>
  <si>
    <t>Company Beauty SL1730</t>
  </si>
  <si>
    <t>Via Lucio Elio Seiano, 105, 00174 Roma RM, Italia</t>
  </si>
  <si>
    <t>0,35</t>
  </si>
  <si>
    <t>Beauty Salon 3710</t>
  </si>
  <si>
    <t>Company Beauty SL3710</t>
  </si>
  <si>
    <t>Ferrara</t>
  </si>
  <si>
    <t>Via Giuoco del Pallone, 10, 44121 Ferrara FE, Italia</t>
  </si>
  <si>
    <t>39,95</t>
  </si>
  <si>
    <t>Beauty Salon 165</t>
  </si>
  <si>
    <t>Company Beauty SL165</t>
  </si>
  <si>
    <t>Barcelona</t>
  </si>
  <si>
    <t>Carrer de Manuel de Falla, 13, 08034 Barcelona, España</t>
  </si>
  <si>
    <t>4,75</t>
  </si>
  <si>
    <t>B66636733</t>
  </si>
  <si>
    <t>28,05</t>
  </si>
  <si>
    <t>Beauty Salon 4341</t>
  </si>
  <si>
    <t>Company Beauty SL4341</t>
  </si>
  <si>
    <t>A Coruña</t>
  </si>
  <si>
    <t>Rúa Monasterio de Caaveiro, 30, 15010 A Coruña, España</t>
  </si>
  <si>
    <t>73737677R</t>
  </si>
  <si>
    <t>10,97</t>
  </si>
  <si>
    <t>Beauty Salon 2617</t>
  </si>
  <si>
    <t>Company Beauty SL2617</t>
  </si>
  <si>
    <t>Madrid</t>
  </si>
  <si>
    <t>C. de Costanilla del Calero, 32, 28027 Madrid</t>
  </si>
  <si>
    <t>33373377A</t>
  </si>
  <si>
    <t>27,61</t>
  </si>
  <si>
    <t>Beauty Salon 2541</t>
  </si>
  <si>
    <t>Company Beauty SL2541</t>
  </si>
  <si>
    <t>Calle de Velázquez, 69, 28006 Madrid, España</t>
  </si>
  <si>
    <t>36733773M</t>
  </si>
  <si>
    <t>Beauty Salon 3621</t>
  </si>
  <si>
    <t>Company Beauty SL3621</t>
  </si>
  <si>
    <t>Arbo</t>
  </si>
  <si>
    <t>Rúa Antonia Tovar, 34, 36430 Arbo, Pontevedra, España</t>
  </si>
  <si>
    <t>76733333C</t>
  </si>
  <si>
    <t>Beauty Salon 2395</t>
  </si>
  <si>
    <t>Company Beauty SL2395</t>
  </si>
  <si>
    <t>Villena</t>
  </si>
  <si>
    <t>C. Joaquín M López, 24, 03400 Villena, Alicante, España</t>
  </si>
  <si>
    <t>77773333K</t>
  </si>
  <si>
    <t>30,52</t>
  </si>
  <si>
    <t>Beauty Salon 634</t>
  </si>
  <si>
    <t>Company Beauty SL634</t>
  </si>
  <si>
    <t>C/ de València, 306, 08009 Barcelona, España</t>
  </si>
  <si>
    <t>B67377337</t>
  </si>
  <si>
    <t>Beauty Salon 4071</t>
  </si>
  <si>
    <t>Company Beauty SL4071</t>
  </si>
  <si>
    <t>Spinea</t>
  </si>
  <si>
    <t>Via della Costituzione, 129, 30038 Spinea VE, Italia</t>
  </si>
  <si>
    <t>Beauty Salon 2483</t>
  </si>
  <si>
    <t>Company Beauty SL2483</t>
  </si>
  <si>
    <t>Via Lago di Lesina, 45, 00199 Roma RM, Italia</t>
  </si>
  <si>
    <t>38,75</t>
  </si>
  <si>
    <t>Beauty Salon 2731</t>
  </si>
  <si>
    <t>Company Beauty SL2731</t>
  </si>
  <si>
    <t>Ζωγράφου</t>
  </si>
  <si>
    <t>Γεωρ. Ζωγράφου 35, Ζωγράφου 157 72, Ελλάδα</t>
  </si>
  <si>
    <t>Beauty Salon 2540</t>
  </si>
  <si>
    <t>Company Beauty SL2540</t>
  </si>
  <si>
    <t>Κηφισιά</t>
  </si>
  <si>
    <t>Λεωφ. Κηφισίας 238, Κηφισιά 145 62, Ελλάδα</t>
  </si>
  <si>
    <t>Beauty Salon 4779</t>
  </si>
  <si>
    <t>Company Beauty SL4779</t>
  </si>
  <si>
    <t>Subiaco</t>
  </si>
  <si>
    <t>Via Papa Braschi, 10, 00028 Subiaco RM, Italia</t>
  </si>
  <si>
    <t>Beauty Salon 1646</t>
  </si>
  <si>
    <t>Company Beauty SL1646</t>
  </si>
  <si>
    <t>Via Alessandro Tadino, 29, 20124 Milano MI, Italia</t>
  </si>
  <si>
    <t>28,68</t>
  </si>
  <si>
    <t>Beauty Salon 631</t>
  </si>
  <si>
    <t>Company Beauty SL631</t>
  </si>
  <si>
    <t>Ceuta</t>
  </si>
  <si>
    <t>Calle Méndez Núñez, 8, 51001 Ceuta, España</t>
  </si>
  <si>
    <t>33333376F</t>
  </si>
  <si>
    <t>Beauty Salon 2429</t>
  </si>
  <si>
    <t>Company Beauty SL2429</t>
  </si>
  <si>
    <t>Alicante (Alacant)</t>
  </si>
  <si>
    <t>Calle Susana Llaneras, 39, 03001 Alicante (Alacant), Alicante, España</t>
  </si>
  <si>
    <t>37333667R</t>
  </si>
  <si>
    <t>40,33</t>
  </si>
  <si>
    <t>Beauty Salon 328</t>
  </si>
  <si>
    <t>Company Beauty SL328</t>
  </si>
  <si>
    <t>Via Accademia, 53, 20131 Milano MI, Italia</t>
  </si>
  <si>
    <t>Beauty Salon 1009</t>
  </si>
  <si>
    <t>Company Beauty SL1009</t>
  </si>
  <si>
    <t>Burela</t>
  </si>
  <si>
    <t>Rúa de Eijo Garay, 12, 27880 Burela, Lugo</t>
  </si>
  <si>
    <t>77776337F</t>
  </si>
  <si>
    <t>38,59</t>
  </si>
  <si>
    <t>Beauty Salon 106</t>
  </si>
  <si>
    <t>Company Beauty SL106</t>
  </si>
  <si>
    <t>Viale Jonio, 187, 00141 Roma RM, Italia</t>
  </si>
  <si>
    <t>4,8</t>
  </si>
  <si>
    <t>0,36</t>
  </si>
  <si>
    <t>Beauty Salon 4903</t>
  </si>
  <si>
    <t>Company Beauty SL4903</t>
  </si>
  <si>
    <t>Reggio Calabria</t>
  </si>
  <si>
    <t>Via Casa Savoia, 204d, 89135 Reggio Calabria RC, Italia</t>
  </si>
  <si>
    <t>39,9</t>
  </si>
  <si>
    <t>Beauty Salon 3522</t>
  </si>
  <si>
    <t>Company Beauty SL3522</t>
  </si>
  <si>
    <t>Jerez de la Frontera</t>
  </si>
  <si>
    <t>Av. los Frutos, 3, 11406 Jerez de la Frontera, Cádiz, España</t>
  </si>
  <si>
    <t>73673773Z</t>
  </si>
  <si>
    <t>43,55</t>
  </si>
  <si>
    <t>Beauty Salon 1315</t>
  </si>
  <si>
    <t>Company Beauty SL1315</t>
  </si>
  <si>
    <t>Battipaglia</t>
  </si>
  <si>
    <t>Via IV Novembre, 25, 84091 Battipaglia SA, Italia</t>
  </si>
  <si>
    <t>40,56</t>
  </si>
  <si>
    <t>Beauty Salon 2580</t>
  </si>
  <si>
    <t>Company Beauty SL2580</t>
  </si>
  <si>
    <t>Parma</t>
  </si>
  <si>
    <t>Via Vincenzo Re, 47, 43125 Parma PR, Italia</t>
  </si>
  <si>
    <t>0,4</t>
  </si>
  <si>
    <t>Beauty Salon 2339</t>
  </si>
  <si>
    <t>Company Beauty SL2339</t>
  </si>
  <si>
    <t>Calle del General Díaz Porlier, 50, 28001 Madrid, España</t>
  </si>
  <si>
    <t>X3336333G</t>
  </si>
  <si>
    <t>34,8</t>
  </si>
  <si>
    <t>Beauty Salon 2351</t>
  </si>
  <si>
    <t>Company Beauty SL2351</t>
  </si>
  <si>
    <t>Brescia</t>
  </si>
  <si>
    <t>Via Guglielmo Marconi, 2, 25128 Brescia BS, Italia</t>
  </si>
  <si>
    <t>41,46</t>
  </si>
  <si>
    <t>Beauty Salon 3213</t>
  </si>
  <si>
    <t>Company Beauty SL3213</t>
  </si>
  <si>
    <t>Montefino</t>
  </si>
  <si>
    <t>Via Rasetti, 64030 Montefino TE, Italia</t>
  </si>
  <si>
    <t>35,88</t>
  </si>
  <si>
    <t>Beauty Salon 771</t>
  </si>
  <si>
    <t>Company Beauty SL771</t>
  </si>
  <si>
    <t>L'Ametlla del Vallès</t>
  </si>
  <si>
    <t>Carrer Francesc Macià, 3, 08480 L'Ametlla del Vallès, Barcelona, España</t>
  </si>
  <si>
    <t>77367777K</t>
  </si>
  <si>
    <t>38,89</t>
  </si>
  <si>
    <t>Beauty Salon 3828</t>
  </si>
  <si>
    <t>Company Beauty SL3828</t>
  </si>
  <si>
    <t>Porta a Mare (Zona Industriale)</t>
  </si>
  <si>
    <t>Via Chiassatello, 3, 56121 Porta a Mare (Zona Industriale) PI, Italia</t>
  </si>
  <si>
    <t>Beauty Salon 4050</t>
  </si>
  <si>
    <t>Company Beauty SL4050</t>
  </si>
  <si>
    <t>Alhama de Murcia</t>
  </si>
  <si>
    <t>C. Alfonso X el Sabio, 9, 30840 Alhama de Murcia, Murcia, España</t>
  </si>
  <si>
    <t>37337773N</t>
  </si>
  <si>
    <t>36,41</t>
  </si>
  <si>
    <t>Beauty Salon 1557</t>
  </si>
  <si>
    <t>Company Beauty SL1557</t>
  </si>
  <si>
    <t>Lisboa</t>
  </si>
  <si>
    <t>Praça do Município 38, 1200-005 Lisboa, Portugal</t>
  </si>
  <si>
    <t>0,11</t>
  </si>
  <si>
    <t>Beauty Salon 2793</t>
  </si>
  <si>
    <t>Company Beauty SL2793</t>
  </si>
  <si>
    <t>Torino</t>
  </si>
  <si>
    <t>Via Valprato, 68, 10155 Torino TO, Italia</t>
  </si>
  <si>
    <t>Beauty Salon 1466</t>
  </si>
  <si>
    <t>Company Beauty SL1466</t>
  </si>
  <si>
    <t>Vergato</t>
  </si>
  <si>
    <t>Via Garibaldi, 23, 40038 Vergato BO, Italia</t>
  </si>
  <si>
    <t>Beauty Salon 1610</t>
  </si>
  <si>
    <t>Company Beauty SL1610</t>
  </si>
  <si>
    <t>San Giorgio a Cremano</t>
  </si>
  <si>
    <t>Via Botteghelle, 22, 80046 San Giorgio a Cremano NA, Italia</t>
  </si>
  <si>
    <t>27,24</t>
  </si>
  <si>
    <t>Beauty Salon 2785</t>
  </si>
  <si>
    <t>Company Beauty SL2785</t>
  </si>
  <si>
    <t>Casarano</t>
  </si>
  <si>
    <t>Via Matino, 63, 73042 Casarano LE, Italia</t>
  </si>
  <si>
    <t>Beauty Salon 668</t>
  </si>
  <si>
    <t>Company Beauty SL668</t>
  </si>
  <si>
    <t>Merano</t>
  </si>
  <si>
    <t>Via Otto Huber, 10, 39012 Merano BZ, Italia</t>
  </si>
  <si>
    <t>29,25</t>
  </si>
  <si>
    <t>Beauty Salon 2061</t>
  </si>
  <si>
    <t>Company Beauty SL2061</t>
  </si>
  <si>
    <t>Spotorno</t>
  </si>
  <si>
    <t>Via G. Garibaldi, 7, 17028 Spotorno SV, Italia</t>
  </si>
  <si>
    <t>Beauty Salon 2462</t>
  </si>
  <si>
    <t>Company Beauty SL2462</t>
  </si>
  <si>
    <t>San Severo</t>
  </si>
  <si>
    <t>Via Torquato Tasso, 25/27, 71016 San Severo FG, Italia</t>
  </si>
  <si>
    <t>20,16</t>
  </si>
  <si>
    <t>Beauty Salon 546</t>
  </si>
  <si>
    <t>Company Beauty SL546</t>
  </si>
  <si>
    <t>Str. della Repubblica, 100, 43121 Parma PR, Italia</t>
  </si>
  <si>
    <t>0,33</t>
  </si>
  <si>
    <t>Beauty Salon 1611</t>
  </si>
  <si>
    <t>Company Beauty SL1611</t>
  </si>
  <si>
    <t>Ευαλκίδου 10, Αθήνα 104 45, Ελλάδα</t>
  </si>
  <si>
    <t>42,04</t>
  </si>
  <si>
    <t>Beauty Salon 3971</t>
  </si>
  <si>
    <t>Company Beauty SL3971</t>
  </si>
  <si>
    <t>Paris</t>
  </si>
  <si>
    <t>36 Rue de Montholon, 75009 Paris, Francia</t>
  </si>
  <si>
    <t>32,8</t>
  </si>
  <si>
    <t>Beauty Salon 744</t>
  </si>
  <si>
    <t>Company Beauty SL744</t>
  </si>
  <si>
    <t>Rueil-Malmaison</t>
  </si>
  <si>
    <t>65 Rue Gallieni, 92500 Rueil-Malmaison, Francia</t>
  </si>
  <si>
    <t>Beauty Salon 1559</t>
  </si>
  <si>
    <t>Company Beauty SL1559</t>
  </si>
  <si>
    <t>Corso Lodi, 9, 20135 Milano MI, Italia</t>
  </si>
  <si>
    <t>34,27</t>
  </si>
  <si>
    <t>Beauty Salon 4751</t>
  </si>
  <si>
    <t>Company Beauty SL4751</t>
  </si>
  <si>
    <t>Barletta</t>
  </si>
  <si>
    <t>Via Enrico Fermi, 51, 76121 Barletta BT, Italy</t>
  </si>
  <si>
    <t>0,41</t>
  </si>
  <si>
    <t>Beauty Salon 4902</t>
  </si>
  <si>
    <t>Company Beauty SL4902</t>
  </si>
  <si>
    <t>Lyon</t>
  </si>
  <si>
    <t>78 Rue Ney, 69006 Lyon, France</t>
  </si>
  <si>
    <t>41,75</t>
  </si>
  <si>
    <t>Beauty Salon 1035</t>
  </si>
  <si>
    <t>Company Beauty SL1035</t>
  </si>
  <si>
    <t>39 Route de Vienne, 69007 Lyon, Francia</t>
  </si>
  <si>
    <t>39,07</t>
  </si>
  <si>
    <t>Beauty Salon 840</t>
  </si>
  <si>
    <t>Company Beauty SL840</t>
  </si>
  <si>
    <t>Nice</t>
  </si>
  <si>
    <t>3 Rue Chauvain, 06000 Nice, France</t>
  </si>
  <si>
    <t>FR33333337337</t>
  </si>
  <si>
    <t>42,68</t>
  </si>
  <si>
    <t>Beauty Salon 3548</t>
  </si>
  <si>
    <t>Company Beauty SL3548</t>
  </si>
  <si>
    <t>Benifairó de los Valles</t>
  </si>
  <si>
    <t>Carrer de Valencia, 52, 46511 Benifairó de los Valles, Valencia, España</t>
  </si>
  <si>
    <t>33777737Z</t>
  </si>
  <si>
    <t>Beauty Salon 3960</t>
  </si>
  <si>
    <t>Company Beauty SL3960</t>
  </si>
  <si>
    <t>San Mauro Torinese</t>
  </si>
  <si>
    <t>Via Martiri della Libertà, 53, 10099 San Mauro Torinese TO, Italia</t>
  </si>
  <si>
    <t>43,13</t>
  </si>
  <si>
    <t>Beauty Salon 721</t>
  </si>
  <si>
    <t>Company Beauty SL721</t>
  </si>
  <si>
    <t>Selargius</t>
  </si>
  <si>
    <t>Via Antonio Gallus, 75, 09047 Selargius CA, Italia</t>
  </si>
  <si>
    <t>Beauty Salon 531</t>
  </si>
  <si>
    <t>Company Beauty SL531</t>
  </si>
  <si>
    <t>Badia Polesine</t>
  </si>
  <si>
    <t>Via Danieli, 40, 45021 Badia Polesine RO, Italia</t>
  </si>
  <si>
    <t>0,28</t>
  </si>
  <si>
    <t>Beauty Salon 4959</t>
  </si>
  <si>
    <t>Company Beauty SL4959</t>
  </si>
  <si>
    <t>València</t>
  </si>
  <si>
    <t>Av. de Burjassot, 29, 46009 València, Valencia, España</t>
  </si>
  <si>
    <t>77366337C</t>
  </si>
  <si>
    <t>43,31</t>
  </si>
  <si>
    <t>Beauty Salon 1938</t>
  </si>
  <si>
    <t>Company Beauty SL1938</t>
  </si>
  <si>
    <t>Firenze</t>
  </si>
  <si>
    <t>Viale Francesco Petrarca, 100, 50124 Firenze FI, Italia</t>
  </si>
  <si>
    <t>Beauty Salon 4667</t>
  </si>
  <si>
    <t>Company Beauty SL4667</t>
  </si>
  <si>
    <t>Nettuno</t>
  </si>
  <si>
    <t>Via Vittorio Veneto, 24, 00048 Nettuno RM, Italia</t>
  </si>
  <si>
    <t>42,88</t>
  </si>
  <si>
    <t>Beauty Salon 1452</t>
  </si>
  <si>
    <t>Company Beauty SL1452</t>
  </si>
  <si>
    <t>Porto</t>
  </si>
  <si>
    <t>Alameda Dr. António Macedo 115, 4250-053 Porto, Portugal</t>
  </si>
  <si>
    <t>Beauty Salon 3179</t>
  </si>
  <si>
    <t>Company Beauty SL3179</t>
  </si>
  <si>
    <t>Noto</t>
  </si>
  <si>
    <t>Via Camillo Benso Conte di Cavour, 102, 96017 Noto SR, Italia</t>
  </si>
  <si>
    <t>Beauty Salon 4380</t>
  </si>
  <si>
    <t>Company Beauty SL4380</t>
  </si>
  <si>
    <t>Via Giulia, 12, 89125 Reggio Calabria RC, Italia</t>
  </si>
  <si>
    <t>43,35</t>
  </si>
  <si>
    <t>Beauty Salon 1208</t>
  </si>
  <si>
    <t>Company Beauty SL1208</t>
  </si>
  <si>
    <t>Via Lorenzo Bartolini, 49, 20155 Milano MI, Italia</t>
  </si>
  <si>
    <t>Beauty Salon 4557</t>
  </si>
  <si>
    <t>Company Beauty SL4557</t>
  </si>
  <si>
    <t>Broni</t>
  </si>
  <si>
    <t>Via Roma, 8, 27043 Broni PV, Italia</t>
  </si>
  <si>
    <t>Beauty Salon 1428</t>
  </si>
  <si>
    <t>Company Beauty SL1428</t>
  </si>
  <si>
    <t>San Bonifacio</t>
  </si>
  <si>
    <t>Via Trento, 104A, 37047 San Bonifacio VR, Italia</t>
  </si>
  <si>
    <t>Beauty Salon 4266</t>
  </si>
  <si>
    <t>Company Beauty SL4266</t>
  </si>
  <si>
    <t>Altavilla Vicentina</t>
  </si>
  <si>
    <t>Via Sovizzo, 92, 36077 Altavilla Vicentina VI, Italia</t>
  </si>
  <si>
    <t>42,36</t>
  </si>
  <si>
    <t>Beauty Salon 2265</t>
  </si>
  <si>
    <t>Company Beauty SL2265</t>
  </si>
  <si>
    <t>Sansepolcro</t>
  </si>
  <si>
    <t>Via Silvio Zanchi, 2, 52037 Sansepolcro AR, Italia</t>
  </si>
  <si>
    <t>36,75</t>
  </si>
  <si>
    <t>Beauty Salon 1078</t>
  </si>
  <si>
    <t>Company Beauty SL1078</t>
  </si>
  <si>
    <t>Padova</t>
  </si>
  <si>
    <t>Viale Arcella, 3e, 35132 Padova PD, Italia</t>
  </si>
  <si>
    <t>43,37</t>
  </si>
  <si>
    <t>Via della Rondinella, 17, 50135 Firenze FI, Italia</t>
  </si>
  <si>
    <t>Beauty Salon 4145</t>
  </si>
  <si>
    <t>Company Beauty SL4145</t>
  </si>
  <si>
    <t>Riva del Garda</t>
  </si>
  <si>
    <t>Viale Trento, 41, 38066 Riva del Garda TN, Italia</t>
  </si>
  <si>
    <t>Sant Feliu de Llobregat</t>
  </si>
  <si>
    <t>Passatge Terrassa, 3, 08980 Sant Feliu de Llobregat, Barcelona, España</t>
  </si>
  <si>
    <t>37777376P</t>
  </si>
  <si>
    <t>43,1</t>
  </si>
  <si>
    <t>Beauty Salon 1434</t>
  </si>
  <si>
    <t>Company Beauty SL1434</t>
  </si>
  <si>
    <t>Cogoleto</t>
  </si>
  <si>
    <t>Via Giuseppe Mazzini, 9/11, 16016 Cogoleto GE, Italia</t>
  </si>
  <si>
    <t>Beauty Salon 2114</t>
  </si>
  <si>
    <t>Company Beauty SL2114</t>
  </si>
  <si>
    <t>Avigliana</t>
  </si>
  <si>
    <t>Corso Laghi, 15, 10051 Avigliana TO, Italia</t>
  </si>
  <si>
    <t>Beauty Salon 1458</t>
  </si>
  <si>
    <t>Company Beauty SL1458</t>
  </si>
  <si>
    <t>Via Giovanni Bartolena, 30, 57128 Livorno LI, Italia</t>
  </si>
  <si>
    <t>36,84</t>
  </si>
  <si>
    <t>Beauty Salon 186</t>
  </si>
  <si>
    <t>Company Beauty SL186</t>
  </si>
  <si>
    <t>Cessalto</t>
  </si>
  <si>
    <t>Piazza del Santo Volto, 8, 31040 Cessalto TV, Italia</t>
  </si>
  <si>
    <t>Beauty Salon 2226</t>
  </si>
  <si>
    <t>Company Beauty SL2226</t>
  </si>
  <si>
    <t>Córdoba</t>
  </si>
  <si>
    <t>Calle Málaga, 3, 14003 Córdoba, España</t>
  </si>
  <si>
    <t>B33777733</t>
  </si>
  <si>
    <t>38,71</t>
  </si>
  <si>
    <t>Beauty Salon 571</t>
  </si>
  <si>
    <t>Company Beauty SL571</t>
  </si>
  <si>
    <t>Tuenno</t>
  </si>
  <si>
    <t>Via Vincenzo Maistrelli, 7, 38019 Tuenno TN, Italia</t>
  </si>
  <si>
    <t>Beauty Salon 1375</t>
  </si>
  <si>
    <t>Company Beauty SL1375</t>
  </si>
  <si>
    <t>Avola</t>
  </si>
  <si>
    <t>Piazza Umberto I, 31, 96012 Avola SR, Italia</t>
  </si>
  <si>
    <t>43,32</t>
  </si>
  <si>
    <t>Beauty Salon 4032</t>
  </si>
  <si>
    <t>Company Beauty SL4032</t>
  </si>
  <si>
    <t>Camaiore</t>
  </si>
  <si>
    <t>Via del Fortino, 59, 55041 Camaiore LU, Italia</t>
  </si>
  <si>
    <t>0,37</t>
  </si>
  <si>
    <t>Beauty Salon 4470</t>
  </si>
  <si>
    <t>Company Beauty SL4470</t>
  </si>
  <si>
    <t>Vicolo della Serpe, 23, 00149 Roma RM, Italia</t>
  </si>
  <si>
    <t>40,45</t>
  </si>
  <si>
    <t>Beauty Salon 1822</t>
  </si>
  <si>
    <t>Company Beauty SL1822</t>
  </si>
  <si>
    <t>Pistoia</t>
  </si>
  <si>
    <t>Via Sebastiano Ciampi, 39, 51100 Pistoia PT, Italia</t>
  </si>
  <si>
    <t>43,22</t>
  </si>
  <si>
    <t>Beauty Salon 2633</t>
  </si>
  <si>
    <t>Company Beauty SL2633</t>
  </si>
  <si>
    <t>Pamplona</t>
  </si>
  <si>
    <t>Calle Emilio Arrieta, 25, 31002 Pamplona, Navarra, España</t>
  </si>
  <si>
    <t>B73333337</t>
  </si>
  <si>
    <t>43,33</t>
  </si>
  <si>
    <t>Beauty Salon 630</t>
  </si>
  <si>
    <t>Company Beauty SL630</t>
  </si>
  <si>
    <t>Biancavilla</t>
  </si>
  <si>
    <t>Via Monte Cervino, 9, 95033 Biancavilla CT, Italia</t>
  </si>
  <si>
    <t>Beauty Salon 805</t>
  </si>
  <si>
    <t>Company Beauty SL805</t>
  </si>
  <si>
    <t>Palma</t>
  </si>
  <si>
    <t>Carrer de Miquel Capllonch, 21, 07010 Palma, Illes Balears, España</t>
  </si>
  <si>
    <t>33737376Y</t>
  </si>
  <si>
    <t>Beauty Salon 1512</t>
  </si>
  <si>
    <t>Company Beauty SL1512</t>
  </si>
  <si>
    <t>Plaza Parque de Capuchinos, 3, 11405 Jerez de la Frontera, Cádiz</t>
  </si>
  <si>
    <t>B33733373</t>
  </si>
  <si>
    <t>41,93</t>
  </si>
  <si>
    <t>Beauty Salon 3043</t>
  </si>
  <si>
    <t>Company Beauty SL3043</t>
  </si>
  <si>
    <t>Figline e Incisa Valdarno</t>
  </si>
  <si>
    <t>Via Francesco Petrarca, 54/56, 50064 Figline e Incisa Valdarno FI, Italia</t>
  </si>
  <si>
    <t>Beauty Salon 3668</t>
  </si>
  <si>
    <t>Company Beauty SL3668</t>
  </si>
  <si>
    <t>Torrejón de Ardoz</t>
  </si>
  <si>
    <t>Centro Comercial Parque Corredor, Ctra. Ajalvir Centro Comerci, s/n, 28850 Torrejón de Ardoz, Madrid</t>
  </si>
  <si>
    <t>33366363V</t>
  </si>
  <si>
    <t>39,44</t>
  </si>
  <si>
    <t>Beauty Salon 594</t>
  </si>
  <si>
    <t>Company Beauty SL594</t>
  </si>
  <si>
    <t>Πειραιάς</t>
  </si>
  <si>
    <t>Αιτωλικού 45, Πειραιάς 185 45, Ελλάδα</t>
  </si>
  <si>
    <t>Beauty Salon 4192</t>
  </si>
  <si>
    <t>Company Beauty SL4192</t>
  </si>
  <si>
    <t>Patti</t>
  </si>
  <si>
    <t>Via Giuseppe Verdi, 3, 98066 Patti ME, Italia</t>
  </si>
  <si>
    <t>42,31</t>
  </si>
  <si>
    <t>Beauty Salon 1776</t>
  </si>
  <si>
    <t>Company Beauty SL1776</t>
  </si>
  <si>
    <t>centro storico di San Salvo</t>
  </si>
  <si>
    <t>Via Trignina, 58, 66050 centro storico di San Salvo CH, Italia</t>
  </si>
  <si>
    <t>Beauty Salon 184</t>
  </si>
  <si>
    <t>Company Beauty SL184</t>
  </si>
  <si>
    <t>Antequera</t>
  </si>
  <si>
    <t>Calle Comedias, 18, 29200 Antequera, Málaga, España</t>
  </si>
  <si>
    <t>B33673333</t>
  </si>
  <si>
    <t>42,91</t>
  </si>
  <si>
    <t>Beauty Salon 2747</t>
  </si>
  <si>
    <t>Company Beauty SL2747</t>
  </si>
  <si>
    <t>Monteggio</t>
  </si>
  <si>
    <t>Via Cantonale 103, 6996 Monteggio, Svizzera</t>
  </si>
  <si>
    <t>CHE-336333337</t>
  </si>
  <si>
    <t>31,64</t>
  </si>
  <si>
    <t>Beauty Salon 2989</t>
  </si>
  <si>
    <t>Company Beauty SL2989</t>
  </si>
  <si>
    <t>Via Gian Giacomo Mora, 5, 20123 Milano MI, Italia</t>
  </si>
  <si>
    <t>43,94</t>
  </si>
  <si>
    <t>Beauty Salon 1118</t>
  </si>
  <si>
    <t>Company Beauty SL1118</t>
  </si>
  <si>
    <t>Carrer de Cecili Metel, 1, 07003 Palma, Illes Balears, España</t>
  </si>
  <si>
    <t>Y3373333P</t>
  </si>
  <si>
    <t>38,62</t>
  </si>
  <si>
    <t>Beauty Salon 4123</t>
  </si>
  <si>
    <t>Company Beauty SL4123</t>
  </si>
  <si>
    <t>Via Giuseppe Orsi, 46, 80128 Napoli NA, Italia</t>
  </si>
  <si>
    <t>41,56</t>
  </si>
  <si>
    <t>Via Nizza, 142, 10126 Torino TO, Italia</t>
  </si>
  <si>
    <t>0,14</t>
  </si>
  <si>
    <t>Beauty Salon 817</t>
  </si>
  <si>
    <t>Company Beauty SL817</t>
  </si>
  <si>
    <t>Domodossola</t>
  </si>
  <si>
    <t>Via Luigi Cadorna, 38, 28845 Domodossola VB, Italia</t>
  </si>
  <si>
    <t>43,98</t>
  </si>
  <si>
    <t>Beauty Salon 113</t>
  </si>
  <si>
    <t>Company Beauty SL113</t>
  </si>
  <si>
    <t>Av. del Dr. Federico Rubio y Galí, 104, 28040 Madrid, España</t>
  </si>
  <si>
    <t>33376377K</t>
  </si>
  <si>
    <t>43,82</t>
  </si>
  <si>
    <t>Beauty Salon 3774</t>
  </si>
  <si>
    <t>Company Beauty SL3774</t>
  </si>
  <si>
    <t>Lecce</t>
  </si>
  <si>
    <t>Via Giuseppe Giusti, 47, 73100 Lecce LE, Italia</t>
  </si>
  <si>
    <t>40,46</t>
  </si>
  <si>
    <t>Beauty Salon 3832</t>
  </si>
  <si>
    <t>Company Beauty SL3832</t>
  </si>
  <si>
    <t>Savona</t>
  </si>
  <si>
    <t>Via Milano, 50r, 17100 Savona SV, Italia</t>
  </si>
  <si>
    <t>23,25</t>
  </si>
  <si>
    <t>Beauty Salon 549</t>
  </si>
  <si>
    <t>Company Beauty SL549</t>
  </si>
  <si>
    <t>Via Luigi Bodio, 49, 00191 Roma RM, Italia</t>
  </si>
  <si>
    <t>Beauty Salon 4593</t>
  </si>
  <si>
    <t>Company Beauty SL4593</t>
  </si>
  <si>
    <t>Formigine</t>
  </si>
  <si>
    <t>Via Battezzate, 27, 41043 Formigine MO, Italia</t>
  </si>
  <si>
    <t>Beauty Salon 3680</t>
  </si>
  <si>
    <t>Company Beauty SL3680</t>
  </si>
  <si>
    <t>Via Candido Viberti, 31, 10141 Torino TO, Italia</t>
  </si>
  <si>
    <t>41,55</t>
  </si>
  <si>
    <t>Beauty Salon 3690</t>
  </si>
  <si>
    <t>Company Beauty SL3690</t>
  </si>
  <si>
    <t>Murcia</t>
  </si>
  <si>
    <t>Av. Europa, 4, 30007 Murcia, España</t>
  </si>
  <si>
    <t>B73373333</t>
  </si>
  <si>
    <t>43,69</t>
  </si>
  <si>
    <t>Beauty Salon 2529</t>
  </si>
  <si>
    <t>Company Beauty SL2529</t>
  </si>
  <si>
    <t>Catanzaro</t>
  </si>
  <si>
    <t>Via Merante Vincenzo Padre, 11B, 88100 Catanzaro CZ, Italia</t>
  </si>
  <si>
    <t>41,83</t>
  </si>
  <si>
    <t>Beauty Salon 3292</t>
  </si>
  <si>
    <t>Company Beauty SL3292</t>
  </si>
  <si>
    <t>Elda</t>
  </si>
  <si>
    <t>Av. de Madrid, 3, 03610 Elda, Alicante, España</t>
  </si>
  <si>
    <t>B33776733</t>
  </si>
  <si>
    <t>44,08</t>
  </si>
  <si>
    <t>Beauty Salon 2822</t>
  </si>
  <si>
    <t>Company Beauty SL2822</t>
  </si>
  <si>
    <t>Bronte</t>
  </si>
  <si>
    <t>Via Scorpione, 5, 95034 Bronte CT, Italia</t>
  </si>
  <si>
    <t>Beauty Salon 3010</t>
  </si>
  <si>
    <t>Company Beauty SL3010</t>
  </si>
  <si>
    <t>Taranto</t>
  </si>
  <si>
    <t>Via Lago Trasimeno, 2, 74121 Taranto TA, Italia</t>
  </si>
  <si>
    <t>43,07</t>
  </si>
  <si>
    <t>Beauty Salon 1576</t>
  </si>
  <si>
    <t>Company Beauty SL1576</t>
  </si>
  <si>
    <t>Abbiategrasso</t>
  </si>
  <si>
    <t>Piazza Cinque Giornate, 23, 20081 Abbiategrasso MI, Italia</t>
  </si>
  <si>
    <t>36,47</t>
  </si>
  <si>
    <t>Beauty Salon 1771</t>
  </si>
  <si>
    <t>Company Beauty SL1771</t>
  </si>
  <si>
    <t>Calle de Serrano, 15, 28001 Madrid, España</t>
  </si>
  <si>
    <t>B37333337</t>
  </si>
  <si>
    <t>Beauty Salon 2678</t>
  </si>
  <si>
    <t>Company Beauty SL2678</t>
  </si>
  <si>
    <t>Cuneo</t>
  </si>
  <si>
    <t>Via XXXIII Reggimento Fanteria, 1, 12100 Cuneo CN, Italia</t>
  </si>
  <si>
    <t>Beauty Salon 925</t>
  </si>
  <si>
    <t>Company Beauty SL925</t>
  </si>
  <si>
    <t>Via Lucca, 31, 00161 Roma RM, Italia</t>
  </si>
  <si>
    <t>40,24</t>
  </si>
  <si>
    <t>Beauty Salon 4490</t>
  </si>
  <si>
    <t>Company Beauty SL4490</t>
  </si>
  <si>
    <t>Σητεία</t>
  </si>
  <si>
    <t>Βιτσέντζου Κορνάρου 11, Σητεία 723 00, Ελλάδα</t>
  </si>
  <si>
    <t>0,29</t>
  </si>
  <si>
    <t>Beauty Salon 2789</t>
  </si>
  <si>
    <t>Company Beauty SL2789</t>
  </si>
  <si>
    <t>Via della Riserva Nuova, 294, 00132 Roma RM, Italia</t>
  </si>
  <si>
    <t>Beauty Salon 1026</t>
  </si>
  <si>
    <t>Company Beauty SL1026</t>
  </si>
  <si>
    <t>Ispica</t>
  </si>
  <si>
    <t>Via Giuseppe Mazzini, 39, 97014 Ispica RG, Italia</t>
  </si>
  <si>
    <t>Beauty Salon 1336</t>
  </si>
  <si>
    <t>Company Beauty SL1336</t>
  </si>
  <si>
    <t>Giugliano in Campania</t>
  </si>
  <si>
    <t>Via Roma, 51, 80014 Giugliano in Campania NA, Italia</t>
  </si>
  <si>
    <t>Beauty Salon 3392</t>
  </si>
  <si>
    <t>Company Beauty SL3392</t>
  </si>
  <si>
    <t>Caserta</t>
  </si>
  <si>
    <t>Via Gianfrancesco Alois, 16, 81100 Caserta CE, Italia</t>
  </si>
  <si>
    <t>Beauty Salon 3527</t>
  </si>
  <si>
    <t>Company Beauty SL3527</t>
  </si>
  <si>
    <t>Via dell'Epomeo, 488/490, 80126 Napoli NA, Italia</t>
  </si>
  <si>
    <t>0,26</t>
  </si>
  <si>
    <t>Beauty Salon 4263</t>
  </si>
  <si>
    <t>Company Beauty SL4263</t>
  </si>
  <si>
    <t>Fidenza</t>
  </si>
  <si>
    <t>Via Benedetto Bacchini, 18, 43036 Fidenza PR, Italia</t>
  </si>
  <si>
    <t>Beauty Salon 2064</t>
  </si>
  <si>
    <t>Company Beauty SL2064</t>
  </si>
  <si>
    <t>Via delle Quattro Fontane, 111, 00184 Roma RM, Italia</t>
  </si>
  <si>
    <t>Calle de Melilla, 43, 28005 Madrid, España</t>
  </si>
  <si>
    <t>B33333733</t>
  </si>
  <si>
    <t>39,91</t>
  </si>
  <si>
    <t>Beauty Salon 4987</t>
  </si>
  <si>
    <t>Company Beauty SL4987</t>
  </si>
  <si>
    <t>Via Francesco de Sanctis, 33, 20141 Milano MI, Italia</t>
  </si>
  <si>
    <t>Beauty Salon 102</t>
  </si>
  <si>
    <t>Company Beauty SL102</t>
  </si>
  <si>
    <t>Pomigliano d'Arco</t>
  </si>
  <si>
    <t>Via Felice Terracciano, 100, 80038 Pomigliano d'Arco NA, Italia</t>
  </si>
  <si>
    <t>Beauty Salon 4693</t>
  </si>
  <si>
    <t>Company Beauty SL4693</t>
  </si>
  <si>
    <t>Calle de Coslada, 12, 28028 Madrid, España</t>
  </si>
  <si>
    <t>Y7337373P</t>
  </si>
  <si>
    <t>41,86</t>
  </si>
  <si>
    <t>Beauty Salon 4285</t>
  </si>
  <si>
    <t>Company Beauty SL4285</t>
  </si>
  <si>
    <t>Albissola Marina</t>
  </si>
  <si>
    <t>Corso Baldovino Bigliati, 112, 17012 Albissola Marina SV, Italia</t>
  </si>
  <si>
    <t>35,5</t>
  </si>
  <si>
    <t>Beauty Salon 4661</t>
  </si>
  <si>
    <t>Company Beauty SL4661</t>
  </si>
  <si>
    <t>C/ d'Almassora, 40, 46010 València, Valencia, España</t>
  </si>
  <si>
    <t>33373367L</t>
  </si>
  <si>
    <t>42,9</t>
  </si>
  <si>
    <t>Beauty Salon 2468</t>
  </si>
  <si>
    <t>Company Beauty SL2468</t>
  </si>
  <si>
    <t>Cingoli</t>
  </si>
  <si>
    <t>Via Amici della Marca, 1, 62011 Cingoli MC, Italia</t>
  </si>
  <si>
    <t>32,77</t>
  </si>
  <si>
    <t>Beauty Salon 1887</t>
  </si>
  <si>
    <t>Company Beauty SL1887</t>
  </si>
  <si>
    <t>Manziana</t>
  </si>
  <si>
    <t>Via S. Francesco D'Assisi, 16, 00066 Manziana RM, Italia</t>
  </si>
  <si>
    <t>Beauty Salon 3883</t>
  </si>
  <si>
    <t>Company Beauty SL3883</t>
  </si>
  <si>
    <t>San Felice Circeo</t>
  </si>
  <si>
    <t>Viale Regina Elena, 58, 04017 San Felice Circeo LT, Italia</t>
  </si>
  <si>
    <t>Beauty Salon 1137</t>
  </si>
  <si>
    <t>Company Beauty SL1137</t>
  </si>
  <si>
    <t>Via Aurelia, 430, 00165 Roma RM, Italia</t>
  </si>
  <si>
    <t>Beauty Salon 1191</t>
  </si>
  <si>
    <t>Company Beauty SL1191</t>
  </si>
  <si>
    <t>Albiano D'ivrea</t>
  </si>
  <si>
    <t>Corso Vittorio Emanuele, 22, 10010 Albiano D'ivrea TO, Italia</t>
  </si>
  <si>
    <t>Beauty Salon 1477</t>
  </si>
  <si>
    <t>Company Beauty SL1477</t>
  </si>
  <si>
    <t>Offanengo</t>
  </si>
  <si>
    <t>via A.de Gasperi, 48, 26010 Offanengo CR, Italia</t>
  </si>
  <si>
    <t>0,24</t>
  </si>
  <si>
    <t>Beauty Salon 730</t>
  </si>
  <si>
    <t>Company Beauty SL730</t>
  </si>
  <si>
    <t>Badalona</t>
  </si>
  <si>
    <t>Carrer del Canonge Baranera, 80, 08911 Badalona, Barcelona, España</t>
  </si>
  <si>
    <t>Y3336336V</t>
  </si>
  <si>
    <t>Beauty Salon 1526</t>
  </si>
  <si>
    <t>Company Beauty SL1526</t>
  </si>
  <si>
    <t>Calle Rodríguez Marín, 78, 28002 Madrid, España</t>
  </si>
  <si>
    <t>Y3336733J</t>
  </si>
  <si>
    <t>41,05</t>
  </si>
  <si>
    <t>Beauty Salon 2514</t>
  </si>
  <si>
    <t>Company Beauty SL2514</t>
  </si>
  <si>
    <t>Castellammare di Stabia</t>
  </si>
  <si>
    <t>Via del Pittore Ignoto, 3, 80053 Castellammare di Stabia NA, Italia</t>
  </si>
  <si>
    <t>Beauty Salon 519</t>
  </si>
  <si>
    <t>Company Beauty SL519</t>
  </si>
  <si>
    <t>Via Maurizio De Vito Piscicelli, 3, 80128 Napoli NA, Italia</t>
  </si>
  <si>
    <t>0,23</t>
  </si>
  <si>
    <t>Beauty Salon 760</t>
  </si>
  <si>
    <t>Company Beauty SL760</t>
  </si>
  <si>
    <t>Oviedo</t>
  </si>
  <si>
    <t>Calle Carreño, 7, 33012 Oviedo, Asturias, España</t>
  </si>
  <si>
    <t>73337363T</t>
  </si>
  <si>
    <t>Beauty Salon 2287</t>
  </si>
  <si>
    <t>Company Beauty SL2287</t>
  </si>
  <si>
    <t>Riccione</t>
  </si>
  <si>
    <t>Viale Portofino, 26, 47838 Riccione RN, Italia</t>
  </si>
  <si>
    <t>38,07</t>
  </si>
  <si>
    <t>Beauty Salon 4577</t>
  </si>
  <si>
    <t>Company Beauty SL4577</t>
  </si>
  <si>
    <t>Schiavonea</t>
  </si>
  <si>
    <t>Via dei Gladioli, 12, 87064 Schiavonea CS, Italia</t>
  </si>
  <si>
    <t>Beauty Salon 1800</t>
  </si>
  <si>
    <t>Company Beauty SL1800</t>
  </si>
  <si>
    <t>Via Tolosetto Farinati degli Uberti, 9b, 37126 Verona VR, Italia</t>
  </si>
  <si>
    <t>3,5</t>
  </si>
  <si>
    <t>14,4</t>
  </si>
  <si>
    <t>Beauty Salon 3521</t>
  </si>
  <si>
    <t>Company Beauty SL3521</t>
  </si>
  <si>
    <t>Novara</t>
  </si>
  <si>
    <t>Via Giancarlo Maggi, 2, 28100 Novara NO, Italia</t>
  </si>
  <si>
    <t>0,32</t>
  </si>
  <si>
    <t>Beauty Salon 1653</t>
  </si>
  <si>
    <t>Company Beauty SL1653</t>
  </si>
  <si>
    <t>Casamassima</t>
  </si>
  <si>
    <t>Via Pietà, 79D, 70010 Casamassima BA, Italia</t>
  </si>
  <si>
    <t>40,79</t>
  </si>
  <si>
    <t>Beauty Salon 273</t>
  </si>
  <si>
    <t>Company Beauty SL273</t>
  </si>
  <si>
    <t>Via Matteo Albertini, 1, 37131 Verona VR, Italia</t>
  </si>
  <si>
    <t>Beauty Salon 1707</t>
  </si>
  <si>
    <t>Company Beauty SL1707</t>
  </si>
  <si>
    <t>109 Boulevard de la Croix-Rousse, 69004 Lyon, France</t>
  </si>
  <si>
    <t>FR37377373337</t>
  </si>
  <si>
    <t>24,71</t>
  </si>
  <si>
    <t>Beauty Salon 3950</t>
  </si>
  <si>
    <t>Company Beauty SL3950</t>
  </si>
  <si>
    <t>Somma Vesuviana</t>
  </si>
  <si>
    <t>Via Mercato Vecchio, 61, 80049 Somma Vesuviana NA, Italia</t>
  </si>
  <si>
    <t>Beauty Salon 1257</t>
  </si>
  <si>
    <t>Company Beauty SL1257</t>
  </si>
  <si>
    <t>Saluzzo</t>
  </si>
  <si>
    <t>Via Cuneo, 4, 12037 Saluzzo CN, Italia</t>
  </si>
  <si>
    <t>Beauty Salon 1486</t>
  </si>
  <si>
    <t>Company Beauty SL1486</t>
  </si>
  <si>
    <t>Quiers</t>
  </si>
  <si>
    <t>30 Rue de Saint-Martin, 77720 Quiers, France</t>
  </si>
  <si>
    <t>4,95</t>
  </si>
  <si>
    <t>40,36</t>
  </si>
  <si>
    <t>Beauty Salon 2606</t>
  </si>
  <si>
    <t>Company Beauty SL2606</t>
  </si>
  <si>
    <t>75 Rue Claude Decaen, 75012 Paris, France</t>
  </si>
  <si>
    <t>Beauty Salon 3482</t>
  </si>
  <si>
    <t>Company Beauty SL3482</t>
  </si>
  <si>
    <t>5 Rue de La Jonquière, 75017 Paris, France</t>
  </si>
  <si>
    <t>FR33373337737</t>
  </si>
  <si>
    <t>0,15</t>
  </si>
  <si>
    <t>Beauty Salon 3928</t>
  </si>
  <si>
    <t>Company Beauty SL3928</t>
  </si>
  <si>
    <t>Borgo Ognissanti, 106R, 50123 Firenze FI, Italia</t>
  </si>
  <si>
    <t>Beauty Salon 1882</t>
  </si>
  <si>
    <t>Company Beauty SL1882</t>
  </si>
  <si>
    <t>Zaragoza</t>
  </si>
  <si>
    <t>Calle Tomas Breton, 40, 50005 Zaragoza, España</t>
  </si>
  <si>
    <t>333337377G</t>
  </si>
  <si>
    <t>44,07</t>
  </si>
  <si>
    <t>Beauty Salon 1714</t>
  </si>
  <si>
    <t>Company Beauty SL1714</t>
  </si>
  <si>
    <t>Via della Cava Aurelia, 147, 00165 Roma RM, Italia</t>
  </si>
  <si>
    <t>Beauty Salon 1416</t>
  </si>
  <si>
    <t>Company Beauty SL1416</t>
  </si>
  <si>
    <t>Les Essarts-le-Roi</t>
  </si>
  <si>
    <t>1 Rés Parc des Essarts, 78690 Les Essarts-le-Roi, France</t>
  </si>
  <si>
    <t>FR3377737737</t>
  </si>
  <si>
    <t>Beauty Salon 4347</t>
  </si>
  <si>
    <t>Company Beauty SL4347</t>
  </si>
  <si>
    <t>Vicenza</t>
  </si>
  <si>
    <t>Via Generale Carlo Alberto dalla Chiesa, 173, 36100 Vicenza VI, Italia</t>
  </si>
  <si>
    <t>Beauty Salon 4099</t>
  </si>
  <si>
    <t>Company Beauty SL4099</t>
  </si>
  <si>
    <t>Ozieri</t>
  </si>
  <si>
    <t>Via Umberto I, 62, 07014 Ozieri SS</t>
  </si>
  <si>
    <t>40,48</t>
  </si>
  <si>
    <t>Beauty Salon 2370</t>
  </si>
  <si>
    <t>Company Beauty SL2370</t>
  </si>
  <si>
    <t>Petrer</t>
  </si>
  <si>
    <t>Av. Reina Sofia, 13, 03610 Petrer, Alicante, España</t>
  </si>
  <si>
    <t>30,46</t>
  </si>
  <si>
    <t>Beauty Salon 3209</t>
  </si>
  <si>
    <t>Company Beauty SL3209</t>
  </si>
  <si>
    <t>Chieti</t>
  </si>
  <si>
    <t>Via Ortona, 9, 66100 Chieti CH, Italia</t>
  </si>
  <si>
    <t>Beauty Salon 2868</t>
  </si>
  <si>
    <t>Company Beauty SL2868</t>
  </si>
  <si>
    <t>Castelnuovo del Garda</t>
  </si>
  <si>
    <t>Via Trento, 46, 37014 Castelnuovo del Garda VR, Italia</t>
  </si>
  <si>
    <t>Beauty Salon 2566</t>
  </si>
  <si>
    <t>Company Beauty SL2566</t>
  </si>
  <si>
    <t>Borriana</t>
  </si>
  <si>
    <t>Carrer la Carrera, 36, 12530 Borriana, Castelló, España</t>
  </si>
  <si>
    <t>33737363R</t>
  </si>
  <si>
    <t>42,01</t>
  </si>
  <si>
    <t>Beauty Salon 2613</t>
  </si>
  <si>
    <t>Company Beauty SL2613</t>
  </si>
  <si>
    <t>Conflans-Sainte-Honorine</t>
  </si>
  <si>
    <t>18 Pl. de la Liberté, 78700 Conflans-Sainte-Honorine, France</t>
  </si>
  <si>
    <t>FR73377333773</t>
  </si>
  <si>
    <t>Beauty Salon 1172</t>
  </si>
  <si>
    <t>Company Beauty SL1172</t>
  </si>
  <si>
    <t>17ης Νοεμβρίου 6, Εύοσμος 562 24, Ελλάδα</t>
  </si>
  <si>
    <t>Beauty Salon 4437</t>
  </si>
  <si>
    <t>Company Beauty SL4437</t>
  </si>
  <si>
    <t>Via Lombardia, 00187 Roma RM, Italia</t>
  </si>
  <si>
    <t>Beauty Salon 3799</t>
  </si>
  <si>
    <t>Company Beauty SL3799</t>
  </si>
  <si>
    <t>Rúa Fuente Álamo, 15, 15010 A Coruña</t>
  </si>
  <si>
    <t>B36373376</t>
  </si>
  <si>
    <t>Beauty Salon 387</t>
  </si>
  <si>
    <t>Company Beauty SL387</t>
  </si>
  <si>
    <t>Carrer de Ricart, 32, 08004 Barcelona, España</t>
  </si>
  <si>
    <t>X7733333V</t>
  </si>
  <si>
    <t>Beauty Salon 2047</t>
  </si>
  <si>
    <t>Company Beauty SL2047</t>
  </si>
  <si>
    <t>Jaca</t>
  </si>
  <si>
    <t>Av. Zaragoza, 32, 22700 Jaca, Huesca, España</t>
  </si>
  <si>
    <t>73773737R</t>
  </si>
  <si>
    <t>Beauty Salon 1812</t>
  </si>
  <si>
    <t>Company Beauty SL1812</t>
  </si>
  <si>
    <t>Cagliari</t>
  </si>
  <si>
    <t>Via Enrico Pessina, 3, 09125 Cagliari CA, Italia</t>
  </si>
  <si>
    <t>Beauty Salon 4523</t>
  </si>
  <si>
    <t>Company Beauty SL4523</t>
  </si>
  <si>
    <t>Via Eduardo Nicolardi, 192, 80131 Napoli NA, Italia</t>
  </si>
  <si>
    <t>41,4</t>
  </si>
  <si>
    <t>Beauty Salon 4772</t>
  </si>
  <si>
    <t>Company Beauty SL4772</t>
  </si>
  <si>
    <t>Μαρούσι</t>
  </si>
  <si>
    <t>Μητροπόλεως 43, Μαρούσι 151 24, Ελλάδα</t>
  </si>
  <si>
    <t>Beauty Salon 4985</t>
  </si>
  <si>
    <t>Company Beauty SL4985</t>
  </si>
  <si>
    <t>Άγιος Δημήτριος Αττικής</t>
  </si>
  <si>
    <t>Μπουμπουλίνας 10, Αγ. Δημήτριος Αττικής 173 43, Ελλάδα</t>
  </si>
  <si>
    <t>41,34</t>
  </si>
  <si>
    <t>Beauty Salon 3353</t>
  </si>
  <si>
    <t>Company Beauty SL3353</t>
  </si>
  <si>
    <t>Sissa Trecasali</t>
  </si>
  <si>
    <t>Piazza G. Picelli, 11, 43018 Sissa Trecasali PR, Italia</t>
  </si>
  <si>
    <t>Beauty Salon 1546</t>
  </si>
  <si>
    <t>Company Beauty SL1546</t>
  </si>
  <si>
    <t>C. de Vinaroz, 6, 28002 Madrid, España</t>
  </si>
  <si>
    <t>2,5</t>
  </si>
  <si>
    <t>Y7737737N</t>
  </si>
  <si>
    <t>9,26</t>
  </si>
  <si>
    <t>Beauty Salon 4748</t>
  </si>
  <si>
    <t>Company Beauty SL4748</t>
  </si>
  <si>
    <t>Viale Col di Lana, 12, 20136 Milano MI, Italia</t>
  </si>
  <si>
    <t>41,17</t>
  </si>
  <si>
    <t>Beauty Salon 3472</t>
  </si>
  <si>
    <t>Company Beauty SL3472</t>
  </si>
  <si>
    <t>Siracusa</t>
  </si>
  <si>
    <t>Via Luigi Spagna, 81/83, 96100 Siracusa SR, Italia</t>
  </si>
  <si>
    <t>Beauty Salon 3716</t>
  </si>
  <si>
    <t>Company Beauty SL3716</t>
  </si>
  <si>
    <t>Via Prenestina, 394f, 00171 Roma RM, Italia</t>
  </si>
  <si>
    <t>38,7</t>
  </si>
  <si>
    <t>Beauty Salon 138</t>
  </si>
  <si>
    <t>Company Beauty SL138</t>
  </si>
  <si>
    <t>San Cristóbal de La Laguna</t>
  </si>
  <si>
    <t>C. Pablo Iglesias, 22, 38203 San Cristóbal de La Laguna, Santa Cruz de Tenerife, España</t>
  </si>
  <si>
    <t>73377377X</t>
  </si>
  <si>
    <t>Beauty Salon 558</t>
  </si>
  <si>
    <t>Company Beauty SL558</t>
  </si>
  <si>
    <t>Sant Antoni de Portmany</t>
  </si>
  <si>
    <t>Carrer de Cervantes, 38, 07820 Sant Antoni de Portmany, Illes Balears, España</t>
  </si>
  <si>
    <t>37333337T</t>
  </si>
  <si>
    <t>Beauty Salon 2866</t>
  </si>
  <si>
    <t>Company Beauty SL2866</t>
  </si>
  <si>
    <t>Via Luigi Settembrini, 2, 20124 Milano MI, Italia</t>
  </si>
  <si>
    <t>Beauty Salon 1056</t>
  </si>
  <si>
    <t>Company Beauty SL1056</t>
  </si>
  <si>
    <t>Casavatore</t>
  </si>
  <si>
    <t>Corso Europa, 130, 80020 Casavatore NA, Italy</t>
  </si>
  <si>
    <t>37,78</t>
  </si>
  <si>
    <t>Beauty Salon 2282</t>
  </si>
  <si>
    <t>Company Beauty SL2282</t>
  </si>
  <si>
    <t>Lliçà de Vall</t>
  </si>
  <si>
    <t>Plaça de la Vila, 2, 08150 Lliçà de Vall, Barcelona, España</t>
  </si>
  <si>
    <t>X7336633N</t>
  </si>
  <si>
    <t>39,87</t>
  </si>
  <si>
    <t>Beauty Salon 1971</t>
  </si>
  <si>
    <t>Company Beauty SL1971</t>
  </si>
  <si>
    <t>4 Rue Poirier de Narçay, 75014 Paris, France</t>
  </si>
  <si>
    <t>FR33373337337</t>
  </si>
  <si>
    <t>11,02</t>
  </si>
  <si>
    <t>Beauty Salon 741</t>
  </si>
  <si>
    <t>Company Beauty SL741</t>
  </si>
  <si>
    <t>La Coruña</t>
  </si>
  <si>
    <t>Rda. de Outeiro, 255, 15010 La Coruña, España</t>
  </si>
  <si>
    <t>73773333N</t>
  </si>
  <si>
    <t>39,47</t>
  </si>
  <si>
    <t>Beauty Salon 220</t>
  </si>
  <si>
    <t>Company Beauty SL220</t>
  </si>
  <si>
    <t>Calle del Gral Oraá, 59, 28006 Madrid, España</t>
  </si>
  <si>
    <t>Y3373337S</t>
  </si>
  <si>
    <t>37,94</t>
  </si>
  <si>
    <t>Beauty Salon 3399</t>
  </si>
  <si>
    <t>Company Beauty SL3399</t>
  </si>
  <si>
    <t>C. de Padilla, 5, 28006 Madrid, España</t>
  </si>
  <si>
    <t>B77337333</t>
  </si>
  <si>
    <t>40,88</t>
  </si>
  <si>
    <t>Beauty Salon 3280</t>
  </si>
  <si>
    <t>Company Beauty SL3280</t>
  </si>
  <si>
    <t>Oleiros</t>
  </si>
  <si>
    <t>Rúa do Peneireiro, 1, 15178 Oleiros, A Coruña, España</t>
  </si>
  <si>
    <t>Y7377373J</t>
  </si>
  <si>
    <t>Beauty Salon 4890</t>
  </si>
  <si>
    <t>Company Beauty SL4890</t>
  </si>
  <si>
    <t>Huesca</t>
  </si>
  <si>
    <t>C. Mesnaderos, 8, 22003 Huesca</t>
  </si>
  <si>
    <t>Y3377363T</t>
  </si>
  <si>
    <t>39,33</t>
  </si>
  <si>
    <t>Beauty Salon 698</t>
  </si>
  <si>
    <t>Company Beauty SL698</t>
  </si>
  <si>
    <t>Masquefa</t>
  </si>
  <si>
    <t>Carrer Serralet, 92, 08783 Masquefa, Barcelona, España</t>
  </si>
  <si>
    <t>37677336K</t>
  </si>
  <si>
    <t>16,12</t>
  </si>
  <si>
    <t>Beauty Salon 461</t>
  </si>
  <si>
    <t>Company Beauty SL461</t>
  </si>
  <si>
    <t>C. de San Millán, 5, 28012 Madrid, España</t>
  </si>
  <si>
    <t>B33733333</t>
  </si>
  <si>
    <t>34,15</t>
  </si>
  <si>
    <t>Beauty Salon 2150</t>
  </si>
  <si>
    <t>Company Beauty SL2150</t>
  </si>
  <si>
    <t>Logroño</t>
  </si>
  <si>
    <t>Av. Gonzalo de Berceo, 26, 26005 Logroño, La Rioja, España</t>
  </si>
  <si>
    <t>X3333333C</t>
  </si>
  <si>
    <t>29,8</t>
  </si>
  <si>
    <t>Beauty Salon 2506</t>
  </si>
  <si>
    <t>Company Beauty SL2506</t>
  </si>
  <si>
    <t>Badajoz</t>
  </si>
  <si>
    <t>Av. de Cristobal Colón, 18, 06005 Badajoz, España</t>
  </si>
  <si>
    <t>E67733367</t>
  </si>
  <si>
    <t>25,67</t>
  </si>
  <si>
    <t>Beauty Salon 122</t>
  </si>
  <si>
    <t>Company Beauty SL122</t>
  </si>
  <si>
    <t>C. de Mallorca, 277, 08037 Barcelona, España</t>
  </si>
  <si>
    <t>33336737T</t>
  </si>
  <si>
    <t>Beauty Salon 971</t>
  </si>
  <si>
    <t>Company Beauty SL971</t>
  </si>
  <si>
    <t>Sant Andreu Salou</t>
  </si>
  <si>
    <t>Can Mas Nou, 74, Veïnat de les Bosques, 17454 Sant Andreu Salou, Girona, España</t>
  </si>
  <si>
    <t>33377337K</t>
  </si>
  <si>
    <t>42,59</t>
  </si>
  <si>
    <t>Beauty Salon 1885</t>
  </si>
  <si>
    <t>Company Beauty SL1885</t>
  </si>
  <si>
    <t>C. de Mota del Cuervo, 8, 28043 Madrid, España</t>
  </si>
  <si>
    <t>B33773337</t>
  </si>
  <si>
    <t>34,5</t>
  </si>
  <si>
    <t>Beauty Salon 2836</t>
  </si>
  <si>
    <t>Company Beauty SL2836</t>
  </si>
  <si>
    <t>L'Hospitalet de Llobregat</t>
  </si>
  <si>
    <t>C. de la Ermita de Bellvitge, 21, 29, 08907 L'Hospitalet de Llobregat, Barcelona, España</t>
  </si>
  <si>
    <t>Y3333333Z</t>
  </si>
  <si>
    <t>Beauty Salon 3001</t>
  </si>
  <si>
    <t>Company Beauty SL3001</t>
  </si>
  <si>
    <t>Jaén</t>
  </si>
  <si>
    <t>C. San Francisco Javier, 23006 Jaén, España</t>
  </si>
  <si>
    <t>77777376Y</t>
  </si>
  <si>
    <t>36,33</t>
  </si>
  <si>
    <t>Beauty Salon 3185</t>
  </si>
  <si>
    <t>Company Beauty SL3185</t>
  </si>
  <si>
    <t>Móstoles</t>
  </si>
  <si>
    <t>C. Río Tormes, 17, 28935 Móstoles, Madrid, España</t>
  </si>
  <si>
    <t>33737777T</t>
  </si>
  <si>
    <t>Beauty Salon 2328</t>
  </si>
  <si>
    <t>Company Beauty SL2328</t>
  </si>
  <si>
    <t>Paterna</t>
  </si>
  <si>
    <t>Carrer de Sant Agustí, 2, 46980 Paterna, Valencia, España</t>
  </si>
  <si>
    <t>33733363F</t>
  </si>
  <si>
    <t>Beauty Salon 3359</t>
  </si>
  <si>
    <t>Company Beauty SL3359</t>
  </si>
  <si>
    <t>Granada</t>
  </si>
  <si>
    <t>C. Emperatriz Eugenia, 17, 18002 Granada, España</t>
  </si>
  <si>
    <t>B67733767</t>
  </si>
  <si>
    <t>36,85</t>
  </si>
  <si>
    <t>C/ d'Aragó, 458, 08013 Barcelona, España</t>
  </si>
  <si>
    <t>37733363D</t>
  </si>
  <si>
    <t>Beauty Salon 1829</t>
  </si>
  <si>
    <t>Company Beauty SL1829</t>
  </si>
  <si>
    <t>C. de Sierra Toledana, 19, 28038 Madrid, España</t>
  </si>
  <si>
    <t>36373333R</t>
  </si>
  <si>
    <t>Beauty Salon 4173</t>
  </si>
  <si>
    <t>Company Beauty SL4173</t>
  </si>
  <si>
    <t>Carrer de Vilamarí, 26, 08015 Barcelona, España</t>
  </si>
  <si>
    <t>37333337Y</t>
  </si>
  <si>
    <t>Beauty Salon 4725</t>
  </si>
  <si>
    <t>Company Beauty SL4725</t>
  </si>
  <si>
    <t>C. de Gabriel Lobo, 18, 28002 Madrid, España</t>
  </si>
  <si>
    <t>B67733337</t>
  </si>
  <si>
    <t>28,27</t>
  </si>
  <si>
    <t>Beauty Salon 4688</t>
  </si>
  <si>
    <t>Company Beauty SL4688</t>
  </si>
  <si>
    <t>C. de Mesena, 108, 28033 Madrid, España</t>
  </si>
  <si>
    <t>36333637N</t>
  </si>
  <si>
    <t>32,6</t>
  </si>
  <si>
    <t>Beauty Salon 1609</t>
  </si>
  <si>
    <t>Company Beauty SL1609</t>
  </si>
  <si>
    <t>Marbella</t>
  </si>
  <si>
    <t>C. Jacinto Benavente, 23, 29601 Marbella, Málaga, España</t>
  </si>
  <si>
    <t>Y7777373S</t>
  </si>
  <si>
    <t>Beauty Salon 174</t>
  </si>
  <si>
    <t>Company Beauty SL174</t>
  </si>
  <si>
    <t>C. Serrano, 217, 28016 Madrid, España</t>
  </si>
  <si>
    <t>33363333N</t>
  </si>
  <si>
    <t>Beauty Salon 3167</t>
  </si>
  <si>
    <t>Company Beauty SL3167</t>
  </si>
  <si>
    <t>Gran Via de les Corts Catalanes, 753, 08013 Barcelona, España</t>
  </si>
  <si>
    <t>Y6776733P</t>
  </si>
  <si>
    <t>41,69</t>
  </si>
  <si>
    <t>Beauty Salon 82</t>
  </si>
  <si>
    <t>Company Beauty SL82</t>
  </si>
  <si>
    <t>Avellino</t>
  </si>
  <si>
    <t>Piazza D'Armi, 10, 83100 Avellino AV, Italia</t>
  </si>
  <si>
    <t>Beauty Salon 602</t>
  </si>
  <si>
    <t>Company Beauty SL602</t>
  </si>
  <si>
    <t>Pl. d'Urquinaona, 6, 14c, 08010 Barcelona, España</t>
  </si>
  <si>
    <t>Y6677373D</t>
  </si>
  <si>
    <t>Beauty Salon 1901</t>
  </si>
  <si>
    <t>Company Beauty SL1901</t>
  </si>
  <si>
    <t>Settimo Torinese</t>
  </si>
  <si>
    <t>Via Italia, 53, 10036 Settimo Torinese TO, Italia</t>
  </si>
  <si>
    <t>Beauty Salon 1930</t>
  </si>
  <si>
    <t>Company Beauty SL1930</t>
  </si>
  <si>
    <t>Av. de Pío XII, 29, 31008 Pamplona, Navarra, España</t>
  </si>
  <si>
    <t>73337333L</t>
  </si>
  <si>
    <t>39,76</t>
  </si>
  <si>
    <t>Beauty Salon 4084</t>
  </si>
  <si>
    <t>Company Beauty SL4084</t>
  </si>
  <si>
    <t>Via Stanislao Manna, 76, 80126 Napoli NA, Italia</t>
  </si>
  <si>
    <t>38,13</t>
  </si>
  <si>
    <t>Beauty Salon 1310</t>
  </si>
  <si>
    <t>Company Beauty SL1310</t>
  </si>
  <si>
    <t>Seveso</t>
  </si>
  <si>
    <t>Corso Giuseppe Garibaldi, 35, 20822 Seveso MB, Italia</t>
  </si>
  <si>
    <t>Beauty Salon 2791</t>
  </si>
  <si>
    <t>Company Beauty SL2791</t>
  </si>
  <si>
    <t>Chiesa</t>
  </si>
  <si>
    <t>Via Guglielmo Marconi, 11, 25080 Chiesa BS, Italia</t>
  </si>
  <si>
    <t>Beauty Salon 1872</t>
  </si>
  <si>
    <t>Company Beauty SL1872</t>
  </si>
  <si>
    <t>Carrer del Palleter, 38, 46008 València, Valencia, España</t>
  </si>
  <si>
    <t>77373337D</t>
  </si>
  <si>
    <t>13,51</t>
  </si>
  <si>
    <t>Vincennes</t>
  </si>
  <si>
    <t>34 Av. Franklin Roosevelt, 94300 Vincennes, France</t>
  </si>
  <si>
    <t>FR36333673733</t>
  </si>
  <si>
    <t>39,5</t>
  </si>
  <si>
    <t>Beauty Salon 2333</t>
  </si>
  <si>
    <t>Company Beauty SL2333</t>
  </si>
  <si>
    <t>Viale Coni Zugna, 52, 20131 Milano MI, Italia</t>
  </si>
  <si>
    <t>Beauty Salon 2632</t>
  </si>
  <si>
    <t>Company Beauty SL2632</t>
  </si>
  <si>
    <t>Av. Pablo Neruda, 102, 28018 Madrid, España</t>
  </si>
  <si>
    <t>73767373L</t>
  </si>
  <si>
    <t>31,5</t>
  </si>
  <si>
    <t>Beauty Salon 2926</t>
  </si>
  <si>
    <t>Company Beauty SL2926</t>
  </si>
  <si>
    <t>La Alcayna</t>
  </si>
  <si>
    <t>C. Picos de Europa, 61, 30507 La Alcayna, Murcia, España</t>
  </si>
  <si>
    <t>33333336D</t>
  </si>
  <si>
    <t>Beauty Salon 4941</t>
  </si>
  <si>
    <t>Company Beauty SL4941</t>
  </si>
  <si>
    <t>Velilla de San Antonio</t>
  </si>
  <si>
    <t>C. San Sebastián, 6, 28891 Velilla de San Antonio, Madrid, España</t>
  </si>
  <si>
    <t>B33377333</t>
  </si>
  <si>
    <t>Beauty Salon 1624</t>
  </si>
  <si>
    <t>Company Beauty SL1624</t>
  </si>
  <si>
    <t>Terrassa</t>
  </si>
  <si>
    <t>Carrer de Sierra Nevada, 11, 08227 Terrassa, Barcelona, España</t>
  </si>
  <si>
    <t>33633633Y</t>
  </si>
  <si>
    <t>33,43</t>
  </si>
  <si>
    <t>Beauty Salon 2264</t>
  </si>
  <si>
    <t>Company Beauty SL2264</t>
  </si>
  <si>
    <t>Largo Baluardo, 11, 96012 Avola SR, Italia</t>
  </si>
  <si>
    <t>Beauty Salon 3091</t>
  </si>
  <si>
    <t>Company Beauty SL3091</t>
  </si>
  <si>
    <t>Portici</t>
  </si>
  <si>
    <t>Via Emanuele Gianturco, 34, 80055 Portici NA, Italia</t>
  </si>
  <si>
    <t>Beauty Salon 2810</t>
  </si>
  <si>
    <t>Company Beauty SL2810</t>
  </si>
  <si>
    <t>58 Rue St Sabin, 75011 Paris, France</t>
  </si>
  <si>
    <t>0,34</t>
  </si>
  <si>
    <t>Beauty Salon 2912</t>
  </si>
  <si>
    <t>Company Beauty SL2912</t>
  </si>
  <si>
    <t>Via Padre Eusebio Iori, 11, 38123 Trento TN, Italia</t>
  </si>
  <si>
    <t>Beauty Salon 3920</t>
  </si>
  <si>
    <t>Company Beauty SL3920</t>
  </si>
  <si>
    <t>Hostalric</t>
  </si>
  <si>
    <t>Carrer Poeta Ruyra, 18, 17450 Hostalric, Girona, España</t>
  </si>
  <si>
    <t>B67737377</t>
  </si>
  <si>
    <t>42,02</t>
  </si>
  <si>
    <t>Beauty Salon 2227</t>
  </si>
  <si>
    <t>Company Beauty SL2227</t>
  </si>
  <si>
    <t>Av. de la Mare de Déu de Montserrat, 170, 08041 Barcelona, España</t>
  </si>
  <si>
    <t>Y7737733S</t>
  </si>
  <si>
    <t>41,91</t>
  </si>
  <si>
    <t>Beauty Salon 3820</t>
  </si>
  <si>
    <t>Company Beauty SL3820</t>
  </si>
  <si>
    <t>Correggio</t>
  </si>
  <si>
    <t>Via Luciano Tondelli, 42015 Correggio RE, Italia</t>
  </si>
  <si>
    <t>Beauty Salon 1690</t>
  </si>
  <si>
    <t>Company Beauty SL1690</t>
  </si>
  <si>
    <t>Via Lodovico Settala, 3, 20124 Milano MI, Italia</t>
  </si>
  <si>
    <t>Beauty Salon 1750</t>
  </si>
  <si>
    <t>Company Beauty SL1750</t>
  </si>
  <si>
    <t>Κόρινθος</t>
  </si>
  <si>
    <t>Γεωρ. Παπανδρέου 41, Κόρινθος 201 00, Ελλάδα</t>
  </si>
  <si>
    <t>Beauty Salon 3951</t>
  </si>
  <si>
    <t>Company Beauty SL3951</t>
  </si>
  <si>
    <t>216 Rue de la Croix Nivert, 75015 Paris, France</t>
  </si>
  <si>
    <t>FR33737373767</t>
  </si>
  <si>
    <t>Beauty Salon 491</t>
  </si>
  <si>
    <t>Company Beauty SL491</t>
  </si>
  <si>
    <t>Via Giovanni Battista Tuveri, 16, 09129 Cagliari CA, Italia</t>
  </si>
  <si>
    <t>35,37</t>
  </si>
  <si>
    <t>Beauty Salon 2005</t>
  </si>
  <si>
    <t>Company Beauty SL2005</t>
  </si>
  <si>
    <t>Corso di Porta Vittoria, 8,20122 Milano MI</t>
  </si>
  <si>
    <t>Beauty Salon 3641</t>
  </si>
  <si>
    <t>Company Beauty SL3641</t>
  </si>
  <si>
    <t>Manduria</t>
  </si>
  <si>
    <t>Viale Mancini, 7, 74024 Manduria TA, Italia</t>
  </si>
  <si>
    <t>Beauty Salon 264</t>
  </si>
  <si>
    <t>Company Beauty SL264</t>
  </si>
  <si>
    <t>Utrera</t>
  </si>
  <si>
    <t>C. Rubén Darío, 16, 41710 Utrera, Sevilla, España</t>
  </si>
  <si>
    <t>37333333F</t>
  </si>
  <si>
    <t>Beauty Salon 4717</t>
  </si>
  <si>
    <t>Company Beauty SL4717</t>
  </si>
  <si>
    <t>Via Asiago, 59, 20128 Milano MI, Italia</t>
  </si>
  <si>
    <t>Beauty Salon 2438</t>
  </si>
  <si>
    <t>Company Beauty SL2438</t>
  </si>
  <si>
    <t>Santa Marta de Tormes</t>
  </si>
  <si>
    <t>Calle Dr. Torres de Villarroel, 4, 37900 Santa Marta de Tormes, Salamanca, España</t>
  </si>
  <si>
    <t>73733737G</t>
  </si>
  <si>
    <t>Beauty Salon 1329</t>
  </si>
  <si>
    <t>Company Beauty SL1329</t>
  </si>
  <si>
    <t>Toulouse</t>
  </si>
  <si>
    <t>101 Rue Bonnat, 31400 Toulouse, France</t>
  </si>
  <si>
    <t>FR36337333373</t>
  </si>
  <si>
    <t>Beauty Salon 480</t>
  </si>
  <si>
    <t>Company Beauty SL480</t>
  </si>
  <si>
    <t>Almada</t>
  </si>
  <si>
    <t>R. da Liberdade 2B, 2800-149 Almada, Portugal</t>
  </si>
  <si>
    <t>Beauty Salon 751</t>
  </si>
  <si>
    <t>Company Beauty SL751</t>
  </si>
  <si>
    <t>Coria</t>
  </si>
  <si>
    <t>C. Viriato, 13, 10800 Coria, Cáceres, España</t>
  </si>
  <si>
    <t>76337777F</t>
  </si>
  <si>
    <t>39,45</t>
  </si>
  <si>
    <t>Beauty Salon 3062</t>
  </si>
  <si>
    <t>Company Beauty SL3062</t>
  </si>
  <si>
    <t>75 Av. Ledru Rollin, 75012 Paris, France</t>
  </si>
  <si>
    <t>FR73733763337</t>
  </si>
  <si>
    <t>38,32</t>
  </si>
  <si>
    <t>Beauty Salon 1219</t>
  </si>
  <si>
    <t>Company Beauty SL1219</t>
  </si>
  <si>
    <t>Boadilla del Monte</t>
  </si>
  <si>
    <t>Av. Infante Don Luis, 15, 28660 Boadilla del Monte, Madrid, España</t>
  </si>
  <si>
    <t>B67333363</t>
  </si>
  <si>
    <t>Beauty Salon 3009</t>
  </si>
  <si>
    <t>Company Beauty SL3009</t>
  </si>
  <si>
    <t>Palestrina</t>
  </si>
  <si>
    <t>Via Pedemontana, 135, 00036 Palestrina RM, Italia</t>
  </si>
  <si>
    <t>Beauty Salon 4031</t>
  </si>
  <si>
    <t>Company Beauty SL4031</t>
  </si>
  <si>
    <t>Castelló de la Plana</t>
  </si>
  <si>
    <t>Carrer de Lagasca, 8, 12003 Castelló de la Plana, Castelló, España</t>
  </si>
  <si>
    <t>33373376N</t>
  </si>
  <si>
    <t>33,19</t>
  </si>
  <si>
    <t>Beauty Salon 1828</t>
  </si>
  <si>
    <t>Company Beauty SL1828</t>
  </si>
  <si>
    <t>Via Giorgio Pullè, 35136 Padova PD, Italia</t>
  </si>
  <si>
    <t>Beauty Salon 2195</t>
  </si>
  <si>
    <t>Company Beauty SL2195</t>
  </si>
  <si>
    <t>Catania</t>
  </si>
  <si>
    <t>Via Grotte Bianche, 113a, 95100 Catania CT, Italia</t>
  </si>
  <si>
    <t>42,38</t>
  </si>
  <si>
    <t>Beauty Salon 2775</t>
  </si>
  <si>
    <t>Company Beauty SL2775</t>
  </si>
  <si>
    <t>Via dei Capraia, 10, 09131 Cagliari CA, Italia</t>
  </si>
  <si>
    <t>Beauty Salon 1019</t>
  </si>
  <si>
    <t>Company Beauty SL1019</t>
  </si>
  <si>
    <t>Av. Juan XXIII, 10, 28224 Madrid, España</t>
  </si>
  <si>
    <t>B37777333</t>
  </si>
  <si>
    <t>27,82</t>
  </si>
  <si>
    <t>Beauty Salon 1724</t>
  </si>
  <si>
    <t>Company Beauty SL1724</t>
  </si>
  <si>
    <t>La Orotava</t>
  </si>
  <si>
    <t>Callejon del Molino, 4, 38312 La Orotava, Santa Cruz de Tenerife, España</t>
  </si>
  <si>
    <t>73637333X</t>
  </si>
  <si>
    <t>Beauty Salon 2238</t>
  </si>
  <si>
    <t>Company Beauty SL2238</t>
  </si>
  <si>
    <t>Greater Manchester</t>
  </si>
  <si>
    <t>201 Eccles Old Rd, Salford M6 8HA, UK</t>
  </si>
  <si>
    <t>40,78</t>
  </si>
  <si>
    <t>Beauty Salon 4963</t>
  </si>
  <si>
    <t>Company Beauty SL4963</t>
  </si>
  <si>
    <t>29 Bd Pereire, 75017 Paris, France</t>
  </si>
  <si>
    <t>FR33733776337</t>
  </si>
  <si>
    <t>Beauty Salon 1560</t>
  </si>
  <si>
    <t>Company Beauty SL1560</t>
  </si>
  <si>
    <t>Santa Coloma de Gramenet</t>
  </si>
  <si>
    <t>Av. de la Generalitat, 82, 08922 Santa Coloma de Gramenet, Barcelona, España</t>
  </si>
  <si>
    <t>B37333367</t>
  </si>
  <si>
    <t>33,01</t>
  </si>
  <si>
    <t>Beauty Salon 2554</t>
  </si>
  <si>
    <t>Company Beauty SL2554</t>
  </si>
  <si>
    <t>Vigo</t>
  </si>
  <si>
    <t>Rúa da República Arxentina, 12, 36201 Vigo, Pontevedra, España</t>
  </si>
  <si>
    <t>77337333F</t>
  </si>
  <si>
    <t>Beauty Salon 4926</t>
  </si>
  <si>
    <t>Company Beauty SL4926</t>
  </si>
  <si>
    <t>Capoterra</t>
  </si>
  <si>
    <t>Via Dante Alighieri, 10, 09012 Capoterra CA, Italia</t>
  </si>
  <si>
    <t>43,03</t>
  </si>
  <si>
    <t>Beauty Salon 2167</t>
  </si>
  <si>
    <t>Company Beauty SL2167</t>
  </si>
  <si>
    <t>Bezons</t>
  </si>
  <si>
    <t>2 All. de la Fontaine 95870 Bezons, France</t>
  </si>
  <si>
    <t>Beauty Salon 4800</t>
  </si>
  <si>
    <t>Company Beauty SL4800</t>
  </si>
  <si>
    <t>Torrent</t>
  </si>
  <si>
    <t>Antic Carrer de Mossen Sicra, 9, 46900 Torrent, Valencia, España</t>
  </si>
  <si>
    <t>E33637333</t>
  </si>
  <si>
    <t>Beauty Salon 2939</t>
  </si>
  <si>
    <t>Company Beauty SL2939</t>
  </si>
  <si>
    <t>Via Eugenio Torelli Viollier, 23, 00157 Roma RM, Italia</t>
  </si>
  <si>
    <t>36,5</t>
  </si>
  <si>
    <t>Beauty Salon 2984</t>
  </si>
  <si>
    <t>Company Beauty SL2984</t>
  </si>
  <si>
    <t>Valencia</t>
  </si>
  <si>
    <t>Av. del Puerto, 106, 46023 Valencia, España</t>
  </si>
  <si>
    <t>33337733F</t>
  </si>
  <si>
    <t>41,24</t>
  </si>
  <si>
    <t>Beauty Salon 3268</t>
  </si>
  <si>
    <t>Company Beauty SL3268</t>
  </si>
  <si>
    <t>Azinhaga da Torre do Fato 7, 1600-451 Lisboa, Portugal</t>
  </si>
  <si>
    <t>Beauty Salon 1767</t>
  </si>
  <si>
    <t>Company Beauty SL1767</t>
  </si>
  <si>
    <t>34 Rue Montcalm, 75018 Paris, France</t>
  </si>
  <si>
    <t>FR36333333333</t>
  </si>
  <si>
    <t>Flero</t>
  </si>
  <si>
    <t>Via Francesco Petrarca, 42, 25020 Flero BS, Italia</t>
  </si>
  <si>
    <t>0,38</t>
  </si>
  <si>
    <t>Beauty Salon 4935</t>
  </si>
  <si>
    <t>Company Beauty SL4935</t>
  </si>
  <si>
    <t>Motril</t>
  </si>
  <si>
    <t>C. Romero Civantos, 3, 18600 Motril, Granada, España</t>
  </si>
  <si>
    <t>73737773K</t>
  </si>
  <si>
    <t>38,82</t>
  </si>
  <si>
    <t>Beauty Salon 1884</t>
  </si>
  <si>
    <t>Company Beauty SL1884</t>
  </si>
  <si>
    <t>Hamburg</t>
  </si>
  <si>
    <t>Edith-Stein-Platz 2, 21035 Hamburg, Deutschland</t>
  </si>
  <si>
    <t>Beauty Salon 1200</t>
  </si>
  <si>
    <t>Company Beauty SL1200</t>
  </si>
  <si>
    <t>Piamborno</t>
  </si>
  <si>
    <t>Via Nazionale, 208, 25052 Piamborno BS, Italia</t>
  </si>
  <si>
    <t>Beauty Salon 4648</t>
  </si>
  <si>
    <t>Company Beauty SL4648</t>
  </si>
  <si>
    <t>Alcoi</t>
  </si>
  <si>
    <t>Av. Hispanitat, 61, 03804 Alcoi, Alicante, España</t>
  </si>
  <si>
    <t>E33733333</t>
  </si>
  <si>
    <t>42,34</t>
  </si>
  <si>
    <t>Beauty Salon 1089</t>
  </si>
  <si>
    <t>Company Beauty SL1089</t>
  </si>
  <si>
    <t>Carrer Joan de Joanes, 17, 03802 Alcoi, Alicante, España</t>
  </si>
  <si>
    <t>38,37</t>
  </si>
  <si>
    <t>Beauty Salon 1138</t>
  </si>
  <si>
    <t>Company Beauty SL1138</t>
  </si>
  <si>
    <t>Sernaglia della Battaglia</t>
  </si>
  <si>
    <t>Via Emigranti, 38, 31020 Sernaglia della Battaglia TV, Italia</t>
  </si>
  <si>
    <t>FLPSF377B33C737D</t>
  </si>
  <si>
    <t>Beauty Salon 4777</t>
  </si>
  <si>
    <t>Company Beauty SL4777</t>
  </si>
  <si>
    <t>Busca</t>
  </si>
  <si>
    <t>Via Laghi di Avigliana, 6, 12022 Busca CN, Italia</t>
  </si>
  <si>
    <t>Beauty Salon 4849</t>
  </si>
  <si>
    <t>Company Beauty SL4849</t>
  </si>
  <si>
    <t>Vigevano</t>
  </si>
  <si>
    <t>Viale Montegrappa, 29, 27029 Vigevano PV, Italia</t>
  </si>
  <si>
    <t>Beauty Salon 2221</t>
  </si>
  <si>
    <t>Company Beauty SL2221</t>
  </si>
  <si>
    <t>Άρτεμις</t>
  </si>
  <si>
    <t>Λεωφ. Βραυρώνος 186, Άρτεμις 190 16, Ελλάδα</t>
  </si>
  <si>
    <t>29,34</t>
  </si>
  <si>
    <t>Beauty Salon 4230</t>
  </si>
  <si>
    <t>Company Beauty SL4230</t>
  </si>
  <si>
    <t>Greater London</t>
  </si>
  <si>
    <t>40 Liverpool St, London EC2M 7QN, UK</t>
  </si>
  <si>
    <t>Beauty Salon 3113</t>
  </si>
  <si>
    <t>Company Beauty SL3113</t>
  </si>
  <si>
    <t>Via Prenestina Antica, 220, 00036 Palestrina RM, Italia</t>
  </si>
  <si>
    <t>Beauty Salon 1395</t>
  </si>
  <si>
    <t>Company Beauty SL1395</t>
  </si>
  <si>
    <t>Tudela</t>
  </si>
  <si>
    <t>C. Muro, 43, 31500 Tudela, Navarra, España</t>
  </si>
  <si>
    <t>73737333N</t>
  </si>
  <si>
    <t>Beauty Salon 1288</t>
  </si>
  <si>
    <t>Company Beauty SL1288</t>
  </si>
  <si>
    <t>Carrer del Mestre Gozalbo, 12, 46005 València, Valencia, España</t>
  </si>
  <si>
    <t>37733377C</t>
  </si>
  <si>
    <t>37,12</t>
  </si>
  <si>
    <t>Beauty Salon 4971</t>
  </si>
  <si>
    <t>Company Beauty SL4971</t>
  </si>
  <si>
    <t>Dortmund</t>
  </si>
  <si>
    <t>Hörder Rathausstraße 9, 44263 Dortmund, Deutschland</t>
  </si>
  <si>
    <t>Beauty Salon 3308</t>
  </si>
  <si>
    <t>Company Beauty SL3308</t>
  </si>
  <si>
    <t>C. del Pelicano, 14, 28025 Madrid</t>
  </si>
  <si>
    <t>X7366737Y</t>
  </si>
  <si>
    <t>Beauty Salon 2777</t>
  </si>
  <si>
    <t>Company Beauty SL2777</t>
  </si>
  <si>
    <t>Via Palestro, 51, 00185 Roma RM, Italia</t>
  </si>
  <si>
    <t>Beauty Salon 4824</t>
  </si>
  <si>
    <t>Company Beauty SL4824</t>
  </si>
  <si>
    <t>Scafati</t>
  </si>
  <si>
    <t>Corso Nazionale, 231, 84018 Scafati SA, Italia</t>
  </si>
  <si>
    <t>Beauty Salon 3856</t>
  </si>
  <si>
    <t>Company Beauty SL3856</t>
  </si>
  <si>
    <t>Pula</t>
  </si>
  <si>
    <t>Via Nora, 114, 09010 Pula CA, Italia</t>
  </si>
  <si>
    <t>Beauty Salon 2727</t>
  </si>
  <si>
    <t>Company Beauty SL2727</t>
  </si>
  <si>
    <t>Estepona</t>
  </si>
  <si>
    <t>C. Alborán, 2, 29680 Estepona, Málaga, España</t>
  </si>
  <si>
    <t>J33737337</t>
  </si>
  <si>
    <t>Beauty Salon 394</t>
  </si>
  <si>
    <t>Company Beauty SL394</t>
  </si>
  <si>
    <t>Alzira</t>
  </si>
  <si>
    <t>Carrer del Prior Morera, 5, 46600 Alzira, Valencia, España</t>
  </si>
  <si>
    <t>X3773733N</t>
  </si>
  <si>
    <t>Beauty Salon 1997</t>
  </si>
  <si>
    <t>Company Beauty SL1997</t>
  </si>
  <si>
    <t>Málaga</t>
  </si>
  <si>
    <t>C. Cervantes, 12, 29016 Málaga, España</t>
  </si>
  <si>
    <t>B36333633</t>
  </si>
  <si>
    <t>Beauty Salon 903</t>
  </si>
  <si>
    <t>Company Beauty SL903</t>
  </si>
  <si>
    <t>Lleida</t>
  </si>
  <si>
    <t>Carrer Baró de Maials, 72, 25005 Lleida, España</t>
  </si>
  <si>
    <t>33336377C</t>
  </si>
  <si>
    <t>Beauty Salon 3964</t>
  </si>
  <si>
    <t>Company Beauty SL3964</t>
  </si>
  <si>
    <t>Horsforth</t>
  </si>
  <si>
    <t>203 Broadgate Ln, Horsforth, Leeds LS18 5BS, UK</t>
  </si>
  <si>
    <t>Beauty Salon 3402</t>
  </si>
  <si>
    <t>Company Beauty SL3402</t>
  </si>
  <si>
    <t>Sitges</t>
  </si>
  <si>
    <t>Carrer d'Angel Vidal, 29, 31, 08870 Sitges, Barcelona, España</t>
  </si>
  <si>
    <t>73733663H</t>
  </si>
  <si>
    <t>Beauty Salon 2315</t>
  </si>
  <si>
    <t>Company Beauty SL2315</t>
  </si>
  <si>
    <t>Carrer de Jorge Juan, 31, 46004 València, Valencia, España</t>
  </si>
  <si>
    <t>X7373633E</t>
  </si>
  <si>
    <t>Beauty Salon 4054</t>
  </si>
  <si>
    <t>Company Beauty SL4054</t>
  </si>
  <si>
    <t>Alcamo</t>
  </si>
  <si>
    <t>Via Monte Bonifato, 45, 91011 Alcamo TP, Italia</t>
  </si>
  <si>
    <t>Beauty Salon 2922</t>
  </si>
  <si>
    <t>Company Beauty SL2922</t>
  </si>
  <si>
    <t>Anderlecht</t>
  </si>
  <si>
    <t>Chau. de Ninove 621, 1070 Anderlecht, Belgique</t>
  </si>
  <si>
    <t>BE3377377737</t>
  </si>
  <si>
    <t>Beauty Salon 4172</t>
  </si>
  <si>
    <t>Company Beauty SL4172</t>
  </si>
  <si>
    <t>Gran Via de les Corts Catalanes, 855, 08018 Barcelona, España</t>
  </si>
  <si>
    <t>B67377333</t>
  </si>
  <si>
    <t>9,53</t>
  </si>
  <si>
    <t>Beauty Salon 3145</t>
  </si>
  <si>
    <t>Company Beauty SL3145</t>
  </si>
  <si>
    <t>Via Santa Lucia, 1, 17100 Savona SV, Italia</t>
  </si>
  <si>
    <t>Beauty Salon 115</t>
  </si>
  <si>
    <t>Company Beauty SL115</t>
  </si>
  <si>
    <t>6A Hertford St, London W1J 7RF, UK</t>
  </si>
  <si>
    <t>Beauty Salon 3008</t>
  </si>
  <si>
    <t>Company Beauty SL3008</t>
  </si>
  <si>
    <t>37 Rue du Rendez-Vous, 75012 Paris, France</t>
  </si>
  <si>
    <t>FR77733733373</t>
  </si>
  <si>
    <t>25,12</t>
  </si>
  <si>
    <t>Beauty Salon 710</t>
  </si>
  <si>
    <t>Company Beauty SL710</t>
  </si>
  <si>
    <t>Αλεξάνδρεια</t>
  </si>
  <si>
    <t>Νικ. Πλαστήρα 74, Αλεξάνδρεια 593 00, Ελλάδα</t>
  </si>
  <si>
    <t>Beauty Salon 562</t>
  </si>
  <si>
    <t>Company Beauty SL562</t>
  </si>
  <si>
    <t>Regents Park Rd, London N3 1DE, UK</t>
  </si>
  <si>
    <t>Beauty Salon 3015</t>
  </si>
  <si>
    <t>Company Beauty SL3015</t>
  </si>
  <si>
    <t>Livry-Gargan</t>
  </si>
  <si>
    <t>5 All. des Jonquilles, 93190 Livry-Gargan, France</t>
  </si>
  <si>
    <t>FR73337373733</t>
  </si>
  <si>
    <t>Beauty Salon 2871</t>
  </si>
  <si>
    <t>Company Beauty SL2871</t>
  </si>
  <si>
    <t>Évry-Courcouronnes</t>
  </si>
  <si>
    <t>28 Av. du Parc aux Biches, 91000 Évry-Courcouronnes, France</t>
  </si>
  <si>
    <t>4,25</t>
  </si>
  <si>
    <t>FR37337337637</t>
  </si>
  <si>
    <t>18,3</t>
  </si>
  <si>
    <t>Beauty Salon 2017</t>
  </si>
  <si>
    <t>Company Beauty SL2017</t>
  </si>
  <si>
    <t>San Sperate</t>
  </si>
  <si>
    <t>Via Bithia, 8, 09026 San Sperate SU, Italia</t>
  </si>
  <si>
    <t>Beauty Salon 1124</t>
  </si>
  <si>
    <t>Company Beauty SL1124</t>
  </si>
  <si>
    <t>Sant Celoni</t>
  </si>
  <si>
    <t>Carrer Sant Pere, 6, 08470 Sant Celoni, Barcelona, España</t>
  </si>
  <si>
    <t>A37337633</t>
  </si>
  <si>
    <t>9,96</t>
  </si>
  <si>
    <t>Beauty Salon 3895</t>
  </si>
  <si>
    <t>Company Beauty SL3895</t>
  </si>
  <si>
    <t>Dun-le-Palestel</t>
  </si>
  <si>
    <t>36 Grande Rue, 23800 Dun-le-Palestel, France</t>
  </si>
  <si>
    <t>FR33333377637</t>
  </si>
  <si>
    <t>Beauty Salon 4756</t>
  </si>
  <si>
    <t>Company Beauty SL4756</t>
  </si>
  <si>
    <t>Mapperley</t>
  </si>
  <si>
    <t>918 Woodborough Rd, Mapperley, Nottingham NG3 5QR, UK</t>
  </si>
  <si>
    <t>Beauty Salon 3151</t>
  </si>
  <si>
    <t>Company Beauty SL3151</t>
  </si>
  <si>
    <t>Bedminster</t>
  </si>
  <si>
    <t>3-5 North St, Bedminster, Bristol BS3 1EN, UK</t>
  </si>
  <si>
    <t>0,27</t>
  </si>
  <si>
    <t>Beauty Salon 1007</t>
  </si>
  <si>
    <t>Company Beauty SL1007</t>
  </si>
  <si>
    <t>Bollullos de la Mitación</t>
  </si>
  <si>
    <t>C. Larga, 74, 41110 Bollullos de la Mitación, Sevilla, España</t>
  </si>
  <si>
    <t>37733777C</t>
  </si>
  <si>
    <t>37,15</t>
  </si>
  <si>
    <t>Beauty Salon 4352</t>
  </si>
  <si>
    <t>Company Beauty SL4352</t>
  </si>
  <si>
    <t>C. Betsaida, 2, 29006 Málaga, España</t>
  </si>
  <si>
    <t>X7333337R</t>
  </si>
  <si>
    <t>Beauty Salon 2745</t>
  </si>
  <si>
    <t>Company Beauty SL2745</t>
  </si>
  <si>
    <t>La Garenne-Colombes</t>
  </si>
  <si>
    <t>7 All. Denis Papin, 92250 La Garenne-Colombes, France</t>
  </si>
  <si>
    <t>Beauty Salon 3640</t>
  </si>
  <si>
    <t>Company Beauty SL3640</t>
  </si>
  <si>
    <t>Amsterdam</t>
  </si>
  <si>
    <t>Roelof Hartstraat 17, 1071 VG Amsterdam, Netherlands</t>
  </si>
  <si>
    <t>NL733373337B33</t>
  </si>
  <si>
    <t>35,05</t>
  </si>
  <si>
    <t>Forlì</t>
  </si>
  <si>
    <t>Via Decio Raggi, 12, 47121 Forlì FC, Italia</t>
  </si>
  <si>
    <t>Berlin</t>
  </si>
  <si>
    <t>Sonnenallee 206, 12059 Berlin, Deutschland</t>
  </si>
  <si>
    <t>Beauty Salon 2593</t>
  </si>
  <si>
    <t>Company Beauty SL2593</t>
  </si>
  <si>
    <t>Πραξιτέλους 35, Πειραιάς 185 32, Ελλάδα</t>
  </si>
  <si>
    <t>Beauty Salon 2355</t>
  </si>
  <si>
    <t>Company Beauty SL2355</t>
  </si>
  <si>
    <t>Sarzana</t>
  </si>
  <si>
    <t>Via Lancillotto Cattani, 1, 19038 Sarzana SP, Italia</t>
  </si>
  <si>
    <t>Beauty Salon 2049</t>
  </si>
  <si>
    <t>Company Beauty SL2049</t>
  </si>
  <si>
    <t>Trani</t>
  </si>
  <si>
    <t>Via Giorgio Almirante, 25, 76125 Trani BT, Italia</t>
  </si>
  <si>
    <t>0,31</t>
  </si>
  <si>
    <t>Beauty Salon 3048</t>
  </si>
  <si>
    <t>Company Beauty SL3048</t>
  </si>
  <si>
    <t>San Marcellino</t>
  </si>
  <si>
    <t>Via Giacomo Leopardi, 8, 81030 San Marcellino CE, Italia</t>
  </si>
  <si>
    <t>Beauty Salon 3601</t>
  </si>
  <si>
    <t>Company Beauty SL3601</t>
  </si>
  <si>
    <t>Via Ajaccio, 4, 20133 Milano MI, Italia</t>
  </si>
  <si>
    <t>Beauty Salon 2109</t>
  </si>
  <si>
    <t>Company Beauty SL2109</t>
  </si>
  <si>
    <t>Via Monsignor Armando Fares, 88100 Catanzaro CZ, Italia</t>
  </si>
  <si>
    <t>Beauty Salon 3277</t>
  </si>
  <si>
    <t>Company Beauty SL3277</t>
  </si>
  <si>
    <t>Via Luigi Rizzo, 52, 00136 Roma RM, Italia</t>
  </si>
  <si>
    <t>Beauty Salon 4556</t>
  </si>
  <si>
    <t>Company Beauty SL4556</t>
  </si>
  <si>
    <t>Πέραμα</t>
  </si>
  <si>
    <t>25ης Μαρτίου 12, Πέραμα 188 63, Ελλάδα</t>
  </si>
  <si>
    <t>Beauty Salon 4311</t>
  </si>
  <si>
    <t>Company Beauty SL4311</t>
  </si>
  <si>
    <t>Ávila</t>
  </si>
  <si>
    <t>C. de Don Rufino Martín, 1, 05002 Ávila, España</t>
  </si>
  <si>
    <t>Y6333733D</t>
  </si>
  <si>
    <t>Beauty Salon 822</t>
  </si>
  <si>
    <t>Company Beauty SL822</t>
  </si>
  <si>
    <t>Marvan Court, 1A Waldegrave Rd, Teddington TW11 8LZ, UK</t>
  </si>
  <si>
    <t>Beauty Salon 2876</t>
  </si>
  <si>
    <t>Company Beauty SL2876</t>
  </si>
  <si>
    <t>North Mall, London N9 0EH, UK</t>
  </si>
  <si>
    <t>Beauty Salon 2254</t>
  </si>
  <si>
    <t>Company Beauty SL2254</t>
  </si>
  <si>
    <t>Zürich</t>
  </si>
  <si>
    <t>Ackerstrasse 21, 8005 Zürich, Schweiz</t>
  </si>
  <si>
    <t>Beauty Salon 3743</t>
  </si>
  <si>
    <t>Company Beauty SL3743</t>
  </si>
  <si>
    <t>73 Caledonian Rd, London N1 9BT, UK</t>
  </si>
  <si>
    <t>Beauty Salon 4690</t>
  </si>
  <si>
    <t>Company Beauty SL4690</t>
  </si>
  <si>
    <t>Bologna</t>
  </si>
  <si>
    <t>Via Giuseppe Dagnini, 38, 40137 Bologna BO, Italia</t>
  </si>
  <si>
    <t>Beauty Salon 3489</t>
  </si>
  <si>
    <t>Company Beauty SL3489</t>
  </si>
  <si>
    <t>Cittanova</t>
  </si>
  <si>
    <t>Via Grimaldi, 8, 89022 Cittanova RC, Italia</t>
  </si>
  <si>
    <t>Beauty Salon 3553</t>
  </si>
  <si>
    <t>Company Beauty SL3553</t>
  </si>
  <si>
    <t>Ourense</t>
  </si>
  <si>
    <t>Rúa Parque de San Lázaro, 5, 32003 Ourense, España</t>
  </si>
  <si>
    <t>33373777A</t>
  </si>
  <si>
    <t>Beauty Salon 402</t>
  </si>
  <si>
    <t>Company Beauty SL402</t>
  </si>
  <si>
    <t>Münster</t>
  </si>
  <si>
    <t>Von-Steuben-Straße 10-12, 2. Etage, 48143 Münster, Deutschland</t>
  </si>
  <si>
    <t>Beauty Salon 3438</t>
  </si>
  <si>
    <t>Company Beauty SL3438</t>
  </si>
  <si>
    <t>Tournefeuille</t>
  </si>
  <si>
    <t>29 Chemin St Pierre, 31170 Tournefeuille, France</t>
  </si>
  <si>
    <t>Martorell</t>
  </si>
  <si>
    <t>Av. Dr. Francesc Massana, 17, 08760 Martorell, Barcelona, España</t>
  </si>
  <si>
    <t>B33733773</t>
  </si>
  <si>
    <t>Beauty Salon 2753</t>
  </si>
  <si>
    <t>Company Beauty SL2753</t>
  </si>
  <si>
    <t>Wien</t>
  </si>
  <si>
    <t>Alserbachstraße 5/29, 1090 Wien, Österreich</t>
  </si>
  <si>
    <t>0,16</t>
  </si>
  <si>
    <t>Beauty Salon 1681</t>
  </si>
  <si>
    <t>Company Beauty SL1681</t>
  </si>
  <si>
    <t>Pontevedra</t>
  </si>
  <si>
    <t>Rúa da Virxe do Camiño, 25, 36001 Pontevedra, España</t>
  </si>
  <si>
    <t>76333336G</t>
  </si>
  <si>
    <t>Beauty Salon 1383</t>
  </si>
  <si>
    <t>Company Beauty SL1383</t>
  </si>
  <si>
    <t>Gallarate</t>
  </si>
  <si>
    <t>Via Egidio Checchi, 27, 21013 Gallarate VA, Italia</t>
  </si>
  <si>
    <t>32,4</t>
  </si>
  <si>
    <t>Beauty Salon 908</t>
  </si>
  <si>
    <t>Company Beauty SL908</t>
  </si>
  <si>
    <t>Via della Stazione di Ciampino, 18, 00118 Roma RM, Italia</t>
  </si>
  <si>
    <t>Beauty Salon 1043</t>
  </si>
  <si>
    <t>Company Beauty SL1043</t>
  </si>
  <si>
    <t>Baabe</t>
  </si>
  <si>
    <t>Dorfstraße 1-2, 18586 Baabe, Deutschland</t>
  </si>
  <si>
    <t>Beauty Salon 2093</t>
  </si>
  <si>
    <t>Company Beauty SL2093</t>
  </si>
  <si>
    <t>Olesa de Montserrat</t>
  </si>
  <si>
    <t>Carrer de Josep Anselm Clavé, 50, 08640 Olesa de Montserrat, Barcelona, España</t>
  </si>
  <si>
    <t>33377333V</t>
  </si>
  <si>
    <t>Beauty Salon 3838</t>
  </si>
  <si>
    <t>Company Beauty SL3838</t>
  </si>
  <si>
    <t>19 Chapel Market, London N1 9EZ, UK</t>
  </si>
  <si>
    <t>Beauty Salon 4085</t>
  </si>
  <si>
    <t>Company Beauty SL4085</t>
  </si>
  <si>
    <t>Givet</t>
  </si>
  <si>
    <t>36 Rue Notre Dame, 08600 Givet, France</t>
  </si>
  <si>
    <t>FR67333736333</t>
  </si>
  <si>
    <t>Beauty Salon 2844</t>
  </si>
  <si>
    <t>Company Beauty SL2844</t>
  </si>
  <si>
    <t>Bonn</t>
  </si>
  <si>
    <t>Wenzelgasse 18, 53111 Bonn, Deutschland</t>
  </si>
  <si>
    <t>Beauty Salon 1164</t>
  </si>
  <si>
    <t>Company Beauty SL1164</t>
  </si>
  <si>
    <t>Fürstenwalde/Spree</t>
  </si>
  <si>
    <t>Eisenbahnstraße 15, 15517 Fürstenwalde/Spree, Deutschland</t>
  </si>
  <si>
    <t>Beauty Salon 2916</t>
  </si>
  <si>
    <t>Company Beauty SL2916</t>
  </si>
  <si>
    <t>Le Kremlin-Bicêtre</t>
  </si>
  <si>
    <t>36 Av. de Fontainebleau, 94270 Le Kremlin-Bicêtre, France</t>
  </si>
  <si>
    <t>FR77373773373</t>
  </si>
  <si>
    <t>Beauty Salon 1197</t>
  </si>
  <si>
    <t>Company Beauty SL1197</t>
  </si>
  <si>
    <t>Carrer de Dolores Marqués, 17, 46020 València, Valencia, España</t>
  </si>
  <si>
    <t>Y3333333W</t>
  </si>
  <si>
    <t>Beauty Salon 1472</t>
  </si>
  <si>
    <t>Company Beauty SL1472</t>
  </si>
  <si>
    <t>Oberding</t>
  </si>
  <si>
    <t>Dorfstraße 15, 85445 Oberding, Deutschland</t>
  </si>
  <si>
    <t>Beauty Salon 4300</t>
  </si>
  <si>
    <t>Company Beauty SL4300</t>
  </si>
  <si>
    <t>Am Schilfpark 24, 21029 Hamburg, Deutschland</t>
  </si>
  <si>
    <t>Beauty Salon 3432</t>
  </si>
  <si>
    <t>Company Beauty SL3432</t>
  </si>
  <si>
    <t>Frankfurt am Main</t>
  </si>
  <si>
    <t>Borsigallee 26, 60388 Frankfurt am Main, Deutschland</t>
  </si>
  <si>
    <t>Beauty Salon 1431</t>
  </si>
  <si>
    <t>Company Beauty SL1431</t>
  </si>
  <si>
    <t>Glasgow</t>
  </si>
  <si>
    <t>419 Shields Road, Glasgow, G41 1NY</t>
  </si>
  <si>
    <t>Beauty Salon 3967</t>
  </si>
  <si>
    <t>Company Beauty SL3967</t>
  </si>
  <si>
    <t>Tweede Hugo de Grootstraat 5h, 1052 LA Amsterdam, Netherlands</t>
  </si>
  <si>
    <t>NL337673377B33</t>
  </si>
  <si>
    <t>Beauty Salon 1294</t>
  </si>
  <si>
    <t>Company Beauty SL1294</t>
  </si>
  <si>
    <t>Saint-Maur-des-Fossés</t>
  </si>
  <si>
    <t>69 Bd de Créteil, 94100 Saint-Maur-des-Fossés, France</t>
  </si>
  <si>
    <t>FR3737363336</t>
  </si>
  <si>
    <t>Beauty Salon 1503</t>
  </si>
  <si>
    <t>Company Beauty SL1503</t>
  </si>
  <si>
    <t>19 Rue Francis de Croisset, 75018 Paris, France</t>
  </si>
  <si>
    <t>Beauty Salon 3267</t>
  </si>
  <si>
    <t>Company Beauty SL3267</t>
  </si>
  <si>
    <t>58 Rue de Bourgogne, 75007 Paris, France</t>
  </si>
  <si>
    <t>FR37337373373</t>
  </si>
  <si>
    <t>Beauty Salon 2774</t>
  </si>
  <si>
    <t>Company Beauty SL2774</t>
  </si>
  <si>
    <t>Oberhausen</t>
  </si>
  <si>
    <t>Steinbrinkstraße 200, 46145 Oberhausen, Deutschland</t>
  </si>
  <si>
    <t>Beauty Salon 1734</t>
  </si>
  <si>
    <t>Company Beauty SL1734</t>
  </si>
  <si>
    <t>Aix-en-Provence</t>
  </si>
  <si>
    <t>90 Chem. du Pont Rout, 13090 Aix-en-Provence, France</t>
  </si>
  <si>
    <t>FR37337733337</t>
  </si>
  <si>
    <t>Beauty Salon 298</t>
  </si>
  <si>
    <t>Company Beauty SL298</t>
  </si>
  <si>
    <t>Opfikon</t>
  </si>
  <si>
    <t>8152 Opfikon, Schweiz</t>
  </si>
  <si>
    <t>Beauty Salon 4241</t>
  </si>
  <si>
    <t>Company Beauty SL4241</t>
  </si>
  <si>
    <t>Corso Piemonte, 63, 74121 Taranto TA, Italia</t>
  </si>
  <si>
    <t>Beauty Salon 4261</t>
  </si>
  <si>
    <t>Company Beauty SL4261</t>
  </si>
  <si>
    <t>Uznach</t>
  </si>
  <si>
    <t>Rickenstrasse 11, 8730 Uznach, Schweiz</t>
  </si>
  <si>
    <t>Beauty Salon 1899</t>
  </si>
  <si>
    <t>Company Beauty SL1899</t>
  </si>
  <si>
    <t>Marchwartstrasse 44, 8038 Zürich, Schweiz</t>
  </si>
  <si>
    <t>Beauty Salon 1123</t>
  </si>
  <si>
    <t>Company Beauty SL1123</t>
  </si>
  <si>
    <t>Schöneggstrasse 10, 8004 Zürich, Schweiz</t>
  </si>
  <si>
    <t>Beauty Salon 1507</t>
  </si>
  <si>
    <t>Company Beauty SL1507</t>
  </si>
  <si>
    <t>Ulmenstraße 23B, 22299 Hamburg, Deutschland</t>
  </si>
  <si>
    <t>Beauty Salon 172</t>
  </si>
  <si>
    <t>Company Beauty SL172</t>
  </si>
  <si>
    <t>Brétigny-sur-Orge</t>
  </si>
  <si>
    <t>16 Rue du Général Leclerc, 91220 Brétigny-sur-Orge, France</t>
  </si>
  <si>
    <t>Beauty Salon 4764</t>
  </si>
  <si>
    <t>Company Beauty SL4764</t>
  </si>
  <si>
    <t>L'Aquila</t>
  </si>
  <si>
    <t>Via Fontesecco, 16, 67100 L'Aquila AQ, Italia</t>
  </si>
  <si>
    <t>Beauty Salon 4410</t>
  </si>
  <si>
    <t>Company Beauty SL4410</t>
  </si>
  <si>
    <t>Campobasso</t>
  </si>
  <si>
    <t>Via Giambattista Vico, 37, 86100 Campobasso CB, Italia</t>
  </si>
  <si>
    <t>Beauty Salon 2821</t>
  </si>
  <si>
    <t>Company Beauty SL2821</t>
  </si>
  <si>
    <t>Castelfranco Veneto</t>
  </si>
  <si>
    <t>Piazza della Serenissima, 20, 31033 Castelfranco Veneto TV, Italia</t>
  </si>
  <si>
    <t>Beauty Salon 609</t>
  </si>
  <si>
    <t>Company Beauty SL609</t>
  </si>
  <si>
    <t>Via Alessandro Lamarmora, 316, 25124 Brescia BS, Italia</t>
  </si>
  <si>
    <t>Beauty Salon 2976</t>
  </si>
  <si>
    <t>Company Beauty SL2976</t>
  </si>
  <si>
    <t>Taverny</t>
  </si>
  <si>
    <t>257 Rue de Paris, 95150 Taverny, France</t>
  </si>
  <si>
    <t>FR33733733777</t>
  </si>
  <si>
    <t>Latina</t>
  </si>
  <si>
    <t>Via Sabaudia, 85, 04100 Latina LT, Italia</t>
  </si>
  <si>
    <t>Beauty Salon 852</t>
  </si>
  <si>
    <t>Company Beauty SL852</t>
  </si>
  <si>
    <t>Via dell'Aeroporto, 2a, 00175 Roma RM, Italia</t>
  </si>
  <si>
    <t>Beauty Salon 4720</t>
  </si>
  <si>
    <t>Company Beauty SL4720</t>
  </si>
  <si>
    <t>Rivoli</t>
  </si>
  <si>
    <t>Corso Francia, 224C, 10098 Rivoli TO, Italia</t>
  </si>
  <si>
    <t>Beauty Salon 2242</t>
  </si>
  <si>
    <t>Company Beauty SL2242</t>
  </si>
  <si>
    <t>Alcochete</t>
  </si>
  <si>
    <t>R. Carlos Manuel Rodrigues Francisco 11, 2890-096 Alcochete, Portugal</t>
  </si>
  <si>
    <t>Vilnius</t>
  </si>
  <si>
    <t>Ateities g. 11, Vilnius 08304, Lithuania</t>
  </si>
  <si>
    <t>0,21</t>
  </si>
  <si>
    <t>Beauty Salon 1129</t>
  </si>
  <si>
    <t>Company Beauty SL1129</t>
  </si>
  <si>
    <t>Woodford Bridge</t>
  </si>
  <si>
    <t>646A Chigwell Rd, Woodford Bridge, Woodford Green IG8 8AF, UK</t>
  </si>
  <si>
    <t>Beauty Salon 3562</t>
  </si>
  <si>
    <t>Company Beauty SL3562</t>
  </si>
  <si>
    <t>C. del Consell de Cent, 218, 08011 Barcelona, España</t>
  </si>
  <si>
    <t>B37373637</t>
  </si>
  <si>
    <t>Beauty Salon 3363</t>
  </si>
  <si>
    <t>Company Beauty SL3363</t>
  </si>
  <si>
    <t>Rambla de Francesc Macià, 61, 08226 Terrassa, Barcelona, España</t>
  </si>
  <si>
    <t>37777366G</t>
  </si>
  <si>
    <t>Beauty Salon 4370</t>
  </si>
  <si>
    <t>Company Beauty SL4370</t>
  </si>
  <si>
    <t>67 Chatsworth Rd, Lower Clapton, London E5 0LH, UK</t>
  </si>
  <si>
    <t>Beauty Salon 4986</t>
  </si>
  <si>
    <t>Company Beauty SL4986</t>
  </si>
  <si>
    <t>Liège</t>
  </si>
  <si>
    <t>Rue de l'Etuve 17, 4000 Liège, Belgique</t>
  </si>
  <si>
    <t>Beauty Salon 3884</t>
  </si>
  <si>
    <t>Company Beauty SL3884</t>
  </si>
  <si>
    <t>Via Jacopo Melani, 22, 00124 Roma RM, Italia</t>
  </si>
  <si>
    <t>PZZDNL67A63H333Z</t>
  </si>
  <si>
    <t>Beauty Salon 3876</t>
  </si>
  <si>
    <t>Company Beauty SL3876</t>
  </si>
  <si>
    <t>18 Soho Square, London W1D 3QH, UK</t>
  </si>
  <si>
    <t>Beauty Salon 2133</t>
  </si>
  <si>
    <t>Company Beauty SL2133</t>
  </si>
  <si>
    <t>West Midlands</t>
  </si>
  <si>
    <t>2a Bell Ln, Birmingham B31 1JZ, UK</t>
  </si>
  <si>
    <t>Beauty Salon 4895</t>
  </si>
  <si>
    <t>Company Beauty SL4895</t>
  </si>
  <si>
    <t>Partick</t>
  </si>
  <si>
    <t>within ClipJoint hairdressers, 8 Peel St, Partick, Glasgow G11 5LL, UK</t>
  </si>
  <si>
    <t>Beauty Salon 161</t>
  </si>
  <si>
    <t>Company Beauty SL161</t>
  </si>
  <si>
    <t>Brindisi</t>
  </si>
  <si>
    <t>Viale Francia, 33, 72100 Brindisi BR, Italia</t>
  </si>
  <si>
    <t>Unit P17, Gorton Retail Market, Manchester M18 8LD, UK</t>
  </si>
  <si>
    <t>Beauty Salon 752</t>
  </si>
  <si>
    <t>Company Beauty SL752</t>
  </si>
  <si>
    <t>Hertfordshire</t>
  </si>
  <si>
    <t>The Thrive, Battlers Green Farm, Common Ln, Radlett WD7 8PH, UK</t>
  </si>
  <si>
    <t>Beauty Salon 4310</t>
  </si>
  <si>
    <t>Company Beauty SL4310</t>
  </si>
  <si>
    <t>Θέμιδος 1, Μαρούσι 151 24, Ελλάδα</t>
  </si>
  <si>
    <t>Beauty Salon 4175</t>
  </si>
  <si>
    <t>Company Beauty SL4175</t>
  </si>
  <si>
    <t>Trieste</t>
  </si>
  <si>
    <t>Via della Ginnastica, 5/a, 34125 Trieste TS, Italia</t>
  </si>
  <si>
    <t>Marino</t>
  </si>
  <si>
    <t>Corso Trieste, 56, 00047 Marino RM, Italia</t>
  </si>
  <si>
    <t>Beauty Salon 4702</t>
  </si>
  <si>
    <t>Company Beauty SL4702</t>
  </si>
  <si>
    <t>Rue Saint-Didier, Paris, France</t>
  </si>
  <si>
    <t>FR73337673333</t>
  </si>
  <si>
    <t>Beauty Salon 2653</t>
  </si>
  <si>
    <t>Company Beauty SL2653</t>
  </si>
  <si>
    <t>484 Hornsey Rd, Finsbury Park, London N19 4EF, UK</t>
  </si>
  <si>
    <t>Beauty Salon 3769</t>
  </si>
  <si>
    <t>Company Beauty SL3769</t>
  </si>
  <si>
    <t>655 Fulham Rd., London SW6 5PY, UK</t>
  </si>
  <si>
    <t>Beauty Salon 267</t>
  </si>
  <si>
    <t>Company Beauty SL267</t>
  </si>
  <si>
    <t>Sheffield City Centre</t>
  </si>
  <si>
    <t>113-115 Pinstone St, Sheffield City Centre, Sheffield S1 2HL, UK</t>
  </si>
  <si>
    <t>Beauty Salon 2835</t>
  </si>
  <si>
    <t>Company Beauty SL2835</t>
  </si>
  <si>
    <t>C. de Jesús y María, 17, 28012 Madrid, España</t>
  </si>
  <si>
    <t>73737673X</t>
  </si>
  <si>
    <t>Beauty Salon 2923</t>
  </si>
  <si>
    <t>Company Beauty SL2923</t>
  </si>
  <si>
    <t>Av. Ricardo Soriano, 31, 1d, 29601 Marbella, Málaga, España</t>
  </si>
  <si>
    <t>X6333676A</t>
  </si>
  <si>
    <t>Beauty Salon 2172</t>
  </si>
  <si>
    <t>Company Beauty SL2172</t>
  </si>
  <si>
    <t>66/67 Aungier St, Dublin, D02 YR81, Ireland</t>
  </si>
  <si>
    <t>Beauty Salon 649</t>
  </si>
  <si>
    <t>Company Beauty SL649</t>
  </si>
  <si>
    <t>Chasse-sur-Rhône</t>
  </si>
  <si>
    <t>1515 Av. Frédéric Mistral, 38670 Chasse-sur-Rhône, France</t>
  </si>
  <si>
    <t>FR73733337337</t>
  </si>
  <si>
    <t>Beauty Salon 3370</t>
  </si>
  <si>
    <t>Company Beauty SL3370</t>
  </si>
  <si>
    <t>Calonne-Ricouart</t>
  </si>
  <si>
    <t>Rue de saint-nazaire, 62470 Calonne-Ricouart, France</t>
  </si>
  <si>
    <t>FR73337376773</t>
  </si>
  <si>
    <t>Beauty Salon 252</t>
  </si>
  <si>
    <t>Company Beauty SL252</t>
  </si>
  <si>
    <t>Via Chiana, 110a, 00198 Roma RM, Italia</t>
  </si>
  <si>
    <t>Beauty Salon 2023</t>
  </si>
  <si>
    <t>Company Beauty SL2023</t>
  </si>
  <si>
    <t>Duisburg</t>
  </si>
  <si>
    <t>Altenbrucher Damm 15, 47249 Duisburg, Deutschland</t>
  </si>
  <si>
    <t>Beauty Salon 1656</t>
  </si>
  <si>
    <t>Company Beauty SL1656</t>
  </si>
  <si>
    <t>Campos</t>
  </si>
  <si>
    <t>Carrer de sa Creu, 2, 07630 Campos, Illes Balears, España</t>
  </si>
  <si>
    <t>33737337E</t>
  </si>
  <si>
    <t>Beauty Salon 3035</t>
  </si>
  <si>
    <t>Company Beauty SL3035</t>
  </si>
  <si>
    <t>Modena</t>
  </si>
  <si>
    <t>Via Emilia Est, 1058, 41126 Modena MO, Italia</t>
  </si>
  <si>
    <t>Beauty Salon 3169</t>
  </si>
  <si>
    <t>Company Beauty SL3169</t>
  </si>
  <si>
    <t>Via Spirito Santo, 317, 89128 Reggio Calabria RC, Italia</t>
  </si>
  <si>
    <t>Beauty Salon 4701</t>
  </si>
  <si>
    <t>Company Beauty SL4701</t>
  </si>
  <si>
    <t>Majadahonda</t>
  </si>
  <si>
    <t>C. Las Norias, 25, 28220 Majadahonda, Madrid, España</t>
  </si>
  <si>
    <t>76373633K</t>
  </si>
  <si>
    <t>Beauty Salon 98</t>
  </si>
  <si>
    <t>Company Beauty SL98</t>
  </si>
  <si>
    <t>Αλκαμένους 37, Αθήνα 104 40, Ελλάδα</t>
  </si>
  <si>
    <t>Beauty Salon 2513</t>
  </si>
  <si>
    <t>Company Beauty SL2513</t>
  </si>
  <si>
    <t>Sarno</t>
  </si>
  <si>
    <t>Via S. Valentino, 6, 84087 Sarno SA, Italia</t>
  </si>
  <si>
    <t>Beauty Salon 247</t>
  </si>
  <si>
    <t>Company Beauty SL247</t>
  </si>
  <si>
    <t>Palermo</t>
  </si>
  <si>
    <t>Via Mater Dolorosa, 80, 90146 Palermo PA, Italia</t>
  </si>
  <si>
    <t>Βριλήσσια</t>
  </si>
  <si>
    <t>Γράμμου 24-26, Βριλήσσια 152 35, Ελλάδα</t>
  </si>
  <si>
    <t>Beauty Salon 3591</t>
  </si>
  <si>
    <t>Company Beauty SL3591</t>
  </si>
  <si>
    <t>Brain-sur-Allonnes</t>
  </si>
  <si>
    <t>2 Pl. du Commerce, 49650 Brain-sur-Allonnes, France</t>
  </si>
  <si>
    <t>FR33333337373</t>
  </si>
  <si>
    <t>Beauty Salon 617</t>
  </si>
  <si>
    <t>Company Beauty SL617</t>
  </si>
  <si>
    <t>Oggiona</t>
  </si>
  <si>
    <t>Via Giacomo Matteotti, 16, 21040 Oggiona VA, Italia</t>
  </si>
  <si>
    <t>Beauty Salon 4441</t>
  </si>
  <si>
    <t>Company Beauty SL4441</t>
  </si>
  <si>
    <t>Sambuceto</t>
  </si>
  <si>
    <t>Viale Sandro Pertini, 66020 Sambuceto CH, Italia</t>
  </si>
  <si>
    <t>Beauty Salon 4092</t>
  </si>
  <si>
    <t>Company Beauty SL4092</t>
  </si>
  <si>
    <t>Rotterdam</t>
  </si>
  <si>
    <t>Emmy van Leersumhof 24a, 3059 LT Rotterdam, Netherlands</t>
  </si>
  <si>
    <t>NL373333333B33</t>
  </si>
  <si>
    <t>Beauty Salon 944</t>
  </si>
  <si>
    <t>Company Beauty SL944</t>
  </si>
  <si>
    <t>Pinerolo</t>
  </si>
  <si>
    <t>Via Montebello, 19, 10064 Pinerolo TO, Italia</t>
  </si>
  <si>
    <t>Beauty Salon 4695</t>
  </si>
  <si>
    <t>Company Beauty SL4695</t>
  </si>
  <si>
    <t>25 Bd de Strasbourg, 75010 Paris, France</t>
  </si>
  <si>
    <t>Beauty Salon 1041</t>
  </si>
  <si>
    <t>Company Beauty SL1041</t>
  </si>
  <si>
    <t>Quincy-sous-Sénart</t>
  </si>
  <si>
    <t>19 Rue des 2 Communes, 91480 Quincy-sous-Sénart, France</t>
  </si>
  <si>
    <t>FR73737737736</t>
  </si>
  <si>
    <t>Beauty Salon 4600</t>
  </si>
  <si>
    <t>Company Beauty SL4600</t>
  </si>
  <si>
    <t>Carrer de la Torreta de Miramar, 25, 46020 València, Valencia, España</t>
  </si>
  <si>
    <t>Y7733336T</t>
  </si>
  <si>
    <t>Beauty Salon 909</t>
  </si>
  <si>
    <t>Company Beauty SL909</t>
  </si>
  <si>
    <t>C. de Ercilla, 3, 28005 Madrid, España</t>
  </si>
  <si>
    <t>33376776W</t>
  </si>
  <si>
    <t>Beauty Salon 4980</t>
  </si>
  <si>
    <t>Company Beauty SL4980</t>
  </si>
  <si>
    <t>Alphen aan den Rijn</t>
  </si>
  <si>
    <t>Lisdodde 106, 2408 LX Alphen aan den Rijn, Netherlands</t>
  </si>
  <si>
    <t>NL337336333B73</t>
  </si>
  <si>
    <t>Beauty Salon 227</t>
  </si>
  <si>
    <t>Company Beauty SL227</t>
  </si>
  <si>
    <t>Château-Renard</t>
  </si>
  <si>
    <t>2 Pl. de la République, 45220 Château-Renard, France</t>
  </si>
  <si>
    <t>FR63373733337</t>
  </si>
  <si>
    <t>Beauty Salon 2045</t>
  </si>
  <si>
    <t>Company Beauty SL2045</t>
  </si>
  <si>
    <t>Rambla Marquesa de Castellbell, 63, 08980 Sant Feliu de Llobregat, Barcelona, España</t>
  </si>
  <si>
    <t>j33333333</t>
  </si>
  <si>
    <t>Beauty Salon 1302</t>
  </si>
  <si>
    <t>Company Beauty SL1302</t>
  </si>
  <si>
    <t>Schillerstraße 46, 10627 Berlin, Deutschland</t>
  </si>
  <si>
    <t>Beauty Salon 1103</t>
  </si>
  <si>
    <t>Company Beauty SL1103</t>
  </si>
  <si>
    <t>4 Av. de la Prte de Villiers, 75017 Paris, France</t>
  </si>
  <si>
    <t>FR33737773333</t>
  </si>
  <si>
    <t>Beauty Salon 4945</t>
  </si>
  <si>
    <t>Company Beauty SL4945</t>
  </si>
  <si>
    <t>Villeneuve-la-Garenne</t>
  </si>
  <si>
    <t>10 Rue Paul Signac, 92390 Villeneuve-la-Garenne, France</t>
  </si>
  <si>
    <t>FR73333377367</t>
  </si>
  <si>
    <t>Beauty Salon 359</t>
  </si>
  <si>
    <t>Company Beauty SL359</t>
  </si>
  <si>
    <t>Melun</t>
  </si>
  <si>
    <t>7 Av. du Maréchal Juin, 77000 Melun, France</t>
  </si>
  <si>
    <t>FR36373733333</t>
  </si>
  <si>
    <t>Beauty Salon 734</t>
  </si>
  <si>
    <t>Company Beauty SL734</t>
  </si>
  <si>
    <t>Via Maggiore Pietro Toselli, 201, 90143 Palermo PA, Italia</t>
  </si>
  <si>
    <t>Beauty Salon 4168</t>
  </si>
  <si>
    <t>Company Beauty SL4168</t>
  </si>
  <si>
    <t>170A High Rd, London N2 9AS, UK</t>
  </si>
  <si>
    <t>Beauty Salon 4387</t>
  </si>
  <si>
    <t>Company Beauty SL4387</t>
  </si>
  <si>
    <t>Lacapelle-Marival</t>
  </si>
  <si>
    <t>1 Route de figeac, 46120, Lacapelle-Marival, France</t>
  </si>
  <si>
    <t>Beauty Salon 4091</t>
  </si>
  <si>
    <t>Company Beauty SL4091</t>
  </si>
  <si>
    <t>Via Marco Polo, 11, 20124 Milano MI, Italia</t>
  </si>
  <si>
    <t>Beauty Salon 2967</t>
  </si>
  <si>
    <t>Company Beauty SL2967</t>
  </si>
  <si>
    <t>4 Rue du Pélican, 75001 Paris, France</t>
  </si>
  <si>
    <t>FR33337367337</t>
  </si>
  <si>
    <t>Beauty Salon 2681</t>
  </si>
  <si>
    <t>Company Beauty SL2681</t>
  </si>
  <si>
    <t>C. Eloy Gonzalo, 26, 28010 Madrid, España</t>
  </si>
  <si>
    <t>37333367E</t>
  </si>
  <si>
    <t>Beauty Salon 2214</t>
  </si>
  <si>
    <t>Company Beauty SL2214</t>
  </si>
  <si>
    <t>Narbonne</t>
  </si>
  <si>
    <t>17 Av. Anatole France, 11100 Narbonne, France</t>
  </si>
  <si>
    <t>FR73733737333</t>
  </si>
  <si>
    <t>Beauty Salon 3765</t>
  </si>
  <si>
    <t>Company Beauty SL3765</t>
  </si>
  <si>
    <t>Saint-Gilles</t>
  </si>
  <si>
    <t>57 Rue Gambetta, 30800 Saint-Gilles, France</t>
  </si>
  <si>
    <t>Beauty Salon 1914</t>
  </si>
  <si>
    <t>Company Beauty SL1914</t>
  </si>
  <si>
    <t>Don Benito</t>
  </si>
  <si>
    <t>C. Maestro, 8, 06400 Don Benito, Badajoz, España</t>
  </si>
  <si>
    <t>37373736Q</t>
  </si>
  <si>
    <t>Beauty Salon 4549</t>
  </si>
  <si>
    <t>Company Beauty SL4549</t>
  </si>
  <si>
    <t>Άλιμος</t>
  </si>
  <si>
    <t>Λυσικράτους 26, Άλιμος 174 55, Ελλάδα</t>
  </si>
  <si>
    <t>Beauty Salon 4575</t>
  </si>
  <si>
    <t>Company Beauty SL4575</t>
  </si>
  <si>
    <t>Saint-Cloud</t>
  </si>
  <si>
    <t>23 Rue du Dr Desfossez, 92210 Saint-Cloud, France</t>
  </si>
  <si>
    <t>FR73373737737</t>
  </si>
  <si>
    <t>Beauty Salon 1612</t>
  </si>
  <si>
    <t>Company Beauty SL1612</t>
  </si>
  <si>
    <t>Mönchengladbach</t>
  </si>
  <si>
    <t>Zur Burgmühle 2, 41199 Mönchengladbach, Deutschland</t>
  </si>
  <si>
    <t>Beauty Salon 1986</t>
  </si>
  <si>
    <t>Company Beauty SL1986</t>
  </si>
  <si>
    <t>Carrer del Gravador Esteve, 6, 46004 València, Valencia, España</t>
  </si>
  <si>
    <t>B76373737</t>
  </si>
  <si>
    <t>Beauty Salon 4412</t>
  </si>
  <si>
    <t>Company Beauty SL4412</t>
  </si>
  <si>
    <t>Stampfenbachstrasse 151, 8006 Zürich, Schweiz</t>
  </si>
  <si>
    <t>Beauty Salon 2481</t>
  </si>
  <si>
    <t>Company Beauty SL2481</t>
  </si>
  <si>
    <t>127 Lee Rd, Blackheath, London SE3 9DS, UK</t>
  </si>
  <si>
    <t>Beauty Salon 2276</t>
  </si>
  <si>
    <t>Company Beauty SL2276</t>
  </si>
  <si>
    <t>Stuttgart</t>
  </si>
  <si>
    <t>Duisburger Str. 35, 70376 Stuttgart, Deutschland</t>
  </si>
  <si>
    <t>Árvore</t>
  </si>
  <si>
    <t>R. Ana Leite do Passo 93, 4480-093 Árvore, Portugal</t>
  </si>
  <si>
    <t>Beauty Salon 3567</t>
  </si>
  <si>
    <t>Company Beauty SL3567</t>
  </si>
  <si>
    <t>Eemnes</t>
  </si>
  <si>
    <t>Wezeboom 21, 3755 WT Eemnes, Netherlands</t>
  </si>
  <si>
    <t>NL337337337B33</t>
  </si>
  <si>
    <t>Beauty Salon 1036</t>
  </si>
  <si>
    <t>Company Beauty SL1036</t>
  </si>
  <si>
    <t>Carrer dels Paraires, 23, 07001 Palma, Illes Balears, España</t>
  </si>
  <si>
    <t>Y7373677B</t>
  </si>
  <si>
    <t>Beauty Salon 1786</t>
  </si>
  <si>
    <t>Company Beauty SL1786</t>
  </si>
  <si>
    <t>14 Rue Maurice Fonvieille, 31000 Toulouse, France</t>
  </si>
  <si>
    <t>FR33333333763</t>
  </si>
  <si>
    <t>Beauty Salon 4049</t>
  </si>
  <si>
    <t>Company Beauty SL4049</t>
  </si>
  <si>
    <t>Château-Chinon</t>
  </si>
  <si>
    <t>22 Pl. Gudin, 58120 Château-Chinon, France</t>
  </si>
  <si>
    <t>FR37737673337</t>
  </si>
  <si>
    <t>Beauty Salon 3216</t>
  </si>
  <si>
    <t>Company Beauty SL3216</t>
  </si>
  <si>
    <t>La Puebla</t>
  </si>
  <si>
    <t>Rda. Albufera, 56, 07420 La Puebla, Islas Baleares, España</t>
  </si>
  <si>
    <t>73337377V</t>
  </si>
  <si>
    <t>Beauty Salon 738</t>
  </si>
  <si>
    <t>Company Beauty SL738</t>
  </si>
  <si>
    <t>C/ del Dr. Manuel Candela, 52, 46021 València</t>
  </si>
  <si>
    <t>37337633C</t>
  </si>
  <si>
    <t>Beauty Salon 2376</t>
  </si>
  <si>
    <t>Company Beauty SL2376</t>
  </si>
  <si>
    <t>156 Essex Rd, London N1 8LY, UK</t>
  </si>
  <si>
    <t>Beauty Salon 1094</t>
  </si>
  <si>
    <t>Company Beauty SL1094</t>
  </si>
  <si>
    <t>Edinburgh</t>
  </si>
  <si>
    <t>140 Ferry Rd., Edinburgh EH6 4PQ, UK</t>
  </si>
  <si>
    <t>Beauty Salon 22</t>
  </si>
  <si>
    <t>Company Beauty SL22</t>
  </si>
  <si>
    <t>48 Bd Pasteur, 75015 Paris, France</t>
  </si>
  <si>
    <t>FR33337333333</t>
  </si>
  <si>
    <t>Beauty Salon 2316</t>
  </si>
  <si>
    <t>Company Beauty SL2316</t>
  </si>
  <si>
    <t>Lamone</t>
  </si>
  <si>
    <t>Via Girella 16, 6814 Lamone, Schweiz</t>
  </si>
  <si>
    <t>CHE-333.773.333 IVA</t>
  </si>
  <si>
    <t>Beauty Salon 1231</t>
  </si>
  <si>
    <t>Company Beauty SL1231</t>
  </si>
  <si>
    <t>Via Roma, 108, 80038 Pomigliano d'Arco NA, Italia</t>
  </si>
  <si>
    <t>Beauty Salon 861</t>
  </si>
  <si>
    <t>Company Beauty SL861</t>
  </si>
  <si>
    <t>Santander</t>
  </si>
  <si>
    <t>C. Castelar, 49, 39004 Santander, Cantabria, España</t>
  </si>
  <si>
    <t>X3733763S</t>
  </si>
  <si>
    <t>Beauty Salon 196</t>
  </si>
  <si>
    <t>Company Beauty SL196</t>
  </si>
  <si>
    <t>Ronda del Caballero de la Mancha, 71, 28034 Madrid, España</t>
  </si>
  <si>
    <t>33377633F</t>
  </si>
  <si>
    <t>Beauty Salon 3413</t>
  </si>
  <si>
    <t>Company Beauty SL3413</t>
  </si>
  <si>
    <t>Am Westheck 62, 44309 Dortmund, Deutschland</t>
  </si>
  <si>
    <t>Beauty Salon 619</t>
  </si>
  <si>
    <t>Company Beauty SL619</t>
  </si>
  <si>
    <t>C. de Costa Rica, 1, 28016 Madrid, España</t>
  </si>
  <si>
    <t>33373736S</t>
  </si>
  <si>
    <t>Beauty Salon 4846</t>
  </si>
  <si>
    <t>Company Beauty SL4846</t>
  </si>
  <si>
    <t>Düsseldorf</t>
  </si>
  <si>
    <t>Münsterstraße 331, 40470 Düsseldorf, Deutschland</t>
  </si>
  <si>
    <t>Beauty Salon 4487</t>
  </si>
  <si>
    <t>Company Beauty SL4487</t>
  </si>
  <si>
    <t>Essen</t>
  </si>
  <si>
    <t>Oberstraße 68, 45134 Essen, Deutschland</t>
  </si>
  <si>
    <t>Reus</t>
  </si>
  <si>
    <t>Carrer dels Recs, 21, 43201 Reus, Tarragona, España</t>
  </si>
  <si>
    <t>X6363733A</t>
  </si>
  <si>
    <t>Beauty Salon 2502</t>
  </si>
  <si>
    <t>Company Beauty SL2502</t>
  </si>
  <si>
    <t>9 Av. Fremiet, 75016 Paris, France</t>
  </si>
  <si>
    <t>FR33373673367</t>
  </si>
  <si>
    <t>Beauty Salon 1817</t>
  </si>
  <si>
    <t>Company Beauty SL1817</t>
  </si>
  <si>
    <t>Av. Afonso III 71B, 1900-185 Lisboa, Portugal</t>
  </si>
  <si>
    <t>Beauty Salon 3349</t>
  </si>
  <si>
    <t>Company Beauty SL3349</t>
  </si>
  <si>
    <t>Purchena</t>
  </si>
  <si>
    <t>Pl. Triana, 19, 04870 Purchena, Almería, España</t>
  </si>
  <si>
    <t>33637377C</t>
  </si>
  <si>
    <t>Beauty Salon 1637</t>
  </si>
  <si>
    <t>Company Beauty SL1637</t>
  </si>
  <si>
    <t>94 Rue Myrha, 75018 Paris, France</t>
  </si>
  <si>
    <t>FR33333333337</t>
  </si>
  <si>
    <t>Karlsfeld</t>
  </si>
  <si>
    <t>Münchner Str. 209, 85757 Karlsfeld, Deutschland</t>
  </si>
  <si>
    <t>Beauty Salon 4663</t>
  </si>
  <si>
    <t>Company Beauty SL4663</t>
  </si>
  <si>
    <t>Carrer de Sant Medir, 16, 08028 Barcelona, España</t>
  </si>
  <si>
    <t>77733773P</t>
  </si>
  <si>
    <t>Beauty Salon 4641</t>
  </si>
  <si>
    <t>Company Beauty SL4641</t>
  </si>
  <si>
    <t>224-226 York Rd, London SW11 3SD, UK</t>
  </si>
  <si>
    <t>Beauty Salon 4203</t>
  </si>
  <si>
    <t>Company Beauty SL4203</t>
  </si>
  <si>
    <t>14 Rue Ferdinand Flocon, 75018 Paris, France</t>
  </si>
  <si>
    <t>FR37337337336</t>
  </si>
  <si>
    <t>Beauty Salon 2217</t>
  </si>
  <si>
    <t>Company Beauty SL2217</t>
  </si>
  <si>
    <t>Calp</t>
  </si>
  <si>
    <t>Av. Valencia, 13, 03710 Calp, Alicante, España</t>
  </si>
  <si>
    <t>73337363A</t>
  </si>
  <si>
    <t>Beauty Salon 1430</t>
  </si>
  <si>
    <t>Company Beauty SL1430</t>
  </si>
  <si>
    <t>Embrach</t>
  </si>
  <si>
    <t>Schützenhausstrasse 111, 8424 Embrach, Schweiz</t>
  </si>
  <si>
    <t>Beauty Salon 370</t>
  </si>
  <si>
    <t>Company Beauty SL370</t>
  </si>
  <si>
    <t>C. de Andrés Borrego, 5, 28004 Madrid, España</t>
  </si>
  <si>
    <t>33333373Y</t>
  </si>
  <si>
    <t>Beauty Salon 1961</t>
  </si>
  <si>
    <t>Company Beauty SL1961</t>
  </si>
  <si>
    <t>Sevilla</t>
  </si>
  <si>
    <t>C. Eva Cervantes, 18, 41006 Sevilla, España</t>
  </si>
  <si>
    <t>33633337X</t>
  </si>
  <si>
    <t>Beauty Salon 3204</t>
  </si>
  <si>
    <t>Company Beauty SL3204</t>
  </si>
  <si>
    <t>14 North St, Hornchurch RM11 1QX, UK</t>
  </si>
  <si>
    <t>Peniche</t>
  </si>
  <si>
    <t>R. António Conceição Bento 17, 2520-294 Peniche, Portugal</t>
  </si>
  <si>
    <t>Mairena del Aljarafe</t>
  </si>
  <si>
    <t>C. Haya, 11, 41927 Mairena del Aljarafe, Sevilla, España</t>
  </si>
  <si>
    <t>33776333M</t>
  </si>
  <si>
    <t>Beauty Salon 4060</t>
  </si>
  <si>
    <t>Company Beauty SL4060</t>
  </si>
  <si>
    <t>San Vitaliano</t>
  </si>
  <si>
    <t>Via Frascatoli, 76, 80030 San Vitaliano NA, Italia</t>
  </si>
  <si>
    <t>Bayonne</t>
  </si>
  <si>
    <t>All. de la Font de Vignau 64100 Bayonne, France</t>
  </si>
  <si>
    <t>FR37733376773</t>
  </si>
  <si>
    <t>Beauty Salon 3162</t>
  </si>
  <si>
    <t>Company Beauty SL3162</t>
  </si>
  <si>
    <t>Reinbek</t>
  </si>
  <si>
    <t>Schmiedesberg 13, 21465 Reinbek, Deutschland</t>
  </si>
  <si>
    <t>Beauty Salon 1207</t>
  </si>
  <si>
    <t>Company Beauty SL1207</t>
  </si>
  <si>
    <t>Bergamo</t>
  </si>
  <si>
    <t>Bergamo BG, Italia</t>
  </si>
  <si>
    <t>Beauty Salon 4857</t>
  </si>
  <si>
    <t>Company Beauty SL4857</t>
  </si>
  <si>
    <t>Poilly-Lez-Gien</t>
  </si>
  <si>
    <t>Rue du 11 Novembre, 45500 Poilly-Lez-Gien, France</t>
  </si>
  <si>
    <t>Beauty Salon 420</t>
  </si>
  <si>
    <t>Company Beauty SL420</t>
  </si>
  <si>
    <t>C. del Poeta Joan Maragall, 22, 28020 Madrid, España</t>
  </si>
  <si>
    <t>Y3333333K</t>
  </si>
  <si>
    <t>Via al Quarto Miglio, 95, 00178 Roma RM, Italia</t>
  </si>
  <si>
    <t>Beauty Salon 405</t>
  </si>
  <si>
    <t>Company Beauty SL405</t>
  </si>
  <si>
    <t>Igreja Nova</t>
  </si>
  <si>
    <t>R. da Estrada Principal 15, 2640-367 Igreja Nova, Portugal</t>
  </si>
  <si>
    <t>Beauty Salon 3770</t>
  </si>
  <si>
    <t>Company Beauty SL3770</t>
  </si>
  <si>
    <t>FR36733373336</t>
  </si>
  <si>
    <t>Beauty Salon 2082</t>
  </si>
  <si>
    <t>Company Beauty SL2082</t>
  </si>
  <si>
    <t>Avinguda Diagonal, 359, 08037 Barcelona, España</t>
  </si>
  <si>
    <t>Y7376633T</t>
  </si>
  <si>
    <t>Beauty Salon 1898</t>
  </si>
  <si>
    <t>Company Beauty SL1898</t>
  </si>
  <si>
    <t>Francisco Grande Covian, 27, 28052 Madrid, España</t>
  </si>
  <si>
    <t>33363736K</t>
  </si>
  <si>
    <t>Beauty Salon 3241</t>
  </si>
  <si>
    <t>Company Beauty SL3241</t>
  </si>
  <si>
    <t>Lützowstraße 50, 10785 Berlin, Deutschland</t>
  </si>
  <si>
    <t>Beauty Salon 2193</t>
  </si>
  <si>
    <t>Company Beauty SL2193</t>
  </si>
  <si>
    <t>Saint-Laurent-du-Var</t>
  </si>
  <si>
    <t>34 Bd Louis Roux, 06700 Saint-Laurent-du-Var, France</t>
  </si>
  <si>
    <t>FR3377633337</t>
  </si>
  <si>
    <t>Beauty Salon 2037</t>
  </si>
  <si>
    <t>Company Beauty SL2037</t>
  </si>
  <si>
    <t>Champigny-sur-Marne</t>
  </si>
  <si>
    <t>94 Rue du Monument, 94500 Champigny-sur-Marne, France</t>
  </si>
  <si>
    <t>FR73773373333</t>
  </si>
  <si>
    <t>Beauty Salon 467</t>
  </si>
  <si>
    <t>Company Beauty SL467</t>
  </si>
  <si>
    <t>Zossener Str. 15, 10961 Berlin, Deutschland</t>
  </si>
  <si>
    <t>Beauty Salon 3103</t>
  </si>
  <si>
    <t>Company Beauty SL3103</t>
  </si>
  <si>
    <t>Heiligenstädter Str. 78, 1190 Wien, Österreich</t>
  </si>
  <si>
    <t>Beauty Salon 2615</t>
  </si>
  <si>
    <t>Company Beauty SL2615</t>
  </si>
  <si>
    <t>Corbeil-Essonnes</t>
  </si>
  <si>
    <t>6 Rue Saint-Spire, 91100 Corbeil-Essonnes, France</t>
  </si>
  <si>
    <t>FR73377367333</t>
  </si>
  <si>
    <t>Sabadell</t>
  </si>
  <si>
    <t>Pl. Assemblea de Catalunya, 12, 08207 Sabadell, Barcelona, España</t>
  </si>
  <si>
    <t>33733337S</t>
  </si>
  <si>
    <t>Beauty Salon 2280</t>
  </si>
  <si>
    <t>Company Beauty SL2280</t>
  </si>
  <si>
    <t>Via Stanga, 4, 37139 Verona VR, Italia</t>
  </si>
  <si>
    <t>Beauty Salon 4925</t>
  </si>
  <si>
    <t>Company Beauty SL4925</t>
  </si>
  <si>
    <t>Manresa</t>
  </si>
  <si>
    <t>Carrer del Pujolet, 29, 08242 Manresa, Barcelona, España</t>
  </si>
  <si>
    <t>77777337K</t>
  </si>
  <si>
    <t>Beauty Salon 2498</t>
  </si>
  <si>
    <t>Company Beauty SL2498</t>
  </si>
  <si>
    <t>Évora</t>
  </si>
  <si>
    <t>R. de Santa Catharina 21, 7000-567 Évora, Portugal</t>
  </si>
  <si>
    <t>Beauty Salon 3341</t>
  </si>
  <si>
    <t>Company Beauty SL3341</t>
  </si>
  <si>
    <t>Via di Ripetta, 34, 00186 Roma RM, Italia</t>
  </si>
  <si>
    <t>Beauty Salon 1073</t>
  </si>
  <si>
    <t>Company Beauty SL1073</t>
  </si>
  <si>
    <t>Nola</t>
  </si>
  <si>
    <t>Via Madonna delle Grazie, 67, 80035 Nola NA, Italia</t>
  </si>
  <si>
    <t>Beauty Salon 1846</t>
  </si>
  <si>
    <t>Company Beauty SL1846</t>
  </si>
  <si>
    <t>Erdbergstraße 57, 1030 Wien, Österreich</t>
  </si>
  <si>
    <t>Vintebbio</t>
  </si>
  <si>
    <t>Via G. Marconi, 4, 13037 Vintebbio VC, Italia</t>
  </si>
  <si>
    <t>Beauty Salon 4390</t>
  </si>
  <si>
    <t>Company Beauty SL4390</t>
  </si>
  <si>
    <t>3 Station Parade, Ealing Rd, Northolt UB5 5HR, UK</t>
  </si>
  <si>
    <t>Beauty Salon 3944</t>
  </si>
  <si>
    <t>Company Beauty SL3944</t>
  </si>
  <si>
    <t>Beauty Salon 2995</t>
  </si>
  <si>
    <t>Company Beauty SL2995</t>
  </si>
  <si>
    <t>Seregno</t>
  </si>
  <si>
    <t>Via Cristoforo Colombo, 52, 20831 Seregno MB, Italia</t>
  </si>
  <si>
    <t>Beauty Salon 4821</t>
  </si>
  <si>
    <t>Company Beauty SL4821</t>
  </si>
  <si>
    <t>Arona</t>
  </si>
  <si>
    <t>TF-28, 50, 38627 Arona, Santa Cruz de Tenerife, España</t>
  </si>
  <si>
    <t>Y3337373W</t>
  </si>
  <si>
    <t>Beauty Salon 3307</t>
  </si>
  <si>
    <t>Company Beauty SL3307</t>
  </si>
  <si>
    <t>Av. Maria Helena Vieira da Silva 46, 1750-184 Lisboa, Portugal</t>
  </si>
  <si>
    <t>Carrer del Vallespir, 170, 08014 Barcelona, España</t>
  </si>
  <si>
    <t>73736373H</t>
  </si>
  <si>
    <t>Beauty Salon 3265</t>
  </si>
  <si>
    <t>Company Beauty SL3265</t>
  </si>
  <si>
    <t>Rahlstedter Bahnhofstraße 10, 22143 Hamburg, Deutschland</t>
  </si>
  <si>
    <t>Waterloo</t>
  </si>
  <si>
    <t>105 St John's Rd, Waterloo, Liverpool L22 9QD, UK</t>
  </si>
  <si>
    <t>Beauty Salon 2730</t>
  </si>
  <si>
    <t>Company Beauty SL2730</t>
  </si>
  <si>
    <t>Hilversum</t>
  </si>
  <si>
    <t>Leeghwaterstraat 100, 1221 BJ Hilversum, Netherlands</t>
  </si>
  <si>
    <t>NL333337737B67</t>
  </si>
  <si>
    <t>Beauty Salon 3306</t>
  </si>
  <si>
    <t>Company Beauty SL3306</t>
  </si>
  <si>
    <t>Via Paolo Ferrari, 68, 00123 Roma RM, Italia</t>
  </si>
  <si>
    <t>Guyans-Vennes</t>
  </si>
  <si>
    <t>21 Grande Rue, 25390 Guyans-Vennes, France</t>
  </si>
  <si>
    <t>FR33333737377</t>
  </si>
  <si>
    <t>Beauty Salon 2932</t>
  </si>
  <si>
    <t>Company Beauty SL2932</t>
  </si>
  <si>
    <t>Bremen</t>
  </si>
  <si>
    <t>Wandschneiderstraße 6, 28195 Bremen, Deutschland</t>
  </si>
  <si>
    <t>Beauty Salon 2734</t>
  </si>
  <si>
    <t>Company Beauty SL2734</t>
  </si>
  <si>
    <t>Mezzolombardo</t>
  </si>
  <si>
    <t>Corso del Popolo, 2, 38017 Mezzolombardo TN, Italia</t>
  </si>
  <si>
    <t>Beauty Salon 2022</t>
  </si>
  <si>
    <t>Company Beauty SL2022</t>
  </si>
  <si>
    <t>Πάτρα</t>
  </si>
  <si>
    <t>Παλαιών Πατρών Γερμανού 56, Πάτρα 262 25, Ελλάδα</t>
  </si>
  <si>
    <t>Beauty Salon 4885</t>
  </si>
  <si>
    <t>Company Beauty SL4885</t>
  </si>
  <si>
    <t>Albudeite</t>
  </si>
  <si>
    <t>C. Juan Pedro Blanco Hermosilla, 5, 30190 Albudeite, Murcia, España</t>
  </si>
  <si>
    <t>33333333A</t>
  </si>
  <si>
    <t>Beauty Salon 1178</t>
  </si>
  <si>
    <t>Company Beauty SL1178</t>
  </si>
  <si>
    <t>Wagramer Str. 61/9/1, 1220 Wien, Österreich</t>
  </si>
  <si>
    <t>Beauty Salon 4004</t>
  </si>
  <si>
    <t>Company Beauty SL4004</t>
  </si>
  <si>
    <t>Grosseto</t>
  </si>
  <si>
    <t>Via Fratelli Bandiera, 40, 58100 Grosseto GR, Italia</t>
  </si>
  <si>
    <t>Beauty Salon 4967</t>
  </si>
  <si>
    <t>Company Beauty SL4967</t>
  </si>
  <si>
    <t>54, 62 Uxbridge Rd, London W7 3SU, UK</t>
  </si>
  <si>
    <t>not vat registered</t>
  </si>
  <si>
    <t>Beauty Salon 3092</t>
  </si>
  <si>
    <t>Company Beauty SL3092</t>
  </si>
  <si>
    <t>Baltar</t>
  </si>
  <si>
    <t>Av. Dom Manuel I 791, 4585-013 Baltar, Portugal</t>
  </si>
  <si>
    <t>Beauty Salon 1977</t>
  </si>
  <si>
    <t>Company Beauty SL1977</t>
  </si>
  <si>
    <t>Via Prenestina, 461a, 00177 Roma RM, Italia</t>
  </si>
  <si>
    <t>Beauty Salon 779</t>
  </si>
  <si>
    <t>Company Beauty SL779</t>
  </si>
  <si>
    <t>München</t>
  </si>
  <si>
    <t>Hans-Mielich-Straße 35, 81543 München, Deutschland</t>
  </si>
  <si>
    <t>Piazzale Loreto, 2, 20131 Milano MI, Italia</t>
  </si>
  <si>
    <t>Beauty Salon 4616</t>
  </si>
  <si>
    <t>Company Beauty SL4616</t>
  </si>
  <si>
    <t>Via San Mamolo, 3, 40136 Bologna BO, Italia</t>
  </si>
  <si>
    <t>Beauty Salon 901</t>
  </si>
  <si>
    <t>Company Beauty SL901</t>
  </si>
  <si>
    <t>Bouzy</t>
  </si>
  <si>
    <t>16 Rue Charles de Gaulle, 51150 Bouzy, France</t>
  </si>
  <si>
    <t>Beauty Salon 4976</t>
  </si>
  <si>
    <t>Company Beauty SL4976</t>
  </si>
  <si>
    <t>Via Angelo Inganni, 2, 20147 Milano MI, Italia</t>
  </si>
  <si>
    <t>Beauty Salon 2055</t>
  </si>
  <si>
    <t>Company Beauty SL2055</t>
  </si>
  <si>
    <t>Beaulieu</t>
  </si>
  <si>
    <t>9 Av. Général Pamphile de Lacroix, 34160 Beaulieu, France</t>
  </si>
  <si>
    <t>FR73733736333</t>
  </si>
  <si>
    <t>Caldas da Rainha</t>
  </si>
  <si>
    <t>Rua Fonte do Pinheiro 53, 2500-203 Caldas da Rainha, Portugal</t>
  </si>
  <si>
    <t>Beauty Salon 1655</t>
  </si>
  <si>
    <t>Company Beauty SL1655</t>
  </si>
  <si>
    <t>A. Juozapavičiaus g. 9A, Vilnius 09311, Lithuania</t>
  </si>
  <si>
    <t>Beauty Salon 2543</t>
  </si>
  <si>
    <t>Company Beauty SL2543</t>
  </si>
  <si>
    <t>Mestrino</t>
  </si>
  <si>
    <t>Via Marco Polo, 87b, 35035 Mestrino PD, Italia</t>
  </si>
  <si>
    <t>Kieler Str. 5, 12163 Berlin, Deutschland</t>
  </si>
  <si>
    <t>Beauty Salon 1756</t>
  </si>
  <si>
    <t>Company Beauty SL1756</t>
  </si>
  <si>
    <t>Candiolo</t>
  </si>
  <si>
    <t>Via Torino, 3, 10060 Candiolo TO, Italia</t>
  </si>
  <si>
    <t>Beauty Salon 2711</t>
  </si>
  <si>
    <t>Company Beauty SL2711</t>
  </si>
  <si>
    <t>116 Ave Parmentier, 75011 Paris, France</t>
  </si>
  <si>
    <t>FR67333377767</t>
  </si>
  <si>
    <t>Beauty Salon 4826</t>
  </si>
  <si>
    <t>Company Beauty SL4826</t>
  </si>
  <si>
    <t>Tvankstos g. 12, Vilnius 06200, Lithuania</t>
  </si>
  <si>
    <t>Beauty Salon 4689</t>
  </si>
  <si>
    <t>Company Beauty SL4689</t>
  </si>
  <si>
    <t>Burnt Oak</t>
  </si>
  <si>
    <t>155 Burnt Oak Broadway, Burnt Oak, Edgware HA8 5EH, UK</t>
  </si>
  <si>
    <t>Beauty Salon 1214</t>
  </si>
  <si>
    <t>Company Beauty SL1214</t>
  </si>
  <si>
    <t>Varese</t>
  </si>
  <si>
    <t>Via Francesco Crispi, 48, 21100 Varese VA, Italia</t>
  </si>
  <si>
    <t>Via Vespri Siciliani, 11, 20146 Milano MI, Italia</t>
  </si>
  <si>
    <t>appointments_count</t>
  </si>
  <si>
    <t>bookings_online</t>
  </si>
  <si>
    <t xml:space="preserve">Last_salon_appointment </t>
  </si>
  <si>
    <t>HOY</t>
  </si>
  <si>
    <t>Diff días</t>
  </si>
  <si>
    <t>Etiquetas de fila</t>
  </si>
  <si>
    <t>(en blanco)</t>
  </si>
  <si>
    <t>Total general</t>
  </si>
  <si>
    <t>Cuenta de id</t>
  </si>
  <si>
    <t>KPI HEAVY SAAS</t>
  </si>
  <si>
    <t>Heavy SAAS</t>
  </si>
  <si>
    <t>No Heavy SAAS</t>
  </si>
  <si>
    <t>Clusters</t>
  </si>
  <si>
    <t>Etiquetas de columna</t>
  </si>
  <si>
    <t>S</t>
  </si>
  <si>
    <t>Heavy SAAS / NO Heavy SAAS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</si>
</sst>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dd\-mm\-yyyy"/>
    <numFmt numFmtId="166" formatCode="d\-m\-yyyy"/>
  </numFmts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27221F"/>
      <name val="Calibri"/>
    </font>
    <font>
      <b/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2" fillId="2" borderId="0" xfId="0" applyNumberFormat="1" applyFont="1" applyFill="1"/>
    <xf numFmtId="166" fontId="2" fillId="2" borderId="0" xfId="0" applyNumberFormat="1" applyFont="1" applyFill="1"/>
    <xf numFmtId="0" fontId="1" fillId="2" borderId="0" xfId="0" applyFont="1" applyFill="1" applyAlignment="1">
      <alignment horizontal="right"/>
    </xf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3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1" fontId="0" fillId="5" borderId="0" xfId="0" applyNumberFormat="1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3" fontId="1" fillId="8" borderId="0" xfId="0" applyNumberFormat="1" applyFont="1" applyFill="1" applyAlignment="1">
      <alignment horizontal="right"/>
    </xf>
    <xf numFmtId="164" fontId="1" fillId="8" borderId="0" xfId="0" applyNumberFormat="1" applyFont="1" applyFill="1"/>
    <xf numFmtId="166" fontId="2" fillId="9" borderId="0" xfId="0" applyNumberFormat="1" applyFont="1" applyFill="1"/>
    <xf numFmtId="0" fontId="0" fillId="8" borderId="0" xfId="0" applyFill="1"/>
    <xf numFmtId="165" fontId="2" fillId="9" borderId="0" xfId="0" applyNumberFormat="1" applyFont="1" applyFill="1"/>
    <xf numFmtId="0" fontId="1" fillId="3" borderId="0" xfId="0" applyFont="1" applyFill="1" applyAlignment="1">
      <alignment horizontal="right"/>
    </xf>
    <xf numFmtId="14" fontId="0" fillId="3" borderId="0" xfId="0" applyNumberFormat="1" applyFill="1"/>
    <xf numFmtId="1" fontId="0" fillId="3" borderId="0" xfId="0" applyNumberFormat="1" applyFill="1"/>
    <xf numFmtId="0" fontId="0" fillId="3" borderId="0" xfId="0" applyFill="1"/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006.539673611114" createdVersion="8" refreshedVersion="8" minRefreshableVersion="3" recordCount="552" xr:uid="{3F63C6C4-6F21-4993-BA36-5590C768BE6A}">
  <cacheSource type="worksheet">
    <worksheetSource ref="A1:H1048576" sheet="Case 1.1"/>
  </cacheSource>
  <cacheFields count="8">
    <cacheField name="id" numFmtId="0">
      <sharedItems containsString="0" containsBlank="1" containsNumber="1" containsInteger="1" minValue="530" maxValue="506305050"/>
    </cacheField>
    <cacheField name="appointments_count" numFmtId="0">
      <sharedItems containsString="0" containsBlank="1" containsNumber="1" containsInteger="1" minValue="0" maxValue="130382"/>
    </cacheField>
    <cacheField name="town" numFmtId="0">
      <sharedItems containsBlank="1"/>
    </cacheField>
    <cacheField name="formatted_address" numFmtId="0">
      <sharedItems containsBlank="1"/>
    </cacheField>
    <cacheField name="Last_salon_appointment " numFmtId="14">
      <sharedItems containsNonDate="0" containsDate="1" containsString="0" containsBlank="1" minDate="2022-01-01T00:00:00" maxDate="2022-12-09T00:00:00"/>
    </cacheField>
    <cacheField name="HOY" numFmtId="0">
      <sharedItems containsNonDate="0" containsDate="1" containsString="0" containsBlank="1" minDate="2022-12-02T00:00:00" maxDate="2022-12-03T00:00:00"/>
    </cacheField>
    <cacheField name="Diff días" numFmtId="0">
      <sharedItems containsString="0" containsBlank="1" containsNumber="1" containsInteger="1" minValue="-6" maxValue="335"/>
    </cacheField>
    <cacheField name="KPI HEAVY SAAS" numFmtId="0">
      <sharedItems containsBlank="1" count="3">
        <s v="Heavy SAAS"/>
        <s v="No Heavy SAA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006.561089467592" createdVersion="8" refreshedVersion="8" minRefreshableVersion="3" recordCount="552" xr:uid="{8A88C584-01C5-438C-8166-C74E35967095}">
  <cacheSource type="worksheet">
    <worksheetSource ref="A1:W1048576" sheet="Case 1"/>
  </cacheSource>
  <cacheFields count="23">
    <cacheField name="id" numFmtId="0">
      <sharedItems containsString="0" containsBlank="1" containsNumber="1" containsInteger="1" minValue="530" maxValue="506305050"/>
    </cacheField>
    <cacheField name="enabled" numFmtId="0">
      <sharedItems containsBlank="1"/>
    </cacheField>
    <cacheField name="venue_name" numFmtId="0">
      <sharedItems containsBlank="1"/>
    </cacheField>
    <cacheField name="company_name" numFmtId="0">
      <sharedItems containsBlank="1"/>
    </cacheField>
    <cacheField name="latitude" numFmtId="0">
      <sharedItems containsString="0" containsBlank="1" containsNumber="1" containsInteger="1" minValue="41388" maxValue="5597445"/>
    </cacheField>
    <cacheField name="longitude" numFmtId="0">
      <sharedItems containsString="0" containsBlank="1" containsNumber="1" containsInteger="1" minValue="-937957" maxValue="9963475"/>
    </cacheField>
    <cacheField name="town" numFmtId="0">
      <sharedItems containsBlank="1"/>
    </cacheField>
    <cacheField name="formatted_address" numFmtId="0">
      <sharedItems containsBlank="1"/>
    </cacheField>
    <cacheField name="created_at" numFmtId="0">
      <sharedItems containsNonDate="0" containsDate="1" containsString="0" containsBlank="1" minDate="2014-04-04T21:30:32" maxDate="2022-09-29T17:10:14"/>
    </cacheField>
    <cacheField name="phone" numFmtId="0">
      <sharedItems containsBlank="1" containsMixedTypes="1" containsNumber="1" containsInteger="1" minValue="59503385" maxValue="5983359388808"/>
    </cacheField>
    <cacheField name="reviews_count" numFmtId="0">
      <sharedItems containsString="0" containsBlank="1" containsNumber="1" containsInteger="1" minValue="0" maxValue="1851"/>
    </cacheField>
    <cacheField name="average_rating" numFmtId="0">
      <sharedItems containsBlank="1" containsMixedTypes="1" containsNumber="1" containsInteger="1" minValue="0" maxValue="4994048"/>
    </cacheField>
    <cacheField name="vat_number" numFmtId="0">
      <sharedItems containsBlank="1" containsMixedTypes="1" containsNumber="1" containsInteger="1" minValue="73" maxValue="33736373333336"/>
    </cacheField>
    <cacheField name="customers_count" numFmtId="0">
      <sharedItems containsString="0" containsBlank="1" containsNumber="1" containsInteger="1" minValue="0" maxValue="21403"/>
    </cacheField>
    <cacheField name="staff_members_count" numFmtId="0">
      <sharedItems containsString="0" containsBlank="1" containsNumber="1" containsInteger="1" minValue="0" maxValue="44"/>
    </cacheField>
    <cacheField name="plan" numFmtId="0">
      <sharedItems containsBlank="1" count="4">
        <s v="Premium"/>
        <s v="Advanced"/>
        <s v="Starter"/>
        <m/>
      </sharedItems>
    </cacheField>
    <cacheField name="purchasable_online" numFmtId="0">
      <sharedItems containsBlank="1"/>
    </cacheField>
    <cacheField name="accepts_online_payments" numFmtId="0">
      <sharedItems containsBlank="1"/>
    </cacheField>
    <cacheField name="online_payment_only" numFmtId="0">
      <sharedItems containsBlank="1"/>
    </cacheField>
    <cacheField name="average_time_day_appointment_per_customer" numFmtId="0">
      <sharedItems containsBlank="1" containsMixedTypes="1" containsNumber="1" containsInteger="1" minValue="0" maxValue="38"/>
    </cacheField>
    <cacheField name="daily_booking_only" numFmtId="0">
      <sharedItems containsBlank="1"/>
    </cacheField>
    <cacheField name="last_online_appointment" numFmtId="0">
      <sharedItems containsNonDate="0" containsDate="1" containsString="0" containsBlank="1" minDate="2022-01-05T00:00:00" maxDate="2022-12-09T00:00:00"/>
    </cacheField>
    <cacheField name="last_salon_appointement" numFmtId="0">
      <sharedItems containsNonDate="0" containsDate="1" containsString="0" containsBlank="1" minDate="2022-01-01T00:00:00" maxDate="2022-1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006.56284421296" createdVersion="8" refreshedVersion="8" minRefreshableVersion="3" recordCount="552" xr:uid="{FBF51AA2-5F9A-4B8F-B970-E8ED24933B4B}">
  <cacheSource type="worksheet">
    <worksheetSource ref="A1:I1048576" sheet="Case 1.1"/>
  </cacheSource>
  <cacheFields count="9">
    <cacheField name="id" numFmtId="0">
      <sharedItems containsString="0" containsBlank="1" containsNumber="1" containsInteger="1" minValue="530" maxValue="506305050"/>
    </cacheField>
    <cacheField name="appointments_count" numFmtId="0">
      <sharedItems containsString="0" containsBlank="1" containsNumber="1" containsInteger="1" minValue="0" maxValue="130382"/>
    </cacheField>
    <cacheField name="town" numFmtId="0">
      <sharedItems containsBlank="1"/>
    </cacheField>
    <cacheField name="formatted_address" numFmtId="0">
      <sharedItems containsBlank="1"/>
    </cacheField>
    <cacheField name="Last_salon_appointment " numFmtId="14">
      <sharedItems containsNonDate="0" containsDate="1" containsString="0" containsBlank="1" minDate="2022-01-01T00:00:00" maxDate="2022-12-09T00:00:00"/>
    </cacheField>
    <cacheField name="HOY" numFmtId="0">
      <sharedItems containsNonDate="0" containsDate="1" containsString="0" containsBlank="1" minDate="2022-12-02T00:00:00" maxDate="2022-12-03T00:00:00"/>
    </cacheField>
    <cacheField name="Diff días" numFmtId="0">
      <sharedItems containsString="0" containsBlank="1" containsNumber="1" containsInteger="1" minValue="-6" maxValue="335"/>
    </cacheField>
    <cacheField name="KPI HEAVY SAAS" numFmtId="0">
      <sharedItems containsBlank="1" count="3">
        <s v="Heavy SAAS"/>
        <s v="No Heavy SAAS"/>
        <m/>
      </sharedItems>
    </cacheField>
    <cacheField name="Clusters" numFmtId="0">
      <sharedItems containsBlank="1" count="4">
        <s v="Premium"/>
        <s v="Advanced"/>
        <s v="Start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n v="530"/>
    <n v="130382"/>
    <s v="Roma"/>
    <s v="Via Lione, 24, 00144 Roma, Italia"/>
    <d v="2022-12-08T00:00:00"/>
    <d v="2022-12-02T00:00:00"/>
    <n v="-6"/>
    <x v="0"/>
  </r>
  <r>
    <n v="570"/>
    <n v="129748"/>
    <s v="Roma"/>
    <s v="Via Angelo Brofferio, 12, 00195 Roma, Italia"/>
    <d v="2022-12-08T00:00:00"/>
    <d v="2022-12-02T00:00:00"/>
    <n v="-6"/>
    <x v="0"/>
  </r>
  <r>
    <n v="655"/>
    <n v="70784"/>
    <s v="Roma"/>
    <s v="Via del Pianeta Venere, 37, 00144 Roma, Italia"/>
    <d v="2022-12-08T00:00:00"/>
    <d v="2022-12-02T00:00:00"/>
    <n v="-6"/>
    <x v="0"/>
  </r>
  <r>
    <n v="767"/>
    <n v="54365"/>
    <s v="Bettolle"/>
    <s v="Via Giuseppe di Vittorio, 99, 53048 Bettolle SI, Italia"/>
    <d v="2022-12-08T00:00:00"/>
    <d v="2022-12-02T00:00:00"/>
    <n v="-6"/>
    <x v="0"/>
  </r>
  <r>
    <n v="1104"/>
    <n v="0"/>
    <s v="Pozzomaggiore"/>
    <s v="Via Trifoglio, 3, 07018 Pozzomaggiore SS, Italia"/>
    <d v="2022-08-28T00:00:00"/>
    <d v="2022-12-02T00:00:00"/>
    <n v="96"/>
    <x v="1"/>
  </r>
  <r>
    <n v="1140"/>
    <n v="0"/>
    <s v="Augusta"/>
    <s v="Via Papa Giovanni XXIII, 15, 96011 Augusta SR, Italia"/>
    <d v="2022-09-11T00:00:00"/>
    <d v="2022-12-02T00:00:00"/>
    <n v="82"/>
    <x v="1"/>
  </r>
  <r>
    <n v="1445"/>
    <n v="0"/>
    <s v="Trento"/>
    <s v="Via Fratelli Fontana, 1, 38121 Trento, Italia"/>
    <d v="2022-11-14T00:00:00"/>
    <d v="2022-12-02T00:00:00"/>
    <n v="18"/>
    <x v="1"/>
  </r>
  <r>
    <n v="1450"/>
    <n v="0"/>
    <s v="La Spezia"/>
    <s v="Corso Nazionale, 156, 19126 La Spezia SP, Italia"/>
    <d v="2022-07-16T00:00:00"/>
    <d v="2022-12-02T00:00:00"/>
    <n v="139"/>
    <x v="1"/>
  </r>
  <r>
    <n v="1514"/>
    <n v="0"/>
    <s v="Asti"/>
    <s v="Piazza Vittorio Alfieri, 26, 14100 Asti AT, Italia"/>
    <d v="2022-03-04T00:00:00"/>
    <d v="2022-12-02T00:00:00"/>
    <n v="273"/>
    <x v="1"/>
  </r>
  <r>
    <n v="1605"/>
    <n v="13512"/>
    <s v="Roma"/>
    <s v="Viale Ippocrate, 35, 00161 Roma RM, Italia"/>
    <d v="2022-08-24T00:00:00"/>
    <d v="2022-12-02T00:00:00"/>
    <n v="100"/>
    <x v="1"/>
  </r>
  <r>
    <n v="1701"/>
    <n v="0"/>
    <s v="Martignacco"/>
    <s v="Via Antonio Bardelli, 4, 33035 Martignacco UD, Italia"/>
    <d v="2022-06-21T00:00:00"/>
    <d v="2022-12-02T00:00:00"/>
    <n v="164"/>
    <x v="1"/>
  </r>
  <r>
    <n v="1775"/>
    <n v="0"/>
    <s v="Ravenna"/>
    <s v="Via Portorose, 37, 48122 Ravenna RA, Italia"/>
    <d v="2022-09-19T00:00:00"/>
    <d v="2022-12-02T00:00:00"/>
    <n v="74"/>
    <x v="1"/>
  </r>
  <r>
    <n v="4530"/>
    <n v="25027"/>
    <s v="Roma"/>
    <s v="Via di Gesù e Maria, 11, 00187 Roma, Italia"/>
    <d v="2022-11-13T00:00:00"/>
    <d v="2022-12-02T00:00:00"/>
    <n v="19"/>
    <x v="0"/>
  </r>
  <r>
    <n v="5047"/>
    <n v="56227"/>
    <s v="Milano"/>
    <s v="Via Cesare Cesariano, 6, 20154 Milano, Italia"/>
    <d v="2022-12-08T00:00:00"/>
    <d v="2022-12-02T00:00:00"/>
    <n v="-6"/>
    <x v="0"/>
  </r>
  <r>
    <n v="5051"/>
    <n v="0"/>
    <s v="Foggia"/>
    <s v="Via Carlo Ciampitti, 38, 71121 Foggia FG, Italia"/>
    <d v="2022-03-07T00:00:00"/>
    <d v="2022-12-02T00:00:00"/>
    <n v="270"/>
    <x v="1"/>
  </r>
  <r>
    <n v="5544"/>
    <n v="17"/>
    <s v="Borgomanero"/>
    <s v="Via Gozzano, 78, 28021 Borgomanero NO, Italia"/>
    <d v="2022-09-06T00:00:00"/>
    <d v="2022-12-02T00:00:00"/>
    <n v="87"/>
    <x v="1"/>
  </r>
  <r>
    <n v="5565"/>
    <n v="23437"/>
    <s v="Ζωγράφου"/>
    <s v="Γεωρ. Ζωγράφου 35, Ζωγράφου 157 72, Ελλάδα"/>
    <d v="2022-11-09T00:00:00"/>
    <d v="2022-12-02T00:00:00"/>
    <n v="23"/>
    <x v="0"/>
  </r>
  <r>
    <n v="5764"/>
    <n v="0"/>
    <s v="Vercelli"/>
    <s v="Via Aravecchia, 12, 13100 Vercelli VC, Italia"/>
    <d v="2022-01-31T00:00:00"/>
    <d v="2022-12-02T00:00:00"/>
    <n v="305"/>
    <x v="1"/>
  </r>
  <r>
    <n v="6456"/>
    <n v="40"/>
    <s v="Madrid"/>
    <s v="Calle de Velázquez, 69, 28006 Madrid, España"/>
    <d v="2022-04-30T00:00:00"/>
    <d v="2022-12-02T00:00:00"/>
    <n v="216"/>
    <x v="1"/>
  </r>
  <r>
    <n v="6617"/>
    <n v="48"/>
    <s v="Madrid"/>
    <s v="C. de Costanilla del Calero, 32, 28027 Madrid"/>
    <d v="2022-04-09T00:00:00"/>
    <d v="2022-12-02T00:00:00"/>
    <n v="237"/>
    <x v="1"/>
  </r>
  <r>
    <n v="7146"/>
    <n v="8811"/>
    <s v="Arbo"/>
    <s v="Rúa Antonia Tovar, 34, 36430 Arbo, Pontevedra, España"/>
    <d v="2022-06-14T00:00:00"/>
    <d v="2022-12-02T00:00:00"/>
    <n v="171"/>
    <x v="1"/>
  </r>
  <r>
    <n v="7605"/>
    <n v="28"/>
    <s v="Villena"/>
    <s v="C. Joaquín M López, 24, 03400 Villena, Alicante, España"/>
    <d v="2022-03-02T00:00:00"/>
    <d v="2022-12-02T00:00:00"/>
    <n v="275"/>
    <x v="1"/>
  </r>
  <r>
    <n v="7757"/>
    <n v="8"/>
    <s v="Barcelona"/>
    <s v="C/ de València, 306, 08009 Barcelona, España"/>
    <d v="2022-05-09T00:00:00"/>
    <d v="2022-12-02T00:00:00"/>
    <n v="207"/>
    <x v="1"/>
  </r>
  <r>
    <n v="10545"/>
    <n v="32913"/>
    <s v="Subiaco"/>
    <s v="Via Papa Braschi, 10, 00028 Subiaco RM, Italia"/>
    <d v="2022-12-08T00:00:00"/>
    <d v="2022-12-02T00:00:00"/>
    <n v="-6"/>
    <x v="0"/>
  </r>
  <r>
    <n v="11061"/>
    <n v="16534"/>
    <s v="Ceuta"/>
    <s v="Calle Méndez Núñez, 8, 51001 Ceuta, España"/>
    <d v="2022-10-18T00:00:00"/>
    <d v="2022-12-02T00:00:00"/>
    <n v="45"/>
    <x v="1"/>
  </r>
  <r>
    <n v="13055"/>
    <n v="0"/>
    <s v="Reggio Emilia"/>
    <s v="Via Emilia S. Pietro, 48, 42121 Reggio Emilia RE, Italia"/>
    <d v="2022-05-06T00:00:00"/>
    <d v="2022-12-02T00:00:00"/>
    <n v="210"/>
    <x v="1"/>
  </r>
  <r>
    <n v="14044"/>
    <n v="76"/>
    <s v="Rueil-Malmaison"/>
    <s v="65 Rue Gallieni, 92500 Rueil-Malmaison, Francia"/>
    <d v="2022-01-01T00:00:00"/>
    <d v="2022-12-02T00:00:00"/>
    <n v="335"/>
    <x v="1"/>
  </r>
  <r>
    <n v="14155"/>
    <n v="7633"/>
    <s v="Milano"/>
    <s v="Corso Lodi, 9, 20135 Milano MI, Italia"/>
    <d v="2022-08-07T00:00:00"/>
    <d v="2022-12-02T00:00:00"/>
    <n v="117"/>
    <x v="1"/>
  </r>
  <r>
    <n v="14405"/>
    <n v="14612"/>
    <s v="Battipaglia"/>
    <s v="Via IV Novembre, 25, 84091 Battipaglia SA, Italia"/>
    <d v="2022-10-22T00:00:00"/>
    <d v="2022-12-02T00:00:00"/>
    <n v="41"/>
    <x v="1"/>
  </r>
  <r>
    <n v="14441"/>
    <n v="1379"/>
    <s v="Lyon"/>
    <s v="39 Route de Vienne, 69007 Lyon, Francia"/>
    <d v="2022-05-17T00:00:00"/>
    <d v="2022-12-02T00:00:00"/>
    <n v="199"/>
    <x v="1"/>
  </r>
  <r>
    <n v="14504"/>
    <n v="0"/>
    <s v="Verona"/>
    <s v="Galleria Pellicciai, 16, 37121 Verona VR, Italia"/>
    <d v="2022-08-30T00:00:00"/>
    <d v="2022-12-02T00:00:00"/>
    <n v="94"/>
    <x v="1"/>
  </r>
  <r>
    <n v="14515"/>
    <n v="13965"/>
    <s v="Montefino"/>
    <s v="Via Rasetti, 64030 Montefino TE, Italia"/>
    <d v="2022-10-16T00:00:00"/>
    <d v="2022-12-02T00:00:00"/>
    <n v="47"/>
    <x v="1"/>
  </r>
  <r>
    <n v="15441"/>
    <n v="25629"/>
    <s v="Badia Polesine"/>
    <s v="Via Danieli, 40, 45021 Badia Polesine RO, Italia"/>
    <d v="2022-11-14T00:00:00"/>
    <d v="2022-12-02T00:00:00"/>
    <n v="18"/>
    <x v="0"/>
  </r>
  <r>
    <n v="15446"/>
    <n v="15061"/>
    <s v="San Mauro Torinese"/>
    <s v="Via Martiri della Libertà, 53, 10099 San Mauro Torinese TO, Italia"/>
    <d v="2022-10-27T00:00:00"/>
    <d v="2022-12-02T00:00:00"/>
    <n v="36"/>
    <x v="1"/>
  </r>
  <r>
    <n v="15447"/>
    <n v="15180"/>
    <s v="València"/>
    <s v="Av. de Burjassot, 29, 46009 València, Valencia, España"/>
    <d v="2022-10-15T00:00:00"/>
    <d v="2022-12-02T00:00:00"/>
    <n v="48"/>
    <x v="1"/>
  </r>
  <r>
    <n v="15556"/>
    <n v="13905"/>
    <s v="Firenze"/>
    <s v="Viale Francesco Petrarca, 100, 50124 Firenze FI, Italia"/>
    <d v="2022-01-28T00:00:00"/>
    <d v="2022-12-02T00:00:00"/>
    <n v="308"/>
    <x v="1"/>
  </r>
  <r>
    <n v="16040"/>
    <n v="5841"/>
    <s v="Lisboa"/>
    <s v="Praça do Município 38, 1200-005 Lisboa, Portugal"/>
    <d v="2022-06-03T00:00:00"/>
    <d v="2022-12-02T00:00:00"/>
    <n v="182"/>
    <x v="1"/>
  </r>
  <r>
    <n v="16041"/>
    <n v="38097"/>
    <s v="Torino"/>
    <s v="Via Valprato, 68, 10155 Torino TO, Italia"/>
    <d v="2022-12-08T00:00:00"/>
    <d v="2022-12-02T00:00:00"/>
    <n v="-6"/>
    <x v="0"/>
  </r>
  <r>
    <n v="16064"/>
    <n v="27247"/>
    <s v="Vergato"/>
    <s v="Via Garibaldi, 23, 40038 Vergato BO, Italia"/>
    <d v="2022-11-16T00:00:00"/>
    <d v="2022-12-02T00:00:00"/>
    <n v="16"/>
    <x v="0"/>
  </r>
  <r>
    <n v="16144"/>
    <n v="9240"/>
    <s v="San Giorgio a Cremano"/>
    <s v="Via Botteghelle, 22, 80046 San Giorgio a Cremano NA, Italia"/>
    <d v="2022-09-01T00:00:00"/>
    <d v="2022-12-02T00:00:00"/>
    <n v="92"/>
    <x v="1"/>
  </r>
  <r>
    <n v="16740"/>
    <n v="3475"/>
    <s v="Parma"/>
    <s v="Str. della Repubblica, 100, 43121 Parma PR, Italia"/>
    <d v="2022-05-17T00:00:00"/>
    <d v="2022-12-02T00:00:00"/>
    <n v="199"/>
    <x v="1"/>
  </r>
  <r>
    <n v="16765"/>
    <n v="8529"/>
    <s v="Αθήνα"/>
    <s v="Ευαλκίδου 10, Αθήνα 104 45, Ελλάδα"/>
    <d v="2022-02-16T00:00:00"/>
    <d v="2022-12-02T00:00:00"/>
    <n v="289"/>
    <x v="1"/>
  </r>
  <r>
    <n v="17665"/>
    <n v="38"/>
    <s v="Paris"/>
    <s v="36 Rue de Montholon, 75009 Paris, Francia"/>
    <d v="2022-01-27T00:00:00"/>
    <d v="2022-12-02T00:00:00"/>
    <n v="309"/>
    <x v="1"/>
  </r>
  <r>
    <n v="40430"/>
    <n v="2766"/>
    <s v="Spinea"/>
    <s v="Via della Costituzione, 129, 30038 Spinea VE, Italia"/>
    <d v="2022-08-24T00:00:00"/>
    <d v="2022-12-02T00:00:00"/>
    <n v="100"/>
    <x v="1"/>
  </r>
  <r>
    <n v="41504"/>
    <n v="12187"/>
    <s v="Roma"/>
    <s v="Via Lago di Lesina, 45, 00199 Roma RM, Italia"/>
    <d v="2022-10-30T00:00:00"/>
    <d v="2022-12-02T00:00:00"/>
    <n v="33"/>
    <x v="1"/>
  </r>
  <r>
    <n v="50016"/>
    <n v="8274"/>
    <s v="Porto"/>
    <s v="Alameda Dr. António Macedo 115, 4250-053 Porto, Portugal"/>
    <d v="2022-06-29T00:00:00"/>
    <d v="2022-12-02T00:00:00"/>
    <n v="156"/>
    <x v="1"/>
  </r>
  <r>
    <n v="50057"/>
    <n v="12142"/>
    <s v="Noto"/>
    <s v="Via Camillo Benso Conte di Cavour, 102, 96017 Noto SR, Italia"/>
    <d v="2022-11-12T00:00:00"/>
    <d v="2022-12-02T00:00:00"/>
    <n v="20"/>
    <x v="0"/>
  </r>
  <r>
    <n v="50440"/>
    <n v="4320"/>
    <s v="Broni"/>
    <s v="Via Roma, 8, 27043 Broni PV, Italia"/>
    <d v="2022-06-17T00:00:00"/>
    <d v="2022-12-02T00:00:00"/>
    <n v="168"/>
    <x v="1"/>
  </r>
  <r>
    <n v="50445"/>
    <n v="19832"/>
    <s v="Roma"/>
    <s v="Via Lucio Elio Seiano, 105, 00174 Roma RM, Italia"/>
    <d v="2022-10-16T00:00:00"/>
    <d v="2022-12-02T00:00:00"/>
    <n v="47"/>
    <x v="1"/>
  </r>
  <r>
    <n v="50457"/>
    <n v="14900"/>
    <s v="Sant Feliu de Llobregat"/>
    <s v="Passatge Terrassa, 3, 08980 Sant Feliu de Llobregat, Barcelona, España"/>
    <d v="2022-06-08T00:00:00"/>
    <d v="2022-12-02T00:00:00"/>
    <n v="177"/>
    <x v="1"/>
  </r>
  <r>
    <n v="50505"/>
    <n v="44405"/>
    <s v="Milano"/>
    <s v="Via Lorenzo Bartolini, 49, 20155 Milano MI, Italia"/>
    <d v="2022-12-08T00:00:00"/>
    <d v="2022-12-02T00:00:00"/>
    <n v="-6"/>
    <x v="0"/>
  </r>
  <r>
    <n v="50506"/>
    <n v="11828"/>
    <s v="Avigliana"/>
    <s v="Corso Laghi, 15, 10051 Avigliana TO, Italia"/>
    <d v="2022-08-28T00:00:00"/>
    <d v="2022-12-02T00:00:00"/>
    <n v="96"/>
    <x v="1"/>
  </r>
  <r>
    <n v="50541"/>
    <n v="4829"/>
    <s v="Livorno"/>
    <s v="Via Giovanni Bartolena, 30, 57128 Livorno LI, Italia"/>
    <d v="2022-10-17T00:00:00"/>
    <d v="2022-12-02T00:00:00"/>
    <n v="46"/>
    <x v="1"/>
  </r>
  <r>
    <n v="50547"/>
    <n v="14814"/>
    <s v="Cessalto"/>
    <s v="Piazza del Santo Volto, 8, 31040 Cessalto TV, Italia"/>
    <d v="2022-11-08T00:00:00"/>
    <d v="2022-12-02T00:00:00"/>
    <n v="24"/>
    <x v="0"/>
  </r>
  <r>
    <n v="50644"/>
    <n v="23306"/>
    <s v="Firenze"/>
    <s v="Via della Rondinella, 17, 50135 Firenze FI, Italia"/>
    <d v="2022-11-03T00:00:00"/>
    <d v="2022-12-02T00:00:00"/>
    <n v="29"/>
    <x v="0"/>
  </r>
  <r>
    <n v="51040"/>
    <n v="8940"/>
    <s v="Avola"/>
    <s v="Piazza Umberto I, 31, 96012 Avola SR, Italia"/>
    <d v="2022-11-02T00:00:00"/>
    <d v="2022-12-02T00:00:00"/>
    <n v="30"/>
    <x v="1"/>
  </r>
  <r>
    <n v="51055"/>
    <n v="7883"/>
    <s v="Pistoia"/>
    <s v="Via Sebastiano Ciampi, 39, 51100 Pistoia PT, Italia"/>
    <d v="2022-06-22T00:00:00"/>
    <d v="2022-12-02T00:00:00"/>
    <n v="163"/>
    <x v="1"/>
  </r>
  <r>
    <n v="51056"/>
    <n v="17585"/>
    <s v="Córdoba"/>
    <s v="Calle Málaga, 3, 14003 Córdoba, España"/>
    <d v="2022-10-26T00:00:00"/>
    <d v="2022-12-02T00:00:00"/>
    <n v="37"/>
    <x v="1"/>
  </r>
  <r>
    <n v="51067"/>
    <n v="12492"/>
    <s v="Camaiore"/>
    <s v="Via del Fortino, 59, 55041 Camaiore LU, Italia"/>
    <d v="2022-10-18T00:00:00"/>
    <d v="2022-12-02T00:00:00"/>
    <n v="45"/>
    <x v="1"/>
  </r>
  <r>
    <n v="51400"/>
    <n v="13816"/>
    <s v="Πειραιάς"/>
    <s v="Αιτωλικού 45, Πειραιάς 185 45, Ελλάδα"/>
    <d v="2022-07-15T00:00:00"/>
    <d v="2022-12-02T00:00:00"/>
    <n v="140"/>
    <x v="1"/>
  </r>
  <r>
    <n v="51441"/>
    <n v="2887"/>
    <s v="centro storico di San Salvo"/>
    <s v="Via Trignina, 58, 66050 centro storico di San Salvo CH, Italia"/>
    <d v="2022-06-02T00:00:00"/>
    <d v="2022-12-02T00:00:00"/>
    <n v="183"/>
    <x v="1"/>
  </r>
  <r>
    <n v="51466"/>
    <n v="8030"/>
    <s v="Palma"/>
    <s v="Carrer de Cecili Metel, 1, 07003 Palma, Illes Balears, España"/>
    <d v="2022-09-21T00:00:00"/>
    <d v="2022-12-02T00:00:00"/>
    <n v="72"/>
    <x v="1"/>
  </r>
  <r>
    <n v="51550"/>
    <n v="5891"/>
    <s v="Biancavilla"/>
    <s v="Via Monte Cervino, 9, 95033 Biancavilla CT, Italia"/>
    <d v="2022-06-09T00:00:00"/>
    <d v="2022-12-02T00:00:00"/>
    <n v="176"/>
    <x v="1"/>
  </r>
  <r>
    <n v="54146"/>
    <n v="4446"/>
    <s v="Chieti"/>
    <s v="Via Ortona, 9, 66100 Chieti CH, Italia"/>
    <d v="2022-09-04T00:00:00"/>
    <d v="2022-12-02T00:00:00"/>
    <n v="89"/>
    <x v="1"/>
  </r>
  <r>
    <n v="54160"/>
    <n v="2894"/>
    <s v="Castelnuovo del Garda"/>
    <s v="Via Trento, 46, 37014 Castelnuovo del Garda VR, Italia"/>
    <d v="2022-10-12T00:00:00"/>
    <d v="2022-12-02T00:00:00"/>
    <n v="51"/>
    <x v="1"/>
  </r>
  <r>
    <n v="54170"/>
    <n v="8670"/>
    <s v="Borriana"/>
    <s v="Carrer la Carrera, 36, 12530 Borriana, Castelló, España"/>
    <d v="2022-01-30T00:00:00"/>
    <d v="2022-12-02T00:00:00"/>
    <n v="306"/>
    <x v="1"/>
  </r>
  <r>
    <n v="54176"/>
    <n v="17094"/>
    <s v="Murcia"/>
    <s v="Av. Europa, 4, 30007 Murcia, España"/>
    <d v="2022-10-17T00:00:00"/>
    <d v="2022-12-02T00:00:00"/>
    <n v="46"/>
    <x v="1"/>
  </r>
  <r>
    <n v="54414"/>
    <n v="83"/>
    <s v="Barcelona"/>
    <s v="Carrer de Ricart, 32, 08004 Barcelona, España"/>
    <d v="2022-08-31T00:00:00"/>
    <d v="2022-12-02T00:00:00"/>
    <n v="93"/>
    <x v="1"/>
  </r>
  <r>
    <n v="54460"/>
    <n v="4496"/>
    <s v="Jaca"/>
    <s v="Av. Zaragoza, 32, 22700 Jaca, Huesca, España"/>
    <d v="2022-11-22T00:00:00"/>
    <d v="2022-12-02T00:00:00"/>
    <n v="10"/>
    <x v="0"/>
  </r>
  <r>
    <n v="54465"/>
    <n v="4936"/>
    <s v="Sissa Trecasali"/>
    <s v="Piazza G. Picelli, 11, 43018 Sissa Trecasali PR, Italia"/>
    <d v="2022-08-28T00:00:00"/>
    <d v="2022-12-02T00:00:00"/>
    <n v="96"/>
    <x v="1"/>
  </r>
  <r>
    <n v="54470"/>
    <n v="43908"/>
    <s v="Catanzaro"/>
    <s v="Via Merante Vincenzo Padre, 11B, 88100 Catanzaro CZ, Italia"/>
    <d v="2022-12-08T00:00:00"/>
    <d v="2022-12-02T00:00:00"/>
    <n v="-6"/>
    <x v="0"/>
  </r>
  <r>
    <n v="54504"/>
    <n v="11307"/>
    <s v="Siracusa"/>
    <s v="Via Luigi Spagna, 81/83, 96100 Siracusa SR, Italia"/>
    <d v="2022-08-25T00:00:00"/>
    <d v="2022-12-02T00:00:00"/>
    <n v="99"/>
    <x v="1"/>
  </r>
  <r>
    <n v="54505"/>
    <n v="11040"/>
    <s v="Livorno"/>
    <s v="Corso Amedeo, 269, 57125 Livorno LI, Italia"/>
    <d v="2022-11-03T00:00:00"/>
    <d v="2022-12-02T00:00:00"/>
    <n v="29"/>
    <x v="0"/>
  </r>
  <r>
    <n v="54506"/>
    <n v="23764"/>
    <s v="Roma"/>
    <s v="Via Prenestina, 394f, 00171 Roma RM, Italia"/>
    <d v="2022-11-12T00:00:00"/>
    <d v="2022-12-02T00:00:00"/>
    <n v="20"/>
    <x v="0"/>
  </r>
  <r>
    <n v="54544"/>
    <n v="9624"/>
    <s v="Εύοσμος"/>
    <s v="17ης Νοεμβρίου 6, Εύοσμος 562 24, Ελλάδα"/>
    <d v="2022-10-22T00:00:00"/>
    <d v="2022-12-02T00:00:00"/>
    <n v="41"/>
    <x v="1"/>
  </r>
  <r>
    <n v="54544"/>
    <n v="2645"/>
    <s v="Sant Antoni de Portmany"/>
    <s v="Carrer de Cervantes, 38, 07820 Sant Antoni de Portmany, Illes Balears, España"/>
    <d v="2022-10-22T00:00:00"/>
    <d v="2022-12-02T00:00:00"/>
    <n v="41"/>
    <x v="1"/>
  </r>
  <r>
    <n v="54550"/>
    <n v="78065"/>
    <s v="Napoli"/>
    <s v="Via Eduardo Suarez, 32, 80129 Napoli, Italia"/>
    <d v="2022-12-08T00:00:00"/>
    <d v="2022-12-02T00:00:00"/>
    <n v="-6"/>
    <x v="0"/>
  </r>
  <r>
    <n v="54561"/>
    <n v="13684"/>
    <s v="Bronte"/>
    <s v="Via Scorpione, 5, 95034 Bronte CT, Italia"/>
    <d v="2022-09-17T00:00:00"/>
    <d v="2022-12-02T00:00:00"/>
    <n v="76"/>
    <x v="1"/>
  </r>
  <r>
    <n v="54574"/>
    <n v="3624"/>
    <s v="San Cristóbal de La Laguna"/>
    <s v="C. Pablo Iglesias, 22, 38203 San Cristóbal de La Laguna, Santa Cruz de Tenerife, España"/>
    <d v="2022-04-23T00:00:00"/>
    <d v="2022-12-02T00:00:00"/>
    <n v="223"/>
    <x v="1"/>
  </r>
  <r>
    <n v="54756"/>
    <n v="3815"/>
    <s v="Napoli"/>
    <s v="Via Eduardo Nicolardi, 192, 80131 Napoli NA, Italia"/>
    <d v="2022-10-04T00:00:00"/>
    <d v="2022-12-02T00:00:00"/>
    <n v="59"/>
    <x v="1"/>
  </r>
  <r>
    <n v="55016"/>
    <n v="13091"/>
    <s v="Milano"/>
    <s v="Via Luigi Settembrini, 2, 20124 Milano MI, Italia"/>
    <d v="2022-10-01T00:00:00"/>
    <d v="2022-12-02T00:00:00"/>
    <n v="62"/>
    <x v="1"/>
  </r>
  <r>
    <n v="55017"/>
    <n v="19737"/>
    <s v="Casavatore"/>
    <s v="Corso Europa, 130, 80020 Casavatore NA, Italy"/>
    <d v="2022-10-21T00:00:00"/>
    <d v="2022-12-02T00:00:00"/>
    <n v="42"/>
    <x v="1"/>
  </r>
  <r>
    <n v="55150"/>
    <n v="0"/>
    <s v="Ancona"/>
    <s v="Via Duilio Scandali, 69, 60122 Ancona, Italia"/>
    <d v="2022-03-06T00:00:00"/>
    <d v="2022-12-02T00:00:00"/>
    <n v="271"/>
    <x v="1"/>
  </r>
  <r>
    <n v="55405"/>
    <n v="1943"/>
    <s v="Madrid"/>
    <s v="Calle del Gral Oraá, 59, 28006 Madrid, España"/>
    <d v="2022-09-05T00:00:00"/>
    <d v="2022-12-02T00:00:00"/>
    <n v="88"/>
    <x v="1"/>
  </r>
  <r>
    <n v="55405"/>
    <n v="9134"/>
    <s v="Napoli"/>
    <s v="Via Stanislao Manna, 76, 80126 Napoli NA, Italia"/>
    <d v="2022-09-05T00:00:00"/>
    <d v="2022-12-02T00:00:00"/>
    <n v="88"/>
    <x v="1"/>
  </r>
  <r>
    <n v="55407"/>
    <n v="5657"/>
    <s v="La Coruña"/>
    <s v="Rda. de Outeiro, 255, 15010 La Coruña, España"/>
    <d v="2022-11-21T00:00:00"/>
    <d v="2022-12-02T00:00:00"/>
    <n v="11"/>
    <x v="0"/>
  </r>
  <r>
    <n v="55410"/>
    <n v="1086"/>
    <s v="Madrid"/>
    <s v="C. de Padilla, 5, 28006 Madrid, España"/>
    <d v="2022-11-14T00:00:00"/>
    <d v="2022-12-02T00:00:00"/>
    <n v="18"/>
    <x v="0"/>
  </r>
  <r>
    <n v="55416"/>
    <n v="466"/>
    <s v="Oleiros"/>
    <s v="Rúa do Peneireiro, 1, 15178 Oleiros, A Coruña, España"/>
    <d v="2022-10-27T00:00:00"/>
    <d v="2022-12-02T00:00:00"/>
    <n v="36"/>
    <x v="1"/>
  </r>
  <r>
    <n v="55444"/>
    <n v="7285"/>
    <s v="Madrid"/>
    <s v="C. de Mota del Cuervo, 8, 28043 Madrid, España"/>
    <d v="2022-11-28T00:00:00"/>
    <d v="2022-12-02T00:00:00"/>
    <n v="4"/>
    <x v="0"/>
  </r>
  <r>
    <n v="55447"/>
    <n v="12059"/>
    <s v="Lecce"/>
    <s v="Via Giuseppe Giusti, 47, 73100 Lecce LE, Italia"/>
    <d v="2022-05-29T00:00:00"/>
    <d v="2022-12-02T00:00:00"/>
    <n v="187"/>
    <x v="1"/>
  </r>
  <r>
    <n v="55455"/>
    <n v="106"/>
    <s v="L'Hospitalet de Llobregat"/>
    <s v="C. de la Ermita de Bellvitge, 21, 29, 08907 L'Hospitalet de Llobregat, Barcelona, España"/>
    <d v="2022-12-08T00:00:00"/>
    <d v="2022-12-02T00:00:00"/>
    <n v="-6"/>
    <x v="0"/>
  </r>
  <r>
    <n v="55457"/>
    <n v="2384"/>
    <s v="València"/>
    <s v="Carrer del Palleter, 38, 46008 València, Valencia, España"/>
    <d v="2022-04-13T00:00:00"/>
    <d v="2022-12-02T00:00:00"/>
    <n v="233"/>
    <x v="1"/>
  </r>
  <r>
    <n v="55461"/>
    <n v="260"/>
    <s v="Madrid"/>
    <s v="C. de San Millán, 5, 28012 Madrid, España"/>
    <d v="2022-11-18T00:00:00"/>
    <d v="2022-12-02T00:00:00"/>
    <n v="14"/>
    <x v="0"/>
  </r>
  <r>
    <n v="55464"/>
    <n v="2688"/>
    <s v="Madrid"/>
    <s v="Av. del Dr. Federico Rubio y Galí, 104, 28040 Madrid, España"/>
    <d v="2022-07-28T00:00:00"/>
    <d v="2022-12-02T00:00:00"/>
    <n v="127"/>
    <x v="1"/>
  </r>
  <r>
    <n v="55464"/>
    <n v="721"/>
    <s v="Logroño"/>
    <s v="Av. Gonzalo de Berceo, 26, 26005 Logroño, La Rioja, España"/>
    <d v="2022-07-28T00:00:00"/>
    <d v="2022-12-02T00:00:00"/>
    <n v="127"/>
    <x v="1"/>
  </r>
  <r>
    <n v="55465"/>
    <n v="351"/>
    <s v="Barcelona"/>
    <s v="C. de Mallorca, 277, 08037 Barcelona, España"/>
    <d v="2022-09-06T00:00:00"/>
    <d v="2022-12-02T00:00:00"/>
    <n v="87"/>
    <x v="1"/>
  </r>
  <r>
    <n v="55470"/>
    <n v="3583"/>
    <s v="Sant Andreu Salou"/>
    <s v="Can Mas Nou, 74, Veïnat de les Bosques, 17454 Sant Andreu Salou, Girona, España"/>
    <d v="2022-11-11T00:00:00"/>
    <d v="2022-12-02T00:00:00"/>
    <n v="21"/>
    <x v="0"/>
  </r>
  <r>
    <n v="55505"/>
    <n v="4839"/>
    <s v="Torino"/>
    <s v="Via Nizza, 142, 10126 Torino TO, Italia"/>
    <d v="2022-02-15T00:00:00"/>
    <d v="2022-12-02T00:00:00"/>
    <n v="290"/>
    <x v="1"/>
  </r>
  <r>
    <n v="55506"/>
    <n v="0"/>
    <s v="Collestrada"/>
    <s v="Str. Centrale Umbra, 28, 06135 Collestrada PG, Italia"/>
    <d v="2022-03-30T00:00:00"/>
    <d v="2022-12-02T00:00:00"/>
    <n v="247"/>
    <x v="1"/>
  </r>
  <r>
    <n v="55545"/>
    <n v="1807"/>
    <s v="Lliçà de Vall"/>
    <s v="Plaça de la Vila, 2, 08150 Lliçà de Vall, Barcelona, España"/>
    <d v="2022-12-01T00:00:00"/>
    <d v="2022-12-02T00:00:00"/>
    <n v="1"/>
    <x v="0"/>
  </r>
  <r>
    <n v="55555"/>
    <n v="19764"/>
    <s v="Domodossola"/>
    <s v="Via Luigi Cadorna, 38, 28845 Domodossola VB, Italia"/>
    <d v="2022-10-25T00:00:00"/>
    <d v="2022-12-02T00:00:00"/>
    <n v="38"/>
    <x v="1"/>
  </r>
  <r>
    <n v="55617"/>
    <n v="1499"/>
    <s v="Madrid"/>
    <s v="C. de Mesena, 108, 28033 Madrid, España"/>
    <d v="2022-03-07T00:00:00"/>
    <d v="2022-12-02T00:00:00"/>
    <n v="270"/>
    <x v="1"/>
  </r>
  <r>
    <n v="55630"/>
    <n v="10104"/>
    <s v="Sant Cugat del Vallès"/>
    <s v="Passeig de Francesc Macià, 67, 08173 Sant Cugat del Vallès, Barcelona, Spagna"/>
    <d v="2022-07-20T00:00:00"/>
    <d v="2022-12-02T00:00:00"/>
    <n v="135"/>
    <x v="1"/>
  </r>
  <r>
    <n v="55644"/>
    <n v="10453"/>
    <s v="Formigine"/>
    <s v="Via Battezzate, 27, 41043 Formigine MO, Italia"/>
    <d v="2022-10-15T00:00:00"/>
    <d v="2022-12-02T00:00:00"/>
    <n v="48"/>
    <x v="1"/>
  </r>
  <r>
    <n v="55646"/>
    <n v="649"/>
    <s v="Madrid"/>
    <s v="C. Serrano, 217, 28016 Madrid, España"/>
    <d v="2022-09-06T00:00:00"/>
    <d v="2022-12-02T00:00:00"/>
    <n v="87"/>
    <x v="1"/>
  </r>
  <r>
    <n v="55664"/>
    <n v="42"/>
    <s v="Barcelona"/>
    <s v="Pl. d'Urquinaona, 6, 14c, 08010 Barcelona, España"/>
    <d v="2022-08-29T00:00:00"/>
    <d v="2022-12-02T00:00:00"/>
    <n v="95"/>
    <x v="1"/>
  </r>
  <r>
    <n v="55665"/>
    <n v="1131"/>
    <s v="Barcelona"/>
    <s v="Gran Via de les Corts Catalanes, 753, 08013 Barcelona, España"/>
    <d v="2022-07-10T00:00:00"/>
    <d v="2022-12-02T00:00:00"/>
    <n v="145"/>
    <x v="1"/>
  </r>
  <r>
    <n v="55666"/>
    <n v="1379"/>
    <s v="Avellino"/>
    <s v="Piazza D'Armi, 10, 83100 Avellino AV, Italia"/>
    <d v="2022-11-25T00:00:00"/>
    <d v="2022-12-02T00:00:00"/>
    <n v="7"/>
    <x v="0"/>
  </r>
  <r>
    <n v="55754"/>
    <n v="6284"/>
    <s v="Settimo Torinese"/>
    <s v="Via Italia, 53, 10036 Settimo Torinese TO, Italia"/>
    <d v="2022-07-14T00:00:00"/>
    <d v="2022-12-02T00:00:00"/>
    <n v="141"/>
    <x v="1"/>
  </r>
  <r>
    <n v="55767"/>
    <n v="533"/>
    <s v="Pamplona"/>
    <s v="Av. de Pío XII, 29, 31008 Pamplona, Navarra, España"/>
    <d v="2022-08-23T00:00:00"/>
    <d v="2022-12-02T00:00:00"/>
    <n v="101"/>
    <x v="1"/>
  </r>
  <r>
    <n v="56005"/>
    <n v="14483"/>
    <s v="Madrid"/>
    <s v="Calle Rodríguez Marín, 78, 28002 Madrid, España"/>
    <d v="2022-09-13T00:00:00"/>
    <d v="2022-12-02T00:00:00"/>
    <n v="80"/>
    <x v="1"/>
  </r>
  <r>
    <n v="56115"/>
    <n v="2368"/>
    <s v="Castellammare di Stabia"/>
    <s v="Via del Pittore Ignoto, 3, 80053 Castellammare di Stabia NA, Italia"/>
    <d v="2022-04-08T00:00:00"/>
    <d v="2022-12-02T00:00:00"/>
    <n v="238"/>
    <x v="1"/>
  </r>
  <r>
    <n v="56555"/>
    <n v="7815"/>
    <s v="Verona"/>
    <s v="Via Matteo Albertini, 1, 37131 Verona VR, Italia"/>
    <d v="2022-07-28T00:00:00"/>
    <d v="2022-12-02T00:00:00"/>
    <n v="127"/>
    <x v="1"/>
  </r>
  <r>
    <n v="56556"/>
    <n v="3173"/>
    <s v="Riccione"/>
    <s v="Viale Portofino, 26, 47838 Riccione RN, Italia"/>
    <d v="2022-04-24T00:00:00"/>
    <d v="2022-12-02T00:00:00"/>
    <n v="222"/>
    <x v="1"/>
  </r>
  <r>
    <n v="56750"/>
    <n v="3205"/>
    <s v="Milano"/>
    <s v="Via Enrico Tellini, 14, 20155 Milano, Italia"/>
    <d v="2022-06-29T00:00:00"/>
    <d v="2022-12-02T00:00:00"/>
    <n v="156"/>
    <x v="1"/>
  </r>
  <r>
    <n v="57004"/>
    <n v="39"/>
    <s v="Lyon"/>
    <s v="109 Boulevard de la Croix-Rousse, 69004 Lyon, France"/>
    <d v="2022-10-11T00:00:00"/>
    <d v="2022-12-02T00:00:00"/>
    <n v="52"/>
    <x v="1"/>
  </r>
  <r>
    <n v="57044"/>
    <n v="4522"/>
    <s v="Somma Vesuviana"/>
    <s v="Via Mercato Vecchio, 61, 80049 Somma Vesuviana NA, Italia"/>
    <d v="2022-01-23T00:00:00"/>
    <d v="2022-12-02T00:00:00"/>
    <n v="313"/>
    <x v="1"/>
  </r>
  <r>
    <n v="57065"/>
    <n v="4299"/>
    <s v="Saluzzo"/>
    <s v="Via Cuneo, 4, 12037 Saluzzo CN, Italia"/>
    <d v="2022-02-04T00:00:00"/>
    <d v="2022-12-02T00:00:00"/>
    <n v="301"/>
    <x v="1"/>
  </r>
  <r>
    <n v="57141"/>
    <n v="1157"/>
    <s v="Quiers"/>
    <s v="30 Rue de Saint-Martin, 77720 Quiers, France"/>
    <d v="2022-07-27T00:00:00"/>
    <d v="2022-12-02T00:00:00"/>
    <n v="128"/>
    <x v="1"/>
  </r>
  <r>
    <n v="57444"/>
    <n v="313"/>
    <s v="Les Essarts-le-Roi"/>
    <s v="1 Rés Parc des Essarts, 78690 Les Essarts-le-Roi, France"/>
    <d v="2022-09-04T00:00:00"/>
    <d v="2022-12-02T00:00:00"/>
    <n v="89"/>
    <x v="1"/>
  </r>
  <r>
    <n v="57504"/>
    <n v="392"/>
    <s v="Vicenza"/>
    <s v="Via Generale Carlo Alberto dalla Chiesa, 173, 36100 Vicenza VI, Italia"/>
    <d v="2022-05-30T00:00:00"/>
    <d v="2022-12-02T00:00:00"/>
    <n v="186"/>
    <x v="1"/>
  </r>
  <r>
    <n v="57544"/>
    <n v="3642"/>
    <s v="Ozieri"/>
    <s v="Via Umberto I, 62, 07014 Ozieri SS"/>
    <d v="2022-08-19T00:00:00"/>
    <d v="2022-12-02T00:00:00"/>
    <n v="105"/>
    <x v="1"/>
  </r>
  <r>
    <n v="57615"/>
    <n v="4184"/>
    <s v="Roma"/>
    <s v="Via della Cava Aurelia, 147, 00165 Roma RM, Italia"/>
    <d v="2022-09-21T00:00:00"/>
    <d v="2022-12-02T00:00:00"/>
    <n v="72"/>
    <x v="1"/>
  </r>
  <r>
    <n v="103050"/>
    <n v="83570"/>
    <s v="Milano"/>
    <s v="Via Bergamo, 14, 20135 Milano MI, Italia"/>
    <d v="2022-12-08T00:00:00"/>
    <d v="2022-12-02T00:00:00"/>
    <n v="-6"/>
    <x v="0"/>
  </r>
  <r>
    <n v="105505"/>
    <n v="128"/>
    <s v="Κηφισιά"/>
    <s v="Λεωφ. Κηφισίας 238, Κηφισιά 145 62, Ελλάδα"/>
    <d v="2022-04-18T00:00:00"/>
    <d v="2022-12-02T00:00:00"/>
    <n v="228"/>
    <x v="1"/>
  </r>
  <r>
    <n v="115045"/>
    <n v="13040"/>
    <s v="Alicante (Alacant)"/>
    <s v="Calle Susana Llaneras, 39, 03001 Alicante (Alacant), Alicante, España"/>
    <d v="2022-02-03T00:00:00"/>
    <d v="2022-12-02T00:00:00"/>
    <n v="302"/>
    <x v="1"/>
  </r>
  <r>
    <n v="130515"/>
    <n v="8356"/>
    <s v="Porta a Mare (Zona Industriale)"/>
    <s v="Via Chiassatello, 3, 56121 Porta a Mare (Zona Industriale) PI, Italia"/>
    <d v="2022-10-07T00:00:00"/>
    <d v="2022-12-02T00:00:00"/>
    <n v="56"/>
    <x v="1"/>
  </r>
  <r>
    <n v="143001"/>
    <n v="6589"/>
    <s v="Parma"/>
    <s v="Via Vincenzo Re, 47, 43125 Parma PR, Italia"/>
    <d v="2022-01-10T00:00:00"/>
    <d v="2022-12-02T00:00:00"/>
    <n v="326"/>
    <x v="1"/>
  </r>
  <r>
    <n v="144305"/>
    <n v="14988"/>
    <s v="Brescia"/>
    <s v="Via Guglielmo Marconi, 2, 25128 Brescia BS, Italia"/>
    <d v="2022-04-17T00:00:00"/>
    <d v="2022-12-02T00:00:00"/>
    <n v="229"/>
    <x v="1"/>
  </r>
  <r>
    <n v="144550"/>
    <n v="517"/>
    <s v="Madrid"/>
    <s v="Calle del General Díaz Porlier, 50, 28001 Madrid, España"/>
    <d v="2022-02-02T00:00:00"/>
    <d v="2022-12-02T00:00:00"/>
    <n v="303"/>
    <x v="1"/>
  </r>
  <r>
    <n v="145004"/>
    <n v="20065"/>
    <s v="Reggio Calabria"/>
    <s v="Via Casa Savoia, 204d, 89135 Reggio Calabria RC, Italia"/>
    <d v="2022-11-08T00:00:00"/>
    <d v="2022-12-02T00:00:00"/>
    <n v="24"/>
    <x v="0"/>
  </r>
  <r>
    <n v="145004"/>
    <n v="17438"/>
    <s v="Barletta"/>
    <s v="Via Enrico Fermi, 51, 76121 Barletta BT, Italy"/>
    <d v="2022-11-08T00:00:00"/>
    <d v="2022-12-02T00:00:00"/>
    <n v="24"/>
    <x v="0"/>
  </r>
  <r>
    <n v="145056"/>
    <n v="6160"/>
    <s v="Lyon"/>
    <s v="78 Rue Ney, 69006 Lyon, France"/>
    <d v="2022-05-05T00:00:00"/>
    <d v="2022-12-02T00:00:00"/>
    <n v="211"/>
    <x v="1"/>
  </r>
  <r>
    <n v="145307"/>
    <n v="9598"/>
    <s v="L'Ametlla del Vallès"/>
    <s v="Carrer Francesc Macià, 3, 08480 L'Ametlla del Vallès, Barcelona, España"/>
    <d v="2022-08-23T00:00:00"/>
    <d v="2022-12-02T00:00:00"/>
    <n v="101"/>
    <x v="1"/>
  </r>
  <r>
    <n v="150514"/>
    <n v="14275"/>
    <s v="Milano"/>
    <s v="Via Accademia, 53, 20131 Milano MI, Italia"/>
    <d v="2022-01-05T00:00:00"/>
    <d v="2022-12-02T00:00:00"/>
    <n v="331"/>
    <x v="1"/>
  </r>
  <r>
    <n v="150530"/>
    <n v="10771"/>
    <s v="Verona"/>
    <s v="Via Agrigento, 10a, 37138 Verona VR, Italia"/>
    <d v="2022-06-22T00:00:00"/>
    <d v="2022-12-02T00:00:00"/>
    <n v="163"/>
    <x v="1"/>
  </r>
  <r>
    <n v="150571"/>
    <n v="55801"/>
    <s v="Burela"/>
    <s v="Rúa de Eijo Garay, 12, 27880 Burela, Lugo"/>
    <d v="2022-12-08T00:00:00"/>
    <d v="2022-12-02T00:00:00"/>
    <n v="-6"/>
    <x v="0"/>
  </r>
  <r>
    <n v="154550"/>
    <n v="14650"/>
    <s v="Benifairó de los Valles"/>
    <s v="Carrer de Valencia, 52, 46511 Benifairó de los Valles, Valencia, España"/>
    <d v="2022-01-19T00:00:00"/>
    <d v="2022-12-02T00:00:00"/>
    <n v="317"/>
    <x v="1"/>
  </r>
  <r>
    <n v="154630"/>
    <n v="18936"/>
    <s v="Selargius"/>
    <s v="Via Antonio Gallus, 75, 09047 Selargius CA, Italia"/>
    <d v="2022-10-13T00:00:00"/>
    <d v="2022-12-02T00:00:00"/>
    <n v="50"/>
    <x v="1"/>
  </r>
  <r>
    <n v="155505"/>
    <n v="31770"/>
    <s v="Nettuno"/>
    <s v="Via Vittorio Veneto, 24, 00048 Nettuno RM, Italia"/>
    <d v="2022-12-08T00:00:00"/>
    <d v="2022-12-02T00:00:00"/>
    <n v="-6"/>
    <x v="0"/>
  </r>
  <r>
    <n v="155550"/>
    <n v="10657"/>
    <s v="Nice"/>
    <s v="3 Rue Chauvain, 06000 Nice, France"/>
    <d v="2022-11-26T00:00:00"/>
    <d v="2022-12-02T00:00:00"/>
    <n v="6"/>
    <x v="0"/>
  </r>
  <r>
    <n v="161430"/>
    <n v="16982"/>
    <s v="Casarano"/>
    <s v="Via Matino, 63, 73042 Casarano LE, Italia"/>
    <d v="2022-10-24T00:00:00"/>
    <d v="2022-12-02T00:00:00"/>
    <n v="39"/>
    <x v="1"/>
  </r>
  <r>
    <n v="165074"/>
    <n v="13286"/>
    <s v="Spotorno"/>
    <s v="Via G. Garibaldi, 7, 17028 Spotorno SV, Italia"/>
    <d v="2022-01-29T00:00:00"/>
    <d v="2022-12-02T00:00:00"/>
    <n v="307"/>
    <x v="1"/>
  </r>
  <r>
    <n v="306507"/>
    <n v="15"/>
    <s v="A Coruña"/>
    <s v="Rúa Monasterio de Caaveiro, 30, 15010 A Coruña, España"/>
    <d v="2022-11-19T00:00:00"/>
    <d v="2022-12-02T00:00:00"/>
    <n v="13"/>
    <x v="1"/>
  </r>
  <r>
    <n v="430450"/>
    <n v="25614"/>
    <s v="Ferrara"/>
    <s v="Via Giuoco del Pallone, 10, 44121 Ferrara FE, Italia"/>
    <d v="2022-11-10T00:00:00"/>
    <d v="2022-12-02T00:00:00"/>
    <n v="22"/>
    <x v="0"/>
  </r>
  <r>
    <n v="500141"/>
    <n v="4555"/>
    <s v="Milano"/>
    <s v="Viale Coni Zugna, 52, 20131 Milano MI, Italia"/>
    <d v="2022-10-28T00:00:00"/>
    <d v="2022-12-02T00:00:00"/>
    <n v="35"/>
    <x v="1"/>
  </r>
  <r>
    <n v="500401"/>
    <n v="795"/>
    <s v="Avola"/>
    <s v="Largo Baluardo, 11, 96012 Avola SR, Italia"/>
    <d v="2022-03-26T00:00:00"/>
    <d v="2022-12-02T00:00:00"/>
    <n v="251"/>
    <x v="1"/>
  </r>
  <r>
    <n v="500430"/>
    <n v="61100"/>
    <s v="Reggio Calabria"/>
    <s v="Via Giulia, 12, 89125 Reggio Calabria RC, Italia"/>
    <d v="2022-12-08T00:00:00"/>
    <d v="2022-12-02T00:00:00"/>
    <n v="-6"/>
    <x v="0"/>
  </r>
  <r>
    <n v="500444"/>
    <n v="4874"/>
    <s v="Manduria"/>
    <s v="Viale Mancini, 7, 74024 Manduria TA, Italia"/>
    <d v="2022-09-29T00:00:00"/>
    <d v="2022-12-02T00:00:00"/>
    <n v="64"/>
    <x v="1"/>
  </r>
  <r>
    <n v="500447"/>
    <n v="805"/>
    <s v="Milano"/>
    <s v="Corso di Porta Vittoria, 8,20122 Milano MI"/>
    <d v="2022-10-06T00:00:00"/>
    <d v="2022-12-02T00:00:00"/>
    <n v="57"/>
    <x v="1"/>
  </r>
  <r>
    <n v="500450"/>
    <n v="42234"/>
    <s v="Casalecchio di Reno"/>
    <s v="Via Francesco Petrarca, 11, 40033 Casalecchio di Reno BO, Italia"/>
    <d v="2022-12-08T00:00:00"/>
    <d v="2022-12-02T00:00:00"/>
    <n v="-6"/>
    <x v="0"/>
  </r>
  <r>
    <n v="500457"/>
    <n v="2438"/>
    <s v="Trento"/>
    <s v="Via Padre Eusebio Iori, 11, 38123 Trento TN, Italia"/>
    <d v="2022-05-05T00:00:00"/>
    <d v="2022-12-02T00:00:00"/>
    <n v="211"/>
    <x v="1"/>
  </r>
  <r>
    <n v="500510"/>
    <n v="191"/>
    <s v="Madrid"/>
    <s v="Av. Pablo Neruda, 102, 28018 Madrid, España"/>
    <d v="2022-10-26T00:00:00"/>
    <d v="2022-12-02T00:00:00"/>
    <n v="37"/>
    <x v="1"/>
  </r>
  <r>
    <n v="500515"/>
    <n v="4486"/>
    <s v="La Alcayna"/>
    <s v="C. Picos de Europa, 61, 30507 La Alcayna, Murcia, España"/>
    <d v="2022-05-18T00:00:00"/>
    <d v="2022-12-02T00:00:00"/>
    <n v="198"/>
    <x v="1"/>
  </r>
  <r>
    <n v="500547"/>
    <n v="2437"/>
    <s v="Santa Marta de Tormes"/>
    <s v="Calle Dr. Torres de Villarroel, 4, 37900 Santa Marta de Tormes, Salamanca, España"/>
    <d v="2022-10-22T00:00:00"/>
    <d v="2022-12-02T00:00:00"/>
    <n v="41"/>
    <x v="1"/>
  </r>
  <r>
    <n v="500554"/>
    <n v="5575"/>
    <s v="Utrera"/>
    <s v="C. Rubén Darío, 16, 41710 Utrera, Sevilla, España"/>
    <d v="2022-09-22T00:00:00"/>
    <d v="2022-12-02T00:00:00"/>
    <n v="71"/>
    <x v="1"/>
  </r>
  <r>
    <n v="500571"/>
    <n v="8257"/>
    <s v="Velilla de San Antonio"/>
    <s v="C. San Sebastián, 6, 28891 Velilla de San Antonio, Madrid, España"/>
    <d v="2022-05-17T00:00:00"/>
    <d v="2022-12-02T00:00:00"/>
    <n v="199"/>
    <x v="1"/>
  </r>
  <r>
    <n v="500646"/>
    <n v="624"/>
    <s v="Milano"/>
    <s v="Via Lodovico Settala, 3, 20124 Milano MI, Italia"/>
    <d v="2022-10-11T00:00:00"/>
    <d v="2022-12-02T00:00:00"/>
    <n v="52"/>
    <x v="1"/>
  </r>
  <r>
    <n v="500655"/>
    <n v="2964"/>
    <s v="Κόρινθος"/>
    <s v="Γεωρ. Παπανδρέου 41, Κόρινθος 201 00, Ελλάδα"/>
    <d v="2022-10-19T00:00:00"/>
    <d v="2022-12-02T00:00:00"/>
    <n v="44"/>
    <x v="1"/>
  </r>
  <r>
    <n v="500667"/>
    <n v="210"/>
    <s v="Correggio"/>
    <s v="Via Luciano Tondelli, 42015 Correggio RE, Italia"/>
    <d v="2022-08-05T00:00:00"/>
    <d v="2022-12-02T00:00:00"/>
    <n v="119"/>
    <x v="1"/>
  </r>
  <r>
    <n v="501004"/>
    <n v="2729"/>
    <s v="Almada"/>
    <s v="R. da Liberdade 2B, 2800-149 Almada, Portugal"/>
    <d v="2022-11-02T00:00:00"/>
    <d v="2022-12-02T00:00:00"/>
    <n v="30"/>
    <x v="1"/>
  </r>
  <r>
    <n v="501160"/>
    <n v="5278"/>
    <s v="Palestrina"/>
    <s v="Via Pedemontana, 135, 00036 Palestrina RM, Italia"/>
    <d v="2022-09-17T00:00:00"/>
    <d v="2022-12-02T00:00:00"/>
    <n v="76"/>
    <x v="1"/>
  </r>
  <r>
    <n v="501416"/>
    <n v="2114"/>
    <s v="Cagliari"/>
    <s v="Via dei Capraia, 10, 09131 Cagliari CA, Italia"/>
    <d v="2022-10-29T00:00:00"/>
    <d v="2022-12-02T00:00:00"/>
    <n v="34"/>
    <x v="1"/>
  </r>
  <r>
    <n v="501447"/>
    <n v="3734"/>
    <s v="La Orotava"/>
    <s v="Callejon del Molino, 4, 38312 La Orotava, Santa Cruz de Tenerife, España"/>
    <d v="2022-09-08T00:00:00"/>
    <d v="2022-12-02T00:00:00"/>
    <n v="85"/>
    <x v="1"/>
  </r>
  <r>
    <n v="501464"/>
    <n v="1017"/>
    <s v="Roma"/>
    <s v="Via Eugenio Torelli Viollier, 23, 00157 Roma RM, Italia"/>
    <d v="2022-11-28T00:00:00"/>
    <d v="2022-12-02T00:00:00"/>
    <n v="4"/>
    <x v="0"/>
  </r>
  <r>
    <n v="501545"/>
    <n v="4961"/>
    <s v="Castelló de la Plana"/>
    <s v="Carrer de Lagasca, 8, 12003 Castelló de la Plana, Castelló, España"/>
    <d v="2022-11-23T00:00:00"/>
    <d v="2022-12-02T00:00:00"/>
    <n v="9"/>
    <x v="0"/>
  </r>
  <r>
    <n v="501547"/>
    <n v="2598"/>
    <s v="Padova"/>
    <s v="Via Giorgio Pullè, 35136 Padova PD, Italia"/>
    <d v="2022-11-09T00:00:00"/>
    <d v="2022-12-02T00:00:00"/>
    <n v="23"/>
    <x v="0"/>
  </r>
  <r>
    <n v="501550"/>
    <n v="2013"/>
    <s v="Valencia"/>
    <s v="Av. del Puerto, 106, 46023 Valencia, España"/>
    <d v="2022-11-11T00:00:00"/>
    <d v="2022-12-02T00:00:00"/>
    <n v="21"/>
    <x v="0"/>
  </r>
  <r>
    <n v="501674"/>
    <n v="2130"/>
    <s v="Santa Coloma de Gramenet"/>
    <s v="Av. de la Generalitat, 82, 08922 Santa Coloma de Gramenet, Barcelona, España"/>
    <d v="2022-10-09T00:00:00"/>
    <d v="2022-12-02T00:00:00"/>
    <n v="54"/>
    <x v="1"/>
  </r>
  <r>
    <n v="501757"/>
    <n v="2115"/>
    <s v="Vigo"/>
    <s v="Rúa da República Arxentina, 12, 36201 Vigo, Pontevedra, España"/>
    <d v="2022-11-03T00:00:00"/>
    <d v="2022-12-02T00:00:00"/>
    <n v="29"/>
    <x v="0"/>
  </r>
  <r>
    <n v="501771"/>
    <n v="5896"/>
    <s v="Capoterra"/>
    <s v="Via Dante Alighieri, 10, 09012 Capoterra CA, Italia"/>
    <d v="2022-09-30T00:00:00"/>
    <d v="2022-12-02T00:00:00"/>
    <n v="63"/>
    <x v="1"/>
  </r>
  <r>
    <n v="503055"/>
    <n v="21572"/>
    <s v="San Bonifacio"/>
    <s v="Via Trento, 104A, 37047 San Bonifacio VR, Italia"/>
    <d v="2022-11-04T00:00:00"/>
    <d v="2022-12-02T00:00:00"/>
    <n v="28"/>
    <x v="0"/>
  </r>
  <r>
    <n v="503055"/>
    <n v="15111"/>
    <s v="Padova"/>
    <s v="Viale Arcella, 3e, 35132 Padova PD, Italia"/>
    <d v="2022-11-04T00:00:00"/>
    <d v="2022-12-02T00:00:00"/>
    <n v="28"/>
    <x v="0"/>
  </r>
  <r>
    <n v="503065"/>
    <n v="40834"/>
    <s v="Sansepolcro"/>
    <s v="Via Silvio Zanchi, 2, 52037 Sansepolcro AR, Italia"/>
    <d v="2022-12-08T00:00:00"/>
    <d v="2022-12-02T00:00:00"/>
    <n v="-6"/>
    <x v="0"/>
  </r>
  <r>
    <n v="504054"/>
    <n v="667"/>
    <s v="Mapperley"/>
    <s v="918 Woodborough Rd, Mapperley, Nottingham NG3 5QR, UK"/>
    <d v="2022-11-09T00:00:00"/>
    <d v="2022-12-02T00:00:00"/>
    <n v="23"/>
    <x v="0"/>
  </r>
  <r>
    <n v="504404"/>
    <n v="166"/>
    <s v="Catanzaro"/>
    <s v="Via Monsignor Armando Fares, 88100 Catanzaro CZ, Italia"/>
    <d v="2022-10-08T00:00:00"/>
    <d v="2022-12-02T00:00:00"/>
    <n v="55"/>
    <x v="1"/>
  </r>
  <r>
    <n v="504451"/>
    <n v="2"/>
    <s v="Greater London"/>
    <s v="Marvan Court, 1A Waldegrave Rd, Teddington TW11 8LZ, UK"/>
    <d v="2022-09-09T00:00:00"/>
    <d v="2022-12-02T00:00:00"/>
    <n v="84"/>
    <x v="1"/>
  </r>
  <r>
    <n v="504455"/>
    <n v="160"/>
    <s v="Greater London"/>
    <s v="North Mall, London N9 0EH, UK"/>
    <d v="2022-10-04T00:00:00"/>
    <d v="2022-12-02T00:00:00"/>
    <n v="59"/>
    <x v="1"/>
  </r>
  <r>
    <n v="504464"/>
    <n v="749"/>
    <s v="Ávila"/>
    <s v="C. de Don Rufino Martín, 1, 05002 Ávila, España"/>
    <d v="2022-09-26T00:00:00"/>
    <d v="2022-12-02T00:00:00"/>
    <n v="67"/>
    <x v="1"/>
  </r>
  <r>
    <n v="504475"/>
    <n v="0"/>
    <s v="Forlì"/>
    <s v="Via Decio Raggi, 12, 47121 Forlì FC, Italia"/>
    <d v="2022-11-22T00:00:00"/>
    <d v="2022-12-02T00:00:00"/>
    <n v="10"/>
    <x v="1"/>
  </r>
  <r>
    <n v="504540"/>
    <n v="757"/>
    <s v="Bologna"/>
    <s v="Via Giuseppe Dagnini, 38, 40137 Bologna BO, Italia"/>
    <d v="2022-10-20T00:00:00"/>
    <d v="2022-12-02T00:00:00"/>
    <n v="43"/>
    <x v="1"/>
  </r>
  <r>
    <n v="504545"/>
    <n v="21"/>
    <s v="Zürich"/>
    <s v="Ackerstrasse 21, 8005 Zürich, Schweiz"/>
    <d v="2022-11-17T00:00:00"/>
    <d v="2022-12-02T00:00:00"/>
    <n v="15"/>
    <x v="1"/>
  </r>
  <r>
    <n v="504554"/>
    <n v="225"/>
    <s v="Bedminster"/>
    <s v="3-5 North St, Bedminster, Bristol BS3 1EN, UK"/>
    <d v="2022-10-31T00:00:00"/>
    <d v="2022-12-02T00:00:00"/>
    <n v="32"/>
    <x v="1"/>
  </r>
  <r>
    <n v="505030"/>
    <n v="18553"/>
    <s v="Cogoleto"/>
    <s v="Via Giuseppe Mazzini, 9/11, 16016 Cogoleto GE, Italia"/>
    <d v="2022-10-12T00:00:00"/>
    <d v="2022-12-02T00:00:00"/>
    <n v="51"/>
    <x v="1"/>
  </r>
  <r>
    <n v="505054"/>
    <n v="3977"/>
    <s v="Flero"/>
    <s v="Via Francesco Petrarca, 42, 25020 Flero BS, Italia"/>
    <d v="2022-09-13T00:00:00"/>
    <d v="2022-12-02T00:00:00"/>
    <n v="80"/>
    <x v="1"/>
  </r>
  <r>
    <n v="505400"/>
    <n v="1124"/>
    <s v="Madrid"/>
    <s v="C. del Pelicano, 14, 28025 Madrid"/>
    <d v="2022-10-16T00:00:00"/>
    <d v="2022-12-02T00:00:00"/>
    <n v="47"/>
    <x v="1"/>
  </r>
  <r>
    <n v="505414"/>
    <n v="379"/>
    <s v="Roma"/>
    <s v="Via Palestro, 51, 00185 Roma RM, Italia"/>
    <d v="2022-09-08T00:00:00"/>
    <d v="2022-12-02T00:00:00"/>
    <n v="85"/>
    <x v="1"/>
  </r>
  <r>
    <n v="505504"/>
    <n v="4954"/>
    <s v="Motril"/>
    <s v="C. Romero Civantos, 3, 18600 Motril, Granada, España"/>
    <d v="2022-09-02T00:00:00"/>
    <d v="2022-12-02T00:00:00"/>
    <n v="91"/>
    <x v="1"/>
  </r>
  <r>
    <n v="505504"/>
    <n v="2746"/>
    <s v="Hamburg"/>
    <s v="Edith-Stein-Platz 2, 21035 Hamburg, Deutschland"/>
    <d v="2022-09-02T00:00:00"/>
    <d v="2022-12-02T00:00:00"/>
    <n v="91"/>
    <x v="1"/>
  </r>
  <r>
    <n v="505514"/>
    <n v="17"/>
    <s v="Piamborno"/>
    <s v="Via Nazionale, 208, 25052 Piamborno BS, Italia"/>
    <d v="2022-09-03T00:00:00"/>
    <d v="2022-12-02T00:00:00"/>
    <n v="90"/>
    <x v="1"/>
  </r>
  <r>
    <n v="505574"/>
    <n v="6978"/>
    <s v="Alcoi"/>
    <s v="Av. Hispanitat, 61, 03804 Alcoi, Alicante, España"/>
    <d v="2022-10-21T00:00:00"/>
    <d v="2022-12-02T00:00:00"/>
    <n v="42"/>
    <x v="1"/>
  </r>
  <r>
    <n v="505576"/>
    <n v="7505"/>
    <s v="Alcoi"/>
    <s v="Carrer Joan de Joanes, 17, 03802 Alcoi, Alicante, España"/>
    <d v="2022-09-09T00:00:00"/>
    <d v="2022-12-02T00:00:00"/>
    <n v="84"/>
    <x v="1"/>
  </r>
  <r>
    <n v="505641"/>
    <n v="2114"/>
    <s v="Tudela"/>
    <s v="C. Muro, 43, 31500 Tudela, Navarra, España"/>
    <d v="2022-10-30T00:00:00"/>
    <d v="2022-12-02T00:00:00"/>
    <n v="33"/>
    <x v="1"/>
  </r>
  <r>
    <n v="505704"/>
    <n v="3481"/>
    <s v="València"/>
    <s v="Carrer del Mestre Gozalbo, 12, 46005 València, Valencia, España"/>
    <d v="2022-12-01T00:00:00"/>
    <d v="2022-12-02T00:00:00"/>
    <n v="1"/>
    <x v="0"/>
  </r>
  <r>
    <n v="505741"/>
    <n v="1752"/>
    <s v="Dortmund"/>
    <s v="Hörder Rathausstraße 9, 44263 Dortmund, Deutschland"/>
    <d v="2022-09-25T00:00:00"/>
    <d v="2022-12-02T00:00:00"/>
    <n v="68"/>
    <x v="1"/>
  </r>
  <r>
    <n v="506044"/>
    <n v="3"/>
    <s v="Marino"/>
    <s v="Corso Trieste, 56, 00047 Marino RM, Italia"/>
    <d v="2022-11-19T00:00:00"/>
    <d v="2022-12-02T00:00:00"/>
    <n v="13"/>
    <x v="1"/>
  </r>
  <r>
    <n v="506046"/>
    <n v="50"/>
    <s v="Paris"/>
    <s v="Rue Saint-Didier, Paris, France"/>
    <d v="2022-11-02T00:00:00"/>
    <d v="2022-12-02T00:00:00"/>
    <n v="30"/>
    <x v="1"/>
  </r>
  <r>
    <n v="506074"/>
    <n v="575"/>
    <s v="Trieste"/>
    <s v="Via della Ginnastica, 5/a, 34125 Trieste TS, Italia"/>
    <d v="2022-10-11T00:00:00"/>
    <d v="2022-12-02T00:00:00"/>
    <n v="52"/>
    <x v="1"/>
  </r>
  <r>
    <n v="506110"/>
    <n v="25"/>
    <s v="Greater London"/>
    <s v="484 Hornsey Rd, Finsbury Park, London N19 4EF, UK"/>
    <d v="2022-10-16T00:00:00"/>
    <d v="2022-12-02T00:00:00"/>
    <n v="47"/>
    <x v="1"/>
  </r>
  <r>
    <n v="506115"/>
    <n v="0"/>
    <s v="Greater London"/>
    <s v="655 Fulham Rd., London SW6 5PY, UK"/>
    <d v="2022-10-05T00:00:00"/>
    <d v="2022-12-02T00:00:00"/>
    <n v="58"/>
    <x v="1"/>
  </r>
  <r>
    <n v="506141"/>
    <n v="29"/>
    <m/>
    <s v="66/67 Aungier St, Dublin, D02 YR81, Ireland"/>
    <d v="2022-11-09T00:00:00"/>
    <d v="2022-12-02T00:00:00"/>
    <n v="23"/>
    <x v="1"/>
  </r>
  <r>
    <n v="506146"/>
    <n v="0"/>
    <s v="Madrid"/>
    <s v="C. de Jesús y María, 17, 28012 Madrid, España"/>
    <d v="2022-10-02T00:00:00"/>
    <d v="2022-12-02T00:00:00"/>
    <n v="61"/>
    <x v="1"/>
  </r>
  <r>
    <n v="506154"/>
    <n v="2"/>
    <s v="Chasse-sur-Rhône"/>
    <s v="1515 Av. Frédéric Mistral, 38670 Chasse-sur-Rhône, France"/>
    <d v="2022-10-01T00:00:00"/>
    <d v="2022-12-02T00:00:00"/>
    <n v="62"/>
    <x v="1"/>
  </r>
  <r>
    <n v="506177"/>
    <n v="41"/>
    <s v="Marbella"/>
    <s v="Av. Ricardo Soriano, 31, 1d, 29601 Marbella, Málaga, España"/>
    <d v="2022-11-28T00:00:00"/>
    <d v="2022-12-02T00:00:00"/>
    <n v="4"/>
    <x v="0"/>
  </r>
  <r>
    <n v="506406"/>
    <n v="105"/>
    <s v="Sant Feliu de Llobregat"/>
    <s v="Rambla Marquesa de Castellbell, 63, 08980 Sant Feliu de Llobregat, Barcelona, España"/>
    <d v="2022-10-15T00:00:00"/>
    <d v="2022-12-02T00:00:00"/>
    <n v="48"/>
    <x v="1"/>
  </r>
  <r>
    <n v="506407"/>
    <n v="0"/>
    <s v="Berlin"/>
    <s v="Schillerstraße 46, 10627 Berlin, Deutschland"/>
    <d v="2022-11-01T00:00:00"/>
    <d v="2022-12-02T00:00:00"/>
    <n v="31"/>
    <x v="1"/>
  </r>
  <r>
    <n v="506414"/>
    <n v="0"/>
    <s v="Paris"/>
    <s v="4 Av. de la Prte de Villiers, 75017 Paris, France"/>
    <d v="2022-10-27T00:00:00"/>
    <d v="2022-12-02T00:00:00"/>
    <n v="36"/>
    <x v="1"/>
  </r>
  <r>
    <n v="506440"/>
    <n v="0"/>
    <s v="Narbonne"/>
    <s v="17 Av. Anatole France, 11100 Narbonne, France"/>
    <d v="2022-10-15T00:00:00"/>
    <d v="2022-12-02T00:00:00"/>
    <n v="48"/>
    <x v="1"/>
  </r>
  <r>
    <n v="506444"/>
    <n v="0"/>
    <s v="Melun"/>
    <s v="7 Av. du Maréchal Juin, 77000 Melun, France"/>
    <d v="2022-10-14T00:00:00"/>
    <d v="2022-12-02T00:00:00"/>
    <n v="49"/>
    <x v="1"/>
  </r>
  <r>
    <n v="506445"/>
    <n v="0"/>
    <s v="Villeneuve-la-Garenne"/>
    <s v="10 Rue Paul Signac, 92390 Villeneuve-la-Garenne, France"/>
    <d v="2022-10-20T00:00:00"/>
    <d v="2022-12-02T00:00:00"/>
    <n v="43"/>
    <x v="1"/>
  </r>
  <r>
    <n v="506451"/>
    <n v="30"/>
    <s v="Don Benito"/>
    <s v="C. Maestro, 8, 06400 Don Benito, Badajoz, España"/>
    <d v="2022-11-07T00:00:00"/>
    <d v="2022-12-02T00:00:00"/>
    <n v="25"/>
    <x v="1"/>
  </r>
  <r>
    <n v="506454"/>
    <n v="0"/>
    <s v="Άλιμος"/>
    <s v="Λυσικράτους 26, Άλιμος 174 55, Ελλάδα"/>
    <d v="2022-10-06T00:00:00"/>
    <d v="2022-12-02T00:00:00"/>
    <n v="57"/>
    <x v="1"/>
  </r>
  <r>
    <n v="506461"/>
    <n v="31"/>
    <s v="Greater London"/>
    <s v="170A High Rd, London N2 9AS, UK"/>
    <d v="2022-11-09T00:00:00"/>
    <d v="2022-12-02T00:00:00"/>
    <n v="23"/>
    <x v="1"/>
  </r>
  <r>
    <n v="506464"/>
    <n v="189"/>
    <s v="Milano"/>
    <s v="Via Marco Polo, 11, 20124 Milano MI, Italia"/>
    <d v="2022-11-14T00:00:00"/>
    <d v="2022-12-02T00:00:00"/>
    <n v="18"/>
    <x v="0"/>
  </r>
  <r>
    <n v="506465"/>
    <n v="0"/>
    <s v="Lacapelle-Marival"/>
    <s v="1 Route de figeac, 46120, Lacapelle-Marival, France"/>
    <d v="2022-10-21T00:00:00"/>
    <d v="2022-12-02T00:00:00"/>
    <n v="42"/>
    <x v="1"/>
  </r>
  <r>
    <n v="506474"/>
    <n v="129"/>
    <s v="Madrid"/>
    <s v="C. Eloy Gonzalo, 26, 28010 Madrid, España"/>
    <d v="2022-11-16T00:00:00"/>
    <d v="2022-12-02T00:00:00"/>
    <n v="16"/>
    <x v="0"/>
  </r>
  <r>
    <n v="506541"/>
    <n v="83"/>
    <s v="Roma"/>
    <s v="Via Chiana, 110a, 00198 Roma RM, Italia"/>
    <d v="2022-11-14T00:00:00"/>
    <d v="2022-12-02T00:00:00"/>
    <n v="18"/>
    <x v="0"/>
  </r>
  <r>
    <n v="506546"/>
    <n v="21"/>
    <s v="Campos"/>
    <s v="Carrer de sa Creu, 2, 07630 Campos, Illes Balears, España"/>
    <d v="2022-11-30T00:00:00"/>
    <d v="2022-12-02T00:00:00"/>
    <n v="2"/>
    <x v="1"/>
  </r>
  <r>
    <n v="506554"/>
    <n v="0"/>
    <s v="Calonne-Ricouart"/>
    <s v="Rue de saint-nazaire, 62470 Calonne-Ricouart, France"/>
    <d v="2022-11-08T00:00:00"/>
    <d v="2022-12-02T00:00:00"/>
    <n v="24"/>
    <x v="1"/>
  </r>
  <r>
    <n v="506565"/>
    <n v="140"/>
    <s v="Reggio Calabria"/>
    <s v="Via Spirito Santo, 317, 89128 Reggio Calabria RC, Italia"/>
    <d v="2022-10-30T00:00:00"/>
    <d v="2022-12-02T00:00:00"/>
    <n v="33"/>
    <x v="1"/>
  </r>
  <r>
    <n v="506571"/>
    <n v="18"/>
    <s v="Majadahonda"/>
    <s v="C. Las Norias, 25, 28220 Majadahonda, Madrid, España"/>
    <d v="2022-11-28T00:00:00"/>
    <d v="2022-12-02T00:00:00"/>
    <n v="4"/>
    <x v="1"/>
  </r>
  <r>
    <n v="506576"/>
    <n v="0"/>
    <s v="Αθήνα"/>
    <s v="Αλκαμένους 37, Αθήνα 104 40, Ελλάδα"/>
    <d v="2022-10-26T00:00:00"/>
    <d v="2022-12-02T00:00:00"/>
    <n v="37"/>
    <x v="1"/>
  </r>
  <r>
    <n v="506607"/>
    <n v="0"/>
    <s v="Pomigliano d'Arco"/>
    <s v="Via Roma, 108, 80038 Pomigliano d'Arco NA, Italia"/>
    <d v="2022-11-17T00:00:00"/>
    <d v="2022-12-02T00:00:00"/>
    <n v="15"/>
    <x v="1"/>
  </r>
  <r>
    <n v="506610"/>
    <n v="0"/>
    <s v="Santander"/>
    <s v="C. Castelar, 49, 39004 Santander, Cantabria, España"/>
    <d v="2022-11-29T00:00:00"/>
    <d v="2022-12-02T00:00:00"/>
    <n v="3"/>
    <x v="1"/>
  </r>
  <r>
    <n v="506615"/>
    <n v="0"/>
    <s v="Madrid"/>
    <s v="Ronda del Caballero de la Mancha, 71, 28034 Madrid, España"/>
    <d v="2022-11-13T00:00:00"/>
    <d v="2022-12-02T00:00:00"/>
    <n v="19"/>
    <x v="1"/>
  </r>
  <r>
    <n v="506616"/>
    <n v="0"/>
    <s v="Dortmund"/>
    <s v="Am Westheck 62, 44309 Dortmund, Deutschland"/>
    <d v="2022-11-30T00:00:00"/>
    <d v="2022-12-02T00:00:00"/>
    <n v="2"/>
    <x v="1"/>
  </r>
  <r>
    <n v="506644"/>
    <n v="0"/>
    <s v="Lisboa"/>
    <s v="Av. Afonso III 71B, 1900-185 Lisboa, Portugal"/>
    <d v="2022-11-13T00:00:00"/>
    <d v="2022-12-02T00:00:00"/>
    <n v="19"/>
    <x v="1"/>
  </r>
  <r>
    <n v="506644"/>
    <n v="0"/>
    <s v="Reinbek"/>
    <s v="Schmiedesberg 13, 21465 Reinbek, Deutschland"/>
    <d v="2022-11-13T00:00:00"/>
    <d v="2022-12-02T00:00:00"/>
    <n v="19"/>
    <x v="1"/>
  </r>
  <r>
    <n v="506644"/>
    <n v="0"/>
    <s v="Poilly-Lez-Gien"/>
    <s v="Rue du 11 Novembre, 45500 Poilly-Lez-Gien, France"/>
    <d v="2022-11-13T00:00:00"/>
    <d v="2022-12-02T00:00:00"/>
    <n v="19"/>
    <x v="1"/>
  </r>
  <r>
    <n v="506645"/>
    <n v="0"/>
    <s v="Bayonne"/>
    <s v="All. de la Font de Vignau 64100 Bayonne, France"/>
    <d v="2022-11-25T00:00:00"/>
    <d v="2022-12-02T00:00:00"/>
    <n v="7"/>
    <x v="1"/>
  </r>
  <r>
    <n v="506645"/>
    <n v="0"/>
    <s v="Madrid"/>
    <s v="C. del Poeta Joan Maragall, 22, 28020 Madrid, España"/>
    <d v="2022-11-25T00:00:00"/>
    <d v="2022-12-02T00:00:00"/>
    <n v="7"/>
    <x v="1"/>
  </r>
  <r>
    <n v="506646"/>
    <n v="0"/>
    <s v="Bergamo"/>
    <s v="Bergamo BG, Italia"/>
    <d v="2022-12-05T00:00:00"/>
    <d v="2022-12-02T00:00:00"/>
    <n v="-3"/>
    <x v="1"/>
  </r>
  <r>
    <n v="506650"/>
    <n v="0"/>
    <s v="Roma"/>
    <s v="Via al Quarto Miglio, 95, 00178 Roma RM, Italia"/>
    <d v="2022-11-14T00:00:00"/>
    <d v="2022-12-02T00:00:00"/>
    <n v="18"/>
    <x v="1"/>
  </r>
  <r>
    <n v="506651"/>
    <n v="0"/>
    <s v="Igreja Nova"/>
    <s v="R. da Estrada Principal 15, 2640-367 Igreja Nova, Portugal"/>
    <d v="2022-12-02T00:00:00"/>
    <d v="2022-12-02T00:00:00"/>
    <n v="0"/>
    <x v="1"/>
  </r>
  <r>
    <n v="506654"/>
    <n v="0"/>
    <s v="Madrid"/>
    <s v="Francisco Grande Covian, 27, 28052 Madrid, España"/>
    <d v="2022-11-24T00:00:00"/>
    <d v="2022-12-02T00:00:00"/>
    <n v="8"/>
    <x v="1"/>
  </r>
  <r>
    <n v="506654"/>
    <n v="0"/>
    <s v="Berlin"/>
    <s v="Zossener Str. 15, 10961 Berlin, Deutschland"/>
    <d v="2022-11-24T00:00:00"/>
    <d v="2022-12-02T00:00:00"/>
    <n v="8"/>
    <x v="1"/>
  </r>
  <r>
    <n v="506655"/>
    <n v="0"/>
    <s v="Madrid"/>
    <s v="C. de Costa Rica, 1, 28016 Madrid, España"/>
    <d v="2022-11-27T00:00:00"/>
    <d v="2022-12-02T00:00:00"/>
    <n v="5"/>
    <x v="1"/>
  </r>
  <r>
    <n v="506655"/>
    <n v="0"/>
    <s v="Essen"/>
    <s v="Oberstraße 68, 45134 Essen, Deutschland"/>
    <d v="2022-11-27T00:00:00"/>
    <d v="2022-12-02T00:00:00"/>
    <n v="5"/>
    <x v="1"/>
  </r>
  <r>
    <n v="506655"/>
    <n v="0"/>
    <s v="Saint-Gilles"/>
    <s v="57 Rue Gambetta, 30800 Saint-Gilles, France"/>
    <d v="2022-11-27T00:00:00"/>
    <d v="2022-12-02T00:00:00"/>
    <n v="5"/>
    <x v="1"/>
  </r>
  <r>
    <n v="506655"/>
    <n v="0"/>
    <s v="Wien"/>
    <s v="Heiligenstädter Str. 78, 1190 Wien, Österreich"/>
    <d v="2022-11-27T00:00:00"/>
    <d v="2022-12-02T00:00:00"/>
    <n v="5"/>
    <x v="1"/>
  </r>
  <r>
    <n v="506656"/>
    <n v="0"/>
    <s v="Düsseldorf"/>
    <s v="Münsterstraße 331, 40470 Düsseldorf, Deutschland"/>
    <d v="2022-11-26T00:00:00"/>
    <d v="2022-12-02T00:00:00"/>
    <n v="6"/>
    <x v="1"/>
  </r>
  <r>
    <n v="506656"/>
    <n v="0"/>
    <s v="Saint-Laurent-du-Var"/>
    <s v="34 Bd Louis Roux, 06700 Saint-Laurent-du-Var, France"/>
    <d v="2022-11-26T00:00:00"/>
    <d v="2022-12-02T00:00:00"/>
    <n v="6"/>
    <x v="1"/>
  </r>
  <r>
    <n v="506657"/>
    <n v="0"/>
    <s v="Champigny-sur-Marne"/>
    <s v="94 Rue du Monument, 94500 Champigny-sur-Marne, France"/>
    <d v="2022-12-06T00:00:00"/>
    <d v="2022-12-02T00:00:00"/>
    <n v="-4"/>
    <x v="1"/>
  </r>
  <r>
    <n v="506661"/>
    <n v="0"/>
    <s v="Embrach"/>
    <s v="Schützenhausstrasse 111, 8424 Embrach, Schweiz"/>
    <d v="2022-11-13T00:00:00"/>
    <d v="2022-12-02T00:00:00"/>
    <n v="19"/>
    <x v="1"/>
  </r>
  <r>
    <n v="506664"/>
    <n v="0"/>
    <s v="Greater London"/>
    <s v="14 North St, Hornchurch RM11 1QX, UK"/>
    <d v="2022-11-12T00:00:00"/>
    <d v="2022-12-02T00:00:00"/>
    <n v="20"/>
    <x v="1"/>
  </r>
  <r>
    <n v="506666"/>
    <n v="0"/>
    <s v="Sevilla"/>
    <s v="C. Eva Cervantes, 18, 41006 Sevilla, España"/>
    <d v="2022-11-12T00:00:00"/>
    <d v="2022-12-02T00:00:00"/>
    <n v="20"/>
    <x v="1"/>
  </r>
  <r>
    <n v="506674"/>
    <n v="0"/>
    <s v="Mairena del Aljarafe"/>
    <s v="C. Haya, 11, 41927 Mairena del Aljarafe, Sevilla, España"/>
    <d v="2022-11-17T00:00:00"/>
    <d v="2022-12-02T00:00:00"/>
    <n v="15"/>
    <x v="1"/>
  </r>
  <r>
    <n v="506675"/>
    <n v="0"/>
    <s v="San Vitaliano"/>
    <s v="Via Frascatoli, 76, 80030 San Vitaliano NA, Italia"/>
    <d v="2022-11-20T00:00:00"/>
    <d v="2022-12-02T00:00:00"/>
    <n v="12"/>
    <x v="1"/>
  </r>
  <r>
    <n v="506677"/>
    <n v="0"/>
    <s v="Peniche"/>
    <s v="R. António Conceição Bento 17, 2520-294 Peniche, Portugal"/>
    <d v="2022-12-08T00:00:00"/>
    <d v="2022-12-02T00:00:00"/>
    <n v="-6"/>
    <x v="1"/>
  </r>
  <r>
    <n v="506700"/>
    <n v="0"/>
    <s v="Corbeil-Essonnes"/>
    <s v="6 Rue Saint-Spire, 91100 Corbeil-Essonnes, France"/>
    <d v="2022-11-22T00:00:00"/>
    <d v="2022-12-02T00:00:00"/>
    <n v="10"/>
    <x v="1"/>
  </r>
  <r>
    <n v="506701"/>
    <n v="0"/>
    <s v="Sabadell"/>
    <s v="Pl. Assemblea de Catalunya, 12, 08207 Sabadell, Barcelona, España"/>
    <d v="2022-11-29T00:00:00"/>
    <d v="2022-12-02T00:00:00"/>
    <n v="3"/>
    <x v="1"/>
  </r>
  <r>
    <n v="506704"/>
    <n v="0"/>
    <s v="Évora"/>
    <s v="R. de Santa Catharina 21, 7000-567 Évora, Portugal"/>
    <d v="2022-12-07T00:00:00"/>
    <d v="2022-12-02T00:00:00"/>
    <n v="-5"/>
    <x v="1"/>
  </r>
  <r>
    <n v="506704"/>
    <n v="0"/>
    <s v="Wien"/>
    <s v="Erdbergstraße 57, 1030 Wien, Österreich"/>
    <d v="2022-12-07T00:00:00"/>
    <d v="2022-12-02T00:00:00"/>
    <n v="-5"/>
    <x v="1"/>
  </r>
  <r>
    <n v="506705"/>
    <n v="0"/>
    <s v="Verona"/>
    <s v="Via Stanga, 4, 37139 Verona VR, Italia"/>
    <d v="2022-12-08T00:00:00"/>
    <d v="2022-12-02T00:00:00"/>
    <n v="-6"/>
    <x v="1"/>
  </r>
  <r>
    <n v="506705"/>
    <n v="0"/>
    <s v="Vintebbio"/>
    <s v="Via G. Marconi, 4, 13037 Vintebbio VC, Italia"/>
    <d v="2022-12-08T00:00:00"/>
    <d v="2022-12-02T00:00:00"/>
    <n v="-6"/>
    <x v="1"/>
  </r>
  <r>
    <n v="506706"/>
    <n v="0"/>
    <s v="Nola"/>
    <s v="Via Madonna delle Grazie, 67, 80035 Nola NA, Italia"/>
    <d v="2022-12-06T00:00:00"/>
    <d v="2022-12-02T00:00:00"/>
    <n v="-4"/>
    <x v="1"/>
  </r>
  <r>
    <n v="506710"/>
    <n v="0"/>
    <s v="Greater London"/>
    <s v="3 Station Parade, Ealing Rd, Northolt UB5 5HR, UK"/>
    <d v="2022-11-25T00:00:00"/>
    <d v="2022-12-02T00:00:00"/>
    <n v="7"/>
    <x v="1"/>
  </r>
  <r>
    <n v="506711"/>
    <n v="0"/>
    <s v="Κηφισιά"/>
    <s v="Λεωφ. Κηφισίας 238, Κηφισιά 145 62, Ελλάδα"/>
    <d v="2022-12-08T00:00:00"/>
    <d v="2022-12-02T00:00:00"/>
    <n v="-6"/>
    <x v="1"/>
  </r>
  <r>
    <n v="506714"/>
    <n v="0"/>
    <s v="Barcelona"/>
    <s v="Carrer del Vallespir, 170, 08014 Barcelona, España"/>
    <d v="2022-11-26T00:00:00"/>
    <d v="2022-12-02T00:00:00"/>
    <n v="6"/>
    <x v="1"/>
  </r>
  <r>
    <n v="506715"/>
    <n v="0"/>
    <s v="Seregno"/>
    <s v="Via Cristoforo Colombo, 52, 20831 Seregno MB, Italia"/>
    <d v="2022-11-28T00:00:00"/>
    <d v="2022-12-02T00:00:00"/>
    <n v="4"/>
    <x v="1"/>
  </r>
  <r>
    <n v="506715"/>
    <n v="0"/>
    <s v="Hamburg"/>
    <s v="Rahlstedter Bahnhofstraße 10, 22143 Hamburg, Deutschland"/>
    <d v="2022-11-28T00:00:00"/>
    <d v="2022-12-02T00:00:00"/>
    <n v="4"/>
    <x v="1"/>
  </r>
  <r>
    <n v="506717"/>
    <n v="0"/>
    <s v="Lisboa"/>
    <s v="Av. Maria Helena Vieira da Silva 46, 1750-184 Lisboa, Portugal"/>
    <d v="2022-12-02T00:00:00"/>
    <d v="2022-12-02T00:00:00"/>
    <n v="0"/>
    <x v="1"/>
  </r>
  <r>
    <n v="506740"/>
    <n v="0"/>
    <s v="Vilnius"/>
    <s v="A. Juozapavičiaus g. 9A, Vilnius 09311, Lithuania"/>
    <d v="2022-12-04T00:00:00"/>
    <d v="2022-12-02T00:00:00"/>
    <n v="-2"/>
    <x v="1"/>
  </r>
  <r>
    <n v="506741"/>
    <n v="0"/>
    <s v="Mestrino"/>
    <s v="Via Marco Polo, 87b, 35035 Mestrino PD, Italia"/>
    <d v="2022-11-28T00:00:00"/>
    <d v="2022-12-02T00:00:00"/>
    <n v="4"/>
    <x v="1"/>
  </r>
  <r>
    <n v="506744"/>
    <n v="0"/>
    <s v="Paris"/>
    <s v="116 Ave Parmentier, 75011 Paris, France"/>
    <d v="2022-11-30T00:00:00"/>
    <d v="2022-12-02T00:00:00"/>
    <n v="2"/>
    <x v="1"/>
  </r>
  <r>
    <n v="506744"/>
    <n v="0"/>
    <s v="Milano"/>
    <s v="Via Vespri Siciliani, 11, 20146 Milano MI, Italia"/>
    <d v="2022-11-30T00:00:00"/>
    <d v="2022-12-02T00:00:00"/>
    <n v="2"/>
    <x v="1"/>
  </r>
  <r>
    <n v="506745"/>
    <n v="0"/>
    <s v="Berlin"/>
    <s v="Kieler Str. 5, 12163 Berlin, Deutschland"/>
    <d v="2022-12-06T00:00:00"/>
    <d v="2022-12-02T00:00:00"/>
    <n v="-4"/>
    <x v="1"/>
  </r>
  <r>
    <n v="506746"/>
    <n v="0"/>
    <s v="Burnt Oak"/>
    <s v="155 Burnt Oak Broadway, Burnt Oak, Edgware HA8 5EH, UK"/>
    <d v="2022-11-16T00:00:00"/>
    <d v="2022-12-02T00:00:00"/>
    <n v="16"/>
    <x v="1"/>
  </r>
  <r>
    <n v="506747"/>
    <n v="0"/>
    <s v="Varese"/>
    <s v="Via Francesco Crispi, 48, 21100 Varese VA, Italia"/>
    <d v="2022-12-01T00:00:00"/>
    <d v="2022-12-02T00:00:00"/>
    <n v="1"/>
    <x v="1"/>
  </r>
  <r>
    <n v="506750"/>
    <n v="0"/>
    <s v="Waterloo"/>
    <s v="105 St John's Rd, Waterloo, Liverpool L22 9QD, UK"/>
    <d v="2022-11-22T00:00:00"/>
    <d v="2022-12-02T00:00:00"/>
    <n v="10"/>
    <x v="1"/>
  </r>
  <r>
    <n v="506751"/>
    <n v="0"/>
    <s v="Hilversum"/>
    <s v="Leeghwaterstraat 100, 1221 BJ Hilversum, Netherlands"/>
    <d v="2022-11-30T00:00:00"/>
    <d v="2022-12-02T00:00:00"/>
    <n v="2"/>
    <x v="1"/>
  </r>
  <r>
    <n v="506754"/>
    <n v="0"/>
    <s v="Bremen"/>
    <s v="Wandschneiderstraße 6, 28195 Bremen, Deutschland"/>
    <d v="2022-11-16T00:00:00"/>
    <d v="2022-12-02T00:00:00"/>
    <n v="16"/>
    <x v="1"/>
  </r>
  <r>
    <n v="506754"/>
    <n v="0"/>
    <s v="Wien"/>
    <s v="Wagramer Str. 61/9/1, 1220 Wien, Österreich"/>
    <d v="2022-11-16T00:00:00"/>
    <d v="2022-12-02T00:00:00"/>
    <n v="16"/>
    <x v="1"/>
  </r>
  <r>
    <n v="506755"/>
    <n v="0"/>
    <s v="Roma"/>
    <s v="Via Paolo Ferrari, 68, 00123 Roma RM, Italia"/>
    <d v="2022-12-01T00:00:00"/>
    <d v="2022-12-02T00:00:00"/>
    <n v="1"/>
    <x v="1"/>
  </r>
  <r>
    <n v="506755"/>
    <n v="0"/>
    <s v="Grosseto"/>
    <s v="Via Fratelli Bandiera, 40, 58100 Grosseto GR, Italia"/>
    <d v="2022-12-01T00:00:00"/>
    <d v="2022-12-02T00:00:00"/>
    <n v="1"/>
    <x v="1"/>
  </r>
  <r>
    <n v="506756"/>
    <n v="0"/>
    <s v="Πάτρα"/>
    <s v="Παλαιών Πατρών Γερμανού 56, Πάτρα 262 25, Ελλάδα"/>
    <d v="2022-11-13T00:00:00"/>
    <d v="2022-12-02T00:00:00"/>
    <n v="19"/>
    <x v="1"/>
  </r>
  <r>
    <n v="506757"/>
    <n v="0"/>
    <s v="Albudeite"/>
    <s v="C. Juan Pedro Blanco Hermosilla, 5, 30190 Albudeite, Murcia, España"/>
    <d v="2022-11-20T00:00:00"/>
    <d v="2022-12-02T00:00:00"/>
    <n v="12"/>
    <x v="1"/>
  </r>
  <r>
    <n v="507507"/>
    <n v="1629"/>
    <s v="Riva del Garda"/>
    <s v="Viale Trento, 41, 38066 Riva del Garda TN, Italia"/>
    <d v="2022-09-18T00:00:00"/>
    <d v="2022-12-02T00:00:00"/>
    <n v="75"/>
    <x v="1"/>
  </r>
  <r>
    <n v="510430"/>
    <n v="9894"/>
    <s v="Roma"/>
    <s v="Vicolo della Serpe, 23, 00149 Roma RM, Italia"/>
    <d v="2022-09-09T00:00:00"/>
    <d v="2022-12-02T00:00:00"/>
    <n v="84"/>
    <x v="1"/>
  </r>
  <r>
    <n v="510505"/>
    <n v="5283"/>
    <s v="Tuenno"/>
    <s v="Via Vincenzo Maistrelli, 7, 38019 Tuenno TN, Italia"/>
    <d v="2022-11-20T00:00:00"/>
    <d v="2022-12-02T00:00:00"/>
    <n v="12"/>
    <x v="0"/>
  </r>
  <r>
    <n v="511505"/>
    <n v="68655"/>
    <s v="Pamplona"/>
    <s v="Calle Emilio Arrieta, 25, 31002 Pamplona, Navarra, España"/>
    <d v="2022-12-08T00:00:00"/>
    <d v="2022-12-02T00:00:00"/>
    <n v="-6"/>
    <x v="0"/>
  </r>
  <r>
    <n v="513057"/>
    <n v="7156"/>
    <s v="Monteggio"/>
    <s v="Via Cantonale 103, 6996 Monteggio, Svizzera"/>
    <d v="2022-11-22T00:00:00"/>
    <d v="2022-12-02T00:00:00"/>
    <n v="10"/>
    <x v="0"/>
  </r>
  <r>
    <n v="514305"/>
    <n v="7180"/>
    <s v="Milano"/>
    <s v="Via Gian Giacomo Mora, 5, 20123 Milano MI, Italia"/>
    <d v="2022-02-22T00:00:00"/>
    <d v="2022-12-02T00:00:00"/>
    <n v="283"/>
    <x v="1"/>
  </r>
  <r>
    <n v="515055"/>
    <n v="14725"/>
    <s v="Jerez de la Frontera"/>
    <s v="Plaza Parque de Capuchinos, 3, 11405 Jerez de la Frontera, Cádiz"/>
    <d v="2022-03-22T00:00:00"/>
    <d v="2022-12-02T00:00:00"/>
    <n v="255"/>
    <x v="1"/>
  </r>
  <r>
    <n v="515306"/>
    <n v="14517"/>
    <s v="Palma"/>
    <s v="Carrer de Miquel Capllonch, 21, 07010 Palma, Illes Balears, España"/>
    <d v="2022-11-07T00:00:00"/>
    <d v="2022-12-02T00:00:00"/>
    <n v="25"/>
    <x v="0"/>
  </r>
  <r>
    <n v="515501"/>
    <n v="7687"/>
    <s v="Napoli"/>
    <s v="Via Giuseppe Orsi, 46, 80128 Napoli NA, Italia"/>
    <d v="2022-03-21T00:00:00"/>
    <d v="2022-12-02T00:00:00"/>
    <n v="256"/>
    <x v="1"/>
  </r>
  <r>
    <n v="530040"/>
    <n v="2740"/>
    <s v="Madrid"/>
    <s v="Calle de Serrano, 15, 28001 Madrid, España"/>
    <d v="2022-05-18T00:00:00"/>
    <d v="2022-12-02T00:00:00"/>
    <n v="198"/>
    <x v="1"/>
  </r>
  <r>
    <n v="530054"/>
    <n v="11574"/>
    <s v="Abbiategrasso"/>
    <s v="Piazza Cinque Giornate, 23, 20081 Abbiategrasso MI, Italia"/>
    <d v="2022-11-02T00:00:00"/>
    <d v="2022-12-02T00:00:00"/>
    <n v="30"/>
    <x v="1"/>
  </r>
  <r>
    <n v="530144"/>
    <n v="2909"/>
    <s v="Roma"/>
    <s v="Via Lucca, 31, 00161 Roma RM, Italia"/>
    <d v="2022-09-14T00:00:00"/>
    <d v="2022-12-02T00:00:00"/>
    <n v="79"/>
    <x v="1"/>
  </r>
  <r>
    <n v="530416"/>
    <n v="3812"/>
    <s v="San Felice Circeo"/>
    <s v="Viale Regina Elena, 58, 04017 San Felice Circeo LT, Italia"/>
    <d v="2022-08-19T00:00:00"/>
    <d v="2022-12-02T00:00:00"/>
    <n v="105"/>
    <x v="1"/>
  </r>
  <r>
    <n v="530455"/>
    <n v="4396"/>
    <s v="Albiano D'ivrea"/>
    <s v="Corso Vittorio Emanuele, 22, 10010 Albiano D'ivrea TO, Italia"/>
    <d v="2022-06-16T00:00:00"/>
    <d v="2022-12-02T00:00:00"/>
    <n v="169"/>
    <x v="1"/>
  </r>
  <r>
    <n v="530505"/>
    <n v="3488"/>
    <s v="Εύοσμος"/>
    <s v="Στρατάρχου Αλεξάνδρου Παπάγου 45, Εύοσμος 562 24, Ελλάδα"/>
    <d v="2022-06-23T00:00:00"/>
    <d v="2022-12-02T00:00:00"/>
    <n v="162"/>
    <x v="1"/>
  </r>
  <r>
    <n v="530516"/>
    <n v="5695"/>
    <s v="Offanengo"/>
    <s v="via A.de Gasperi, 48, 26010 Offanengo CR, Italia"/>
    <d v="2022-10-27T00:00:00"/>
    <d v="2022-12-02T00:00:00"/>
    <n v="36"/>
    <x v="1"/>
  </r>
  <r>
    <n v="530545"/>
    <n v="10925"/>
    <s v="Roma"/>
    <s v="Via della Riserva Nuova, 294, 00132 Roma RM, Italia"/>
    <d v="2022-09-02T00:00:00"/>
    <d v="2022-12-02T00:00:00"/>
    <n v="91"/>
    <x v="1"/>
  </r>
  <r>
    <n v="530604"/>
    <n v="2499"/>
    <s v="Madrid"/>
    <s v="Calle de Coslada, 12, 28028 Madrid, España"/>
    <d v="2022-06-22T00:00:00"/>
    <d v="2022-12-02T00:00:00"/>
    <n v="163"/>
    <x v="1"/>
  </r>
  <r>
    <n v="530644"/>
    <n v="13477"/>
    <s v="València"/>
    <s v="C/ d'Almassora, 40, 46010 València, Valencia, España"/>
    <d v="2022-07-11T00:00:00"/>
    <d v="2022-12-02T00:00:00"/>
    <n v="144"/>
    <x v="1"/>
  </r>
  <r>
    <n v="530666"/>
    <n v="7011"/>
    <s v="Albissola Marina"/>
    <s v="Corso Baldovino Bigliati, 112, 17012 Albissola Marina SV, Italia"/>
    <d v="2022-06-03T00:00:00"/>
    <d v="2022-12-02T00:00:00"/>
    <n v="182"/>
    <x v="1"/>
  </r>
  <r>
    <n v="530761"/>
    <n v="5407"/>
    <s v="Manziana"/>
    <s v="Via S. Francesco D'Assisi, 16, 00066 Manziana RM, Italia"/>
    <d v="2022-06-14T00:00:00"/>
    <d v="2022-12-02T00:00:00"/>
    <n v="171"/>
    <x v="1"/>
  </r>
  <r>
    <n v="540630"/>
    <n v="4155"/>
    <s v="Petrer"/>
    <s v="Av. Reina Sofia, 13, 03610 Petrer, Alicante, España"/>
    <d v="2022-12-07T00:00:00"/>
    <d v="2022-12-02T00:00:00"/>
    <n v="-5"/>
    <x v="0"/>
  </r>
  <r>
    <n v="543076"/>
    <n v="15550"/>
    <s v="Cagliari"/>
    <s v="Via Enrico Pessina, 3, 09125 Cagliari CA, Italia"/>
    <d v="2022-10-23T00:00:00"/>
    <d v="2022-12-02T00:00:00"/>
    <n v="40"/>
    <x v="1"/>
  </r>
  <r>
    <n v="544305"/>
    <n v="10963"/>
    <s v="Άγιος Δημήτριος Αττικής"/>
    <s v="Μπουμπουλίνας 10, Αγ. Δημήτριος Αττικής 173 43, Ελλάδα"/>
    <d v="2022-09-02T00:00:00"/>
    <d v="2022-12-02T00:00:00"/>
    <n v="91"/>
    <x v="1"/>
  </r>
  <r>
    <n v="544450"/>
    <n v="7077"/>
    <s v="Milano"/>
    <s v="Viale Col di Lana, 12, 20136 Milano MI, Italia"/>
    <d v="2022-08-01T00:00:00"/>
    <d v="2022-12-02T00:00:00"/>
    <n v="123"/>
    <x v="1"/>
  </r>
  <r>
    <n v="544550"/>
    <n v="2652"/>
    <s v="Μαρούσι"/>
    <s v="Μητροπόλεως 43, Μαρούσι 151 24, Ελλάδα"/>
    <d v="2022-11-02T00:00:00"/>
    <d v="2022-12-02T00:00:00"/>
    <n v="30"/>
    <x v="1"/>
  </r>
  <r>
    <n v="544730"/>
    <n v="204"/>
    <s v="Madrid"/>
    <s v="C. de Vinaroz, 6, 28002 Madrid, España"/>
    <d v="2022-12-07T00:00:00"/>
    <d v="2022-12-02T00:00:00"/>
    <n v="-5"/>
    <x v="0"/>
  </r>
  <r>
    <n v="545074"/>
    <n v="776"/>
    <s v="A Coruña"/>
    <s v="Rúa Fuente Álamo, 15, 15010 A Coruña"/>
    <d v="2022-11-07T00:00:00"/>
    <d v="2022-12-02T00:00:00"/>
    <n v="25"/>
    <x v="0"/>
  </r>
  <r>
    <n v="545504"/>
    <n v="35981"/>
    <s v="Elda"/>
    <s v="Av. de Madrid, 3, 03610 Elda, Alicante, España"/>
    <d v="2022-12-08T00:00:00"/>
    <d v="2022-12-02T00:00:00"/>
    <n v="-6"/>
    <x v="0"/>
  </r>
  <r>
    <n v="545530"/>
    <n v="77937"/>
    <s v="Taranto"/>
    <s v="Via Lago Trasimeno, 2, 74121 Taranto TA, Italia"/>
    <d v="2022-12-08T00:00:00"/>
    <d v="2022-12-02T00:00:00"/>
    <n v="-6"/>
    <x v="0"/>
  </r>
  <r>
    <n v="545550"/>
    <n v="186"/>
    <s v="Conflans-Sainte-Honorine"/>
    <s v="18 Pl. de la Liberté, 78700 Conflans-Sainte-Honorine, France"/>
    <d v="2022-08-15T00:00:00"/>
    <d v="2022-12-02T00:00:00"/>
    <n v="109"/>
    <x v="1"/>
  </r>
  <r>
    <n v="550304"/>
    <n v="1835"/>
    <s v="Αθήνα"/>
    <s v="Παναγιώτου Αναγνωστοπούλου 41, Αθήνα 106 73, Ελλάδα"/>
    <d v="2022-09-13T00:00:00"/>
    <d v="2022-12-02T00:00:00"/>
    <n v="80"/>
    <x v="1"/>
  </r>
  <r>
    <n v="553017"/>
    <n v="2138"/>
    <s v="Jaén"/>
    <s v="C. San Francisco Javier, 23006 Jaén, España"/>
    <d v="2022-11-22T00:00:00"/>
    <d v="2022-12-02T00:00:00"/>
    <n v="10"/>
    <x v="0"/>
  </r>
  <r>
    <n v="553044"/>
    <n v="1523"/>
    <s v="Barcelona"/>
    <s v="C/ d'Aragó, 458, 08013 Barcelona, España"/>
    <d v="2022-11-19T00:00:00"/>
    <d v="2022-12-02T00:00:00"/>
    <n v="13"/>
    <x v="0"/>
  </r>
  <r>
    <n v="553051"/>
    <n v="3664"/>
    <s v="Móstoles"/>
    <s v="C. Río Tormes, 17, 28935 Móstoles, Madrid, España"/>
    <d v="2022-01-22T00:00:00"/>
    <d v="2022-12-02T00:00:00"/>
    <n v="314"/>
    <x v="1"/>
  </r>
  <r>
    <n v="553054"/>
    <n v="190"/>
    <s v="Madrid"/>
    <s v="C. de Gabriel Lobo, 18, 28002 Madrid, España"/>
    <d v="2022-03-20T00:00:00"/>
    <d v="2022-12-02T00:00:00"/>
    <n v="257"/>
    <x v="1"/>
  </r>
  <r>
    <n v="553064"/>
    <n v="50"/>
    <s v="Barcelona"/>
    <s v="Carrer de Vilamarí, 26, 08015 Barcelona, España"/>
    <d v="2022-10-18T00:00:00"/>
    <d v="2022-12-02T00:00:00"/>
    <n v="45"/>
    <x v="1"/>
  </r>
  <r>
    <n v="553066"/>
    <n v="82"/>
    <s v="Madrid"/>
    <s v="C. de Sierra Toledana, 19, 28038 Madrid, España"/>
    <d v="2022-11-27T00:00:00"/>
    <d v="2022-12-02T00:00:00"/>
    <n v="5"/>
    <x v="0"/>
  </r>
  <r>
    <n v="553071"/>
    <n v="328"/>
    <s v="Roma"/>
    <s v="Via Luigi Bodio, 49, 00191 Roma RM, Italia"/>
    <d v="2022-08-09T00:00:00"/>
    <d v="2022-12-02T00:00:00"/>
    <n v="115"/>
    <x v="1"/>
  </r>
  <r>
    <n v="554304"/>
    <n v="782"/>
    <s v="Masquefa"/>
    <s v="Carrer Serralet, 92, 08783 Masquefa, Barcelona, España"/>
    <d v="2022-09-09T00:00:00"/>
    <d v="2022-12-02T00:00:00"/>
    <n v="84"/>
    <x v="1"/>
  </r>
  <r>
    <n v="554304"/>
    <n v="4992"/>
    <s v="Chiesa"/>
    <s v="Via Guglielmo Marconi, 11, 25080 Chiesa BS, Italia"/>
    <d v="2022-09-09T00:00:00"/>
    <d v="2022-12-02T00:00:00"/>
    <n v="84"/>
    <x v="1"/>
  </r>
  <r>
    <n v="554305"/>
    <n v="5615"/>
    <s v="Seveso"/>
    <s v="Corso Giuseppe Garibaldi, 35, 20822 Seveso MB, Italia"/>
    <d v="2022-11-02T00:00:00"/>
    <d v="2022-12-02T00:00:00"/>
    <n v="30"/>
    <x v="1"/>
  </r>
  <r>
    <n v="554505"/>
    <n v="2394"/>
    <s v="Huesca"/>
    <s v="C. Mesnaderos, 8, 22003 Huesca"/>
    <d v="2022-11-29T00:00:00"/>
    <d v="2022-12-02T00:00:00"/>
    <n v="3"/>
    <x v="0"/>
  </r>
  <r>
    <n v="554630"/>
    <n v="537"/>
    <s v="Badajoz"/>
    <s v="Av. de Cristobal Colón, 18, 06005 Badajoz, España"/>
    <d v="2022-11-16T00:00:00"/>
    <d v="2022-12-02T00:00:00"/>
    <n v="16"/>
    <x v="0"/>
  </r>
  <r>
    <n v="555505"/>
    <n v="1806"/>
    <s v="Vincennes"/>
    <s v="34 Av. Franklin Roosevelt, 94300 Vincennes, France"/>
    <d v="2022-11-26T00:00:00"/>
    <d v="2022-12-02T00:00:00"/>
    <n v="6"/>
    <x v="0"/>
  </r>
  <r>
    <n v="555550"/>
    <n v="128"/>
    <s v="Paris"/>
    <s v="4 Rue Poirier de Narçay, 75014 Paris, France"/>
    <d v="2022-11-20T00:00:00"/>
    <d v="2022-12-02T00:00:00"/>
    <n v="12"/>
    <x v="0"/>
  </r>
  <r>
    <n v="556450"/>
    <n v="24950"/>
    <s v="Torino"/>
    <s v="Via Candido Viberti, 31, 10141 Torino TO, Italia"/>
    <d v="2022-11-07T00:00:00"/>
    <d v="2022-12-02T00:00:00"/>
    <n v="25"/>
    <x v="0"/>
  </r>
  <r>
    <n v="556506"/>
    <n v="1689"/>
    <s v="Marbella"/>
    <s v="C. Jacinto Benavente, 23, 29601 Marbella, Málaga, España"/>
    <d v="2022-05-27T00:00:00"/>
    <d v="2022-12-02T00:00:00"/>
    <n v="189"/>
    <x v="1"/>
  </r>
  <r>
    <n v="563006"/>
    <n v="2665"/>
    <s v="Verona"/>
    <s v="Via Tolosetto Farinati degli Uberti, 9b, 37126 Verona VR, Italia"/>
    <d v="2022-09-26T00:00:00"/>
    <d v="2022-12-02T00:00:00"/>
    <n v="67"/>
    <x v="1"/>
  </r>
  <r>
    <n v="563014"/>
    <n v="3381"/>
    <s v="Novara"/>
    <s v="Via Giancarlo Maggi, 2, 28100 Novara NO, Italia"/>
    <d v="2022-01-09T00:00:00"/>
    <d v="2022-12-02T00:00:00"/>
    <n v="327"/>
    <x v="1"/>
  </r>
  <r>
    <n v="564304"/>
    <n v="7720"/>
    <s v="Schiavonea"/>
    <s v="Via dei Gladioli, 12, 87064 Schiavonea CS, Italia"/>
    <d v="2022-05-21T00:00:00"/>
    <d v="2022-12-02T00:00:00"/>
    <n v="195"/>
    <x v="1"/>
  </r>
  <r>
    <n v="565501"/>
    <n v="4016"/>
    <s v="Napoli"/>
    <s v="Via Maurizio De Vito Piscicelli, 3, 80128 Napoli NA, Italia"/>
    <d v="2022-03-26T00:00:00"/>
    <d v="2022-12-02T00:00:00"/>
    <n v="251"/>
    <x v="1"/>
  </r>
  <r>
    <n v="567304"/>
    <n v="7811"/>
    <s v="Casamassima"/>
    <s v="Via Pietà, 79D, 70010 Casamassima BA, Italia"/>
    <d v="2022-05-19T00:00:00"/>
    <d v="2022-12-02T00:00:00"/>
    <n v="197"/>
    <x v="1"/>
  </r>
  <r>
    <n v="571530"/>
    <n v="57"/>
    <s v="Paris"/>
    <s v="75 Rue Claude Decaen, 75012 Paris, France"/>
    <d v="2022-10-02T00:00:00"/>
    <d v="2022-12-02T00:00:00"/>
    <n v="61"/>
    <x v="1"/>
  </r>
  <r>
    <n v="573000"/>
    <n v="3933"/>
    <s v="Firenze"/>
    <s v="Borgo Ognissanti, 106R, 50123 Firenze FI, Italia"/>
    <d v="2022-03-06T00:00:00"/>
    <d v="2022-12-02T00:00:00"/>
    <n v="271"/>
    <x v="1"/>
  </r>
  <r>
    <n v="573014"/>
    <n v="7956"/>
    <s v="Zaragoza"/>
    <s v="Calle Tomas Breton, 40, 50005 Zaragoza, España"/>
    <d v="2022-09-03T00:00:00"/>
    <d v="2022-12-02T00:00:00"/>
    <n v="90"/>
    <x v="1"/>
  </r>
  <r>
    <n v="575304"/>
    <n v="39"/>
    <s v="Paris"/>
    <s v="5 Rue de La Jonquière, 75017 Paris, France"/>
    <d v="2022-10-31T00:00:00"/>
    <d v="2022-12-02T00:00:00"/>
    <n v="32"/>
    <x v="1"/>
  </r>
  <r>
    <n v="1050430"/>
    <n v="266"/>
    <s v="Milano"/>
    <s v="Via Alessandro Tadino, 29, 20124 Milano MI, Italia"/>
    <d v="2022-05-24T00:00:00"/>
    <d v="2022-12-02T00:00:00"/>
    <n v="192"/>
    <x v="1"/>
  </r>
  <r>
    <n v="1305030"/>
    <n v="6732"/>
    <s v="Alhama de Murcia"/>
    <s v="C. Alfonso X el Sabio, 9, 30840 Alhama de Murcia, Murcia, España"/>
    <d v="2022-02-01T00:00:00"/>
    <d v="2022-12-02T00:00:00"/>
    <n v="304"/>
    <x v="1"/>
  </r>
  <r>
    <n v="1450307"/>
    <n v="7057"/>
    <s v="Jerez de la Frontera"/>
    <s v="Av. los Frutos, 3, 11406 Jerez de la Frontera, Cádiz, España"/>
    <d v="2022-04-05T00:00:00"/>
    <d v="2022-12-02T00:00:00"/>
    <n v="241"/>
    <x v="1"/>
  </r>
  <r>
    <n v="1613030"/>
    <n v="23654"/>
    <s v="Merano"/>
    <s v="Via Otto Huber, 10, 39012 Merano BZ, Italia"/>
    <d v="2022-11-11T00:00:00"/>
    <d v="2022-12-02T00:00:00"/>
    <n v="21"/>
    <x v="0"/>
  </r>
  <r>
    <n v="1650550"/>
    <n v="18161"/>
    <s v="San Severo"/>
    <s v="Via Torquato Tasso, 25/27, 71016 San Severo FG, Italia"/>
    <d v="2022-10-22T00:00:00"/>
    <d v="2022-12-02T00:00:00"/>
    <n v="41"/>
    <x v="1"/>
  </r>
  <r>
    <n v="3030501"/>
    <n v="81"/>
    <s v="Barcelona"/>
    <s v="Carrer de Manuel de Falla, 13, 08034 Barcelona, España"/>
    <d v="2022-04-18T00:00:00"/>
    <d v="2022-12-02T00:00:00"/>
    <n v="228"/>
    <x v="1"/>
  </r>
  <r>
    <n v="5003057"/>
    <n v="4503"/>
    <s v="Hostalric"/>
    <s v="Carrer Poeta Ruyra, 18, 17450 Hostalric, Girona, España"/>
    <d v="2022-08-14T00:00:00"/>
    <d v="2022-12-02T00:00:00"/>
    <n v="110"/>
    <x v="1"/>
  </r>
  <r>
    <n v="5004150"/>
    <n v="51"/>
    <s v="Paris"/>
    <s v="216 Rue de la Croix Nivert, 75015 Paris, France"/>
    <d v="2022-11-05T00:00:00"/>
    <d v="2022-12-02T00:00:00"/>
    <n v="27"/>
    <x v="0"/>
  </r>
  <r>
    <n v="5004430"/>
    <n v="201"/>
    <s v="Paris"/>
    <s v="58 Rue St Sabin, 75011 Paris, France"/>
    <d v="2022-07-13T00:00:00"/>
    <d v="2022-12-02T00:00:00"/>
    <n v="142"/>
    <x v="1"/>
  </r>
  <r>
    <n v="5004450"/>
    <n v="5927"/>
    <s v="Portici"/>
    <s v="Via Emanuele Gianturco, 34, 80055 Portici NA, Italia"/>
    <d v="2022-05-02T00:00:00"/>
    <d v="2022-12-02T00:00:00"/>
    <n v="214"/>
    <x v="1"/>
  </r>
  <r>
    <n v="5004506"/>
    <n v="2227"/>
    <s v="Cagliari"/>
    <s v="Via Giovanni Battista Tuveri, 16, 09129 Cagliari CA, Italia"/>
    <d v="2022-10-18T00:00:00"/>
    <d v="2022-12-02T00:00:00"/>
    <n v="45"/>
    <x v="1"/>
  </r>
  <r>
    <n v="5005430"/>
    <n v="2473"/>
    <s v="Terrassa"/>
    <s v="Carrer de Sierra Nevada, 11, 08227 Terrassa, Barcelona, España"/>
    <d v="2022-11-10T00:00:00"/>
    <d v="2022-12-02T00:00:00"/>
    <n v="22"/>
    <x v="0"/>
  </r>
  <r>
    <n v="5005450"/>
    <n v="7118"/>
    <s v="Milano"/>
    <s v="Via Asiago, 59, 20128 Milano MI, Italia"/>
    <d v="2022-09-08T00:00:00"/>
    <d v="2022-12-02T00:00:00"/>
    <n v="85"/>
    <x v="1"/>
  </r>
  <r>
    <n v="5005750"/>
    <n v="21"/>
    <s v="Toulouse"/>
    <s v="101 Rue Bonnat, 31400 Toulouse, France"/>
    <d v="2022-10-02T00:00:00"/>
    <d v="2022-12-02T00:00:00"/>
    <n v="61"/>
    <x v="1"/>
  </r>
  <r>
    <n v="5010430"/>
    <n v="2381"/>
    <s v="Coria"/>
    <s v="C. Viriato, 13, 10800 Coria, Cáceres, España"/>
    <d v="2022-12-06T00:00:00"/>
    <d v="2022-12-02T00:00:00"/>
    <n v="-4"/>
    <x v="0"/>
  </r>
  <r>
    <n v="5011050"/>
    <n v="2270"/>
    <s v="Paris"/>
    <s v="75 Av. Ledru Rollin, 75012 Paris, France"/>
    <d v="2022-09-26T00:00:00"/>
    <d v="2022-12-02T00:00:00"/>
    <n v="67"/>
    <x v="1"/>
  </r>
  <r>
    <n v="5011504"/>
    <n v="903"/>
    <s v="Boadilla del Monte"/>
    <s v="Av. Infante Don Luis, 15, 28660 Boadilla del Monte, Madrid, España"/>
    <d v="2022-11-25T00:00:00"/>
    <d v="2022-12-02T00:00:00"/>
    <n v="7"/>
    <x v="0"/>
  </r>
  <r>
    <n v="5013047"/>
    <n v="310"/>
    <s v="Greater Manchester"/>
    <s v="201 Eccles Old Rd, Salford M6 8HA, UK"/>
    <d v="2022-10-06T00:00:00"/>
    <d v="2022-12-02T00:00:00"/>
    <n v="57"/>
    <x v="1"/>
  </r>
  <r>
    <n v="5013050"/>
    <n v="382"/>
    <s v="Paris"/>
    <s v="29 Bd Pereire, 75017 Paris, France"/>
    <d v="2022-09-03T00:00:00"/>
    <d v="2022-12-02T00:00:00"/>
    <n v="90"/>
    <x v="1"/>
  </r>
  <r>
    <n v="5014550"/>
    <n v="7999"/>
    <s v="Madrid"/>
    <s v="Av. Juan XXIII, 10, 28224 Madrid, España"/>
    <d v="2022-09-13T00:00:00"/>
    <d v="2022-12-02T00:00:00"/>
    <n v="80"/>
    <x v="1"/>
  </r>
  <r>
    <n v="5015050"/>
    <n v="9303"/>
    <s v="Catania"/>
    <s v="Via Grotte Bianche, 113a, 95100 Catania CT, Italia"/>
    <d v="2022-11-06T00:00:00"/>
    <d v="2022-12-02T00:00:00"/>
    <n v="26"/>
    <x v="0"/>
  </r>
  <r>
    <n v="5015504"/>
    <n v="2"/>
    <s v="Paris"/>
    <s v="34 Rue Montcalm, 75018 Paris, France"/>
    <d v="2022-09-18T00:00:00"/>
    <d v="2022-12-02T00:00:00"/>
    <n v="75"/>
    <x v="1"/>
  </r>
  <r>
    <n v="5015550"/>
    <n v="76"/>
    <s v="Lisboa"/>
    <s v="Azinhaga da Torre do Fato 7, 1600-451 Lisboa, Portugal"/>
    <d v="2022-11-06T00:00:00"/>
    <d v="2022-12-02T00:00:00"/>
    <n v="26"/>
    <x v="0"/>
  </r>
  <r>
    <n v="5017730"/>
    <n v="0"/>
    <s v="Bezons"/>
    <s v="2 All. de la Fontaine 95870 Bezons, France"/>
    <d v="2022-10-19T00:00:00"/>
    <d v="2022-12-02T00:00:00"/>
    <n v="44"/>
    <x v="1"/>
  </r>
  <r>
    <n v="5030144"/>
    <n v="102"/>
    <s v="Martorell"/>
    <s v="Av. Dr. Francesc Massana, 17, 08760 Martorell, Barcelona, España"/>
    <d v="2022-04-17T00:00:00"/>
    <d v="2022-12-02T00:00:00"/>
    <n v="229"/>
    <x v="1"/>
  </r>
  <r>
    <n v="5030144"/>
    <n v="27"/>
    <s v="Wien"/>
    <s v="Alserbachstraße 5/29, 1090 Wien, Österreich"/>
    <d v="2022-04-17T00:00:00"/>
    <d v="2022-12-02T00:00:00"/>
    <n v="229"/>
    <x v="1"/>
  </r>
  <r>
    <n v="5030154"/>
    <n v="61"/>
    <s v="Baabe"/>
    <s v="Dorfstraße 1-2, 18586 Baabe, Deutschland"/>
    <d v="2022-10-22T00:00:00"/>
    <d v="2022-12-02T00:00:00"/>
    <n v="41"/>
    <x v="1"/>
  </r>
  <r>
    <n v="5030170"/>
    <n v="452"/>
    <s v="Gallarate"/>
    <s v="Via Egidio Checchi, 27, 21013 Gallarate VA, Italia"/>
    <d v="2022-04-20T00:00:00"/>
    <d v="2022-12-02T00:00:00"/>
    <n v="226"/>
    <x v="1"/>
  </r>
  <r>
    <n v="5030400"/>
    <n v="51"/>
    <s v="Hamburg"/>
    <s v="Am Schilfpark 24, 21029 Hamburg, Deutschland"/>
    <d v="2022-09-23T00:00:00"/>
    <d v="2022-12-02T00:00:00"/>
    <n v="70"/>
    <x v="1"/>
  </r>
  <r>
    <n v="5030404"/>
    <n v="46"/>
    <s v="Frankfurt am Main"/>
    <s v="Borsigallee 26, 60388 Frankfurt am Main, Deutschland"/>
    <d v="2022-10-09T00:00:00"/>
    <d v="2022-12-02T00:00:00"/>
    <n v="54"/>
    <x v="1"/>
  </r>
  <r>
    <n v="5030414"/>
    <n v="89"/>
    <s v="Latina"/>
    <s v="Via Sabaudia, 85, 04100 Latina LT, Italia"/>
    <d v="2022-10-23T00:00:00"/>
    <d v="2022-12-02T00:00:00"/>
    <n v="40"/>
    <x v="1"/>
  </r>
  <r>
    <n v="5030430"/>
    <n v="27186"/>
    <s v="Altavilla Vicentina"/>
    <s v="Via Sovizzo, 92, 36077 Altavilla Vicentina VI, Italia"/>
    <d v="2022-11-02T00:00:00"/>
    <d v="2022-12-02T00:00:00"/>
    <n v="30"/>
    <x v="1"/>
  </r>
  <r>
    <n v="5030444"/>
    <n v="71"/>
    <s v="Glasgow"/>
    <s v="419 Shields Road, Glasgow, G41 1NY"/>
    <d v="2022-11-13T00:00:00"/>
    <d v="2022-12-02T00:00:00"/>
    <n v="19"/>
    <x v="0"/>
  </r>
  <r>
    <n v="5030444"/>
    <n v="11"/>
    <s v="Rivoli"/>
    <s v="Corso Francia, 224C, 10098 Rivoli TO, Italia"/>
    <d v="2022-11-13T00:00:00"/>
    <d v="2022-12-02T00:00:00"/>
    <n v="19"/>
    <x v="1"/>
  </r>
  <r>
    <n v="5030454"/>
    <n v="27"/>
    <s v="Roma"/>
    <s v="Via dell'Aeroporto, 2a, 00175 Roma RM, Italia"/>
    <d v="2022-12-02T00:00:00"/>
    <d v="2022-12-02T00:00:00"/>
    <n v="0"/>
    <x v="1"/>
  </r>
  <r>
    <n v="5030454"/>
    <n v="0"/>
    <s v="Alcochete"/>
    <s v="R. Carlos Manuel Rodrigues Francisco 11, 2890-096 Alcochete, Portugal"/>
    <d v="2022-12-02T00:00:00"/>
    <d v="2022-12-02T00:00:00"/>
    <n v="0"/>
    <x v="1"/>
  </r>
  <r>
    <n v="5030504"/>
    <n v="440"/>
    <s v="Olesa de Montserrat"/>
    <s v="Carrer de Josep Anselm Clavé, 50, 08640 Olesa de Montserrat, Barcelona, España"/>
    <d v="2022-10-23T00:00:00"/>
    <d v="2022-12-02T00:00:00"/>
    <n v="40"/>
    <x v="1"/>
  </r>
  <r>
    <n v="5030507"/>
    <n v="105"/>
    <s v="Vilnius"/>
    <s v="Ateities g. 11, Vilnius 08304, Lithuania"/>
    <d v="2022-10-24T00:00:00"/>
    <d v="2022-12-02T00:00:00"/>
    <n v="39"/>
    <x v="1"/>
  </r>
  <r>
    <n v="5030515"/>
    <n v="51"/>
    <s v="Barcelona"/>
    <s v="C. del Consell de Cent, 218, 08011 Barcelona, España"/>
    <d v="2022-10-08T00:00:00"/>
    <d v="2022-12-02T00:00:00"/>
    <n v="55"/>
    <x v="1"/>
  </r>
  <r>
    <n v="5030540"/>
    <n v="5"/>
    <s v="Roma"/>
    <s v="Via Jacopo Melani, 22, 00124 Roma RM, Italia"/>
    <d v="2022-11-08T00:00:00"/>
    <d v="2022-12-02T00:00:00"/>
    <n v="24"/>
    <x v="1"/>
  </r>
  <r>
    <n v="5030544"/>
    <n v="30"/>
    <s v="West Midlands"/>
    <s v="2a Bell Ln, Birmingham B31 1JZ, UK"/>
    <d v="2022-12-08T00:00:00"/>
    <d v="2022-12-02T00:00:00"/>
    <n v="-6"/>
    <x v="1"/>
  </r>
  <r>
    <n v="5030545"/>
    <n v="61"/>
    <s v="Greater London"/>
    <s v="18 Soho Square, London W1D 3QH, UK"/>
    <d v="2022-10-21T00:00:00"/>
    <d v="2022-12-02T00:00:00"/>
    <n v="42"/>
    <x v="1"/>
  </r>
  <r>
    <n v="5030547"/>
    <n v="31"/>
    <s v="Partick"/>
    <s v="within ClipJoint hairdressers, 8 Peel St, Partick, Glasgow G11 5LL, UK"/>
    <d v="2022-12-03T00:00:00"/>
    <d v="2022-12-02T00:00:00"/>
    <n v="-1"/>
    <x v="1"/>
  </r>
  <r>
    <n v="5030550"/>
    <n v="89"/>
    <s v="Terrassa"/>
    <s v="Rambla de Francesc Macià, 61, 08226 Terrassa, Barcelona, España"/>
    <d v="2022-10-26T00:00:00"/>
    <d v="2022-12-02T00:00:00"/>
    <n v="37"/>
    <x v="1"/>
  </r>
  <r>
    <n v="5030555"/>
    <n v="37"/>
    <s v="Greater Manchester"/>
    <s v="Unit P17, Gorton Retail Market, Manchester M18 8LD, UK"/>
    <d v="2022-10-15T00:00:00"/>
    <d v="2022-12-02T00:00:00"/>
    <n v="48"/>
    <x v="1"/>
  </r>
  <r>
    <n v="5030556"/>
    <n v="85"/>
    <s v="Brindisi"/>
    <s v="Viale Francia, 33, 72100 Brindisi BR, Italia"/>
    <d v="2022-11-05T00:00:00"/>
    <d v="2022-12-02T00:00:00"/>
    <n v="27"/>
    <x v="0"/>
  </r>
  <r>
    <n v="5030577"/>
    <n v="115"/>
    <s v="Liège"/>
    <s v="Rue de l'Etuve 17, 4000 Liège, Belgique"/>
    <d v="2022-10-11T00:00:00"/>
    <d v="2022-12-02T00:00:00"/>
    <n v="52"/>
    <x v="1"/>
  </r>
  <r>
    <n v="5030604"/>
    <n v="4"/>
    <s v="Paris"/>
    <s v="58 Rue de Bourgogne, 75007 Paris, France"/>
    <d v="2022-10-21T00:00:00"/>
    <d v="2022-12-02T00:00:00"/>
    <n v="42"/>
    <x v="1"/>
  </r>
  <r>
    <n v="5030617"/>
    <n v="36"/>
    <s v="Oberhausen"/>
    <s v="Steinbrinkstraße 200, 46145 Oberhausen, Deutschland"/>
    <d v="2022-10-18T00:00:00"/>
    <d v="2022-12-02T00:00:00"/>
    <n v="45"/>
    <x v="1"/>
  </r>
  <r>
    <n v="5030641"/>
    <n v="6"/>
    <s v="Opfikon"/>
    <s v="8152 Opfikon, Schweiz"/>
    <d v="2022-10-05T00:00:00"/>
    <d v="2022-12-02T00:00:00"/>
    <n v="58"/>
    <x v="1"/>
  </r>
  <r>
    <n v="5030644"/>
    <n v="1156"/>
    <s v="Taranto"/>
    <s v="Corso Piemonte, 63, 74121 Taranto TA, Italia"/>
    <d v="2022-10-21T00:00:00"/>
    <d v="2022-12-02T00:00:00"/>
    <n v="42"/>
    <x v="1"/>
  </r>
  <r>
    <n v="5030646"/>
    <n v="91"/>
    <s v="Uznach"/>
    <s v="Rickenstrasse 11, 8730 Uznach, Schweiz"/>
    <d v="2022-10-09T00:00:00"/>
    <d v="2022-12-02T00:00:00"/>
    <n v="54"/>
    <x v="1"/>
  </r>
  <r>
    <n v="5030655"/>
    <n v="31"/>
    <s v="Zürich"/>
    <s v="Marchwartstrasse 44, 8038 Zürich, Schweiz"/>
    <d v="2022-10-31T00:00:00"/>
    <d v="2022-12-02T00:00:00"/>
    <n v="32"/>
    <x v="1"/>
  </r>
  <r>
    <n v="5030740"/>
    <n v="7"/>
    <s v="Brétigny-sur-Orge"/>
    <s v="16 Rue du Général Leclerc, 91220 Brétigny-sur-Orge, France"/>
    <d v="2022-11-15T00:00:00"/>
    <d v="2022-12-02T00:00:00"/>
    <n v="17"/>
    <x v="1"/>
  </r>
  <r>
    <n v="5030744"/>
    <n v="47"/>
    <s v="Castelfranco Veneto"/>
    <s v="Piazza della Serenissima, 20, 31033 Castelfranco Veneto TV, Italia"/>
    <d v="2022-11-15T00:00:00"/>
    <d v="2022-12-02T00:00:00"/>
    <n v="17"/>
    <x v="0"/>
  </r>
  <r>
    <n v="5030756"/>
    <n v="0"/>
    <s v="Taverny"/>
    <s v="257 Rue de Paris, 95150 Taverny, France"/>
    <d v="2022-10-06T00:00:00"/>
    <d v="2022-12-02T00:00:00"/>
    <n v="57"/>
    <x v="1"/>
  </r>
  <r>
    <n v="5040504"/>
    <n v="118"/>
    <s v="Dun-le-Palestel"/>
    <s v="36 Grande Rue, 23800 Dun-le-Palestel, France"/>
    <d v="2022-10-26T00:00:00"/>
    <d v="2022-12-02T00:00:00"/>
    <n v="37"/>
    <x v="1"/>
  </r>
  <r>
    <n v="5043050"/>
    <n v="540"/>
    <s v="Πειραιάς"/>
    <s v="Πραξιτέλους 35, Πειραιάς 185 32, Ελλάδα"/>
    <d v="2022-12-06T00:00:00"/>
    <d v="2022-12-02T00:00:00"/>
    <n v="-4"/>
    <x v="0"/>
  </r>
  <r>
    <n v="5044030"/>
    <n v="226"/>
    <s v="Amsterdam"/>
    <s v="Roelof Hartstraat 17, 1071 VG Amsterdam, Netherlands"/>
    <d v="2022-10-25T00:00:00"/>
    <d v="2022-12-02T00:00:00"/>
    <n v="38"/>
    <x v="1"/>
  </r>
  <r>
    <n v="5044450"/>
    <n v="18"/>
    <s v="Berlin"/>
    <s v="Sonnenallee 206, 12059 Berlin, Deutschland"/>
    <d v="2022-09-17T00:00:00"/>
    <d v="2022-12-02T00:00:00"/>
    <n v="76"/>
    <x v="1"/>
  </r>
  <r>
    <n v="5044450"/>
    <n v="662"/>
    <s v="Πέραμα"/>
    <s v="25ης Μαρτίου 12, Πέραμα 188 63, Ελλάδα"/>
    <d v="2022-09-17T00:00:00"/>
    <d v="2022-12-02T00:00:00"/>
    <n v="76"/>
    <x v="1"/>
  </r>
  <r>
    <n v="5044506"/>
    <n v="0"/>
    <s v="Roma"/>
    <s v="Via Luigi Rizzo, 52, 00136 Roma RM, Italia"/>
    <d v="2022-10-19T00:00:00"/>
    <d v="2022-12-02T00:00:00"/>
    <n v="44"/>
    <x v="1"/>
  </r>
  <r>
    <n v="5045046"/>
    <n v="354"/>
    <s v="Málaga"/>
    <s v="C. Betsaida, 2, 29006 Málaga, España"/>
    <d v="2022-10-05T00:00:00"/>
    <d v="2022-12-02T00:00:00"/>
    <n v="58"/>
    <x v="1"/>
  </r>
  <r>
    <n v="5045070"/>
    <n v="118"/>
    <s v="La Garenne-Colombes"/>
    <s v="7 All. Denis Papin, 92250 La Garenne-Colombes, France"/>
    <d v="2022-09-12T00:00:00"/>
    <d v="2022-12-02T00:00:00"/>
    <n v="81"/>
    <x v="1"/>
  </r>
  <r>
    <n v="5045304"/>
    <n v="21"/>
    <s v="Greater London"/>
    <s v="73 Caledonian Rd, London N1 9BT, UK"/>
    <d v="2022-10-06T00:00:00"/>
    <d v="2022-12-02T00:00:00"/>
    <n v="57"/>
    <x v="1"/>
  </r>
  <r>
    <n v="5045307"/>
    <n v="1295"/>
    <s v="Bollullos de la Mitación"/>
    <s v="C. Larga, 74, 41110 Bollullos de la Mitación, Sevilla, España"/>
    <d v="2022-09-12T00:00:00"/>
    <d v="2022-12-02T00:00:00"/>
    <n v="81"/>
    <x v="1"/>
  </r>
  <r>
    <n v="5045530"/>
    <n v="433"/>
    <s v="Cittanova"/>
    <s v="Via Grimaldi, 8, 89022 Cittanova RC, Italia"/>
    <d v="2022-10-21T00:00:00"/>
    <d v="2022-12-02T00:00:00"/>
    <n v="42"/>
    <x v="1"/>
  </r>
  <r>
    <n v="5046501"/>
    <n v="64"/>
    <s v="Sarzana"/>
    <s v="Via Lancillotto Cattani, 1, 19038 Sarzana SP, Italia"/>
    <d v="2022-12-03T00:00:00"/>
    <d v="2022-12-02T00:00:00"/>
    <n v="-1"/>
    <x v="0"/>
  </r>
  <r>
    <n v="5047301"/>
    <n v="2"/>
    <s v="Milano"/>
    <s v="Via Ajaccio, 4, 20133 Milano MI, Italia"/>
    <d v="2022-11-19T00:00:00"/>
    <d v="2022-12-02T00:00:00"/>
    <n v="13"/>
    <x v="1"/>
  </r>
  <r>
    <n v="5047430"/>
    <n v="181"/>
    <s v="San Marcellino"/>
    <s v="Via Giacomo Leopardi, 8, 81030 San Marcellino CE, Italia"/>
    <d v="2022-10-29T00:00:00"/>
    <d v="2022-12-02T00:00:00"/>
    <n v="34"/>
    <x v="1"/>
  </r>
  <r>
    <n v="5050077"/>
    <n v="1144"/>
    <s v="Pula"/>
    <s v="Via Nora, 114, 09010 Pula CA, Italia"/>
    <d v="2022-09-18T00:00:00"/>
    <d v="2022-12-02T00:00:00"/>
    <n v="75"/>
    <x v="1"/>
  </r>
  <r>
    <n v="5050145"/>
    <n v="1402"/>
    <s v="Alzira"/>
    <s v="Carrer del Prior Morera, 5, 46600 Alzira, Valencia, España"/>
    <d v="2022-09-25T00:00:00"/>
    <d v="2022-12-02T00:00:00"/>
    <n v="68"/>
    <x v="1"/>
  </r>
  <r>
    <n v="5050446"/>
    <n v="158"/>
    <s v="Livry-Gargan"/>
    <s v="5 All. des Jonquilles, 93190 Livry-Gargan, France"/>
    <d v="2022-09-06T00:00:00"/>
    <d v="2022-12-02T00:00:00"/>
    <n v="87"/>
    <x v="1"/>
  </r>
  <r>
    <n v="5050506"/>
    <n v="770"/>
    <s v="San Sperate"/>
    <s v="Via Bithia, 8, 09026 San Sperate SU, Italia"/>
    <d v="2022-11-03T00:00:00"/>
    <d v="2022-12-02T00:00:00"/>
    <n v="29"/>
    <x v="0"/>
  </r>
  <r>
    <n v="5050511"/>
    <n v="669"/>
    <s v="Sant Celoni"/>
    <s v="Carrer Sant Pere, 6, 08470 Sant Celoni, Barcelona, España"/>
    <d v="2022-09-24T00:00:00"/>
    <d v="2022-12-02T00:00:00"/>
    <n v="69"/>
    <x v="1"/>
  </r>
  <r>
    <n v="5050664"/>
    <n v="54"/>
    <s v="Greater London"/>
    <s v="6A Hertford St, London W1J 7RF, UK"/>
    <d v="2022-10-27T00:00:00"/>
    <d v="2022-12-02T00:00:00"/>
    <n v="36"/>
    <x v="1"/>
  </r>
  <r>
    <n v="5050740"/>
    <n v="1616"/>
    <s v="Αλεξάνδρεια"/>
    <s v="Νικ. Πλαστήρα 74, Αλεξάνδρεια 593 00, Ελλάδα"/>
    <d v="2022-10-12T00:00:00"/>
    <d v="2022-12-02T00:00:00"/>
    <n v="51"/>
    <x v="1"/>
  </r>
  <r>
    <n v="5050745"/>
    <n v="206"/>
    <s v="Paris"/>
    <s v="37 Rue du Rendez-Vous, 75012 Paris, France"/>
    <d v="2022-09-19T00:00:00"/>
    <d v="2022-12-02T00:00:00"/>
    <n v="74"/>
    <x v="1"/>
  </r>
  <r>
    <n v="5053010"/>
    <n v="216"/>
    <s v="Greater London"/>
    <s v="40 Liverpool St, London EC2M 7QN, UK"/>
    <d v="2022-11-02T00:00:00"/>
    <d v="2022-12-02T00:00:00"/>
    <n v="30"/>
    <x v="1"/>
  </r>
  <r>
    <n v="5054500"/>
    <n v="1625"/>
    <s v="Vigevano"/>
    <s v="Viale Montegrappa, 29, 27029 Vigevano PV, Italia"/>
    <d v="2022-11-06T00:00:00"/>
    <d v="2022-12-02T00:00:00"/>
    <n v="26"/>
    <x v="0"/>
  </r>
  <r>
    <n v="5054650"/>
    <n v="3858"/>
    <s v="Άρτεμις"/>
    <s v="Λεωφ. Βραυρώνος 186, Άρτεμις 190 16, Ελλάδα"/>
    <d v="2022-11-23T00:00:00"/>
    <d v="2022-12-02T00:00:00"/>
    <n v="9"/>
    <x v="0"/>
  </r>
  <r>
    <n v="5055054"/>
    <n v="544"/>
    <s v="Busca"/>
    <s v="Via Laghi di Avigliana, 6, 12022 Busca CN, Italia"/>
    <d v="2022-10-04T00:00:00"/>
    <d v="2022-12-02T00:00:00"/>
    <n v="59"/>
    <x v="1"/>
  </r>
  <r>
    <n v="5055060"/>
    <n v="802"/>
    <s v="Sernaglia della Battaglia"/>
    <s v="Via Emigranti, 38, 31020 Sernaglia della Battaglia TV, Italia"/>
    <d v="2022-09-23T00:00:00"/>
    <d v="2022-12-02T00:00:00"/>
    <n v="70"/>
    <x v="1"/>
  </r>
  <r>
    <n v="5056530"/>
    <n v="2060"/>
    <s v="Palestrina"/>
    <s v="Via Prenestina Antica, 220, 00036 Palestrina RM, Italia"/>
    <d v="2022-09-24T00:00:00"/>
    <d v="2022-12-02T00:00:00"/>
    <n v="69"/>
    <x v="1"/>
  </r>
  <r>
    <n v="5060150"/>
    <n v="0"/>
    <s v="Hertfordshire"/>
    <s v="The Thrive, Battlers Green Farm, Common Ln, Radlett WD7 8PH, UK"/>
    <d v="2022-12-05T00:00:00"/>
    <d v="2022-12-02T00:00:00"/>
    <n v="-3"/>
    <x v="1"/>
  </r>
  <r>
    <n v="5061501"/>
    <n v="4"/>
    <s v="Sheffield City Centre"/>
    <s v="113-115 Pinstone St, Sheffield City Centre, Sheffield S1 2HL, UK"/>
    <d v="2022-10-29T00:00:00"/>
    <d v="2022-12-02T00:00:00"/>
    <n v="34"/>
    <x v="1"/>
  </r>
  <r>
    <n v="5063014"/>
    <n v="0"/>
    <s v="Mönchengladbach"/>
    <s v="Zur Burgmühle 2, 41199 Mönchengladbach, Deutschland"/>
    <d v="2022-11-18T00:00:00"/>
    <d v="2022-12-02T00:00:00"/>
    <n v="14"/>
    <x v="1"/>
  </r>
  <r>
    <n v="5063044"/>
    <n v="0"/>
    <s v="València"/>
    <s v="C/ del Dr. Manuel Candela, 52, 46021 València"/>
    <d v="2022-12-03T00:00:00"/>
    <d v="2022-12-02T00:00:00"/>
    <n v="-1"/>
    <x v="1"/>
  </r>
  <r>
    <n v="5063045"/>
    <n v="0"/>
    <s v="Greater London"/>
    <s v="156 Essex Rd, London N1 8LY, UK"/>
    <d v="2022-10-13T00:00:00"/>
    <d v="2022-12-02T00:00:00"/>
    <n v="50"/>
    <x v="1"/>
  </r>
  <r>
    <n v="5063054"/>
    <n v="0"/>
    <s v="València"/>
    <s v="Carrer del Gravador Esteve, 6, 46004 València, Valencia, España"/>
    <d v="2022-11-16T00:00:00"/>
    <d v="2022-12-02T00:00:00"/>
    <n v="16"/>
    <x v="1"/>
  </r>
  <r>
    <n v="5063054"/>
    <n v="0"/>
    <s v="Paris"/>
    <s v="48 Bd Pasteur, 75015 Paris, France"/>
    <d v="2022-11-16T00:00:00"/>
    <d v="2022-12-02T00:00:00"/>
    <n v="16"/>
    <x v="1"/>
  </r>
  <r>
    <n v="5063055"/>
    <n v="0"/>
    <s v="Greater London"/>
    <s v="127 Lee Rd, Blackheath, London SE3 9DS, UK"/>
    <d v="2022-12-07T00:00:00"/>
    <d v="2022-12-02T00:00:00"/>
    <n v="-5"/>
    <x v="1"/>
  </r>
  <r>
    <n v="5063057"/>
    <n v="0"/>
    <s v="Zürich"/>
    <s v="Stampfenbachstrasse 151, 8006 Zürich, Schweiz"/>
    <d v="2022-11-05T00:00:00"/>
    <d v="2022-12-02T00:00:00"/>
    <n v="27"/>
    <x v="1"/>
  </r>
  <r>
    <n v="5063071"/>
    <n v="0"/>
    <s v="Palma"/>
    <s v="Carrer dels Paraires, 23, 07001 Palma, Illes Balears, España"/>
    <d v="2022-11-26T00:00:00"/>
    <d v="2022-12-02T00:00:00"/>
    <n v="6"/>
    <x v="1"/>
  </r>
  <r>
    <n v="5063076"/>
    <n v="0"/>
    <s v="Château-Chinon"/>
    <s v="22 Pl. Gudin, 58120 Château-Chinon, France"/>
    <d v="2022-11-18T00:00:00"/>
    <d v="2022-12-02T00:00:00"/>
    <n v="14"/>
    <x v="1"/>
  </r>
  <r>
    <n v="5064306"/>
    <n v="52"/>
    <s v="Palermo"/>
    <s v="Via Maggiore Pietro Toselli, 201, 90143 Palermo PA, Italia"/>
    <d v="2022-11-09T00:00:00"/>
    <d v="2022-12-02T00:00:00"/>
    <n v="23"/>
    <x v="0"/>
  </r>
  <r>
    <n v="5064450"/>
    <n v="0"/>
    <s v="Saint-Gilles"/>
    <s v="57 Rue Gambetta, 30800 Saint-Gilles, France"/>
    <d v="2022-11-17T00:00:00"/>
    <d v="2022-12-02T00:00:00"/>
    <n v="15"/>
    <x v="1"/>
  </r>
  <r>
    <n v="5064750"/>
    <n v="0"/>
    <s v="Paris"/>
    <s v="4 Rue du Pélican, 75001 Paris, France"/>
    <d v="2022-11-11T00:00:00"/>
    <d v="2022-12-02T00:00:00"/>
    <n v="21"/>
    <x v="1"/>
  </r>
  <r>
    <n v="5065045"/>
    <n v="0"/>
    <s v="Sambuceto"/>
    <s v="Viale Sandro Pertini, 66020 Sambuceto CH, Italia"/>
    <d v="2022-11-03T00:00:00"/>
    <d v="2022-12-02T00:00:00"/>
    <n v="29"/>
    <x v="1"/>
  </r>
  <r>
    <n v="5065045"/>
    <n v="0"/>
    <s v="Madrid"/>
    <s v="C. de Ercilla, 3, 28005 Madrid, España"/>
    <d v="2022-11-03T00:00:00"/>
    <d v="2022-12-02T00:00:00"/>
    <n v="29"/>
    <x v="1"/>
  </r>
  <r>
    <n v="5065047"/>
    <n v="45"/>
    <s v="València"/>
    <s v="Carrer de la Torreta de Miramar, 25, 46020 València, Valencia, España"/>
    <d v="2022-10-24T00:00:00"/>
    <d v="2022-12-02T00:00:00"/>
    <n v="39"/>
    <x v="1"/>
  </r>
  <r>
    <n v="5065054"/>
    <n v="0"/>
    <s v="Château-Renard"/>
    <s v="2 Pl. de la République, 45220 Château-Renard, France"/>
    <d v="2022-10-09T00:00:00"/>
    <d v="2022-12-02T00:00:00"/>
    <n v="54"/>
    <x v="1"/>
  </r>
  <r>
    <n v="5065055"/>
    <n v="91"/>
    <s v="Palermo"/>
    <s v="Via Mater Dolorosa, 80, 90146 Palermo PA, Italia"/>
    <d v="2022-10-19T00:00:00"/>
    <d v="2022-12-02T00:00:00"/>
    <n v="44"/>
    <x v="1"/>
  </r>
  <r>
    <n v="5065055"/>
    <n v="17"/>
    <s v="Brain-sur-Allonnes"/>
    <s v="2 Pl. du Commerce, 49650 Brain-sur-Allonnes, France"/>
    <d v="2022-10-19T00:00:00"/>
    <d v="2022-12-02T00:00:00"/>
    <n v="44"/>
    <x v="1"/>
  </r>
  <r>
    <n v="5065056"/>
    <n v="0"/>
    <s v="Alphen aan den Rijn"/>
    <s v="Lisdodde 106, 2408 LX Alphen aan den Rijn, Netherlands"/>
    <d v="2022-10-13T00:00:00"/>
    <d v="2022-12-02T00:00:00"/>
    <n v="50"/>
    <x v="1"/>
  </r>
  <r>
    <n v="5065065"/>
    <n v="0"/>
    <s v="Paris"/>
    <s v="25 Bd de Strasbourg, 75010 Paris, France"/>
    <d v="2022-10-17T00:00:00"/>
    <d v="2022-12-02T00:00:00"/>
    <n v="46"/>
    <x v="1"/>
  </r>
  <r>
    <n v="5065074"/>
    <n v="0"/>
    <s v="Quincy-sous-Sénart"/>
    <s v="19 Rue des 2 Communes, 91480 Quincy-sous-Sénart, France"/>
    <d v="2022-10-05T00:00:00"/>
    <d v="2022-12-02T00:00:00"/>
    <n v="58"/>
    <x v="1"/>
  </r>
  <r>
    <n v="5065306"/>
    <n v="50"/>
    <s v="Modena"/>
    <s v="Via Emilia Est, 1058, 41126 Modena MO, Italia"/>
    <d v="2022-11-01T00:00:00"/>
    <d v="2022-12-02T00:00:00"/>
    <n v="31"/>
    <x v="1"/>
  </r>
  <r>
    <n v="5065430"/>
    <n v="111"/>
    <s v="Duisburg"/>
    <s v="Altenbrucher Damm 15, 47249 Duisburg, Deutschland"/>
    <d v="2022-10-10T00:00:00"/>
    <d v="2022-12-02T00:00:00"/>
    <n v="53"/>
    <x v="1"/>
  </r>
  <r>
    <n v="5066030"/>
    <n v="0"/>
    <s v="Lamone"/>
    <s v="Via Girella 16, 6814 Lamone, Schweiz"/>
    <d v="2022-11-30T00:00:00"/>
    <d v="2022-12-02T00:00:00"/>
    <n v="2"/>
    <x v="1"/>
  </r>
  <r>
    <n v="5066300"/>
    <n v="0"/>
    <s v="Paris"/>
    <s v="94 Rue Myrha, 75018 Paris, France"/>
    <d v="2022-12-07T00:00:00"/>
    <d v="2022-12-02T00:00:00"/>
    <n v="-5"/>
    <x v="1"/>
  </r>
  <r>
    <n v="5066301"/>
    <n v="0"/>
    <s v="Karlsfeld"/>
    <s v="Münchner Str. 209, 85757 Karlsfeld, Deutschland"/>
    <d v="2022-12-07T00:00:00"/>
    <d v="2022-12-02T00:00:00"/>
    <n v="-5"/>
    <x v="1"/>
  </r>
  <r>
    <n v="5066304"/>
    <n v="0"/>
    <s v="Barcelona"/>
    <s v="Carrer de Sant Medir, 16, 08028 Barcelona, España"/>
    <d v="2022-11-16T00:00:00"/>
    <d v="2022-12-02T00:00:00"/>
    <n v="16"/>
    <x v="1"/>
  </r>
  <r>
    <n v="5066304"/>
    <n v="0"/>
    <s v="Paris"/>
    <s v="14 Rue Ferdinand Flocon, 75018 Paris, France"/>
    <d v="2022-11-16T00:00:00"/>
    <d v="2022-12-02T00:00:00"/>
    <n v="16"/>
    <x v="1"/>
  </r>
  <r>
    <n v="5066305"/>
    <n v="0"/>
    <s v="Calp"/>
    <s v="Av. Valencia, 13, 03710 Calp, Alicante, España"/>
    <d v="2022-11-23T00:00:00"/>
    <d v="2022-12-02T00:00:00"/>
    <n v="9"/>
    <x v="1"/>
  </r>
  <r>
    <n v="5066430"/>
    <n v="0"/>
    <s v="Purchena"/>
    <s v="Pl. Triana, 19, 04870 Purchena, Almería, España"/>
    <d v="2022-12-01T00:00:00"/>
    <d v="2022-12-02T00:00:00"/>
    <n v="1"/>
    <x v="1"/>
  </r>
  <r>
    <n v="5066450"/>
    <n v="0"/>
    <s v="Paris"/>
    <s v="9 Av. Fremiet, 75016 Paris, France"/>
    <d v="2022-11-21T00:00:00"/>
    <d v="2022-12-02T00:00:00"/>
    <n v="11"/>
    <x v="1"/>
  </r>
  <r>
    <n v="5066507"/>
    <n v="0"/>
    <s v="Reus"/>
    <s v="Carrer dels Recs, 21, 43201 Reus, Tarragona, España"/>
    <d v="2022-12-03T00:00:00"/>
    <d v="2022-12-02T00:00:00"/>
    <n v="-1"/>
    <x v="1"/>
  </r>
  <r>
    <n v="5066530"/>
    <n v="0"/>
    <s v="Berlin"/>
    <s v="Lützowstraße 50, 10785 Berlin, Deutschland"/>
    <d v="2022-12-06T00:00:00"/>
    <d v="2022-12-02T00:00:00"/>
    <n v="-4"/>
    <x v="1"/>
  </r>
  <r>
    <n v="5066550"/>
    <n v="0"/>
    <s v="Barcelona"/>
    <s v="Avinguda Diagonal, 359, 08037 Barcelona, España"/>
    <d v="2022-11-22T00:00:00"/>
    <d v="2022-12-02T00:00:00"/>
    <n v="10"/>
    <x v="1"/>
  </r>
  <r>
    <n v="5066630"/>
    <n v="0"/>
    <s v="Madrid"/>
    <s v="C. de Andrés Borrego, 5, 28004 Madrid, España"/>
    <d v="2022-12-04T00:00:00"/>
    <d v="2022-12-02T00:00:00"/>
    <n v="-2"/>
    <x v="1"/>
  </r>
  <r>
    <n v="5067030"/>
    <n v="0"/>
    <s v="Roma"/>
    <s v="Via di Ripetta, 34, 00186 Roma RM, Italia"/>
    <d v="2022-12-07T00:00:00"/>
    <d v="2022-12-02T00:00:00"/>
    <n v="-5"/>
    <x v="1"/>
  </r>
  <r>
    <n v="5067050"/>
    <n v="0"/>
    <s v="Manresa"/>
    <s v="Carrer del Pujolet, 29, 08242 Manresa, Barcelona, España"/>
    <d v="2022-11-13T00:00:00"/>
    <d v="2022-12-02T00:00:00"/>
    <n v="19"/>
    <x v="1"/>
  </r>
  <r>
    <n v="5067150"/>
    <n v="0"/>
    <s v="Arona"/>
    <s v="TF-28, 50, 38627 Arona, Santa Cruz de Tenerife, España"/>
    <d v="2022-12-05T00:00:00"/>
    <d v="2022-12-02T00:00:00"/>
    <n v="-3"/>
    <x v="1"/>
  </r>
  <r>
    <n v="5067430"/>
    <n v="0"/>
    <s v="Vilnius"/>
    <s v="Tvankstos g. 12, Vilnius 06200, Lithuania"/>
    <d v="2022-11-14T00:00:00"/>
    <d v="2022-12-02T00:00:00"/>
    <n v="18"/>
    <x v="1"/>
  </r>
  <r>
    <n v="5067450"/>
    <n v="0"/>
    <s v="Candiolo"/>
    <s v="Via Torino, 3, 10060 Candiolo TO, Italia"/>
    <d v="2022-11-14T00:00:00"/>
    <d v="2022-12-02T00:00:00"/>
    <n v="18"/>
    <x v="1"/>
  </r>
  <r>
    <n v="5067500"/>
    <n v="0"/>
    <s v="Greater London"/>
    <s v="54, 62 Uxbridge Rd, London W7 3SU, UK"/>
    <d v="2022-11-13T00:00:00"/>
    <d v="2022-12-02T00:00:00"/>
    <n v="19"/>
    <x v="1"/>
  </r>
  <r>
    <n v="5067501"/>
    <n v="0"/>
    <s v="Baltar"/>
    <s v="Av. Dom Manuel I 791, 4585-013 Baltar, Portugal"/>
    <d v="2022-11-19T00:00:00"/>
    <d v="2022-12-02T00:00:00"/>
    <n v="13"/>
    <x v="1"/>
  </r>
  <r>
    <n v="5067504"/>
    <n v="0"/>
    <s v="Milano"/>
    <s v="Piazzale Loreto, 2, 20131 Milano MI, Italia"/>
    <d v="2022-11-12T00:00:00"/>
    <d v="2022-12-02T00:00:00"/>
    <n v="20"/>
    <x v="1"/>
  </r>
  <r>
    <n v="5067504"/>
    <n v="0"/>
    <s v="Beaulieu"/>
    <s v="9 Av. Général Pamphile de Lacroix, 34160 Beaulieu, France"/>
    <d v="2022-11-12T00:00:00"/>
    <d v="2022-12-02T00:00:00"/>
    <n v="20"/>
    <x v="1"/>
  </r>
  <r>
    <n v="5067505"/>
    <n v="0"/>
    <s v="Roma"/>
    <s v="Via Prenestina, 461a, 00177 Roma RM, Italia"/>
    <d v="2022-11-27T00:00:00"/>
    <d v="2022-12-02T00:00:00"/>
    <n v="5"/>
    <x v="1"/>
  </r>
  <r>
    <n v="5067505"/>
    <n v="0"/>
    <s v="Caldas da Rainha"/>
    <s v="Rua Fonte do Pinheiro 53, 2500-203 Caldas da Rainha, Portugal"/>
    <d v="2022-11-27T00:00:00"/>
    <d v="2022-12-02T00:00:00"/>
    <n v="5"/>
    <x v="1"/>
  </r>
  <r>
    <n v="5067506"/>
    <n v="0"/>
    <s v="Bouzy"/>
    <s v="16 Rue Charles de Gaulle, 51150 Bouzy, France"/>
    <d v="2022-12-01T00:00:00"/>
    <d v="2022-12-02T00:00:00"/>
    <n v="1"/>
    <x v="1"/>
  </r>
  <r>
    <n v="5067507"/>
    <n v="0"/>
    <s v="Milano"/>
    <s v="Via Angelo Inganni, 2, 20147 Milano MI, Italia"/>
    <d v="2022-11-26T00:00:00"/>
    <d v="2022-12-02T00:00:00"/>
    <n v="6"/>
    <x v="1"/>
  </r>
  <r>
    <n v="5067530"/>
    <n v="0"/>
    <s v="Mezzolombardo"/>
    <s v="Corso del Popolo, 2, 38017 Mezzolombardo TN, Italia"/>
    <d v="2022-11-25T00:00:00"/>
    <d v="2022-12-02T00:00:00"/>
    <n v="7"/>
    <x v="1"/>
  </r>
  <r>
    <n v="5067550"/>
    <n v="0"/>
    <s v="Guyans-Vennes"/>
    <s v="21 Grande Rue, 25390 Guyans-Vennes, France"/>
    <d v="2022-11-29T00:00:00"/>
    <d v="2022-12-02T00:00:00"/>
    <n v="3"/>
    <x v="1"/>
  </r>
  <r>
    <n v="5130504"/>
    <n v="42622"/>
    <s v="Antequera"/>
    <s v="Calle Comedias, 18, 29200 Antequera, Málaga, España"/>
    <d v="2022-12-08T00:00:00"/>
    <d v="2022-12-02T00:00:00"/>
    <n v="-6"/>
    <x v="0"/>
  </r>
  <r>
    <n v="5145050"/>
    <n v="33968"/>
    <s v="Patti"/>
    <s v="Via Giuseppe Verdi, 3, 98066 Patti ME, Italia"/>
    <d v="2022-12-08T00:00:00"/>
    <d v="2022-12-02T00:00:00"/>
    <n v="-6"/>
    <x v="0"/>
  </r>
  <r>
    <n v="5150305"/>
    <n v="29554"/>
    <s v="Torrejón de Ardoz"/>
    <s v="Centro Comercial Parque Corredor, Ctra. Ajalvir Centro Comerci, s/n, 28850 Torrejón de Ardoz, Madrid"/>
    <d v="2022-11-06T00:00:00"/>
    <d v="2022-12-02T00:00:00"/>
    <n v="26"/>
    <x v="0"/>
  </r>
  <r>
    <n v="5150506"/>
    <n v="13266"/>
    <s v="Figline e Incisa Valdarno"/>
    <s v="Via Francesco Petrarca, 54/56, 50064 Figline e Incisa Valdarno FI, Italia"/>
    <d v="2022-05-03T00:00:00"/>
    <d v="2022-12-02T00:00:00"/>
    <n v="213"/>
    <x v="1"/>
  </r>
  <r>
    <n v="5300450"/>
    <n v="10758"/>
    <s v="Cuneo"/>
    <s v="Via XXXIII Reggimento Fanteria, 1, 12100 Cuneo CN, Italia"/>
    <d v="2022-05-06T00:00:00"/>
    <d v="2022-12-02T00:00:00"/>
    <n v="210"/>
    <x v="1"/>
  </r>
  <r>
    <n v="5303044"/>
    <n v="184"/>
    <s v="Milano"/>
    <s v="Via Francesco de Sanctis, 33, 20141 Milano MI, Italia"/>
    <d v="2022-10-16T00:00:00"/>
    <d v="2022-12-02T00:00:00"/>
    <n v="47"/>
    <x v="1"/>
  </r>
  <r>
    <n v="5303050"/>
    <n v="33837"/>
    <s v="Madrid"/>
    <s v="Calle de Melilla, 43, 28005 Madrid, España"/>
    <d v="2022-12-08T00:00:00"/>
    <d v="2022-12-02T00:00:00"/>
    <n v="-6"/>
    <x v="0"/>
  </r>
  <r>
    <n v="5303056"/>
    <n v="3858"/>
    <s v="Pomigliano d'Arco"/>
    <s v="Via Felice Terracciano, 100, 80038 Pomigliano d'Arco NA, Italia"/>
    <d v="2022-02-06T00:00:00"/>
    <d v="2022-12-02T00:00:00"/>
    <n v="299"/>
    <x v="1"/>
  </r>
  <r>
    <n v="5304450"/>
    <n v="8994"/>
    <s v="Roma"/>
    <s v="Via Aurelia, 430, 00165 Roma RM, Italia"/>
    <d v="2022-09-07T00:00:00"/>
    <d v="2022-12-02T00:00:00"/>
    <n v="86"/>
    <x v="1"/>
  </r>
  <r>
    <n v="5305040"/>
    <n v="6018"/>
    <s v="Fidenza"/>
    <s v="Via Benedetto Bacchini, 18, 43036 Fidenza PR, Italia"/>
    <d v="2022-01-21T00:00:00"/>
    <d v="2022-12-02T00:00:00"/>
    <n v="315"/>
    <x v="1"/>
  </r>
  <r>
    <n v="5305050"/>
    <n v="5768"/>
    <s v="Σητεία"/>
    <s v="Βιτσέντζου Κορνάρου 11, Σητεία 723 00, Ελλάδα"/>
    <d v="2022-06-16T00:00:00"/>
    <d v="2022-12-02T00:00:00"/>
    <n v="169"/>
    <x v="1"/>
  </r>
  <r>
    <n v="5305054"/>
    <n v="11106"/>
    <s v="Ispica"/>
    <s v="Via Giuseppe Mazzini, 39, 97014 Ispica RG, Italia"/>
    <d v="2022-09-12T00:00:00"/>
    <d v="2022-12-02T00:00:00"/>
    <n v="81"/>
    <x v="1"/>
  </r>
  <r>
    <n v="5305064"/>
    <n v="6144"/>
    <s v="Giugliano in Campania"/>
    <s v="Via Roma, 51, 80014 Giugliano in Campania NA, Italia"/>
    <d v="2022-09-01T00:00:00"/>
    <d v="2022-12-02T00:00:00"/>
    <n v="92"/>
    <x v="1"/>
  </r>
  <r>
    <n v="5305071"/>
    <n v="5043"/>
    <s v="Caserta"/>
    <s v="Via Gianfrancesco Alois, 16, 81100 Caserta CE, Italia"/>
    <d v="2022-04-01T00:00:00"/>
    <d v="2022-12-02T00:00:00"/>
    <n v="245"/>
    <x v="1"/>
  </r>
  <r>
    <n v="5305075"/>
    <n v="4114"/>
    <s v="Napoli"/>
    <s v="Via dell'Epomeo, 488/490, 80126 Napoli NA, Italia"/>
    <d v="2022-03-01T00:00:00"/>
    <d v="2022-12-02T00:00:00"/>
    <n v="276"/>
    <x v="1"/>
  </r>
  <r>
    <n v="5305304"/>
    <n v="5884"/>
    <s v="Badalona"/>
    <s v="Carrer del Canonge Baranera, 80, 08911 Badalona, Barcelona, España"/>
    <d v="2022-06-10T00:00:00"/>
    <d v="2022-12-02T00:00:00"/>
    <n v="175"/>
    <x v="1"/>
  </r>
  <r>
    <n v="5307030"/>
    <n v="20695"/>
    <s v="Cingoli"/>
    <s v="Via Amici della Marca, 1, 62011 Cingoli MC, Italia"/>
    <d v="2022-11-05T00:00:00"/>
    <d v="2022-12-02T00:00:00"/>
    <n v="27"/>
    <x v="0"/>
  </r>
  <r>
    <n v="5450050"/>
    <n v="56"/>
    <s v="Roma"/>
    <s v="Via Lombardia, 00187 Roma RM, Italia"/>
    <d v="2022-11-18T00:00:00"/>
    <d v="2022-12-02T00:00:00"/>
    <n v="14"/>
    <x v="0"/>
  </r>
  <r>
    <n v="5530306"/>
    <n v="4088"/>
    <s v="Savona"/>
    <s v="Via Milano, 50r, 17100 Savona SV, Italia"/>
    <d v="2022-02-19T00:00:00"/>
    <d v="2022-12-02T00:00:00"/>
    <n v="286"/>
    <x v="1"/>
  </r>
  <r>
    <n v="5530501"/>
    <n v="3309"/>
    <s v="Paterna"/>
    <s v="Carrer de Sant Agustí, 2, 46980 Paterna, Valencia, España"/>
    <d v="2022-09-03T00:00:00"/>
    <d v="2022-12-02T00:00:00"/>
    <n v="90"/>
    <x v="1"/>
  </r>
  <r>
    <n v="5530504"/>
    <n v="2967"/>
    <s v="Granada"/>
    <s v="C. Emperatriz Eugenia, 17, 18002 Granada, España"/>
    <d v="2022-11-06T00:00:00"/>
    <d v="2022-12-02T00:00:00"/>
    <n v="26"/>
    <x v="0"/>
  </r>
  <r>
    <n v="5655030"/>
    <n v="10472"/>
    <s v="Oviedo"/>
    <s v="Calle Carreño, 7, 33012 Oviedo, Asturias, España"/>
    <d v="2022-03-07T00:00:00"/>
    <d v="2022-12-02T00:00:00"/>
    <n v="270"/>
    <x v="1"/>
  </r>
  <r>
    <n v="15063030"/>
    <n v="15837"/>
    <s v="Roma"/>
    <s v="Viale Jonio, 187, 00141 Roma RM, Italia"/>
    <d v="2022-10-19T00:00:00"/>
    <d v="2022-12-02T00:00:00"/>
    <n v="44"/>
    <x v="1"/>
  </r>
  <r>
    <n v="50143050"/>
    <n v="3128"/>
    <s v="Torrent"/>
    <s v="Antic Carrer de Mossen Sicra, 9, 46900 Torrent, Valencia, España"/>
    <d v="2022-09-18T00:00:00"/>
    <d v="2022-12-02T00:00:00"/>
    <n v="75"/>
    <x v="1"/>
  </r>
  <r>
    <n v="50300304"/>
    <n v="0"/>
    <s v="Ourense"/>
    <s v="Rúa Parque de San Lázaro, 5, 32003 Ourense, España"/>
    <d v="2022-09-15T00:00:00"/>
    <d v="2022-12-02T00:00:00"/>
    <n v="78"/>
    <x v="1"/>
  </r>
  <r>
    <n v="50300450"/>
    <n v="2"/>
    <s v="Münster"/>
    <s v="Von-Steuben-Straße 10-12, 2. Etage, 48143 Münster, Deutschland"/>
    <d v="2022-09-16T00:00:00"/>
    <d v="2022-12-02T00:00:00"/>
    <n v="77"/>
    <x v="1"/>
  </r>
  <r>
    <n v="50301305"/>
    <n v="1662"/>
    <s v="Pontevedra"/>
    <s v="Rúa da Virxe do Camiño, 25, 36001 Pontevedra, España"/>
    <d v="2022-04-19T00:00:00"/>
    <d v="2022-12-02T00:00:00"/>
    <n v="227"/>
    <x v="1"/>
  </r>
  <r>
    <n v="50301507"/>
    <n v="850"/>
    <s v="Tournefeuille"/>
    <s v="29 Chemin St Pierre, 31170 Tournefeuille, France"/>
    <d v="2022-04-16T00:00:00"/>
    <d v="2022-12-02T00:00:00"/>
    <n v="230"/>
    <x v="1"/>
  </r>
  <r>
    <n v="50301730"/>
    <n v="21"/>
    <s v="Roma"/>
    <s v="Via della Stazione di Ciampino, 18, 00118 Roma RM, Italia"/>
    <d v="2022-10-21T00:00:00"/>
    <d v="2022-12-02T00:00:00"/>
    <n v="42"/>
    <x v="1"/>
  </r>
  <r>
    <n v="50303005"/>
    <n v="194"/>
    <s v="Amsterdam"/>
    <s v="Tweede Hugo de Grootstraat 5h, 1052 LA Amsterdam, Netherlands"/>
    <d v="2022-10-25T00:00:00"/>
    <d v="2022-12-02T00:00:00"/>
    <n v="38"/>
    <x v="1"/>
  </r>
  <r>
    <n v="50303016"/>
    <n v="73"/>
    <s v="Saint-Maur-des-Fossés"/>
    <s v="69 Bd de Créteil, 94100 Saint-Maur-des-Fossés, France"/>
    <d v="2022-12-02T00:00:00"/>
    <d v="2022-12-02T00:00:00"/>
    <n v="0"/>
    <x v="0"/>
  </r>
  <r>
    <n v="50305017"/>
    <n v="118"/>
    <s v="Fürstenwalde/Spree"/>
    <s v="Eisenbahnstraße 15, 15517 Fürstenwalde/Spree, Deutschland"/>
    <d v="2022-10-22T00:00:00"/>
    <d v="2022-12-02T00:00:00"/>
    <n v="41"/>
    <x v="1"/>
  </r>
  <r>
    <n v="50305047"/>
    <n v="9"/>
    <s v="València"/>
    <s v="Carrer de Dolores Marqués, 17, 46020 València, Valencia, España"/>
    <d v="2022-10-22T00:00:00"/>
    <d v="2022-12-02T00:00:00"/>
    <n v="41"/>
    <x v="1"/>
  </r>
  <r>
    <n v="50305150"/>
    <n v="17"/>
    <s v="Woodford Bridge"/>
    <s v="646A Chigwell Rd, Woodford Bridge, Woodford Green IG8 8AF, UK"/>
    <d v="2022-11-29T00:00:00"/>
    <d v="2022-12-02T00:00:00"/>
    <n v="3"/>
    <x v="1"/>
  </r>
  <r>
    <n v="50305307"/>
    <n v="1186"/>
    <s v="Givet"/>
    <s v="36 Rue Notre Dame, 08600 Givet, France"/>
    <d v="2022-07-26T00:00:00"/>
    <d v="2022-12-02T00:00:00"/>
    <n v="129"/>
    <x v="1"/>
  </r>
  <r>
    <n v="50305430"/>
    <n v="23"/>
    <s v="Greater London"/>
    <s v="67 Chatsworth Rd, Lower Clapton, London E5 0LH, UK"/>
    <d v="2022-10-05T00:00:00"/>
    <d v="2022-12-02T00:00:00"/>
    <n v="58"/>
    <x v="1"/>
  </r>
  <r>
    <n v="50305505"/>
    <n v="193"/>
    <s v="Greater London"/>
    <s v="19 Chapel Market, London N1 9EZ, UK"/>
    <d v="2022-10-24T00:00:00"/>
    <d v="2022-12-02T00:00:00"/>
    <n v="39"/>
    <x v="1"/>
  </r>
  <r>
    <n v="50305530"/>
    <n v="25"/>
    <s v="Bonn"/>
    <s v="Wenzelgasse 18, 53111 Bonn, Deutschland"/>
    <d v="2022-10-21T00:00:00"/>
    <d v="2022-12-02T00:00:00"/>
    <n v="42"/>
    <x v="1"/>
  </r>
  <r>
    <n v="50306505"/>
    <n v="88"/>
    <s v="Aix-en-Provence"/>
    <s v="90 Chem. du Pont Rout, 13090 Aix-en-Provence, France"/>
    <d v="2022-10-02T00:00:00"/>
    <d v="2022-12-02T00:00:00"/>
    <n v="61"/>
    <x v="1"/>
  </r>
  <r>
    <n v="50307050"/>
    <n v="1"/>
    <s v="Zürich"/>
    <s v="Schöneggstrasse 10, 8004 Zürich, Schweiz"/>
    <d v="2022-10-26T00:00:00"/>
    <d v="2022-12-02T00:00:00"/>
    <n v="37"/>
    <x v="1"/>
  </r>
  <r>
    <n v="50307304"/>
    <n v="74"/>
    <s v="L'Aquila"/>
    <s v="Via Fontesecco, 16, 67100 L'Aquila AQ, Italia"/>
    <d v="2022-11-10T00:00:00"/>
    <d v="2022-12-02T00:00:00"/>
    <n v="22"/>
    <x v="0"/>
  </r>
  <r>
    <n v="50307530"/>
    <n v="33"/>
    <s v="Hamburg"/>
    <s v="Ulmenstraße 23B, 22299 Hamburg, Deutschland"/>
    <d v="2022-11-04T00:00:00"/>
    <d v="2022-12-02T00:00:00"/>
    <n v="28"/>
    <x v="1"/>
  </r>
  <r>
    <n v="50307530"/>
    <n v="27"/>
    <s v="Brescia"/>
    <s v="Via Alessandro Lamarmora, 316, 25124 Brescia BS, Italia"/>
    <d v="2022-11-04T00:00:00"/>
    <d v="2022-12-02T00:00:00"/>
    <n v="28"/>
    <x v="1"/>
  </r>
  <r>
    <n v="50307750"/>
    <n v="489"/>
    <s v="Campobasso"/>
    <s v="Via Giambattista Vico, 37, 86100 Campobasso CB, Italia"/>
    <d v="2022-11-11T00:00:00"/>
    <d v="2022-12-02T00:00:00"/>
    <n v="21"/>
    <x v="0"/>
  </r>
  <r>
    <n v="50463030"/>
    <n v="3102"/>
    <s v="Trani"/>
    <s v="Via Giorgio Almirante, 25, 76125 Trani BT, Italia"/>
    <d v="2022-10-17T00:00:00"/>
    <d v="2022-12-02T00:00:00"/>
    <n v="46"/>
    <x v="1"/>
  </r>
  <r>
    <n v="50500505"/>
    <n v="1100"/>
    <s v="Scafati"/>
    <s v="Corso Nazionale, 231, 84018 Scafati SA, Italia"/>
    <d v="2022-11-16T00:00:00"/>
    <d v="2022-12-02T00:00:00"/>
    <n v="16"/>
    <x v="0"/>
  </r>
  <r>
    <n v="50501430"/>
    <n v="1092"/>
    <s v="Estepona"/>
    <s v="C. Alborán, 2, 29680 Estepona, Málaga, España"/>
    <d v="2022-11-29T00:00:00"/>
    <d v="2022-12-02T00:00:00"/>
    <n v="3"/>
    <x v="0"/>
  </r>
  <r>
    <n v="50501430"/>
    <n v="476"/>
    <s v="Málaga"/>
    <s v="C. Cervantes, 12, 29016 Málaga, España"/>
    <d v="2022-11-29T00:00:00"/>
    <d v="2022-12-02T00:00:00"/>
    <n v="3"/>
    <x v="0"/>
  </r>
  <r>
    <n v="50503054"/>
    <n v="7"/>
    <s v="Anderlecht"/>
    <s v="Chau. de Ninove 621, 1070 Anderlecht, Belgique"/>
    <d v="2022-09-24T00:00:00"/>
    <d v="2022-12-02T00:00:00"/>
    <n v="69"/>
    <x v="1"/>
  </r>
  <r>
    <n v="50504305"/>
    <n v="92"/>
    <s v="Évry-Courcouronnes"/>
    <s v="28 Av. du Parc aux Biches, 91000 Évry-Courcouronnes, France"/>
    <d v="2022-11-19T00:00:00"/>
    <d v="2022-12-02T00:00:00"/>
    <n v="13"/>
    <x v="0"/>
  </r>
  <r>
    <n v="50504550"/>
    <n v="57"/>
    <s v="Greater London"/>
    <s v="Regents Park Rd, London N3 1DE, UK"/>
    <d v="2022-11-24T00:00:00"/>
    <d v="2022-12-02T00:00:00"/>
    <n v="8"/>
    <x v="0"/>
  </r>
  <r>
    <n v="50505014"/>
    <n v="0"/>
    <s v="Lleida"/>
    <s v="Carrer Baró de Maials, 72, 25005 Lleida, España"/>
    <d v="2022-10-24T00:00:00"/>
    <d v="2022-12-02T00:00:00"/>
    <n v="39"/>
    <x v="1"/>
  </r>
  <r>
    <n v="50505041"/>
    <n v="259"/>
    <s v="Alcamo"/>
    <s v="Via Monte Bonifato, 45, 91011 Alcamo TP, Italia"/>
    <d v="2022-11-17T00:00:00"/>
    <d v="2022-12-02T00:00:00"/>
    <n v="15"/>
    <x v="0"/>
  </r>
  <r>
    <n v="50505060"/>
    <n v="259"/>
    <s v="Horsforth"/>
    <s v="203 Broadgate Ln, Horsforth, Leeds LS18 5BS, UK"/>
    <d v="2022-11-25T00:00:00"/>
    <d v="2022-12-02T00:00:00"/>
    <n v="7"/>
    <x v="0"/>
  </r>
  <r>
    <n v="50505074"/>
    <n v="0"/>
    <s v="València"/>
    <s v="Carrer de Jorge Juan, 31, 46004 València, Valencia, España"/>
    <d v="2022-10-12T00:00:00"/>
    <d v="2022-12-02T00:00:00"/>
    <n v="51"/>
    <x v="1"/>
  </r>
  <r>
    <n v="50506504"/>
    <n v="866"/>
    <s v="Savona"/>
    <s v="Via Santa Lucia, 1, 17100 Savona SV, Italia"/>
    <d v="2022-11-30T00:00:00"/>
    <d v="2022-12-02T00:00:00"/>
    <n v="2"/>
    <x v="0"/>
  </r>
  <r>
    <n v="50603050"/>
    <n v="95"/>
    <s v="Μαρούσι"/>
    <s v="Θέμιδος 1, Μαρούσι 151 24, Ελλάδα"/>
    <d v="2022-10-17T00:00:00"/>
    <d v="2022-12-02T00:00:00"/>
    <n v="46"/>
    <x v="1"/>
  </r>
  <r>
    <n v="50630150"/>
    <n v="0"/>
    <s v="Saint-Cloud"/>
    <s v="23 Rue du Dr Desfossez, 92210 Saint-Cloud, France"/>
    <d v="2022-10-01T00:00:00"/>
    <d v="2022-12-02T00:00:00"/>
    <n v="62"/>
    <x v="1"/>
  </r>
  <r>
    <n v="50630450"/>
    <n v="0"/>
    <s v="La Puebla"/>
    <s v="Rda. Albufera, 56, 07420 La Puebla, Islas Baleares, España"/>
    <d v="2022-11-18T00:00:00"/>
    <d v="2022-12-02T00:00:00"/>
    <n v="14"/>
    <x v="1"/>
  </r>
  <r>
    <n v="50630500"/>
    <n v="0"/>
    <s v="Stuttgart"/>
    <s v="Duisburger Str. 35, 70376 Stuttgart, Deutschland"/>
    <d v="2022-10-13T00:00:00"/>
    <d v="2022-12-02T00:00:00"/>
    <n v="50"/>
    <x v="1"/>
  </r>
  <r>
    <n v="50630505"/>
    <n v="0"/>
    <s v="Eemnes"/>
    <s v="Wezeboom 21, 3755 WT Eemnes, Netherlands"/>
    <d v="2022-10-02T00:00:00"/>
    <d v="2022-12-02T00:00:00"/>
    <n v="61"/>
    <x v="1"/>
  </r>
  <r>
    <n v="50630530"/>
    <n v="0"/>
    <s v="Edinburgh"/>
    <s v="140 Ferry Rd., Edinburgh EH6 4PQ, UK"/>
    <d v="2022-11-13T00:00:00"/>
    <d v="2022-12-02T00:00:00"/>
    <n v="19"/>
    <x v="1"/>
  </r>
  <r>
    <n v="50630750"/>
    <n v="0"/>
    <s v="Toulouse"/>
    <s v="14 Rue Maurice Fonvieille, 31000 Toulouse, France"/>
    <d v="2022-11-27T00:00:00"/>
    <d v="2022-12-02T00:00:00"/>
    <n v="5"/>
    <x v="1"/>
  </r>
  <r>
    <n v="50650030"/>
    <n v="145"/>
    <s v="Sarno"/>
    <s v="Via S. Valentino, 6, 84087 Sarno SA, Italia"/>
    <d v="2022-10-27T00:00:00"/>
    <d v="2022-12-02T00:00:00"/>
    <n v="36"/>
    <x v="1"/>
  </r>
  <r>
    <n v="50650307"/>
    <n v="0"/>
    <s v="Rotterdam"/>
    <s v="Emmy van Leersumhof 24a, 3059 LT Rotterdam, Netherlands"/>
    <d v="2022-11-30T00:00:00"/>
    <d v="2022-12-02T00:00:00"/>
    <n v="2"/>
    <x v="1"/>
  </r>
  <r>
    <n v="50650506"/>
    <n v="0"/>
    <s v="Oggiona"/>
    <s v="Via Giacomo Matteotti, 16, 21040 Oggiona VA, Italia"/>
    <d v="2022-12-07T00:00:00"/>
    <d v="2022-12-02T00:00:00"/>
    <n v="-5"/>
    <x v="1"/>
  </r>
  <r>
    <n v="50650550"/>
    <n v="0"/>
    <s v="Βριλήσσια"/>
    <s v="Γράμμου 24-26, Βριλήσσια 152 35, Ελλάδα"/>
    <d v="2022-10-30T00:00:00"/>
    <d v="2022-12-02T00:00:00"/>
    <n v="33"/>
    <x v="1"/>
  </r>
  <r>
    <n v="50650630"/>
    <n v="82"/>
    <s v="Pinerolo"/>
    <s v="Via Montebello, 19, 10064 Pinerolo TO, Italia"/>
    <d v="2022-10-22T00:00:00"/>
    <d v="2022-12-02T00:00:00"/>
    <n v="41"/>
    <x v="1"/>
  </r>
  <r>
    <n v="50663030"/>
    <n v="0"/>
    <s v="Greater London"/>
    <s v="224-226 York Rd, London SW11 3SD, UK"/>
    <d v="2022-12-02T00:00:00"/>
    <d v="2022-12-02T00:00:00"/>
    <n v="0"/>
    <x v="1"/>
  </r>
  <r>
    <n v="50675030"/>
    <n v="0"/>
    <s v="Bologna"/>
    <s v="Via San Mamolo, 3, 40136 Bologna BO, Italia"/>
    <d v="2022-11-27T00:00:00"/>
    <d v="2022-12-02T00:00:00"/>
    <n v="5"/>
    <x v="1"/>
  </r>
  <r>
    <n v="50675050"/>
    <n v="0"/>
    <s v="München"/>
    <s v="Hans-Mielich-Straße 35, 81543 München, Deutschland"/>
    <d v="2022-11-12T00:00:00"/>
    <d v="2022-12-02T00:00:00"/>
    <n v="20"/>
    <x v="1"/>
  </r>
  <r>
    <n v="53050430"/>
    <n v="25386"/>
    <s v="Roma"/>
    <s v="Via delle Quattro Fontane, 111, 00184 Roma RM, Italia"/>
    <d v="2022-11-15T00:00:00"/>
    <d v="2022-12-02T00:00:00"/>
    <n v="17"/>
    <x v="0"/>
  </r>
  <r>
    <n v="500303050"/>
    <n v="1666"/>
    <s v="Barcelona"/>
    <s v="Av. de la Mare de Déu de Montserrat, 170, 08041 Barcelona, España"/>
    <d v="2022-08-26T00:00:00"/>
    <d v="2022-12-02T00:00:00"/>
    <n v="98"/>
    <x v="1"/>
  </r>
  <r>
    <n v="503030505"/>
    <n v="1"/>
    <s v="Paris"/>
    <s v="19 Rue Francis de Croisset, 75018 Paris, France"/>
    <d v="2022-10-16T00:00:00"/>
    <d v="2022-12-02T00:00:00"/>
    <n v="47"/>
    <x v="1"/>
  </r>
  <r>
    <n v="503050300"/>
    <n v="9"/>
    <s v="Oberding"/>
    <s v="Dorfstraße 15, 85445 Oberding, Deutschland"/>
    <d v="2022-09-22T00:00:00"/>
    <d v="2022-12-02T00:00:00"/>
    <n v="71"/>
    <x v="1"/>
  </r>
  <r>
    <n v="503050550"/>
    <n v="1"/>
    <s v="Le Kremlin-Bicêtre"/>
    <s v="36 Av. de Fontainebleau, 94270 Le Kremlin-Bicêtre, France"/>
    <d v="2022-10-23T00:00:00"/>
    <d v="2022-12-02T00:00:00"/>
    <n v="40"/>
    <x v="1"/>
  </r>
  <r>
    <n v="505030504"/>
    <n v="2037"/>
    <s v="Barcelona"/>
    <s v="Gran Via de les Corts Catalanes, 855, 08018 Barcelona, España"/>
    <d v="2022-10-23T00:00:00"/>
    <d v="2022-12-02T00:00:00"/>
    <n v="40"/>
    <x v="1"/>
  </r>
  <r>
    <n v="505050630"/>
    <n v="876"/>
    <s v="Sitges"/>
    <s v="Carrer d'Angel Vidal, 29, 31, 08870 Sitges, Barcelona, España"/>
    <d v="2022-10-14T00:00:00"/>
    <d v="2022-12-02T00:00:00"/>
    <n v="49"/>
    <x v="1"/>
  </r>
  <r>
    <n v="506305050"/>
    <n v="40"/>
    <s v="Árvore"/>
    <s v="R. Ana Leite do Passo 93, 4480-093 Árvore, Portugal"/>
    <d v="2022-11-01T00:00:00"/>
    <d v="2022-12-02T00:00:00"/>
    <n v="31"/>
    <x v="1"/>
  </r>
  <r>
    <m/>
    <m/>
    <m/>
    <m/>
    <m/>
    <m/>
    <m/>
    <x v="2"/>
  </r>
  <r>
    <m/>
    <m/>
    <m/>
    <m/>
    <m/>
    <m/>
    <m/>
    <x v="2"/>
  </r>
  <r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n v="530"/>
    <b v="1"/>
    <s v="Beauty Salon 1354"/>
    <s v="Company Beauty SL1354"/>
    <n v="4182122"/>
    <n v="1245451"/>
    <s v="Roma"/>
    <s v="Via Lione, 24, 00144 Roma, Italia"/>
    <d v="2014-04-04T21:30:32"/>
    <n v="390958839938"/>
    <n v="1571"/>
    <s v="4,3"/>
    <n v="3333333333"/>
    <n v="9192"/>
    <n v="8"/>
    <x v="0"/>
    <b v="0"/>
    <b v="1"/>
    <b v="0"/>
    <s v="44,46"/>
    <b v="0"/>
    <d v="2022-12-08T00:00:00"/>
    <d v="2022-12-08T00:00:00"/>
  </r>
  <r>
    <n v="570"/>
    <b v="1"/>
    <s v="Beauty Salon 1770"/>
    <s v="Company Beauty SL1770"/>
    <n v="419151"/>
    <n v="124633"/>
    <s v="Roma"/>
    <s v="Via Angelo Brofferio, 12, 00195 Roma, Italia"/>
    <d v="2015-03-18T13:18:31"/>
    <n v="390999059333"/>
    <n v="445"/>
    <s v="4,3"/>
    <n v="33333"/>
    <n v="5594"/>
    <n v="6"/>
    <x v="1"/>
    <b v="0"/>
    <b v="0"/>
    <b v="0"/>
    <s v="0,44"/>
    <b v="0"/>
    <d v="2022-12-08T00:00:00"/>
    <d v="2022-12-08T00:00:00"/>
  </r>
  <r>
    <n v="5047"/>
    <b v="1"/>
    <s v="Beauty Salon 4875"/>
    <s v="Company Beauty SL4875"/>
    <n v="4547895"/>
    <n v="9176557"/>
    <s v="Milano"/>
    <s v="Via Cesare Cesariano, 6, 20154 Milano, Italia"/>
    <d v="2015-05-26T15:55:30"/>
    <n v="390893535033"/>
    <n v="158"/>
    <s v="4,3"/>
    <n v="3337733766"/>
    <n v="5739"/>
    <n v="6"/>
    <x v="2"/>
    <b v="0"/>
    <b v="0"/>
    <b v="0"/>
    <s v="0,42"/>
    <b v="0"/>
    <d v="2022-12-08T00:00:00"/>
    <d v="2022-12-08T00:00:00"/>
  </r>
  <r>
    <n v="4530"/>
    <b v="1"/>
    <s v="Beauty Salon 4913"/>
    <s v="Company Beauty SL4913"/>
    <n v="4190835"/>
    <n v="1247793"/>
    <s v="Roma"/>
    <s v="Via di Gesù e Maria, 11, 00187 Roma, Italia"/>
    <d v="2015-07-26T20:19:06"/>
    <n v="390990838933"/>
    <n v="109"/>
    <s v="4,3"/>
    <n v="7333733333"/>
    <n v="522"/>
    <n v="2"/>
    <x v="2"/>
    <b v="0"/>
    <b v="1"/>
    <b v="0"/>
    <s v="43,19"/>
    <b v="0"/>
    <d v="2022-12-02T00:00:00"/>
    <d v="2022-11-13T00:00:00"/>
  </r>
  <r>
    <n v="655"/>
    <b v="1"/>
    <s v="Beauty Salon 4323"/>
    <s v="Company Beauty SL4323"/>
    <n v="4181684"/>
    <n v="124466"/>
    <s v="Roma"/>
    <s v="Via del Pianeta Venere, 37, 00144 Roma, Italia"/>
    <d v="2016-01-08T16:51:04"/>
    <n v="390990998380"/>
    <n v="311"/>
    <s v="4,3"/>
    <n v="73733333"/>
    <n v="5647"/>
    <n v="4"/>
    <x v="1"/>
    <b v="0"/>
    <b v="0"/>
    <b v="0"/>
    <s v="0,42"/>
    <b v="0"/>
    <d v="2022-12-08T00:00:00"/>
    <d v="2022-12-08T00:00:00"/>
  </r>
  <r>
    <n v="767"/>
    <b v="1"/>
    <s v="Beauty Salon 1083"/>
    <s v="Company Beauty SL1083"/>
    <n v="4321008"/>
    <n v="1180361"/>
    <s v="Bettolle"/>
    <s v="Via Giuseppe di Vittorio, 99, 53048 Bettolle SI, Italia"/>
    <d v="2016-02-09T16:04:03"/>
    <n v="390533985535"/>
    <n v="298"/>
    <s v="4,3"/>
    <n v="773773333"/>
    <n v="5003"/>
    <n v="7"/>
    <x v="2"/>
    <b v="0"/>
    <b v="0"/>
    <b v="0"/>
    <s v="0,44"/>
    <b v="0"/>
    <d v="2022-12-08T00:00:00"/>
    <d v="2022-12-08T00:00:00"/>
  </r>
  <r>
    <n v="550304"/>
    <b v="1"/>
    <s v="Beauty Salon 3374"/>
    <s v="Company Beauty SL3374"/>
    <n v="3797959"/>
    <n v="2373987"/>
    <s v="Αθήνα"/>
    <s v="Παναγιώτου Αναγνωστοπούλου 41, Αθήνα 106 73, Ελλάδα"/>
    <d v="2016-03-22T10:29:14"/>
    <n v="308303958383"/>
    <n v="188"/>
    <s v="4,3"/>
    <n v="777366737"/>
    <n v="533"/>
    <n v="5"/>
    <x v="2"/>
    <b v="0"/>
    <b v="0"/>
    <b v="0"/>
    <s v="0,42"/>
    <b v="0"/>
    <d v="2022-03-10T00:00:00"/>
    <d v="2022-09-13T00:00:00"/>
  </r>
  <r>
    <n v="530505"/>
    <b v="1"/>
    <s v="Beauty Salon 1905"/>
    <s v="Company Beauty SL1905"/>
    <n v="4066734"/>
    <n v="2292019"/>
    <s v="Εύοσμος"/>
    <s v="Στρατάρχου Αλεξάνδρου Παπάγου 45, Εύοσμος 562 24, Ελλάδα"/>
    <d v="2016-05-26T10:13:28"/>
    <n v="308330990383"/>
    <n v="12"/>
    <s v="4,3"/>
    <n v="73777337"/>
    <n v="1478"/>
    <n v="3"/>
    <x v="0"/>
    <b v="1"/>
    <b v="0"/>
    <b v="0"/>
    <s v="27,32"/>
    <b v="0"/>
    <d v="2022-12-05T00:00:00"/>
    <d v="2022-06-23T00:00:00"/>
  </r>
  <r>
    <n v="103050"/>
    <b v="1"/>
    <s v="Beauty Salon 1866"/>
    <s v="Company Beauty SL1866"/>
    <n v="4545627"/>
    <n v="9208721"/>
    <s v="Milano"/>
    <s v="Via Bergamo, 14, 20135 Milano MI, Italia"/>
    <d v="2016-07-21T07:38:34"/>
    <n v="390835985888"/>
    <n v="545"/>
    <s v="4,3"/>
    <n v="733333763"/>
    <n v="5967"/>
    <n v="7"/>
    <x v="2"/>
    <b v="0"/>
    <b v="1"/>
    <b v="0"/>
    <s v="43,48"/>
    <b v="0"/>
    <d v="2022-12-08T00:00:00"/>
    <d v="2022-12-08T00:00:00"/>
  </r>
  <r>
    <n v="1104"/>
    <b v="1"/>
    <s v="Beauty Salon 3908"/>
    <s v="Company Beauty SL3908"/>
    <n v="4039903"/>
    <n v="86599"/>
    <s v="Pozzomaggiore"/>
    <s v="Via Trifoglio, 3, 07018 Pozzomaggiore SS, Italia"/>
    <d v="2016-09-14T13:05:46"/>
    <n v="59503385"/>
    <n v="0"/>
    <n v="0"/>
    <n v="333333737"/>
    <n v="0"/>
    <n v="0"/>
    <x v="2"/>
    <b v="1"/>
    <b v="0"/>
    <b v="1"/>
    <n v="0"/>
    <b v="0"/>
    <d v="2022-09-01T00:00:00"/>
    <d v="2022-08-28T00:00:00"/>
  </r>
  <r>
    <n v="1140"/>
    <b v="1"/>
    <s v="Beauty Salon 215"/>
    <s v="Company Beauty SL215"/>
    <n v="3724719"/>
    <n v="1522006"/>
    <s v="Augusta"/>
    <s v="Via Papa Giovanni XXIII, 15, 96011 Augusta SR, Italia"/>
    <d v="2016-09-28T10:35:48"/>
    <n v="933538595"/>
    <n v="5"/>
    <n v="5"/>
    <m/>
    <n v="0"/>
    <n v="1"/>
    <x v="0"/>
    <b v="1"/>
    <b v="0"/>
    <b v="0"/>
    <s v="0,01"/>
    <b v="0"/>
    <d v="2022-03-30T00:00:00"/>
    <d v="2022-09-11T00:00:00"/>
  </r>
  <r>
    <n v="150530"/>
    <b v="1"/>
    <s v="Beauty Salon 4687"/>
    <s v="Company Beauty SL4687"/>
    <n v="4544665"/>
    <n v="1095958"/>
    <s v="Verona"/>
    <s v="Via Agrigento, 10a, 37138 Verona VR, Italia"/>
    <d v="2016-10-21T10:02:20"/>
    <n v="393983583853"/>
    <n v="27"/>
    <s v="4,3"/>
    <n v="376763373"/>
    <n v="771"/>
    <n v="2"/>
    <x v="0"/>
    <b v="0"/>
    <b v="1"/>
    <b v="0"/>
    <s v="37,48"/>
    <b v="0"/>
    <d v="2022-11-28T00:00:00"/>
    <d v="2022-06-22T00:00:00"/>
  </r>
  <r>
    <n v="1445"/>
    <b v="1"/>
    <s v="Beauty Salon 1708"/>
    <s v="Company Beauty SL1708"/>
    <n v="4607757"/>
    <n v="1111624"/>
    <s v="Trento"/>
    <s v="Via Fratelli Fontana, 1, 38121 Trento, Italia"/>
    <d v="2016-11-18T08:34:36"/>
    <n v="593589395"/>
    <n v="10"/>
    <s v="4,2"/>
    <m/>
    <n v="1"/>
    <n v="1"/>
    <x v="0"/>
    <b v="1"/>
    <b v="0"/>
    <b v="0"/>
    <n v="0"/>
    <b v="0"/>
    <d v="2022-02-20T00:00:00"/>
    <d v="2022-11-14T00:00:00"/>
  </r>
  <r>
    <n v="13055"/>
    <b v="1"/>
    <s v="Beauty Salon 3331"/>
    <s v="Company Beauty SL3331"/>
    <n v="4469604"/>
    <n v="1063838"/>
    <s v="Reggio Emilia"/>
    <s v="Via Emilia S. Pietro, 48, 42121 Reggio Emilia RE, Italia"/>
    <d v="2016-11-20T18:33:28"/>
    <s v="0588 538305"/>
    <n v="10"/>
    <s v="4,3"/>
    <m/>
    <n v="0"/>
    <n v="1"/>
    <x v="2"/>
    <b v="1"/>
    <b v="0"/>
    <b v="0"/>
    <s v="0,01"/>
    <b v="0"/>
    <d v="2022-05-11T00:00:00"/>
    <d v="2022-05-06T00:00:00"/>
  </r>
  <r>
    <n v="1605"/>
    <b v="1"/>
    <s v="Beauty Salon 1553"/>
    <s v="Company Beauty SL1553"/>
    <n v="4190862"/>
    <n v="1252019"/>
    <s v="Roma"/>
    <s v="Viale Ippocrate, 35, 00161 Roma RM, Italia"/>
    <d v="2016-11-23T11:25:44"/>
    <n v="393509030339"/>
    <n v="68"/>
    <s v="4,3"/>
    <n v="7777333337"/>
    <n v="4436"/>
    <n v="3"/>
    <x v="1"/>
    <b v="1"/>
    <b v="0"/>
    <b v="0"/>
    <s v="0,01"/>
    <b v="0"/>
    <d v="2022-08-02T00:00:00"/>
    <d v="2022-08-24T00:00:00"/>
  </r>
  <r>
    <n v="1701"/>
    <b v="1"/>
    <s v="Beauty Salon 2981"/>
    <s v="Company Beauty SL2981"/>
    <n v="4608439"/>
    <n v="1317642"/>
    <s v="Martignacco"/>
    <s v="Via Antonio Bardelli, 4, 33035 Martignacco UD, Italia"/>
    <d v="2016-11-28T14:15:58"/>
    <s v="0538 508553"/>
    <n v="10"/>
    <s v="4,4"/>
    <n v="663333373"/>
    <n v="1"/>
    <n v="1"/>
    <x v="0"/>
    <b v="1"/>
    <b v="0"/>
    <b v="0"/>
    <s v="0,01"/>
    <b v="0"/>
    <d v="2022-04-14T00:00:00"/>
    <d v="2022-06-21T00:00:00"/>
  </r>
  <r>
    <n v="1775"/>
    <b v="1"/>
    <s v="Beauty Salon 536"/>
    <s v="Company Beauty SL536"/>
    <n v="4442072"/>
    <n v="1222515"/>
    <s v="Ravenna"/>
    <s v="Via Portorose, 37, 48122 Ravenna RA, Italia"/>
    <d v="2016-11-30T14:25:58"/>
    <s v="0555 595559"/>
    <n v="10"/>
    <s v="4,3"/>
    <m/>
    <n v="0"/>
    <n v="1"/>
    <x v="1"/>
    <b v="1"/>
    <b v="0"/>
    <b v="0"/>
    <s v="0,01"/>
    <b v="0"/>
    <d v="2022-07-11T00:00:00"/>
    <d v="2022-09-19T00:00:00"/>
  </r>
  <r>
    <n v="14504"/>
    <b v="1"/>
    <s v="Beauty Salon 2499"/>
    <s v="Company Beauty SL2499"/>
    <n v="4544161"/>
    <n v="1099473"/>
    <s v="Verona"/>
    <s v="Galleria Pellicciai, 16, 37121 Verona VR, Italia"/>
    <d v="2016-12-06T09:25:29"/>
    <s v="055 5008939"/>
    <n v="10"/>
    <s v="4,3"/>
    <m/>
    <n v="0"/>
    <n v="1"/>
    <x v="2"/>
    <b v="1"/>
    <b v="0"/>
    <b v="0"/>
    <s v="0,01"/>
    <b v="0"/>
    <d v="2022-10-08T00:00:00"/>
    <d v="2022-08-30T00:00:00"/>
  </r>
  <r>
    <n v="1450"/>
    <b v="1"/>
    <s v="Beauty Salon 244"/>
    <s v="Company Beauty SL244"/>
    <n v="441149"/>
    <n v="9841499"/>
    <s v="La Spezia"/>
    <s v="Corso Nazionale, 156, 19126 La Spezia SP, Italia"/>
    <d v="2016-12-09T10:56:24"/>
    <s v="0355 505553"/>
    <n v="10"/>
    <s v="4,7"/>
    <n v="76673333"/>
    <n v="1"/>
    <n v="1"/>
    <x v="0"/>
    <b v="1"/>
    <b v="0"/>
    <b v="0"/>
    <s v="0,01"/>
    <b v="0"/>
    <d v="2022-04-22T00:00:00"/>
    <d v="2022-07-16T00:00:00"/>
  </r>
  <r>
    <n v="1514"/>
    <b v="1"/>
    <s v="Beauty Salon 1751"/>
    <s v="Company Beauty SL1751"/>
    <n v="4489986"/>
    <n v="8208413"/>
    <s v="Asti"/>
    <s v="Piazza Vittorio Alfieri, 26, 14100 Asti AT, Italia"/>
    <d v="2016-12-13T09:19:51"/>
    <s v="0353 595300"/>
    <n v="10"/>
    <s v="4,6"/>
    <n v="7373333"/>
    <n v="0"/>
    <n v="1"/>
    <x v="0"/>
    <b v="1"/>
    <b v="0"/>
    <b v="0"/>
    <s v="0,01"/>
    <b v="0"/>
    <d v="2022-02-19T00:00:00"/>
    <d v="2022-03-04T00:00:00"/>
  </r>
  <r>
    <n v="5051"/>
    <b v="1"/>
    <s v="Beauty Salon 4734"/>
    <s v="Company Beauty SL4734"/>
    <n v="4145676"/>
    <n v="1555325"/>
    <s v="Foggia"/>
    <s v="Via Carlo Ciampitti, 38, 71121 Foggia FG, Italia"/>
    <d v="2016-12-19T11:14:46"/>
    <s v="0553 558355"/>
    <n v="10"/>
    <s v="4,9"/>
    <m/>
    <n v="0"/>
    <n v="1"/>
    <x v="2"/>
    <b v="1"/>
    <b v="0"/>
    <b v="0"/>
    <s v="0,01"/>
    <b v="0"/>
    <d v="2022-06-03T00:00:00"/>
    <d v="2022-03-07T00:00:00"/>
  </r>
  <r>
    <n v="55150"/>
    <b v="1"/>
    <s v="Beauty Salon 606"/>
    <s v="Company Beauty SL606"/>
    <n v="436116"/>
    <n v="1351958"/>
    <s v="Ancona"/>
    <s v="Via Duilio Scandali, 69, 60122 Ancona, Italia"/>
    <d v="2016-12-29T14:21:40"/>
    <s v="053 803583"/>
    <n v="10"/>
    <s v="4,5"/>
    <m/>
    <n v="0"/>
    <n v="1"/>
    <x v="1"/>
    <b v="1"/>
    <b v="0"/>
    <b v="0"/>
    <s v="0,01"/>
    <b v="0"/>
    <d v="2022-03-06T00:00:00"/>
    <d v="2022-03-06T00:00:00"/>
  </r>
  <r>
    <n v="55506"/>
    <b v="1"/>
    <s v="Beauty Salon 3741"/>
    <s v="Company Beauty SL3741"/>
    <n v="4308651"/>
    <n v="1248108"/>
    <s v="Collestrada"/>
    <s v="Str. Centrale Umbra, 28, 06135 Collestrada PG, Italia"/>
    <d v="2017-01-02T08:55:28"/>
    <s v="055 3588939"/>
    <n v="10"/>
    <s v="4,1"/>
    <m/>
    <n v="0"/>
    <n v="1"/>
    <x v="2"/>
    <b v="1"/>
    <b v="0"/>
    <b v="0"/>
    <n v="0"/>
    <b v="0"/>
    <d v="2022-06-16T00:00:00"/>
    <d v="2022-03-30T00:00:00"/>
  </r>
  <r>
    <n v="5544"/>
    <b v="1"/>
    <s v="Beauty Salon 3566"/>
    <s v="Company Beauty SL3566"/>
    <n v="4571286"/>
    <n v="8453338"/>
    <s v="Borgomanero"/>
    <s v="Via Gozzano, 78, 28021 Borgomanero NO, Italia"/>
    <d v="2017-01-03T09:32:54"/>
    <n v="388533055"/>
    <n v="8"/>
    <s v="4,1"/>
    <n v="77673373"/>
    <n v="212"/>
    <n v="5"/>
    <x v="1"/>
    <b v="1"/>
    <b v="0"/>
    <b v="0"/>
    <n v="0"/>
    <b v="0"/>
    <d v="2022-06-20T00:00:00"/>
    <d v="2022-09-06T00:00:00"/>
  </r>
  <r>
    <n v="54550"/>
    <b v="1"/>
    <s v="Beauty Salon 269"/>
    <s v="Company Beauty SL269"/>
    <n v="4085068"/>
    <n v="142343"/>
    <s v="Napoli"/>
    <s v="Via Eduardo Suarez, 32, 80129 Napoli, Italia"/>
    <d v="2017-01-31T17:36:29"/>
    <n v="390835593988"/>
    <n v="46"/>
    <s v="4,1"/>
    <n v="3376333676"/>
    <n v="2316"/>
    <n v="4"/>
    <x v="1"/>
    <b v="0"/>
    <b v="1"/>
    <b v="0"/>
    <s v="39,77"/>
    <b v="0"/>
    <d v="2022-12-08T00:00:00"/>
    <d v="2022-12-08T00:00:00"/>
  </r>
  <r>
    <n v="56750"/>
    <b v="1"/>
    <s v="Beauty Salon 3052"/>
    <s v="Company Beauty SL3052"/>
    <n v="4549089"/>
    <n v="916397"/>
    <s v="Milano"/>
    <s v="Via Enrico Tellini, 14, 20155 Milano, Italia"/>
    <d v="2017-03-13T08:51:27"/>
    <n v="390883359588"/>
    <n v="30"/>
    <s v="4,9"/>
    <n v="7737733767"/>
    <n v="2032"/>
    <n v="3"/>
    <x v="2"/>
    <b v="0"/>
    <b v="0"/>
    <b v="0"/>
    <s v="0,39"/>
    <b v="0"/>
    <d v="2022-02-08T00:00:00"/>
    <d v="2022-06-29T00:00:00"/>
  </r>
  <r>
    <n v="5764"/>
    <b v="1"/>
    <s v="Beauty Salon 1774"/>
    <s v="Company Beauty SL1774"/>
    <n v="4531785"/>
    <n v="8417096"/>
    <s v="Vercelli"/>
    <s v="Via Aravecchia, 12, 13100 Vercelli VC, Italia"/>
    <d v="2017-03-28T11:50:16"/>
    <s v="0393 503098"/>
    <n v="10"/>
    <s v="4,7"/>
    <m/>
    <n v="0"/>
    <n v="1"/>
    <x v="0"/>
    <b v="1"/>
    <b v="0"/>
    <b v="0"/>
    <s v="0,01"/>
    <b v="0"/>
    <d v="2022-03-12T00:00:00"/>
    <d v="2022-01-31T00:00:00"/>
  </r>
  <r>
    <n v="54505"/>
    <b v="1"/>
    <s v="Beauty Salon 4787"/>
    <s v="Company Beauty SL4787"/>
    <n v="4354971"/>
    <n v="1031836"/>
    <s v="Livorno"/>
    <s v="Corso Amedeo, 269, 57125 Livorno LI, Italia"/>
    <d v="2017-04-05T14:27:02"/>
    <n v="393393585333"/>
    <n v="12"/>
    <s v="4,7"/>
    <n v="733763373"/>
    <n v="251"/>
    <n v="4"/>
    <x v="0"/>
    <b v="0"/>
    <b v="1"/>
    <b v="0"/>
    <s v="30,51"/>
    <b v="1"/>
    <d v="2022-08-20T00:00:00"/>
    <d v="2022-11-03T00:00:00"/>
  </r>
  <r>
    <n v="55630"/>
    <b v="1"/>
    <s v="Beauty Salon 3028"/>
    <s v="Company Beauty SL3028"/>
    <n v="4147819"/>
    <n v="2082685"/>
    <s v="Sant Cugat del Vallès"/>
    <s v="Passeig de Francesc Macià, 67, 08173 Sant Cugat del Vallès, Barcelona, Spagna"/>
    <d v="2017-04-30T19:02:20"/>
    <n v="35939355339"/>
    <n v="17"/>
    <s v="4,7"/>
    <s v="B63333333"/>
    <n v="7712"/>
    <n v="5"/>
    <x v="2"/>
    <b v="0"/>
    <b v="1"/>
    <b v="0"/>
    <s v="35,29"/>
    <b v="0"/>
    <d v="2022-04-12T00:00:00"/>
    <d v="2022-07-20T00:00:00"/>
  </r>
  <r>
    <n v="500450"/>
    <b v="1"/>
    <s v="Beauty Salon 2853"/>
    <s v="Company Beauty SL2853"/>
    <n v="44478"/>
    <n v="1127737"/>
    <s v="Casalecchio di Reno"/>
    <s v="Via Francesco Petrarca, 11, 40033 Casalecchio di Reno BO, Italia"/>
    <d v="2017-06-28T14:06:50"/>
    <n v="390539338988"/>
    <n v="250"/>
    <s v="4,7"/>
    <n v="73373337"/>
    <n v="1073"/>
    <n v="4"/>
    <x v="0"/>
    <b v="0"/>
    <b v="0"/>
    <b v="1"/>
    <s v="0,43"/>
    <b v="0"/>
    <d v="2022-12-08T00:00:00"/>
    <d v="2022-12-08T00:00:00"/>
  </r>
  <r>
    <n v="50445"/>
    <b v="1"/>
    <s v="Beauty Salon 1730"/>
    <s v="Company Beauty SL1730"/>
    <n v="4185401"/>
    <n v="1255824"/>
    <s v="Roma"/>
    <s v="Via Lucio Elio Seiano, 105, 00174 Roma RM, Italia"/>
    <d v="2017-08-01T09:18:03"/>
    <n v="39093583583"/>
    <n v="19"/>
    <s v="4,7"/>
    <n v="773363333"/>
    <n v="1087"/>
    <n v="6"/>
    <x v="0"/>
    <b v="0"/>
    <b v="0"/>
    <b v="0"/>
    <s v="0,35"/>
    <b v="0"/>
    <d v="2022-09-05T00:00:00"/>
    <d v="2022-10-16T00:00:00"/>
  </r>
  <r>
    <n v="430450"/>
    <b v="1"/>
    <s v="Beauty Salon 3710"/>
    <s v="Company Beauty SL3710"/>
    <n v="4483153"/>
    <n v="1162167"/>
    <s v="Ferrara"/>
    <s v="Via Giuoco del Pallone, 10, 44121 Ferrara FE, Italia"/>
    <d v="2017-11-03T12:05:32"/>
    <n v="393995393558"/>
    <n v="45"/>
    <s v="4,7"/>
    <n v="7333736"/>
    <n v="2333"/>
    <n v="5"/>
    <x v="0"/>
    <b v="0"/>
    <b v="1"/>
    <b v="0"/>
    <s v="39,95"/>
    <b v="0"/>
    <d v="2022-11-29T00:00:00"/>
    <d v="2022-11-10T00:00:00"/>
  </r>
  <r>
    <n v="3030501"/>
    <b v="1"/>
    <s v="Beauty Salon 165"/>
    <s v="Company Beauty SL165"/>
    <n v="4139379"/>
    <n v="2125261"/>
    <s v="Barcelona"/>
    <s v="Carrer de Manuel de Falla, 13, 08034 Barcelona, España"/>
    <d v="2017-11-05T08:27:58"/>
    <n v="35930395988"/>
    <n v="8"/>
    <s v="4,75"/>
    <s v="B66636733"/>
    <n v="578"/>
    <n v="3"/>
    <x v="1"/>
    <b v="0"/>
    <b v="1"/>
    <b v="0"/>
    <s v="28,05"/>
    <b v="0"/>
    <d v="2022-09-11T00:00:00"/>
    <d v="2022-04-18T00:00:00"/>
  </r>
  <r>
    <n v="306507"/>
    <b v="1"/>
    <s v="Beauty Salon 4341"/>
    <s v="Company Beauty SL4341"/>
    <n v="4336049"/>
    <n v="-842322"/>
    <s v="A Coruña"/>
    <s v="Rúa Monasterio de Caaveiro, 30, 15010 A Coruña, España"/>
    <d v="2017-11-05T08:38:49"/>
    <n v="35883998539"/>
    <n v="1"/>
    <n v="5"/>
    <s v="73737677R"/>
    <n v="17"/>
    <n v="5"/>
    <x v="0"/>
    <b v="0"/>
    <b v="1"/>
    <b v="0"/>
    <s v="10,97"/>
    <b v="0"/>
    <d v="2022-11-29T00:00:00"/>
    <d v="2022-11-19T00:00:00"/>
  </r>
  <r>
    <n v="6617"/>
    <b v="1"/>
    <s v="Beauty Salon 2617"/>
    <s v="Company Beauty SL2617"/>
    <n v="4043933"/>
    <n v="-36529"/>
    <s v="Madrid"/>
    <s v="C. de Costanilla del Calero, 32, 28027 Madrid"/>
    <d v="2017-11-05T10:25:23"/>
    <n v="35939803895"/>
    <n v="6"/>
    <n v="5"/>
    <s v="33373377A"/>
    <n v="48"/>
    <n v="1"/>
    <x v="0"/>
    <b v="0"/>
    <b v="1"/>
    <b v="1"/>
    <s v="27,61"/>
    <b v="0"/>
    <d v="2022-06-22T00:00:00"/>
    <d v="2022-04-09T00:00:00"/>
  </r>
  <r>
    <n v="6456"/>
    <b v="1"/>
    <s v="Beauty Salon 2541"/>
    <s v="Company Beauty SL2541"/>
    <n v="4043087"/>
    <n v="-368385"/>
    <s v="Madrid"/>
    <s v="Calle de Velázquez, 69, 28006 Madrid, España"/>
    <d v="2017-11-05T10:50:11"/>
    <n v="35938330550"/>
    <n v="12"/>
    <s v="4,5"/>
    <s v="36733773M"/>
    <n v="42"/>
    <n v="2"/>
    <x v="1"/>
    <b v="0"/>
    <b v="1"/>
    <b v="0"/>
    <s v="0,01"/>
    <b v="0"/>
    <d v="2022-01-12T00:00:00"/>
    <d v="2022-04-30T00:00:00"/>
  </r>
  <r>
    <n v="7146"/>
    <b v="1"/>
    <s v="Beauty Salon 3621"/>
    <s v="Company Beauty SL3621"/>
    <n v="4211205"/>
    <n v="-831079"/>
    <s v="Arbo"/>
    <s v="Rúa Antonia Tovar, 34, 36430 Arbo, Pontevedra, España"/>
    <d v="2017-11-05T11:37:09"/>
    <n v="35989995885"/>
    <n v="6"/>
    <n v="5"/>
    <s v="76733333C"/>
    <n v="1607"/>
    <n v="2"/>
    <x v="1"/>
    <b v="0"/>
    <b v="1"/>
    <b v="0"/>
    <s v="27,61"/>
    <b v="0"/>
    <d v="2022-07-16T00:00:00"/>
    <d v="2022-06-14T00:00:00"/>
  </r>
  <r>
    <n v="7605"/>
    <b v="1"/>
    <s v="Beauty Salon 2395"/>
    <s v="Company Beauty SL2395"/>
    <n v="3863183"/>
    <n v="-86516"/>
    <s v="Villena"/>
    <s v="C. Joaquín M López, 24, 03400 Villena, Alicante, España"/>
    <d v="2017-11-05T12:05:36"/>
    <n v="35999353300"/>
    <n v="8"/>
    <n v="5"/>
    <s v="77773333K"/>
    <n v="3099"/>
    <n v="0"/>
    <x v="2"/>
    <b v="1"/>
    <b v="0"/>
    <b v="0"/>
    <s v="30,52"/>
    <b v="0"/>
    <d v="2022-03-05T00:00:00"/>
    <d v="2022-03-02T00:00:00"/>
  </r>
  <r>
    <n v="7757"/>
    <b v="1"/>
    <s v="Beauty Salon 634"/>
    <s v="Company Beauty SL634"/>
    <n v="4139459"/>
    <n v="2166228"/>
    <s v="Barcelona"/>
    <s v="C/ de València, 306, 08009 Barcelona, España"/>
    <d v="2017-11-05T12:10:16"/>
    <n v="35938355353"/>
    <n v="7"/>
    <n v="4"/>
    <s v="B67377337"/>
    <n v="28"/>
    <n v="8"/>
    <x v="2"/>
    <b v="1"/>
    <b v="0"/>
    <b v="0"/>
    <n v="0"/>
    <b v="0"/>
    <d v="2022-01-25T00:00:00"/>
    <d v="2022-05-09T00:00:00"/>
  </r>
  <r>
    <n v="40430"/>
    <b v="1"/>
    <s v="Beauty Salon 4071"/>
    <s v="Company Beauty SL4071"/>
    <n v="4550654"/>
    <n v="121461"/>
    <s v="Spinea"/>
    <s v="Via della Costituzione, 129, 30038 Spinea VE, Italia"/>
    <d v="2017-11-29T17:31:39"/>
    <n v="393333559508"/>
    <n v="8"/>
    <n v="5"/>
    <n v="7333373"/>
    <n v="1086"/>
    <n v="4"/>
    <x v="1"/>
    <b v="0"/>
    <b v="0"/>
    <b v="0"/>
    <s v="0,01"/>
    <b v="1"/>
    <d v="2022-08-27T00:00:00"/>
    <d v="2022-08-24T00:00:00"/>
  </r>
  <r>
    <n v="41504"/>
    <b v="1"/>
    <s v="Beauty Salon 2483"/>
    <s v="Company Beauty SL2483"/>
    <n v="4192635"/>
    <n v="1251359"/>
    <s v="Roma"/>
    <s v="Via Lago di Lesina, 45, 00199 Roma RM, Italia"/>
    <d v="2017-12-06T09:15:04"/>
    <n v="39098553855"/>
    <n v="31"/>
    <n v="4903226"/>
    <n v="7336733333"/>
    <n v="1923"/>
    <n v="5"/>
    <x v="0"/>
    <b v="0"/>
    <b v="1"/>
    <b v="0"/>
    <s v="38,75"/>
    <b v="0"/>
    <d v="2022-06-28T00:00:00"/>
    <d v="2022-10-30T00:00:00"/>
  </r>
  <r>
    <n v="5565"/>
    <b v="1"/>
    <s v="Beauty Salon 2731"/>
    <s v="Company Beauty SL2731"/>
    <n v="3797329"/>
    <n v="2377499"/>
    <s v="Ζωγράφου"/>
    <s v="Γεωρ. Ζωγράφου 35, Ζωγράφου 157 72, Ελλάδα"/>
    <d v="2017-12-18T08:26:11"/>
    <n v="308303535895"/>
    <n v="340"/>
    <n v="4802941"/>
    <n v="7737"/>
    <n v="2959"/>
    <n v="5"/>
    <x v="0"/>
    <b v="0"/>
    <b v="0"/>
    <b v="0"/>
    <s v="0,42"/>
    <b v="0"/>
    <d v="2022-11-28T00:00:00"/>
    <d v="2022-11-09T00:00:00"/>
  </r>
  <r>
    <n v="105505"/>
    <b v="1"/>
    <s v="Beauty Salon 2540"/>
    <s v="Company Beauty SL2540"/>
    <n v="380728"/>
    <n v="238125"/>
    <s v="Κηφισιά"/>
    <s v="Λεωφ. Κηφισίας 238, Κηφισιά 145 62, Ελλάδα"/>
    <d v="2018-05-23T13:30:24"/>
    <n v="308308033000"/>
    <n v="0"/>
    <n v="0"/>
    <n v="3736363"/>
    <n v="0"/>
    <n v="0"/>
    <x v="0"/>
    <b v="1"/>
    <b v="0"/>
    <b v="0"/>
    <n v="0"/>
    <b v="0"/>
    <d v="2022-05-07T00:00:00"/>
    <d v="2022-04-18T00:00:00"/>
  </r>
  <r>
    <n v="10545"/>
    <b v="1"/>
    <s v="Beauty Salon 4779"/>
    <s v="Company Beauty SL4779"/>
    <n v="419256"/>
    <n v="1309947"/>
    <s v="Subiaco"/>
    <s v="Via Papa Braschi, 10, 00028 Subiaco RM, Italia"/>
    <d v="2018-05-31T13:46:11"/>
    <n v="39033585893"/>
    <n v="112"/>
    <n v="4901786"/>
    <n v="3376733333"/>
    <n v="2257"/>
    <n v="2"/>
    <x v="2"/>
    <b v="0"/>
    <b v="0"/>
    <b v="0"/>
    <s v="0,42"/>
    <b v="0"/>
    <d v="2022-12-08T00:00:00"/>
    <d v="2022-12-08T00:00:00"/>
  </r>
  <r>
    <n v="1050430"/>
    <b v="1"/>
    <s v="Beauty Salon 1646"/>
    <s v="Company Beauty SL1646"/>
    <n v="4547955"/>
    <n v="9207782"/>
    <s v="Milano"/>
    <s v="Via Alessandro Tadino, 29, 20124 Milano MI, Italia"/>
    <d v="2018-08-02T08:34:09"/>
    <n v="393538380088"/>
    <n v="11"/>
    <n v="4545455"/>
    <n v="733333767"/>
    <n v="411"/>
    <n v="5"/>
    <x v="1"/>
    <b v="1"/>
    <b v="0"/>
    <b v="1"/>
    <s v="28,68"/>
    <b v="0"/>
    <d v="2022-09-01T00:00:00"/>
    <d v="2022-05-24T00:00:00"/>
  </r>
  <r>
    <n v="11061"/>
    <b v="1"/>
    <s v="Beauty Salon 631"/>
    <s v="Company Beauty SL631"/>
    <n v="3588829"/>
    <n v="-53107"/>
    <s v="Ceuta"/>
    <s v="Calle Méndez Núñez, 8, 51001 Ceuta, España"/>
    <d v="2018-12-05T20:22:25"/>
    <n v="35959938588"/>
    <n v="8"/>
    <s v="4,75"/>
    <s v="33333376F"/>
    <n v="911"/>
    <n v="4"/>
    <x v="1"/>
    <b v="0"/>
    <b v="1"/>
    <b v="0"/>
    <s v="28,05"/>
    <b v="0"/>
    <d v="2022-09-07T00:00:00"/>
    <d v="2022-10-18T00:00:00"/>
  </r>
  <r>
    <n v="115045"/>
    <b v="1"/>
    <s v="Beauty Salon 2429"/>
    <s v="Company Beauty SL2429"/>
    <n v="3834642"/>
    <n v="-48698"/>
    <s v="Alicante (Alacant)"/>
    <s v="Calle Susana Llaneras, 39, 03001 Alicante (Alacant), Alicante, España"/>
    <d v="2018-12-05T20:25:58"/>
    <n v="35995353800"/>
    <n v="33"/>
    <n v="5"/>
    <s v="37333667R"/>
    <n v="544"/>
    <n v="3"/>
    <x v="2"/>
    <b v="0"/>
    <b v="1"/>
    <b v="0"/>
    <s v="40,33"/>
    <b v="0"/>
    <d v="2022-09-26T00:00:00"/>
    <d v="2022-02-03T00:00:00"/>
  </r>
  <r>
    <n v="150514"/>
    <b v="1"/>
    <s v="Beauty Salon 328"/>
    <s v="Company Beauty SL328"/>
    <n v="4548791"/>
    <n v="9227804"/>
    <s v="Milano"/>
    <s v="Via Accademia, 53, 20131 Milano MI, Italia"/>
    <d v="2019-02-27T17:32:30"/>
    <m/>
    <n v="12"/>
    <s v="4,5"/>
    <n v="333333"/>
    <n v="1949"/>
    <n v="44"/>
    <x v="2"/>
    <b v="0"/>
    <b v="0"/>
    <b v="0"/>
    <n v="0"/>
    <b v="0"/>
    <d v="2022-05-11T00:00:00"/>
    <d v="2022-01-05T00:00:00"/>
  </r>
  <r>
    <n v="150571"/>
    <b v="1"/>
    <s v="Beauty Salon 1009"/>
    <s v="Company Beauty SL1009"/>
    <n v="4362768"/>
    <n v="-73375"/>
    <s v="Burela"/>
    <s v="Rúa de Eijo Garay, 12, 27880 Burela, Lugo"/>
    <d v="2019-03-04T10:59:01"/>
    <n v="35988335988"/>
    <n v="23"/>
    <n v="5"/>
    <s v="77776337F"/>
    <n v="2728"/>
    <n v="7"/>
    <x v="2"/>
    <b v="0"/>
    <b v="1"/>
    <b v="1"/>
    <s v="38,59"/>
    <b v="0"/>
    <d v="2022-12-08T00:00:00"/>
    <d v="2022-12-08T00:00:00"/>
  </r>
  <r>
    <n v="15063030"/>
    <b v="1"/>
    <s v="Beauty Salon 106"/>
    <s v="Company Beauty SL106"/>
    <n v="4194447"/>
    <n v="1253467"/>
    <s v="Roma"/>
    <s v="Viale Jonio, 187, 00141 Roma RM, Italia"/>
    <d v="2019-04-08T09:02:37"/>
    <n v="390983303333"/>
    <n v="25"/>
    <s v="4,8"/>
    <n v="3337373333"/>
    <n v="1539"/>
    <n v="2"/>
    <x v="2"/>
    <b v="0"/>
    <b v="0"/>
    <b v="0"/>
    <s v="0,36"/>
    <b v="0"/>
    <d v="2022-09-08T00:00:00"/>
    <d v="2022-10-19T00:00:00"/>
  </r>
  <r>
    <n v="145004"/>
    <b v="0"/>
    <s v="Beauty Salon 4903"/>
    <s v="Company Beauty SL4903"/>
    <n v="3816891"/>
    <n v="1565407"/>
    <s v="Reggio Calabria"/>
    <s v="Via Casa Savoia, 204d, 89135 Reggio Calabria RC, Italia"/>
    <d v="2019-06-24T09:52:05"/>
    <n v="393833038585"/>
    <n v="33"/>
    <n v="4969697"/>
    <n v="773333"/>
    <n v="2356"/>
    <n v="3"/>
    <x v="2"/>
    <b v="0"/>
    <b v="1"/>
    <b v="1"/>
    <s v="39,9"/>
    <b v="0"/>
    <d v="2022-11-27T00:00:00"/>
    <d v="2022-11-08T00:00:00"/>
  </r>
  <r>
    <n v="1450307"/>
    <b v="1"/>
    <s v="Beauty Salon 3522"/>
    <s v="Company Beauty SL3522"/>
    <n v="366777"/>
    <n v="-61121"/>
    <s v="Jerez de la Frontera"/>
    <s v="Av. los Frutos, 3, 11406 Jerez de la Frontera, Cádiz, España"/>
    <d v="2019-07-03T11:43:11"/>
    <n v="35959305358"/>
    <n v="206"/>
    <n v="4956311"/>
    <s v="73673773Z"/>
    <n v="653"/>
    <n v="3"/>
    <x v="2"/>
    <b v="0"/>
    <b v="1"/>
    <b v="0"/>
    <s v="43,55"/>
    <b v="0"/>
    <d v="2022-02-13T00:00:00"/>
    <d v="2022-04-05T00:00:00"/>
  </r>
  <r>
    <n v="14405"/>
    <b v="1"/>
    <s v="Beauty Salon 1315"/>
    <s v="Company Beauty SL1315"/>
    <n v="4060812"/>
    <n v="1498022"/>
    <s v="Battipaglia"/>
    <s v="Via IV Novembre, 25, 84091 Battipaglia SA, Italia"/>
    <d v="2019-07-12T11:11:30"/>
    <n v="390888355053"/>
    <n v="58"/>
    <n v="487931"/>
    <n v="363633"/>
    <n v="1109"/>
    <n v="3"/>
    <x v="2"/>
    <b v="0"/>
    <b v="1"/>
    <b v="0"/>
    <s v="40,56"/>
    <b v="0"/>
    <d v="2022-10-26T00:00:00"/>
    <d v="2022-10-22T00:00:00"/>
  </r>
  <r>
    <n v="143001"/>
    <b v="1"/>
    <s v="Beauty Salon 2580"/>
    <s v="Company Beauty SL2580"/>
    <n v="4477196"/>
    <n v="1028606"/>
    <s v="Parma"/>
    <s v="Via Vincenzo Re, 47, 43125 Parma PR, Italia"/>
    <d v="2019-07-31T15:52:16"/>
    <n v="393893590353"/>
    <n v="36"/>
    <n v="4916667"/>
    <n v="337733736"/>
    <n v="855"/>
    <n v="7"/>
    <x v="1"/>
    <b v="0"/>
    <b v="0"/>
    <b v="0"/>
    <s v="0,4"/>
    <b v="0"/>
    <d v="2022-09-27T00:00:00"/>
    <d v="2022-01-10T00:00:00"/>
  </r>
  <r>
    <n v="144550"/>
    <b v="1"/>
    <s v="Beauty Salon 2339"/>
    <s v="Company Beauty SL2339"/>
    <n v="4042919"/>
    <n v="-367662"/>
    <s v="Madrid"/>
    <s v="Calle del General Díaz Porlier, 50, 28001 Madrid, España"/>
    <d v="2019-09-26T13:54:09"/>
    <n v="35998059833"/>
    <n v="13"/>
    <n v="5"/>
    <s v="X3336333G"/>
    <n v="159"/>
    <n v="3"/>
    <x v="2"/>
    <b v="0"/>
    <b v="1"/>
    <b v="0"/>
    <s v="34,8"/>
    <b v="0"/>
    <d v="2022-10-08T00:00:00"/>
    <d v="2022-02-02T00:00:00"/>
  </r>
  <r>
    <n v="144305"/>
    <b v="1"/>
    <s v="Beauty Salon 2351"/>
    <s v="Company Beauty SL2351"/>
    <n v="4555045"/>
    <n v="1022359"/>
    <s v="Brescia"/>
    <s v="Via Guglielmo Marconi, 2, 25128 Brescia BS, Italia"/>
    <d v="2019-09-30T15:49:49"/>
    <n v="39030308355"/>
    <n v="66"/>
    <n v="4924242"/>
    <n v="7333673377"/>
    <n v="1545"/>
    <n v="2"/>
    <x v="0"/>
    <b v="0"/>
    <b v="1"/>
    <b v="0"/>
    <s v="41,46"/>
    <b v="0"/>
    <d v="2022-07-22T00:00:00"/>
    <d v="2022-04-17T00:00:00"/>
  </r>
  <r>
    <n v="14515"/>
    <b v="1"/>
    <s v="Beauty Salon 3213"/>
    <s v="Company Beauty SL3213"/>
    <n v="4254408"/>
    <n v="1388436"/>
    <s v="Montefino"/>
    <s v="Via Rasetti, 64030 Montefino TE, Italia"/>
    <d v="2019-10-10T13:12:01"/>
    <n v="393838909853"/>
    <n v="15"/>
    <n v="5"/>
    <n v="73733677"/>
    <n v="674"/>
    <n v="2"/>
    <x v="1"/>
    <b v="0"/>
    <b v="1"/>
    <b v="0"/>
    <s v="35,88"/>
    <b v="0"/>
    <d v="2022-01-13T00:00:00"/>
    <d v="2022-10-16T00:00:00"/>
  </r>
  <r>
    <n v="145307"/>
    <b v="0"/>
    <s v="Beauty Salon 771"/>
    <s v="Company Beauty SL771"/>
    <n v="4167008"/>
    <n v="2261058"/>
    <s v="L'Ametlla del Vallès"/>
    <s v="Carrer Francesc Macià, 3, 08480 L'Ametlla del Vallès, Barcelona, España"/>
    <d v="2019-10-18T10:44:49"/>
    <n v="35938533053"/>
    <n v="41"/>
    <n v="4829268"/>
    <s v="77367777K"/>
    <n v="1959"/>
    <n v="4"/>
    <x v="0"/>
    <b v="1"/>
    <b v="0"/>
    <b v="0"/>
    <s v="38,89"/>
    <b v="0"/>
    <d v="2022-11-02T00:00:00"/>
    <d v="2022-08-23T00:00:00"/>
  </r>
  <r>
    <n v="130515"/>
    <b v="1"/>
    <s v="Beauty Salon 3828"/>
    <s v="Company Beauty SL3828"/>
    <n v="4370715"/>
    <n v="1038213"/>
    <s v="Porta a Mare (Zona Industriale)"/>
    <s v="Via Chiassatello, 3, 56121 Porta a Mare (Zona Industriale) PI, Italia"/>
    <d v="2019-11-06T19:25:15"/>
    <n v="39050503888"/>
    <n v="101"/>
    <n v="4920792"/>
    <n v="37333337"/>
    <n v="1547"/>
    <n v="4"/>
    <x v="1"/>
    <b v="0"/>
    <b v="0"/>
    <b v="0"/>
    <s v="0,42"/>
    <b v="0"/>
    <d v="2022-09-15T00:00:00"/>
    <d v="2022-10-07T00:00:00"/>
  </r>
  <r>
    <n v="1305030"/>
    <b v="1"/>
    <s v="Beauty Salon 4050"/>
    <s v="Company Beauty SL4050"/>
    <n v="378505"/>
    <n v="-142796"/>
    <s v="Alhama de Murcia"/>
    <s v="C. Alfonso X el Sabio, 9, 30840 Alhama de Murcia, Murcia, España"/>
    <d v="2019-11-13T11:29:17"/>
    <n v="35998933935"/>
    <n v="18"/>
    <n v="4944444"/>
    <s v="37337773N"/>
    <n v="2012"/>
    <n v="6"/>
    <x v="1"/>
    <b v="0"/>
    <b v="1"/>
    <b v="1"/>
    <s v="36,41"/>
    <b v="0"/>
    <d v="2022-09-06T00:00:00"/>
    <d v="2022-02-01T00:00:00"/>
  </r>
  <r>
    <n v="16040"/>
    <b v="1"/>
    <s v="Beauty Salon 1557"/>
    <s v="Company Beauty SL1557"/>
    <n v="3870841"/>
    <n v="-913911"/>
    <s v="Lisboa"/>
    <s v="Praça do Município 38, 1200-005 Lisboa, Portugal"/>
    <d v="2019-11-28T15:30:36"/>
    <n v="393539359550"/>
    <n v="1"/>
    <n v="5"/>
    <n v="777777773"/>
    <n v="572"/>
    <n v="10"/>
    <x v="2"/>
    <b v="0"/>
    <b v="0"/>
    <b v="0"/>
    <s v="0,11"/>
    <b v="0"/>
    <d v="2022-03-06T00:00:00"/>
    <d v="2022-06-03T00:00:00"/>
  </r>
  <r>
    <n v="16041"/>
    <b v="0"/>
    <s v="Beauty Salon 2793"/>
    <s v="Company Beauty SL2793"/>
    <n v="4509363"/>
    <n v="7682917"/>
    <s v="Torino"/>
    <s v="Via Valprato, 68, 10155 Torino TO, Italia"/>
    <d v="2019-11-28T15:53:31"/>
    <n v="390330808880"/>
    <n v="86"/>
    <n v="4953488"/>
    <n v="7737773333"/>
    <n v="2169"/>
    <n v="7"/>
    <x v="2"/>
    <b v="0"/>
    <b v="0"/>
    <b v="0"/>
    <s v="0,42"/>
    <b v="0"/>
    <d v="2022-12-08T00:00:00"/>
    <d v="2022-12-08T00:00:00"/>
  </r>
  <r>
    <n v="16064"/>
    <b v="1"/>
    <s v="Beauty Salon 1466"/>
    <s v="Company Beauty SL1466"/>
    <n v="4428205"/>
    <n v="1111254"/>
    <s v="Vergato"/>
    <s v="Via Garibaldi, 23, 40038 Vergato BO, Italia"/>
    <d v="2019-11-29T15:12:31"/>
    <n v="390530893535"/>
    <n v="56"/>
    <n v="4982143"/>
    <n v="7337373337"/>
    <n v="2572"/>
    <n v="2"/>
    <x v="0"/>
    <b v="0"/>
    <b v="0"/>
    <b v="0"/>
    <s v="0,42"/>
    <b v="0"/>
    <d v="2022-12-05T00:00:00"/>
    <d v="2022-11-16T00:00:00"/>
  </r>
  <r>
    <n v="16144"/>
    <b v="1"/>
    <s v="Beauty Salon 1610"/>
    <s v="Company Beauty SL1610"/>
    <n v="4082648"/>
    <n v="1432747"/>
    <s v="San Giorgio a Cremano"/>
    <s v="Via Botteghelle, 22, 80046 San Giorgio a Cremano NA, Italia"/>
    <d v="2019-12-12T14:01:58"/>
    <n v="393393388355"/>
    <n v="9"/>
    <n v="4555556"/>
    <n v="767333333"/>
    <n v="615"/>
    <n v="3"/>
    <x v="2"/>
    <b v="0"/>
    <b v="1"/>
    <b v="0"/>
    <s v="27,24"/>
    <b v="0"/>
    <d v="2022-02-24T00:00:00"/>
    <d v="2022-09-01T00:00:00"/>
  </r>
  <r>
    <n v="161430"/>
    <b v="0"/>
    <s v="Beauty Salon 2785"/>
    <s v="Company Beauty SL2785"/>
    <n v="4001386"/>
    <n v="1815762"/>
    <s v="Casarano"/>
    <s v="Via Matino, 63, 73042 Casarano LE, Italia"/>
    <d v="2019-12-12T14:21:02"/>
    <n v="390833503998"/>
    <n v="6"/>
    <n v="5"/>
    <n v="733"/>
    <n v="829"/>
    <n v="4"/>
    <x v="1"/>
    <b v="0"/>
    <b v="1"/>
    <b v="0"/>
    <s v="27,61"/>
    <b v="0"/>
    <d v="2022-09-13T00:00:00"/>
    <d v="2022-10-24T00:00:00"/>
  </r>
  <r>
    <n v="1613030"/>
    <b v="1"/>
    <s v="Beauty Salon 668"/>
    <s v="Company Beauty SL668"/>
    <n v="4667087"/>
    <n v="1115649"/>
    <s v="Merano"/>
    <s v="Via Otto Huber, 10, 39012 Merano BZ, Italia"/>
    <d v="2019-12-13T14:48:46"/>
    <n v="390533559359"/>
    <n v="8"/>
    <n v="4875"/>
    <n v="333373337"/>
    <n v="2141"/>
    <n v="4"/>
    <x v="2"/>
    <b v="0"/>
    <b v="1"/>
    <b v="0"/>
    <s v="29,25"/>
    <b v="0"/>
    <d v="2022-11-30T00:00:00"/>
    <d v="2022-11-11T00:00:00"/>
  </r>
  <r>
    <n v="165074"/>
    <b v="1"/>
    <s v="Beauty Salon 2061"/>
    <s v="Company Beauty SL2061"/>
    <n v="442268"/>
    <n v="8417544"/>
    <s v="Spotorno"/>
    <s v="Via G. Garibaldi, 7, 17028 Spotorno SV, Italia"/>
    <d v="2019-12-20T15:24:49"/>
    <n v="39039355393"/>
    <n v="0"/>
    <n v="0"/>
    <n v="337633377"/>
    <n v="52"/>
    <n v="6"/>
    <x v="0"/>
    <b v="0"/>
    <b v="0"/>
    <b v="0"/>
    <n v="0"/>
    <b v="0"/>
    <d v="2022-06-06T00:00:00"/>
    <d v="2022-01-29T00:00:00"/>
  </r>
  <r>
    <n v="1650550"/>
    <b v="1"/>
    <s v="Beauty Salon 2462"/>
    <s v="Company Beauty SL2462"/>
    <n v="4168461"/>
    <n v="1537736"/>
    <s v="San Severo"/>
    <s v="Via Torquato Tasso, 25/27, 71016 San Severo FG, Italia"/>
    <d v="2019-12-20T17:17:09"/>
    <n v="390888339380"/>
    <n v="3"/>
    <n v="5"/>
    <n v="63733"/>
    <n v="877"/>
    <n v="4"/>
    <x v="1"/>
    <b v="0"/>
    <b v="1"/>
    <b v="1"/>
    <s v="20,16"/>
    <b v="0"/>
    <d v="2022-09-11T00:00:00"/>
    <d v="2022-10-22T00:00:00"/>
  </r>
  <r>
    <n v="16740"/>
    <b v="1"/>
    <s v="Beauty Salon 546"/>
    <s v="Company Beauty SL546"/>
    <n v="4479952"/>
    <n v="1033777"/>
    <s v="Parma"/>
    <s v="Str. della Repubblica, 100, 43121 Parma PR, Italia"/>
    <d v="2020-01-15T15:00:17"/>
    <n v="393353858393"/>
    <n v="11"/>
    <n v="5"/>
    <n v="763733737"/>
    <n v="574"/>
    <n v="2"/>
    <x v="0"/>
    <b v="0"/>
    <b v="0"/>
    <b v="0"/>
    <s v="0,33"/>
    <b v="0"/>
    <d v="2022-01-05T00:00:00"/>
    <d v="2022-05-17T00:00:00"/>
  </r>
  <r>
    <n v="16765"/>
    <b v="1"/>
    <s v="Beauty Salon 1611"/>
    <s v="Company Beauty SL1611"/>
    <n v="3799969"/>
    <n v="2372138"/>
    <s v="Αθήνα"/>
    <s v="Ευαλκίδου 10, Αθήνα 104 45, Ελλάδα"/>
    <d v="2020-01-16T14:38:28"/>
    <n v="308383093898"/>
    <n v="112"/>
    <n v="4892857"/>
    <n v="73777333"/>
    <n v="1905"/>
    <n v="2"/>
    <x v="1"/>
    <b v="0"/>
    <b v="1"/>
    <b v="0"/>
    <s v="42,04"/>
    <b v="0"/>
    <d v="2022-06-04T00:00:00"/>
    <d v="2022-02-16T00:00:00"/>
  </r>
  <r>
    <n v="17665"/>
    <b v="1"/>
    <s v="Beauty Salon 3971"/>
    <s v="Company Beauty SL3971"/>
    <n v="4887668"/>
    <n v="2344594"/>
    <s v="Paris"/>
    <s v="36 Rue de Montholon, 75009 Paris, Francia"/>
    <d v="2020-01-31T16:12:26"/>
    <n v="33935355099"/>
    <n v="11"/>
    <n v="4945455"/>
    <m/>
    <n v="59"/>
    <n v="1"/>
    <x v="1"/>
    <b v="0"/>
    <b v="1"/>
    <b v="0"/>
    <s v="32,8"/>
    <b v="0"/>
    <d v="2022-09-03T00:00:00"/>
    <d v="2022-01-27T00:00:00"/>
  </r>
  <r>
    <n v="14044"/>
    <b v="1"/>
    <s v="Beauty Salon 744"/>
    <s v="Company Beauty SL744"/>
    <n v="4886785"/>
    <n v="2203882"/>
    <s v="Rueil-Malmaison"/>
    <s v="65 Rue Gallieni, 92500 Rueil-Malmaison, Francia"/>
    <d v="2020-02-10T14:37:03"/>
    <n v="33995339893"/>
    <n v="28"/>
    <n v="4414286"/>
    <m/>
    <n v="99"/>
    <n v="3"/>
    <x v="1"/>
    <b v="0"/>
    <b v="0"/>
    <b v="0"/>
    <s v="0,33"/>
    <b v="0"/>
    <d v="2022-09-20T00:00:00"/>
    <d v="2022-01-01T00:00:00"/>
  </r>
  <r>
    <n v="14155"/>
    <b v="1"/>
    <s v="Beauty Salon 1559"/>
    <s v="Company Beauty SL1559"/>
    <n v="4545104"/>
    <n v="9204822"/>
    <s v="Milano"/>
    <s v="Corso Lodi, 9, 20135 Milano MI, Italia"/>
    <d v="2020-02-14T14:22:19"/>
    <n v="393888835053"/>
    <n v="15"/>
    <n v="4866667"/>
    <n v="63363767"/>
    <n v="654"/>
    <n v="2"/>
    <x v="0"/>
    <b v="0"/>
    <b v="1"/>
    <b v="0"/>
    <s v="34,27"/>
    <b v="0"/>
    <d v="2022-12-06T00:00:00"/>
    <d v="2022-08-07T00:00:00"/>
  </r>
  <r>
    <n v="145004"/>
    <b v="0"/>
    <s v="Beauty Salon 4751"/>
    <s v="Company Beauty SL4751"/>
    <n v="4131169"/>
    <n v="1627683"/>
    <s v="Barletta"/>
    <s v="Via Enrico Fermi, 51, 76121 Barletta BT, Italy"/>
    <d v="2020-02-18T16:07:14"/>
    <n v="393888393333"/>
    <n v="40"/>
    <n v="4975"/>
    <n v="6633333733"/>
    <n v="1223"/>
    <n v="5"/>
    <x v="2"/>
    <b v="0"/>
    <b v="0"/>
    <b v="0"/>
    <s v="0,41"/>
    <b v="0"/>
    <d v="2022-09-09T00:00:00"/>
    <d v="2022-10-20T00:00:00"/>
  </r>
  <r>
    <n v="145056"/>
    <b v="1"/>
    <s v="Beauty Salon 4902"/>
    <s v="Company Beauty SL4902"/>
    <n v="4576625"/>
    <n v="485571"/>
    <s v="Lyon"/>
    <s v="78 Rue Ney, 69006 Lyon, France"/>
    <d v="2020-02-18T23:30:51"/>
    <n v="33589558335"/>
    <n v="557"/>
    <n v="4737522"/>
    <m/>
    <n v="2351"/>
    <n v="3"/>
    <x v="1"/>
    <b v="0"/>
    <b v="0"/>
    <b v="1"/>
    <s v="41,75"/>
    <b v="0"/>
    <d v="2022-09-21T00:00:00"/>
    <d v="2022-05-05T00:00:00"/>
  </r>
  <r>
    <n v="14441"/>
    <b v="1"/>
    <s v="Beauty Salon 1035"/>
    <s v="Company Beauty SL1035"/>
    <n v="4574282"/>
    <n v="4850731"/>
    <s v="Lyon"/>
    <s v="39 Route de Vienne, 69007 Lyon, Francia"/>
    <d v="2020-02-21T11:58:57"/>
    <n v="33533990938"/>
    <n v="667"/>
    <n v="4456372"/>
    <m/>
    <n v="1552"/>
    <n v="1"/>
    <x v="1"/>
    <b v="0"/>
    <b v="1"/>
    <b v="1"/>
    <s v="39,07"/>
    <b v="0"/>
    <d v="2022-07-24T00:00:00"/>
    <d v="2022-05-17T00:00:00"/>
  </r>
  <r>
    <n v="155550"/>
    <b v="1"/>
    <s v="Beauty Salon 840"/>
    <s v="Company Beauty SL840"/>
    <n v="436983"/>
    <n v="7271331"/>
    <s v="Nice"/>
    <s v="3 Rue Chauvain, 06000 Nice, France"/>
    <d v="2020-02-28T10:25:37"/>
    <n v="33593853309"/>
    <n v="324"/>
    <n v="4854938"/>
    <s v="FR33333337337"/>
    <n v="6443"/>
    <n v="4"/>
    <x v="2"/>
    <b v="0"/>
    <b v="1"/>
    <b v="0"/>
    <s v="42,68"/>
    <b v="0"/>
    <d v="2022-04-01T00:00:00"/>
    <d v="2022-11-26T00:00:00"/>
  </r>
  <r>
    <n v="154550"/>
    <b v="1"/>
    <s v="Beauty Salon 3548"/>
    <s v="Company Beauty SL3548"/>
    <n v="3972843"/>
    <n v="-27121"/>
    <s v="Benifairó de los Valles"/>
    <s v="Carrer de Valencia, 52, 46511 Benifairó de los Valles, Valencia, España"/>
    <d v="2020-04-07T11:16:52"/>
    <n v="35933359939"/>
    <n v="3"/>
    <n v="5"/>
    <s v="33777737Z"/>
    <n v="969"/>
    <n v="3"/>
    <x v="0"/>
    <b v="0"/>
    <b v="1"/>
    <b v="0"/>
    <s v="20,16"/>
    <b v="0"/>
    <d v="2022-05-19T00:00:00"/>
    <d v="2022-01-19T00:00:00"/>
  </r>
  <r>
    <n v="15446"/>
    <b v="1"/>
    <s v="Beauty Salon 3960"/>
    <s v="Company Beauty SL3960"/>
    <n v="4510016"/>
    <n v="7763387"/>
    <s v="San Mauro Torinese"/>
    <s v="Via Martiri della Libertà, 53, 10099 San Mauro Torinese TO, Italia"/>
    <d v="2020-05-04T07:13:26"/>
    <n v="390338885883"/>
    <n v="129"/>
    <n v="496124"/>
    <n v="77733333"/>
    <n v="1586"/>
    <n v="3"/>
    <x v="1"/>
    <b v="0"/>
    <b v="1"/>
    <b v="0"/>
    <s v="43,13"/>
    <b v="0"/>
    <d v="2022-09-16T00:00:00"/>
    <d v="2022-10-27T00:00:00"/>
  </r>
  <r>
    <n v="154630"/>
    <b v="0"/>
    <s v="Beauty Salon 721"/>
    <s v="Company Beauty SL721"/>
    <n v="3925298"/>
    <n v="9171306"/>
    <s v="Selargius"/>
    <s v="Via Antonio Gallus, 75, 09047 Selargius CA, Italia"/>
    <d v="2020-05-06T07:45:17"/>
    <n v="39030850939"/>
    <n v="16"/>
    <n v="5"/>
    <n v="333333733"/>
    <n v="3959"/>
    <n v="4"/>
    <x v="1"/>
    <b v="0"/>
    <b v="0"/>
    <b v="0"/>
    <s v="0,36"/>
    <b v="0"/>
    <d v="2022-09-02T00:00:00"/>
    <d v="2022-10-13T00:00:00"/>
  </r>
  <r>
    <n v="15441"/>
    <b v="1"/>
    <s v="Beauty Salon 531"/>
    <s v="Company Beauty SL531"/>
    <n v="4509355"/>
    <n v="1149137"/>
    <s v="Badia Polesine"/>
    <s v="Via Danieli, 40, 45021 Badia Polesine RO, Italia"/>
    <d v="2020-05-08T07:35:29"/>
    <n v="393535803858"/>
    <n v="6"/>
    <n v="5"/>
    <n v="733763377"/>
    <n v="1393"/>
    <n v="5"/>
    <x v="1"/>
    <b v="0"/>
    <b v="0"/>
    <b v="0"/>
    <s v="0,28"/>
    <b v="0"/>
    <d v="2022-12-03T00:00:00"/>
    <d v="2022-11-14T00:00:00"/>
  </r>
  <r>
    <n v="15447"/>
    <b v="1"/>
    <s v="Beauty Salon 4959"/>
    <s v="Company Beauty SL4959"/>
    <n v="3948436"/>
    <n v="-38438"/>
    <s v="València"/>
    <s v="Av. de Burjassot, 29, 46009 València, Valencia, España"/>
    <d v="2020-05-08T10:53:57"/>
    <n v="35998359909"/>
    <n v="117"/>
    <n v="4982906"/>
    <s v="77366337C"/>
    <n v="1311"/>
    <n v="3"/>
    <x v="0"/>
    <b v="0"/>
    <b v="1"/>
    <b v="0"/>
    <s v="43,31"/>
    <b v="0"/>
    <d v="2022-09-04T00:00:00"/>
    <d v="2022-10-15T00:00:00"/>
  </r>
  <r>
    <n v="15556"/>
    <b v="1"/>
    <s v="Beauty Salon 1938"/>
    <s v="Company Beauty SL1938"/>
    <n v="4376298"/>
    <n v="1123998"/>
    <s v="Firenze"/>
    <s v="Viale Francesco Petrarca, 100, 50124 Firenze FI, Italia"/>
    <d v="2020-05-13T08:06:09"/>
    <n v="390558993358"/>
    <n v="169"/>
    <n v="4976048"/>
    <n v="6736363336"/>
    <n v="1563"/>
    <n v="5"/>
    <x v="0"/>
    <b v="0"/>
    <b v="0"/>
    <b v="0"/>
    <s v="0,44"/>
    <b v="0"/>
    <d v="2022-06-14T00:00:00"/>
    <d v="2022-01-28T00:00:00"/>
  </r>
  <r>
    <n v="155505"/>
    <b v="1"/>
    <s v="Beauty Salon 4667"/>
    <s v="Company Beauty SL4667"/>
    <n v="4145917"/>
    <n v="1265837"/>
    <s v="Nettuno"/>
    <s v="Via Vittorio Veneto, 24, 00048 Nettuno RM, Italia"/>
    <d v="2020-05-13T14:59:37"/>
    <n v="39099805953"/>
    <n v="106"/>
    <n v="4962264"/>
    <n v="7377333333"/>
    <n v="3295"/>
    <n v="9"/>
    <x v="2"/>
    <b v="0"/>
    <b v="1"/>
    <b v="0"/>
    <s v="42,88"/>
    <b v="0"/>
    <d v="2022-12-08T00:00:00"/>
    <d v="2022-12-08T00:00:00"/>
  </r>
  <r>
    <n v="50016"/>
    <b v="1"/>
    <s v="Beauty Salon 1452"/>
    <s v="Company Beauty SL1452"/>
    <n v="4117261"/>
    <n v="-863468"/>
    <s v="Porto"/>
    <s v="Alameda Dr. António Macedo 115, 4250-053 Porto, Portugal"/>
    <d v="2020-05-21T14:47:05"/>
    <n v="353995398535"/>
    <n v="169"/>
    <n v="4994048"/>
    <n v="7373333"/>
    <n v="2624"/>
    <n v="5"/>
    <x v="0"/>
    <b v="0"/>
    <b v="0"/>
    <b v="0"/>
    <s v="0,44"/>
    <b v="0"/>
    <d v="2022-03-03T00:00:00"/>
    <d v="2022-06-29T00:00:00"/>
  </r>
  <r>
    <n v="50057"/>
    <b v="1"/>
    <s v="Beauty Salon 3179"/>
    <s v="Company Beauty SL3179"/>
    <n v="3689164"/>
    <n v="1507257"/>
    <s v="Noto"/>
    <s v="Via Camillo Benso Conte di Cavour, 102, 96017 Noto SR, Italia"/>
    <d v="2020-05-25T13:53:19"/>
    <n v="393895553989"/>
    <n v="6"/>
    <n v="5"/>
    <n v="736373377"/>
    <n v="2080"/>
    <n v="6"/>
    <x v="2"/>
    <b v="0"/>
    <b v="1"/>
    <b v="0"/>
    <s v="27,61"/>
    <b v="0"/>
    <d v="2022-04-13T00:00:00"/>
    <d v="2022-11-12T00:00:00"/>
  </r>
  <r>
    <n v="500430"/>
    <b v="1"/>
    <s v="Beauty Salon 4380"/>
    <s v="Company Beauty SL4380"/>
    <n v="3811029"/>
    <n v="1564611"/>
    <s v="Reggio Calabria"/>
    <s v="Via Giulia, 12, 89125 Reggio Calabria RC, Italia"/>
    <d v="2020-05-26T15:34:31"/>
    <n v="390995898558"/>
    <n v="1179"/>
    <n v="4865988"/>
    <n v="736333337"/>
    <n v="8270"/>
    <n v="10"/>
    <x v="1"/>
    <b v="0"/>
    <b v="1"/>
    <b v="0"/>
    <s v="43,35"/>
    <b v="0"/>
    <d v="2022-12-08T00:00:00"/>
    <d v="2022-12-08T00:00:00"/>
  </r>
  <r>
    <n v="50505"/>
    <b v="1"/>
    <s v="Beauty Salon 1208"/>
    <s v="Company Beauty SL1208"/>
    <n v="4549243"/>
    <n v="9151506"/>
    <s v="Milano"/>
    <s v="Via Lorenzo Bartolini, 49, 20155 Milano MI, Italia"/>
    <d v="2020-06-22T10:00:34"/>
    <n v="390885393353"/>
    <n v="1851"/>
    <n v="4851432"/>
    <n v="7337333763"/>
    <n v="21403"/>
    <n v="6"/>
    <x v="0"/>
    <b v="0"/>
    <b v="0"/>
    <b v="0"/>
    <s v="0,43"/>
    <b v="0"/>
    <d v="2022-12-08T00:00:00"/>
    <d v="2022-12-08T00:00:00"/>
  </r>
  <r>
    <n v="50440"/>
    <b v="1"/>
    <s v="Beauty Salon 4557"/>
    <s v="Company Beauty SL4557"/>
    <n v="4506111"/>
    <n v="9258989"/>
    <s v="Broni"/>
    <s v="Via Roma, 8, 27043 Broni PV, Italia"/>
    <d v="2020-07-09T04:32:43"/>
    <n v="390385090339"/>
    <n v="49"/>
    <n v="4897959"/>
    <n v="776373777"/>
    <n v="525"/>
    <n v="1"/>
    <x v="2"/>
    <b v="0"/>
    <b v="0"/>
    <b v="0"/>
    <s v="0,4"/>
    <b v="0"/>
    <d v="2022-01-14T00:00:00"/>
    <d v="2022-06-17T00:00:00"/>
  </r>
  <r>
    <n v="503055"/>
    <b v="1"/>
    <s v="Beauty Salon 1428"/>
    <s v="Company Beauty SL1428"/>
    <n v="4540007"/>
    <n v="1127511"/>
    <s v="San Bonifacio"/>
    <s v="Via Trento, 104A, 37047 San Bonifacio VR, Italia"/>
    <d v="2020-07-14T10:19:18"/>
    <n v="390558833508"/>
    <n v="209"/>
    <n v="4956938"/>
    <n v="737663377"/>
    <n v="1381"/>
    <n v="5"/>
    <x v="0"/>
    <b v="0"/>
    <b v="0"/>
    <b v="0"/>
    <s v="0,44"/>
    <b v="0"/>
    <d v="2022-11-23T00:00:00"/>
    <d v="2022-11-04T00:00:00"/>
  </r>
  <r>
    <n v="5030430"/>
    <b v="0"/>
    <s v="Beauty Salon 4266"/>
    <s v="Company Beauty SL4266"/>
    <n v="4551636"/>
    <n v="1145355"/>
    <s v="Altavilla Vicentina"/>
    <s v="Via Sovizzo, 92, 36077 Altavilla Vicentina VI, Italia"/>
    <d v="2020-07-15T13:39:50"/>
    <n v="390555533833"/>
    <n v="150"/>
    <n v="4886667"/>
    <n v="7736733336"/>
    <n v="2057"/>
    <n v="4"/>
    <x v="0"/>
    <b v="0"/>
    <b v="1"/>
    <b v="0"/>
    <s v="42,36"/>
    <b v="0"/>
    <d v="2022-11-21T00:00:00"/>
    <d v="2022-11-02T00:00:00"/>
  </r>
  <r>
    <n v="503065"/>
    <b v="1"/>
    <s v="Beauty Salon 2265"/>
    <s v="Company Beauty SL2265"/>
    <n v="4357504"/>
    <n v="1214004"/>
    <s v="Sansepolcro"/>
    <s v="Via Silvio Zanchi, 2, 52037 Sansepolcro AR, Italia"/>
    <d v="2020-07-16T13:13:39"/>
    <n v="390535335989"/>
    <n v="17"/>
    <n v="5"/>
    <n v="777373337"/>
    <n v="4745"/>
    <n v="10"/>
    <x v="2"/>
    <b v="0"/>
    <b v="1"/>
    <b v="1"/>
    <s v="36,75"/>
    <b v="0"/>
    <d v="2022-12-08T00:00:00"/>
    <d v="2022-12-08T00:00:00"/>
  </r>
  <r>
    <n v="503055"/>
    <b v="1"/>
    <s v="Beauty Salon 1078"/>
    <s v="Company Beauty SL1078"/>
    <n v="454226"/>
    <n v="1188417"/>
    <s v="Padova"/>
    <s v="Viale Arcella, 3e, 35132 Padova PD, Italia"/>
    <d v="2020-07-17T15:41:54"/>
    <n v="39059939833"/>
    <n v="157"/>
    <n v="4961783"/>
    <n v="37733337"/>
    <n v="3646"/>
    <n v="3"/>
    <x v="2"/>
    <b v="0"/>
    <b v="1"/>
    <b v="0"/>
    <s v="43,37"/>
    <b v="1"/>
    <d v="2022-09-03T00:00:00"/>
    <d v="2022-10-14T00:00:00"/>
  </r>
  <r>
    <n v="50644"/>
    <b v="1"/>
    <s v="Beauty Salon 531"/>
    <s v="Company Beauty SL531"/>
    <n v="4377349"/>
    <n v="1129595"/>
    <s v="Firenze"/>
    <s v="Via della Rondinella, 17, 50135 Firenze FI, Italia"/>
    <d v="2020-07-21T09:10:08"/>
    <n v="39055905099"/>
    <n v="166"/>
    <n v="4861446"/>
    <n v="6637333337"/>
    <n v="4453"/>
    <n v="5"/>
    <x v="2"/>
    <b v="0"/>
    <b v="0"/>
    <b v="0"/>
    <s v="0,42"/>
    <b v="0"/>
    <d v="2022-11-22T00:00:00"/>
    <d v="2022-11-03T00:00:00"/>
  </r>
  <r>
    <n v="507507"/>
    <b v="1"/>
    <s v="Beauty Salon 4145"/>
    <s v="Company Beauty SL4145"/>
    <n v="4589351"/>
    <n v="1084789"/>
    <s v="Riva del Garda"/>
    <s v="Viale Trento, 41, 38066 Riva del Garda TN, Italia"/>
    <d v="2020-07-24T14:31:09"/>
    <n v="390595555553"/>
    <n v="1"/>
    <n v="5"/>
    <n v="737733337"/>
    <n v="524"/>
    <n v="6"/>
    <x v="1"/>
    <b v="0"/>
    <b v="1"/>
    <b v="0"/>
    <s v="10,97"/>
    <b v="0"/>
    <d v="2022-07-15T00:00:00"/>
    <d v="2022-09-18T00:00:00"/>
  </r>
  <r>
    <n v="50457"/>
    <b v="1"/>
    <s v="Beauty Salon 840"/>
    <s v="Company Beauty SL840"/>
    <n v="41388"/>
    <n v="2044978"/>
    <s v="Sant Feliu de Llobregat"/>
    <s v="Passatge Terrassa, 3, 08980 Sant Feliu de Llobregat, Barcelona, España"/>
    <d v="2020-07-29T07:19:14"/>
    <n v="35950335509"/>
    <n v="87"/>
    <n v="5"/>
    <s v="37777376P"/>
    <n v="1773"/>
    <n v="4"/>
    <x v="2"/>
    <b v="0"/>
    <b v="1"/>
    <b v="0"/>
    <s v="43,1"/>
    <b v="0"/>
    <d v="2022-02-04T00:00:00"/>
    <d v="2022-06-08T00:00:00"/>
  </r>
  <r>
    <n v="505030"/>
    <b v="0"/>
    <s v="Beauty Salon 1434"/>
    <s v="Company Beauty SL1434"/>
    <n v="4438899"/>
    <n v="864388"/>
    <s v="Cogoleto"/>
    <s v="Via Giuseppe Mazzini, 9/11, 16016 Cogoleto GE, Italia"/>
    <d v="2020-07-31T15:52:29"/>
    <n v="390309383938"/>
    <n v="35"/>
    <n v="5"/>
    <n v="3733773"/>
    <n v="1892"/>
    <n v="5"/>
    <x v="0"/>
    <b v="0"/>
    <b v="0"/>
    <b v="0"/>
    <s v="0,41"/>
    <b v="0"/>
    <d v="2022-09-01T00:00:00"/>
    <d v="2022-10-12T00:00:00"/>
  </r>
  <r>
    <n v="50506"/>
    <b v="1"/>
    <s v="Beauty Salon 2114"/>
    <s v="Company Beauty SL2114"/>
    <n v="450848"/>
    <n v="7400956"/>
    <s v="Avigliana"/>
    <s v="Corso Laghi, 15, 10051 Avigliana TO, Italia"/>
    <d v="2020-07-31T15:55:12"/>
    <n v="393383303090"/>
    <n v="31"/>
    <n v="4903226"/>
    <n v="737333333"/>
    <n v="1150"/>
    <n v="7"/>
    <x v="0"/>
    <b v="0"/>
    <b v="0"/>
    <b v="0"/>
    <s v="0,39"/>
    <b v="0"/>
    <d v="2022-08-09T00:00:00"/>
    <d v="2022-08-28T00:00:00"/>
  </r>
  <r>
    <n v="50541"/>
    <b v="1"/>
    <s v="Beauty Salon 1458"/>
    <s v="Company Beauty SL1458"/>
    <n v="4351769"/>
    <n v="1032284"/>
    <s v="Livorno"/>
    <s v="Via Giovanni Bartolena, 30, 57128 Livorno LI, Italia"/>
    <d v="2020-08-04T12:44:43"/>
    <n v="390589538353"/>
    <n v="21"/>
    <n v="4904762"/>
    <n v="733373373"/>
    <n v="507"/>
    <n v="2"/>
    <x v="2"/>
    <b v="0"/>
    <b v="1"/>
    <b v="0"/>
    <s v="36,84"/>
    <b v="0"/>
    <d v="2022-08-30T00:00:00"/>
    <d v="2022-10-17T00:00:00"/>
  </r>
  <r>
    <n v="50547"/>
    <b v="1"/>
    <s v="Beauty Salon 186"/>
    <s v="Company Beauty SL186"/>
    <n v="4571261"/>
    <n v="1261553"/>
    <s v="Cessalto"/>
    <s v="Piazza del Santo Volto, 8, 31040 Cessalto TV, Italia"/>
    <d v="2020-08-04T15:10:28"/>
    <n v="390583388035"/>
    <n v="3"/>
    <n v="5"/>
    <n v="7333333373"/>
    <n v="610"/>
    <n v="2"/>
    <x v="1"/>
    <b v="0"/>
    <b v="1"/>
    <b v="0"/>
    <s v="20,16"/>
    <b v="0"/>
    <d v="2022-04-29T00:00:00"/>
    <d v="2022-11-08T00:00:00"/>
  </r>
  <r>
    <n v="51056"/>
    <b v="1"/>
    <s v="Beauty Salon 2226"/>
    <s v="Company Beauty SL2226"/>
    <n v="3788401"/>
    <n v="-478053"/>
    <s v="Córdoba"/>
    <s v="Calle Málaga, 3, 14003 Córdoba, España"/>
    <d v="2020-08-06T12:12:19"/>
    <n v="35953530305"/>
    <n v="26"/>
    <n v="4961538"/>
    <s v="B33777733"/>
    <n v="1602"/>
    <n v="6"/>
    <x v="0"/>
    <b v="0"/>
    <b v="1"/>
    <b v="0"/>
    <s v="38,71"/>
    <b v="0"/>
    <d v="2022-09-15T00:00:00"/>
    <d v="2022-10-26T00:00:00"/>
  </r>
  <r>
    <n v="510505"/>
    <b v="1"/>
    <s v="Beauty Salon 571"/>
    <s v="Company Beauty SL571"/>
    <n v="4632668"/>
    <n v="1102276"/>
    <s v="Tuenno"/>
    <s v="Via Vincenzo Maistrelli, 7, 38019 Tuenno TN, Italia"/>
    <d v="2020-08-07T13:00:07"/>
    <n v="393998955335"/>
    <n v="23"/>
    <n v="5"/>
    <n v="37333333"/>
    <n v="479"/>
    <n v="1"/>
    <x v="0"/>
    <b v="0"/>
    <b v="1"/>
    <b v="0"/>
    <s v="38,59"/>
    <b v="0"/>
    <d v="2022-06-03T00:00:00"/>
    <d v="2022-11-20T00:00:00"/>
  </r>
  <r>
    <n v="51040"/>
    <b v="1"/>
    <s v="Beauty Salon 1375"/>
    <s v="Company Beauty SL1375"/>
    <n v="3690912"/>
    <n v="1513532"/>
    <s v="Avola"/>
    <s v="Piazza Umberto I, 31, 96012 Avola SR, Italia"/>
    <d v="2020-08-07T14:13:02"/>
    <n v="393393393888"/>
    <n v="99"/>
    <n v="5"/>
    <n v="6333377"/>
    <n v="657"/>
    <n v="2"/>
    <x v="0"/>
    <b v="0"/>
    <b v="1"/>
    <b v="1"/>
    <s v="43,32"/>
    <b v="0"/>
    <d v="2022-04-16T00:00:00"/>
    <d v="2022-11-02T00:00:00"/>
  </r>
  <r>
    <n v="51067"/>
    <b v="1"/>
    <s v="Beauty Salon 4032"/>
    <s v="Company Beauty SL4032"/>
    <n v="4389044"/>
    <n v="1023095"/>
    <s v="Camaiore"/>
    <s v="Via del Fortino, 59, 55041 Camaiore LU, Italia"/>
    <d v="2020-08-10T10:46:48"/>
    <n v="39058599333"/>
    <n v="36"/>
    <n v="4666667"/>
    <n v="763633363"/>
    <n v="1544"/>
    <n v="5"/>
    <x v="2"/>
    <b v="0"/>
    <b v="0"/>
    <b v="0"/>
    <s v="0,37"/>
    <b v="0"/>
    <d v="2022-03-30T00:00:00"/>
    <d v="2022-10-18T00:00:00"/>
  </r>
  <r>
    <n v="510430"/>
    <b v="1"/>
    <s v="Beauty Salon 4470"/>
    <s v="Company Beauty SL4470"/>
    <n v="4185961"/>
    <n v="1244968"/>
    <s v="Roma"/>
    <s v="Vicolo della Serpe, 23, 00149 Roma RM, Italia"/>
    <d v="2020-08-12T12:55:48"/>
    <n v="390989838995"/>
    <n v="34"/>
    <n v="5"/>
    <n v="3733333333"/>
    <n v="1780"/>
    <n v="4"/>
    <x v="2"/>
    <b v="0"/>
    <b v="1"/>
    <b v="0"/>
    <s v="40,45"/>
    <b v="0"/>
    <d v="2022-09-17T00:00:00"/>
    <d v="2022-09-09T00:00:00"/>
  </r>
  <r>
    <n v="51055"/>
    <b v="1"/>
    <s v="Beauty Salon 1822"/>
    <s v="Company Beauty SL1822"/>
    <n v="4393373"/>
    <n v="1090736"/>
    <s v="Pistoia"/>
    <s v="Via Sebastiano Ciampi, 39, 51100 Pistoia PT, Italia"/>
    <d v="2020-08-14T12:28:38"/>
    <n v="390533599989"/>
    <n v="127"/>
    <n v="4968504"/>
    <n v="6333373"/>
    <n v="607"/>
    <n v="3"/>
    <x v="1"/>
    <b v="0"/>
    <b v="1"/>
    <b v="0"/>
    <s v="43,22"/>
    <b v="0"/>
    <d v="2022-11-21T00:00:00"/>
    <d v="2022-06-22T00:00:00"/>
  </r>
  <r>
    <n v="511505"/>
    <b v="1"/>
    <s v="Beauty Salon 2633"/>
    <s v="Company Beauty SL2633"/>
    <n v="4281353"/>
    <n v="-164163"/>
    <s v="Pamplona"/>
    <s v="Calle Emilio Arrieta, 25, 31002 Pamplona, Navarra, España"/>
    <d v="2020-08-18T15:23:35"/>
    <n v="35958383585"/>
    <n v="378"/>
    <n v="4904762"/>
    <s v="B73333337"/>
    <n v="16304"/>
    <n v="13"/>
    <x v="2"/>
    <b v="0"/>
    <b v="1"/>
    <b v="0"/>
    <s v="43,33"/>
    <b v="0"/>
    <d v="2022-12-08T00:00:00"/>
    <d v="2022-12-08T00:00:00"/>
  </r>
  <r>
    <n v="51550"/>
    <b v="1"/>
    <s v="Beauty Salon 630"/>
    <s v="Company Beauty SL630"/>
    <n v="3765235"/>
    <n v="1486074"/>
    <s v="Biancavilla"/>
    <s v="Via Monte Cervino, 9, 95033 Biancavilla CT, Italia"/>
    <d v="2020-08-24T13:42:50"/>
    <n v="393883888959"/>
    <n v="0"/>
    <n v="0"/>
    <n v="33373"/>
    <n v="438"/>
    <n v="4"/>
    <x v="1"/>
    <b v="0"/>
    <b v="1"/>
    <b v="0"/>
    <n v="0"/>
    <b v="0"/>
    <d v="2022-04-23T00:00:00"/>
    <d v="2022-06-09T00:00:00"/>
  </r>
  <r>
    <n v="515306"/>
    <b v="1"/>
    <s v="Beauty Salon 805"/>
    <s v="Company Beauty SL805"/>
    <n v="3959069"/>
    <n v="2650614"/>
    <s v="Palma"/>
    <s v="Carrer de Miquel Capllonch, 21, 07010 Palma, Illes Balears, España"/>
    <d v="2020-08-26T10:44:58"/>
    <n v="35933935933"/>
    <n v="46"/>
    <n v="4913043"/>
    <s v="33737376Y"/>
    <n v="2890"/>
    <n v="5"/>
    <x v="0"/>
    <b v="0"/>
    <b v="1"/>
    <b v="1"/>
    <s v="40,33"/>
    <b v="0"/>
    <d v="2022-02-06T00:00:00"/>
    <d v="2022-11-07T00:00:00"/>
  </r>
  <r>
    <n v="515055"/>
    <b v="0"/>
    <s v="Beauty Salon 1512"/>
    <s v="Company Beauty SL1512"/>
    <n v="3669286"/>
    <n v="-61004"/>
    <s v="Jerez de la Frontera"/>
    <s v="Plaza Parque de Capuchinos, 3, 11405 Jerez de la Frontera, Cádiz"/>
    <d v="2020-08-31T12:07:52"/>
    <n v="35859050980"/>
    <n v="72"/>
    <n v="4944444"/>
    <s v="B33733373"/>
    <n v="1147"/>
    <n v="5"/>
    <x v="1"/>
    <b v="0"/>
    <b v="1"/>
    <b v="0"/>
    <s v="41,93"/>
    <b v="0"/>
    <d v="2022-10-04T00:00:00"/>
    <d v="2022-03-22T00:00:00"/>
  </r>
  <r>
    <n v="5150506"/>
    <b v="1"/>
    <s v="Beauty Salon 3043"/>
    <s v="Company Beauty SL3043"/>
    <n v="4366177"/>
    <n v="1144881"/>
    <s v="Figline e Incisa Valdarno"/>
    <s v="Via Francesco Petrarca, 54/56, 50064 Figline e Incisa Valdarno FI, Italia"/>
    <d v="2020-08-31T13:53:18"/>
    <n v="390558339339"/>
    <n v="0"/>
    <n v="0"/>
    <n v="7367333333"/>
    <n v="1355"/>
    <n v="7"/>
    <x v="2"/>
    <b v="0"/>
    <b v="1"/>
    <b v="0"/>
    <n v="0"/>
    <b v="0"/>
    <d v="2022-09-19T00:00:00"/>
    <d v="2022-05-03T00:00:00"/>
  </r>
  <r>
    <n v="5150305"/>
    <b v="1"/>
    <s v="Beauty Salon 3668"/>
    <s v="Company Beauty SL3668"/>
    <n v="4047658"/>
    <n v="-348045"/>
    <s v="Torrejón de Ardoz"/>
    <s v="Centro Comercial Parque Corredor, Ctra. Ajalvir Centro Comerci, s/n, 28850 Torrejón de Ardoz, Madrid"/>
    <d v="2020-09-01T11:04:37"/>
    <n v="35933338583"/>
    <n v="130"/>
    <n v="4646154"/>
    <s v="33366363V"/>
    <n v="5550"/>
    <n v="7"/>
    <x v="0"/>
    <b v="0"/>
    <b v="1"/>
    <b v="0"/>
    <s v="39,44"/>
    <b v="0"/>
    <d v="2022-11-25T00:00:00"/>
    <d v="2022-11-06T00:00:00"/>
  </r>
  <r>
    <n v="51400"/>
    <b v="1"/>
    <s v="Beauty Salon 594"/>
    <s v="Company Beauty SL594"/>
    <n v="379542"/>
    <n v="2363978"/>
    <s v="Πειραιάς"/>
    <s v="Αιτωλικού 45, Πειραιάς 185 45, Ελλάδα"/>
    <d v="2020-09-04T10:14:06"/>
    <n v="308383033300"/>
    <n v="14"/>
    <n v="4928571"/>
    <n v="63733333"/>
    <n v="1874"/>
    <n v="5"/>
    <x v="1"/>
    <b v="0"/>
    <b v="0"/>
    <b v="0"/>
    <s v="0,35"/>
    <b v="1"/>
    <d v="2022-08-19T00:00:00"/>
    <d v="2022-07-15T00:00:00"/>
  </r>
  <r>
    <n v="5145050"/>
    <b v="1"/>
    <s v="Beauty Salon 4192"/>
    <s v="Company Beauty SL4192"/>
    <n v="3813805"/>
    <n v="1496661"/>
    <s v="Patti"/>
    <s v="Via Giuseppe Verdi, 3, 98066 Patti ME, Italia"/>
    <d v="2020-09-07T15:31:24"/>
    <n v="390953339553"/>
    <n v="138"/>
    <n v="4891304"/>
    <n v="7637733373"/>
    <n v="1885"/>
    <n v="5"/>
    <x v="2"/>
    <b v="0"/>
    <b v="1"/>
    <b v="0"/>
    <s v="42,31"/>
    <b v="0"/>
    <d v="2022-12-08T00:00:00"/>
    <d v="2022-12-08T00:00:00"/>
  </r>
  <r>
    <n v="51441"/>
    <b v="1"/>
    <s v="Beauty Salon 1776"/>
    <s v="Company Beauty SL1776"/>
    <n v="4204394"/>
    <n v="1473303"/>
    <s v="centro storico di San Salvo"/>
    <s v="Via Trignina, 58, 66050 centro storico di San Salvo CH, Italia"/>
    <d v="2020-09-08T12:49:25"/>
    <n v="393338885309"/>
    <n v="3"/>
    <n v="5"/>
    <n v="337733673"/>
    <n v="301"/>
    <n v="2"/>
    <x v="1"/>
    <b v="1"/>
    <b v="0"/>
    <b v="0"/>
    <n v="0"/>
    <b v="0"/>
    <d v="2022-08-05T00:00:00"/>
    <d v="2022-06-02T00:00:00"/>
  </r>
  <r>
    <n v="5130504"/>
    <b v="1"/>
    <s v="Beauty Salon 184"/>
    <s v="Company Beauty SL184"/>
    <n v="3701887"/>
    <n v="-45608"/>
    <s v="Antequera"/>
    <s v="Calle Comedias, 18, 29200 Antequera, Málaga, España"/>
    <d v="2020-09-15T11:22:04"/>
    <n v="35958853838"/>
    <n v="197"/>
    <n v="4908629"/>
    <s v="B33673333"/>
    <n v="3259"/>
    <n v="9"/>
    <x v="1"/>
    <b v="0"/>
    <b v="1"/>
    <b v="0"/>
    <s v="42,91"/>
    <b v="0"/>
    <d v="2022-12-08T00:00:00"/>
    <d v="2022-12-08T00:00:00"/>
  </r>
  <r>
    <n v="513057"/>
    <b v="1"/>
    <s v="Beauty Salon 2747"/>
    <s v="Company Beauty SL2747"/>
    <n v="4599407"/>
    <n v="8793281"/>
    <s v="Monteggio"/>
    <s v="Via Cantonale 103, 6996 Monteggio, Svizzera"/>
    <d v="2020-09-21T07:18:02"/>
    <n v="3895850359"/>
    <n v="9"/>
    <n v="5"/>
    <s v="CHE-336333337"/>
    <n v="940"/>
    <n v="4"/>
    <x v="0"/>
    <b v="0"/>
    <b v="1"/>
    <b v="0"/>
    <s v="31,64"/>
    <b v="0"/>
    <d v="2022-06-19T00:00:00"/>
    <d v="2022-11-22T00:00:00"/>
  </r>
  <r>
    <n v="514305"/>
    <b v="1"/>
    <s v="Beauty Salon 2989"/>
    <s v="Company Beauty SL2989"/>
    <n v="4545881"/>
    <n v="918021"/>
    <s v="Milano"/>
    <s v="Via Gian Giacomo Mora, 5, 20123 Milano MI, Italia"/>
    <d v="2020-10-07T15:27:25"/>
    <n v="390859555933"/>
    <n v="294"/>
    <n v="4965986"/>
    <n v="333763"/>
    <n v="2742"/>
    <n v="5"/>
    <x v="1"/>
    <b v="0"/>
    <b v="1"/>
    <b v="1"/>
    <s v="43,94"/>
    <b v="0"/>
    <d v="2022-11-20T00:00:00"/>
    <d v="2022-02-22T00:00:00"/>
  </r>
  <r>
    <n v="51466"/>
    <b v="1"/>
    <s v="Beauty Salon 1118"/>
    <s v="Company Beauty SL1118"/>
    <n v="3957671"/>
    <n v="2652017"/>
    <s v="Palma"/>
    <s v="Carrer de Cecili Metel, 1, 07003 Palma, Illes Balears, España"/>
    <d v="2020-10-08T08:30:41"/>
    <n v="35933998985"/>
    <n v="28"/>
    <n v="4928571"/>
    <s v="Y3373333P"/>
    <n v="933"/>
    <n v="2"/>
    <x v="2"/>
    <b v="0"/>
    <b v="1"/>
    <b v="0"/>
    <s v="38,62"/>
    <b v="0"/>
    <d v="2022-08-09T00:00:00"/>
    <d v="2022-09-21T00:00:00"/>
  </r>
  <r>
    <n v="515501"/>
    <b v="1"/>
    <s v="Beauty Salon 4123"/>
    <s v="Company Beauty SL4123"/>
    <n v="4085144"/>
    <n v="1423179"/>
    <s v="Napoli"/>
    <s v="Via Giuseppe Orsi, 46, 80128 Napoli NA, Italia"/>
    <d v="2020-10-14T08:18:56"/>
    <n v="393888998985"/>
    <n v="103"/>
    <n v="4864078"/>
    <n v="7733333337"/>
    <n v="693"/>
    <n v="2"/>
    <x v="0"/>
    <b v="0"/>
    <b v="1"/>
    <b v="0"/>
    <s v="41,56"/>
    <b v="0"/>
    <d v="2022-06-04T00:00:00"/>
    <d v="2022-03-21T00:00:00"/>
  </r>
  <r>
    <n v="55505"/>
    <b v="1"/>
    <s v="Beauty Salon 1208"/>
    <s v="Company Beauty SL1208"/>
    <n v="4504071"/>
    <n v="7670351"/>
    <s v="Torino"/>
    <s v="Via Nizza, 142, 10126 Torino TO, Italia"/>
    <d v="2020-11-17T08:53:33"/>
    <n v="3903338893595"/>
    <n v="2"/>
    <s v="4,5"/>
    <n v="637333336"/>
    <n v="1095"/>
    <n v="4"/>
    <x v="1"/>
    <b v="0"/>
    <b v="0"/>
    <b v="0"/>
    <s v="0,14"/>
    <b v="0"/>
    <d v="2022-05-04T00:00:00"/>
    <d v="2022-02-15T00:00:00"/>
  </r>
  <r>
    <n v="55555"/>
    <b v="1"/>
    <s v="Beauty Salon 817"/>
    <s v="Company Beauty SL817"/>
    <n v="4611888"/>
    <n v="829333"/>
    <s v="Domodossola"/>
    <s v="Via Luigi Cadorna, 38, 28845 Domodossola VB, Italia"/>
    <d v="2020-11-18T13:43:39"/>
    <n v="393598339380"/>
    <n v="347"/>
    <n v="4962536"/>
    <n v="37333373"/>
    <n v="1619"/>
    <n v="9"/>
    <x v="0"/>
    <b v="0"/>
    <b v="1"/>
    <b v="0"/>
    <s v="43,98"/>
    <b v="0"/>
    <d v="2022-09-14T00:00:00"/>
    <d v="2022-10-25T00:00:00"/>
  </r>
  <r>
    <n v="55464"/>
    <b v="1"/>
    <s v="Beauty Salon 113"/>
    <s v="Company Beauty SL113"/>
    <n v="4045578"/>
    <n v="-37141"/>
    <s v="Madrid"/>
    <s v="Av. del Dr. Federico Rubio y Galí, 104, 28040 Madrid, España"/>
    <d v="2020-11-27T16:14:32"/>
    <n v="35933808850"/>
    <n v="143"/>
    <n v="5"/>
    <s v="33376377K"/>
    <n v="349"/>
    <n v="5"/>
    <x v="0"/>
    <b v="0"/>
    <b v="1"/>
    <b v="0"/>
    <s v="43,82"/>
    <b v="0"/>
    <d v="2022-06-25T00:00:00"/>
    <d v="2022-07-28T00:00:00"/>
  </r>
  <r>
    <n v="55447"/>
    <b v="1"/>
    <s v="Beauty Salon 3774"/>
    <s v="Company Beauty SL3774"/>
    <n v="4035749"/>
    <n v="1817937"/>
    <s v="Lecce"/>
    <s v="Via Giuseppe Giusti, 47, 73100 Lecce LE, Italia"/>
    <d v="2020-11-30T16:34:20"/>
    <n v="393805953550"/>
    <n v="88"/>
    <n v="4795455"/>
    <n v="677373733"/>
    <n v="1430"/>
    <n v="6"/>
    <x v="0"/>
    <b v="0"/>
    <b v="1"/>
    <b v="0"/>
    <s v="40,46"/>
    <b v="0"/>
    <d v="2022-11-10T00:00:00"/>
    <d v="2022-05-29T00:00:00"/>
  </r>
  <r>
    <n v="5530306"/>
    <b v="1"/>
    <s v="Beauty Salon 3832"/>
    <s v="Company Beauty SL3832"/>
    <n v="4431484"/>
    <n v="8474601"/>
    <s v="Savona"/>
    <s v="Via Milano, 50r, 17100 Savona SV, Italia"/>
    <d v="2020-12-09T11:09:05"/>
    <n v="393595853588"/>
    <n v="4"/>
    <n v="5"/>
    <n v="777373376"/>
    <n v="408"/>
    <n v="2"/>
    <x v="0"/>
    <b v="0"/>
    <b v="1"/>
    <b v="1"/>
    <s v="23,25"/>
    <b v="0"/>
    <d v="2022-04-08T00:00:00"/>
    <d v="2022-02-19T00:00:00"/>
  </r>
  <r>
    <n v="553071"/>
    <b v="1"/>
    <s v="Beauty Salon 549"/>
    <s v="Company Beauty SL549"/>
    <n v="4194497"/>
    <n v="124666"/>
    <s v="Roma"/>
    <s v="Via Luigi Bodio, 49, 00191 Roma RM, Italia"/>
    <d v="2020-12-10T14:16:52"/>
    <n v="390939303895"/>
    <n v="0"/>
    <n v="0"/>
    <n v="3733773333"/>
    <n v="132"/>
    <n v="4"/>
    <x v="0"/>
    <b v="1"/>
    <b v="0"/>
    <b v="0"/>
    <n v="0"/>
    <b v="0"/>
    <d v="2022-06-06T00:00:00"/>
    <d v="2022-08-09T00:00:00"/>
  </r>
  <r>
    <n v="55644"/>
    <b v="1"/>
    <s v="Beauty Salon 4593"/>
    <s v="Company Beauty SL4593"/>
    <n v="4458057"/>
    <n v="1082579"/>
    <s v="Formigine"/>
    <s v="Via Battezzate, 27, 41043 Formigine MO, Italia"/>
    <d v="2020-12-16T15:38:07"/>
    <n v="39059558835"/>
    <n v="9"/>
    <n v="5"/>
    <n v="73363763"/>
    <n v="689"/>
    <n v="5"/>
    <x v="2"/>
    <b v="0"/>
    <b v="1"/>
    <b v="0"/>
    <s v="31,64"/>
    <b v="0"/>
    <d v="2022-03-11T00:00:00"/>
    <d v="2022-10-15T00:00:00"/>
  </r>
  <r>
    <n v="556450"/>
    <b v="1"/>
    <s v="Beauty Salon 3680"/>
    <s v="Company Beauty SL3680"/>
    <n v="4506599"/>
    <n v="7635583"/>
    <s v="Torino"/>
    <s v="Via Candido Viberti, 31, 10141 Torino TO, Italia"/>
    <d v="2020-12-22T09:41:21"/>
    <n v="390333885335"/>
    <n v="362"/>
    <n v="4743094"/>
    <n v="7773373333"/>
    <n v="4439"/>
    <n v="15"/>
    <x v="2"/>
    <b v="0"/>
    <b v="1"/>
    <b v="0"/>
    <s v="41,55"/>
    <b v="0"/>
    <d v="2022-11-26T00:00:00"/>
    <d v="2022-11-07T00:00:00"/>
  </r>
  <r>
    <n v="54176"/>
    <b v="1"/>
    <s v="Beauty Salon 3690"/>
    <s v="Company Beauty SL3690"/>
    <n v="3799766"/>
    <n v="-11325"/>
    <s v="Murcia"/>
    <s v="Av. Europa, 4, 30007 Murcia, España"/>
    <d v="2020-12-30T09:24:17"/>
    <n v="35998938098"/>
    <n v="174"/>
    <n v="4977011"/>
    <s v="B73373333"/>
    <n v="7806"/>
    <n v="14"/>
    <x v="0"/>
    <b v="0"/>
    <b v="1"/>
    <b v="0"/>
    <s v="43,69"/>
    <b v="0"/>
    <d v="2022-09-06T00:00:00"/>
    <d v="2022-10-17T00:00:00"/>
  </r>
  <r>
    <n v="54470"/>
    <b v="1"/>
    <s v="Beauty Salon 2529"/>
    <s v="Company Beauty SL2529"/>
    <n v="3892632"/>
    <n v="1658158"/>
    <s v="Catanzaro"/>
    <s v="Via Merante Vincenzo Padre, 11B, 88100 Catanzaro CZ, Italia"/>
    <d v="2020-12-30T12:03:10"/>
    <n v="390993355389"/>
    <n v="65"/>
    <n v="4953846"/>
    <n v="7636333773"/>
    <n v="1416"/>
    <n v="6"/>
    <x v="0"/>
    <b v="0"/>
    <b v="1"/>
    <b v="0"/>
    <s v="41,83"/>
    <b v="1"/>
    <d v="2022-12-08T00:00:00"/>
    <d v="2022-12-08T00:00:00"/>
  </r>
  <r>
    <n v="545504"/>
    <b v="1"/>
    <s v="Beauty Salon 3292"/>
    <s v="Company Beauty SL3292"/>
    <n v="3847765"/>
    <n v="-78416"/>
    <s v="Elda"/>
    <s v="Av. de Madrid, 3, 03610 Elda, Alicante, España"/>
    <d v="2021-01-11T16:09:55"/>
    <n v="35995335939"/>
    <n v="217"/>
    <n v="4990783"/>
    <s v="B33776733"/>
    <n v="2631"/>
    <n v="8"/>
    <x v="0"/>
    <b v="0"/>
    <b v="1"/>
    <b v="0"/>
    <s v="44,08"/>
    <b v="0"/>
    <d v="2022-12-08T00:00:00"/>
    <d v="2022-12-08T00:00:00"/>
  </r>
  <r>
    <n v="54561"/>
    <b v="1"/>
    <s v="Beauty Salon 2822"/>
    <s v="Company Beauty SL2822"/>
    <n v="3778438"/>
    <n v="1483857"/>
    <s v="Bronte"/>
    <s v="Via Scorpione, 5, 95034 Bronte CT, Italia"/>
    <d v="2021-01-14T11:29:49"/>
    <n v="393888003938"/>
    <n v="53"/>
    <n v="4962264"/>
    <n v="73"/>
    <n v="644"/>
    <n v="5"/>
    <x v="0"/>
    <b v="0"/>
    <b v="0"/>
    <b v="0"/>
    <s v="0,41"/>
    <b v="0"/>
    <d v="2022-08-17T00:00:00"/>
    <d v="2022-09-17T00:00:00"/>
  </r>
  <r>
    <n v="545530"/>
    <b v="1"/>
    <s v="Beauty Salon 3010"/>
    <s v="Company Beauty SL3010"/>
    <n v="4045332"/>
    <n v="172597"/>
    <s v="Taranto"/>
    <s v="Via Lago Trasimeno, 2, 74121 Taranto TA, Italia"/>
    <d v="2021-01-18T15:41:33"/>
    <n v="390993389333"/>
    <n v="240"/>
    <n v="490795"/>
    <n v="77373773"/>
    <n v="8933"/>
    <n v="23"/>
    <x v="1"/>
    <b v="0"/>
    <b v="1"/>
    <b v="0"/>
    <s v="43,07"/>
    <b v="0"/>
    <d v="2022-12-08T00:00:00"/>
    <d v="2022-12-08T00:00:00"/>
  </r>
  <r>
    <n v="530054"/>
    <b v="1"/>
    <s v="Beauty Salon 1576"/>
    <s v="Company Beauty SL1576"/>
    <n v="4539654"/>
    <n v="8918041"/>
    <s v="Abbiategrasso"/>
    <s v="Piazza Cinque Giornate, 23, 20081 Abbiategrasso MI, Italia"/>
    <d v="2021-01-20T10:14:36"/>
    <n v="393353033890"/>
    <n v="46"/>
    <n v="4586957"/>
    <n v="737733333"/>
    <n v="620"/>
    <n v="3"/>
    <x v="1"/>
    <b v="0"/>
    <b v="1"/>
    <b v="0"/>
    <s v="36,47"/>
    <b v="0"/>
    <d v="2022-05-07T00:00:00"/>
    <d v="2022-11-02T00:00:00"/>
  </r>
  <r>
    <n v="530040"/>
    <b v="1"/>
    <s v="Beauty Salon 1771"/>
    <s v="Company Beauty SL1771"/>
    <n v="4042565"/>
    <n v="-368804"/>
    <s v="Madrid"/>
    <s v="Calle de Serrano, 15, 28001 Madrid, España"/>
    <d v="2021-01-26T14:55:25"/>
    <m/>
    <n v="0"/>
    <n v="0"/>
    <s v="B37333337"/>
    <n v="372"/>
    <n v="10"/>
    <x v="0"/>
    <b v="0"/>
    <b v="0"/>
    <b v="0"/>
    <n v="0"/>
    <b v="0"/>
    <d v="2022-10-28T00:00:00"/>
    <d v="2022-05-18T00:00:00"/>
  </r>
  <r>
    <n v="5300450"/>
    <b v="1"/>
    <s v="Beauty Salon 2678"/>
    <s v="Company Beauty SL2678"/>
    <n v="4438093"/>
    <n v="7538481"/>
    <s v="Cuneo"/>
    <s v="Via XXXIII Reggimento Fanteria, 1, 12100 Cuneo CN, Italia"/>
    <d v="2021-01-26T16:46:09"/>
    <n v="390333930898"/>
    <n v="213"/>
    <n v="4901408"/>
    <n v="7376333333"/>
    <n v="1218"/>
    <n v="4"/>
    <x v="1"/>
    <b v="0"/>
    <b v="0"/>
    <b v="0"/>
    <s v="0,43"/>
    <b v="0"/>
    <d v="2022-03-24T00:00:00"/>
    <d v="2022-05-06T00:00:00"/>
  </r>
  <r>
    <n v="530144"/>
    <b v="1"/>
    <s v="Beauty Salon 925"/>
    <s v="Company Beauty SL925"/>
    <n v="4190998"/>
    <n v="1251807"/>
    <s v="Roma"/>
    <s v="Via Lucca, 31, 00161 Roma RM, Italia"/>
    <d v="2021-02-08T09:03:27"/>
    <n v="393500800398"/>
    <n v="45"/>
    <n v="4911111"/>
    <n v="3333633337"/>
    <n v="635"/>
    <n v="3"/>
    <x v="0"/>
    <b v="0"/>
    <b v="1"/>
    <b v="1"/>
    <s v="40,24"/>
    <b v="0"/>
    <d v="2022-09-14T00:00:00"/>
    <d v="2022-09-14T00:00:00"/>
  </r>
  <r>
    <n v="5305050"/>
    <b v="1"/>
    <s v="Beauty Salon 4490"/>
    <s v="Company Beauty SL4490"/>
    <n v="3520646"/>
    <n v="2610495"/>
    <s v="Σητεία"/>
    <s v="Βιτσέντζου Κορνάρου 11, Σητεία 723 00, Ελλάδα"/>
    <d v="2021-02-09T09:32:28"/>
    <n v="308853089803"/>
    <n v="14"/>
    <n v="4428571"/>
    <n v="7373373"/>
    <n v="1525"/>
    <n v="3"/>
    <x v="1"/>
    <b v="0"/>
    <b v="0"/>
    <b v="1"/>
    <s v="0,29"/>
    <b v="0"/>
    <d v="2022-04-24T00:00:00"/>
    <d v="2022-06-16T00:00:00"/>
  </r>
  <r>
    <n v="530545"/>
    <b v="1"/>
    <s v="Beauty Salon 2789"/>
    <s v="Company Beauty SL2789"/>
    <n v="4190103"/>
    <n v="1267825"/>
    <s v="Roma"/>
    <s v="Via della Riserva Nuova, 294, 00132 Roma RM, Italia"/>
    <d v="2021-02-12T17:58:52"/>
    <n v="393988008333"/>
    <n v="0"/>
    <n v="0"/>
    <n v="7336373337"/>
    <n v="615"/>
    <n v="6"/>
    <x v="0"/>
    <b v="1"/>
    <b v="0"/>
    <b v="0"/>
    <n v="0"/>
    <b v="0"/>
    <d v="2022-05-18T00:00:00"/>
    <d v="2022-09-02T00:00:00"/>
  </r>
  <r>
    <n v="5305054"/>
    <b v="1"/>
    <s v="Beauty Salon 1026"/>
    <s v="Company Beauty SL1026"/>
    <n v="3678648"/>
    <n v="1490734"/>
    <s v="Ispica"/>
    <s v="Via Giuseppe Mazzini, 39, 97014 Ispica RG, Italia"/>
    <d v="2021-02-22T11:55:50"/>
    <n v="393353838930"/>
    <n v="85"/>
    <n v="4988235"/>
    <n v="637733333"/>
    <n v="1015"/>
    <n v="3"/>
    <x v="2"/>
    <b v="0"/>
    <b v="1"/>
    <b v="0"/>
    <s v="42,88"/>
    <b v="0"/>
    <d v="2022-02-27T00:00:00"/>
    <d v="2022-09-12T00:00:00"/>
  </r>
  <r>
    <n v="5305064"/>
    <b v="1"/>
    <s v="Beauty Salon 1336"/>
    <s v="Company Beauty SL1336"/>
    <n v="4092727"/>
    <n v="1420319"/>
    <s v="Giugliano in Campania"/>
    <s v="Via Roma, 51, 80014 Giugliano in Campania NA, Italia"/>
    <d v="2021-02-25T10:32:01"/>
    <n v="3908339380995"/>
    <n v="9"/>
    <n v="5"/>
    <n v="777773336"/>
    <n v="759"/>
    <n v="2"/>
    <x v="1"/>
    <b v="0"/>
    <b v="1"/>
    <b v="0"/>
    <s v="31,64"/>
    <b v="0"/>
    <d v="2022-11-13T00:00:00"/>
    <d v="2022-09-01T00:00:00"/>
  </r>
  <r>
    <n v="5305071"/>
    <b v="1"/>
    <s v="Beauty Salon 3392"/>
    <s v="Company Beauty SL3392"/>
    <n v="4107498"/>
    <n v="1433377"/>
    <s v="Caserta"/>
    <s v="Via Gianfrancesco Alois, 16, 81100 Caserta CE, Italia"/>
    <d v="2021-02-25T15:24:02"/>
    <n v="3908833553393"/>
    <n v="11"/>
    <n v="5"/>
    <n v="777773336"/>
    <n v="739"/>
    <n v="2"/>
    <x v="1"/>
    <b v="0"/>
    <b v="0"/>
    <b v="0"/>
    <s v="0,33"/>
    <b v="0"/>
    <d v="2022-11-21T00:00:00"/>
    <d v="2022-04-01T00:00:00"/>
  </r>
  <r>
    <n v="5305075"/>
    <b v="1"/>
    <s v="Beauty Salon 3527"/>
    <s v="Company Beauty SL3527"/>
    <n v="4084737"/>
    <n v="1419253"/>
    <s v="Napoli"/>
    <s v="Via dell'Epomeo, 488/490, 80126 Napoli NA, Italia"/>
    <d v="2021-02-25T16:59:09"/>
    <n v="393390085388"/>
    <n v="5"/>
    <n v="5"/>
    <n v="777773336"/>
    <n v="701"/>
    <n v="2"/>
    <x v="0"/>
    <b v="0"/>
    <b v="0"/>
    <b v="0"/>
    <s v="0,26"/>
    <b v="0"/>
    <d v="2022-03-20T00:00:00"/>
    <d v="2022-03-01T00:00:00"/>
  </r>
  <r>
    <n v="5305040"/>
    <b v="1"/>
    <s v="Beauty Salon 4263"/>
    <s v="Company Beauty SL4263"/>
    <n v="448653"/>
    <n v="1005974"/>
    <s v="Fidenza"/>
    <s v="Via Benedetto Bacchini, 18, 43036 Fidenza PR, Italia"/>
    <d v="2021-02-26T10:08:04"/>
    <n v="393333389355"/>
    <n v="5"/>
    <n v="5"/>
    <n v="773373733"/>
    <n v="683"/>
    <n v="5"/>
    <x v="0"/>
    <b v="0"/>
    <b v="0"/>
    <b v="0"/>
    <s v="0,26"/>
    <b v="0"/>
    <d v="2022-08-13T00:00:00"/>
    <d v="2022-01-21T00:00:00"/>
  </r>
  <r>
    <n v="53050430"/>
    <b v="1"/>
    <s v="Beauty Salon 2064"/>
    <s v="Company Beauty SL2064"/>
    <n v="4190084"/>
    <n v="1249265"/>
    <s v="Roma"/>
    <s v="Via delle Quattro Fontane, 111, 00184 Roma RM, Italia"/>
    <d v="2021-02-26T11:13:25"/>
    <m/>
    <n v="787"/>
    <n v="4866582"/>
    <n v="333673763"/>
    <n v="5166"/>
    <n v="6"/>
    <x v="0"/>
    <b v="0"/>
    <b v="0"/>
    <b v="0"/>
    <s v="0,43"/>
    <b v="0"/>
    <d v="2022-12-04T00:00:00"/>
    <d v="2022-11-15T00:00:00"/>
  </r>
  <r>
    <n v="5303050"/>
    <b v="1"/>
    <s v="Beauty Salon 186"/>
    <s v="Company Beauty SL186"/>
    <n v="404005"/>
    <n v="-371009"/>
    <s v="Madrid"/>
    <s v="Calle de Melilla, 43, 28005 Madrid, España"/>
    <d v="2021-03-11T16:48:14"/>
    <n v="35935333059"/>
    <n v="30"/>
    <n v="5"/>
    <s v="B33333733"/>
    <n v="5268"/>
    <n v="6"/>
    <x v="0"/>
    <b v="0"/>
    <b v="1"/>
    <b v="0"/>
    <s v="39,91"/>
    <b v="0"/>
    <d v="2022-12-08T00:00:00"/>
    <d v="2022-12-08T00:00:00"/>
  </r>
  <r>
    <n v="5303044"/>
    <b v="1"/>
    <s v="Beauty Salon 4987"/>
    <s v="Company Beauty SL4987"/>
    <n v="4543633"/>
    <n v="9179008"/>
    <s v="Milano"/>
    <s v="Via Francesco de Sanctis, 33, 20141 Milano MI, Italia"/>
    <d v="2021-03-15T09:31:25"/>
    <n v="393895903539"/>
    <n v="0"/>
    <n v="0"/>
    <n v="637633333"/>
    <n v="2373"/>
    <n v="4"/>
    <x v="2"/>
    <b v="0"/>
    <b v="0"/>
    <b v="0"/>
    <n v="0"/>
    <b v="0"/>
    <d v="2022-11-25T00:00:00"/>
    <d v="2022-10-16T00:00:00"/>
  </r>
  <r>
    <n v="5303056"/>
    <b v="1"/>
    <s v="Beauty Salon 102"/>
    <s v="Company Beauty SL102"/>
    <n v="4091008"/>
    <n v="1439398"/>
    <s v="Pomigliano d'Arco"/>
    <s v="Via Felice Terracciano, 100, 80038 Pomigliano d'Arco NA, Italia"/>
    <d v="2021-03-22T08:49:45"/>
    <n v="3908339339953"/>
    <n v="0"/>
    <n v="0"/>
    <n v="777773336"/>
    <n v="667"/>
    <n v="2"/>
    <x v="1"/>
    <b v="0"/>
    <b v="1"/>
    <b v="0"/>
    <n v="0"/>
    <b v="0"/>
    <d v="2022-08-20T00:00:00"/>
    <d v="2022-02-06T00:00:00"/>
  </r>
  <r>
    <n v="530604"/>
    <b v="1"/>
    <s v="Beauty Salon 4693"/>
    <s v="Company Beauty SL4693"/>
    <n v="4043728"/>
    <n v="-367514"/>
    <s v="Madrid"/>
    <s v="Calle de Coslada, 12, 28028 Madrid, España"/>
    <d v="2021-03-22T11:55:04"/>
    <n v="35985338853"/>
    <n v="51"/>
    <n v="5"/>
    <s v="Y7337373P"/>
    <n v="877"/>
    <n v="2"/>
    <x v="0"/>
    <b v="0"/>
    <b v="1"/>
    <b v="0"/>
    <s v="41,86"/>
    <b v="1"/>
    <d v="2022-07-20T00:00:00"/>
    <d v="2022-06-22T00:00:00"/>
  </r>
  <r>
    <n v="530666"/>
    <b v="1"/>
    <s v="Beauty Salon 4285"/>
    <s v="Company Beauty SL4285"/>
    <n v="4432666"/>
    <n v="8501704"/>
    <s v="Albissola Marina"/>
    <s v="Corso Baldovino Bigliati, 112, 17012 Albissola Marina SV, Italia"/>
    <d v="2021-03-29T13:47:21"/>
    <n v="393595883959"/>
    <n v="19"/>
    <n v="4842105"/>
    <n v="673733376"/>
    <n v="740"/>
    <n v="4"/>
    <x v="2"/>
    <b v="0"/>
    <b v="1"/>
    <b v="0"/>
    <s v="35,5"/>
    <b v="0"/>
    <d v="2022-07-21T00:00:00"/>
    <d v="2022-06-03T00:00:00"/>
  </r>
  <r>
    <n v="530644"/>
    <b v="1"/>
    <s v="Beauty Salon 4661"/>
    <s v="Company Beauty SL4661"/>
    <n v="3948402"/>
    <n v="-37118"/>
    <s v="València"/>
    <s v="C/ d'Almassora, 40, 46010 València, Valencia, España"/>
    <d v="2021-03-30T14:09:08"/>
    <n v="35993388088"/>
    <n v="153"/>
    <n v="4928105"/>
    <s v="33373367L"/>
    <n v="3000"/>
    <n v="4"/>
    <x v="0"/>
    <b v="0"/>
    <b v="1"/>
    <b v="0"/>
    <s v="42,9"/>
    <b v="0"/>
    <d v="2022-10-23T00:00:00"/>
    <d v="2022-07-11T00:00:00"/>
  </r>
  <r>
    <n v="5307030"/>
    <b v="1"/>
    <s v="Beauty Salon 2468"/>
    <s v="Company Beauty SL2468"/>
    <n v="4337459"/>
    <n v="1321612"/>
    <s v="Cingoli"/>
    <s v="Via Amici della Marca, 1, 62011 Cingoli MC, Italia"/>
    <d v="2021-03-31T07:23:29"/>
    <n v="390333903390"/>
    <n v="15"/>
    <n v="4733333"/>
    <n v="63373373"/>
    <n v="2199"/>
    <n v="7"/>
    <x v="2"/>
    <b v="0"/>
    <b v="1"/>
    <b v="0"/>
    <s v="32,77"/>
    <b v="0"/>
    <d v="2022-11-24T00:00:00"/>
    <d v="2022-11-05T00:00:00"/>
  </r>
  <r>
    <n v="530761"/>
    <b v="1"/>
    <s v="Beauty Salon 1887"/>
    <s v="Company Beauty SL1887"/>
    <n v="4212887"/>
    <n v="1213066"/>
    <s v="Manziana"/>
    <s v="Via S. Francesco D'Assisi, 16, 00066 Manziana RM, Italia"/>
    <d v="2021-04-07T16:08:00"/>
    <n v="393888930389"/>
    <n v="109"/>
    <n v="5"/>
    <n v="3333336"/>
    <n v="476"/>
    <n v="2"/>
    <x v="1"/>
    <b v="0"/>
    <b v="0"/>
    <b v="0"/>
    <s v="0,43"/>
    <b v="0"/>
    <d v="2022-03-02T00:00:00"/>
    <d v="2022-06-14T00:00:00"/>
  </r>
  <r>
    <n v="530416"/>
    <b v="1"/>
    <s v="Beauty Salon 3883"/>
    <s v="Company Beauty SL3883"/>
    <n v="4125323"/>
    <n v="1311648"/>
    <s v="San Felice Circeo"/>
    <s v="Viale Regina Elena, 58, 04017 San Felice Circeo LT, Italia"/>
    <d v="2021-04-13T13:49:02"/>
    <n v="393888539898"/>
    <n v="23"/>
    <n v="5"/>
    <n v="7337333373"/>
    <n v="512"/>
    <n v="2"/>
    <x v="0"/>
    <b v="0"/>
    <b v="1"/>
    <b v="0"/>
    <s v="38,59"/>
    <b v="0"/>
    <d v="2022-03-10T00:00:00"/>
    <d v="2022-08-19T00:00:00"/>
  </r>
  <r>
    <n v="5304450"/>
    <b v="1"/>
    <s v="Beauty Salon 1137"/>
    <s v="Company Beauty SL1137"/>
    <n v="4189876"/>
    <n v="1242696"/>
    <s v="Roma"/>
    <s v="Via Aurelia, 430, 00165 Roma RM, Italia"/>
    <d v="2021-04-16T09:24:47"/>
    <n v="390999035583"/>
    <n v="143"/>
    <n v="4965035"/>
    <n v="7733333333"/>
    <n v="1447"/>
    <n v="4"/>
    <x v="1"/>
    <b v="0"/>
    <b v="1"/>
    <b v="0"/>
    <s v="43,31"/>
    <b v="0"/>
    <d v="2022-10-19T00:00:00"/>
    <d v="2022-09-07T00:00:00"/>
  </r>
  <r>
    <n v="530455"/>
    <b v="1"/>
    <s v="Beauty Salon 1191"/>
    <s v="Company Beauty SL1191"/>
    <n v="4543432"/>
    <n v="7947564"/>
    <s v="Albiano D'ivrea"/>
    <s v="Corso Vittorio Emanuele, 22, 10010 Albiano D'ivrea TO, Italia"/>
    <d v="2021-04-21T13:43:19"/>
    <n v="393385589338"/>
    <n v="16"/>
    <n v="4875"/>
    <n v="633373337"/>
    <n v="946"/>
    <n v="5"/>
    <x v="2"/>
    <b v="0"/>
    <b v="1"/>
    <b v="0"/>
    <s v="34,8"/>
    <b v="0"/>
    <d v="2022-01-14T00:00:00"/>
    <d v="2022-06-16T00:00:00"/>
  </r>
  <r>
    <n v="530516"/>
    <b v="1"/>
    <s v="Beauty Salon 1477"/>
    <s v="Company Beauty SL1477"/>
    <n v="4537922"/>
    <n v="9741083"/>
    <s v="Offanengo"/>
    <s v="via A.de Gasperi, 48, 26010 Offanengo CR, Italia"/>
    <d v="2021-04-23T08:14:20"/>
    <n v="393333535589"/>
    <n v="5"/>
    <s v="4,8"/>
    <n v="736333377"/>
    <n v="514"/>
    <n v="2"/>
    <x v="0"/>
    <b v="0"/>
    <b v="0"/>
    <b v="0"/>
    <s v="0,24"/>
    <b v="0"/>
    <d v="2022-04-20T00:00:00"/>
    <d v="2022-10-27T00:00:00"/>
  </r>
  <r>
    <n v="5305304"/>
    <b v="1"/>
    <s v="Beauty Salon 730"/>
    <s v="Company Beauty SL730"/>
    <n v="4145061"/>
    <n v="2251437"/>
    <s v="Badalona"/>
    <s v="Carrer del Canonge Baranera, 80, 08911 Badalona, Barcelona, España"/>
    <d v="2021-04-27T08:09:38"/>
    <n v="35993008558"/>
    <n v="118"/>
    <n v="4813559"/>
    <s v="Y3336336V"/>
    <n v="2243"/>
    <n v="3"/>
    <x v="2"/>
    <b v="0"/>
    <b v="0"/>
    <b v="0"/>
    <s v="0,41"/>
    <b v="0"/>
    <d v="2022-04-18T00:00:00"/>
    <d v="2022-06-10T00:00:00"/>
  </r>
  <r>
    <n v="56005"/>
    <b v="1"/>
    <s v="Beauty Salon 1526"/>
    <s v="Company Beauty SL1526"/>
    <n v="4044975"/>
    <n v="-367863"/>
    <s v="Madrid"/>
    <s v="Calle Rodríguez Marín, 78, 28002 Madrid, España"/>
    <d v="2021-04-29T15:12:48"/>
    <n v="35959593533"/>
    <n v="86"/>
    <n v="4848837"/>
    <s v="Y3336733J"/>
    <n v="2744"/>
    <n v="5"/>
    <x v="1"/>
    <b v="0"/>
    <b v="1"/>
    <b v="0"/>
    <s v="41,05"/>
    <b v="1"/>
    <d v="2022-04-14T00:00:00"/>
    <d v="2022-09-13T00:00:00"/>
  </r>
  <r>
    <n v="56115"/>
    <b v="1"/>
    <s v="Beauty Salon 2514"/>
    <s v="Company Beauty SL2514"/>
    <n v="4069741"/>
    <n v="144836"/>
    <s v="Castellammare di Stabia"/>
    <s v="Via del Pittore Ignoto, 3, 80053 Castellammare di Stabia NA, Italia"/>
    <d v="2021-05-11T09:46:06"/>
    <n v="393335559339"/>
    <n v="1"/>
    <n v="5"/>
    <n v="77333337"/>
    <n v="229"/>
    <n v="3"/>
    <x v="1"/>
    <b v="0"/>
    <b v="0"/>
    <b v="0"/>
    <s v="0,11"/>
    <b v="0"/>
    <d v="2022-03-10T00:00:00"/>
    <d v="2022-04-08T00:00:00"/>
  </r>
  <r>
    <n v="565501"/>
    <b v="1"/>
    <s v="Beauty Salon 519"/>
    <s v="Company Beauty SL519"/>
    <n v="4085268"/>
    <n v="1422948"/>
    <s v="Napoli"/>
    <s v="Via Maurizio De Vito Piscicelli, 3, 80128 Napoli NA, Italia"/>
    <d v="2021-05-21T09:45:36"/>
    <n v="3908338899938"/>
    <n v="4"/>
    <n v="5"/>
    <n v="777773336"/>
    <n v="638"/>
    <n v="2"/>
    <x v="1"/>
    <b v="0"/>
    <b v="0"/>
    <b v="0"/>
    <s v="0,23"/>
    <b v="0"/>
    <d v="2022-09-12T00:00:00"/>
    <d v="2022-03-26T00:00:00"/>
  </r>
  <r>
    <n v="5655030"/>
    <b v="1"/>
    <s v="Beauty Salon 760"/>
    <s v="Company Beauty SL760"/>
    <n v="4336766"/>
    <n v="-587264"/>
    <s v="Oviedo"/>
    <s v="Calle Carreño, 7, 33012 Oviedo, Asturias, España"/>
    <d v="2021-05-21T14:06:46"/>
    <n v="35985988888"/>
    <n v="186"/>
    <n v="4973118"/>
    <s v="73337363T"/>
    <n v="1104"/>
    <n v="5"/>
    <x v="0"/>
    <b v="0"/>
    <b v="1"/>
    <b v="0"/>
    <s v="43,69"/>
    <b v="0"/>
    <d v="2022-02-02T00:00:00"/>
    <d v="2022-03-07T00:00:00"/>
  </r>
  <r>
    <n v="56556"/>
    <b v="1"/>
    <s v="Beauty Salon 2287"/>
    <s v="Company Beauty SL2287"/>
    <n v="4401091"/>
    <n v="1263999"/>
    <s v="Riccione"/>
    <s v="Viale Portofino, 26, 47838 Riccione RN, Italia"/>
    <d v="2021-05-27T14:16:01"/>
    <n v="393339558388"/>
    <n v="21"/>
    <n v="5"/>
    <n v="373373333"/>
    <n v="759"/>
    <n v="4"/>
    <x v="1"/>
    <b v="0"/>
    <b v="1"/>
    <b v="1"/>
    <s v="38,07"/>
    <b v="0"/>
    <d v="2022-12-04T00:00:00"/>
    <d v="2022-04-24T00:00:00"/>
  </r>
  <r>
    <n v="564304"/>
    <b v="1"/>
    <s v="Beauty Salon 4577"/>
    <s v="Company Beauty SL4577"/>
    <n v="3964932"/>
    <n v="1653736"/>
    <s v="Schiavonea"/>
    <s v="Via dei Gladioli, 12, 87064 Schiavonea CS, Italia"/>
    <d v="2021-06-10T14:23:40"/>
    <n v="390983838358"/>
    <n v="34"/>
    <n v="5"/>
    <n v="333737"/>
    <n v="908"/>
    <n v="5"/>
    <x v="0"/>
    <b v="0"/>
    <b v="1"/>
    <b v="0"/>
    <s v="40,45"/>
    <b v="0"/>
    <d v="2022-06-09T00:00:00"/>
    <d v="2022-05-21T00:00:00"/>
  </r>
  <r>
    <n v="563006"/>
    <b v="1"/>
    <s v="Beauty Salon 1800"/>
    <s v="Company Beauty SL1800"/>
    <n v="4544865"/>
    <n v="1098562"/>
    <s v="Verona"/>
    <s v="Via Tolosetto Farinati degli Uberti, 9b, 37126 Verona VR, Italia"/>
    <d v="2021-06-15T09:56:14"/>
    <n v="390558595390"/>
    <n v="4"/>
    <s v="3,5"/>
    <n v="637333373"/>
    <n v="741"/>
    <n v="2"/>
    <x v="2"/>
    <b v="0"/>
    <b v="1"/>
    <b v="1"/>
    <s v="14,4"/>
    <b v="0"/>
    <d v="2022-05-07T00:00:00"/>
    <d v="2022-09-26T00:00:00"/>
  </r>
  <r>
    <n v="563014"/>
    <b v="1"/>
    <s v="Beauty Salon 3521"/>
    <s v="Company Beauty SL3521"/>
    <n v="4545031"/>
    <n v="8605191"/>
    <s v="Novara"/>
    <s v="Via Giancarlo Maggi, 2, 28100 Novara NO, Italia"/>
    <d v="2021-06-15T13:36:19"/>
    <n v="390383033035"/>
    <n v="9"/>
    <n v="5"/>
    <n v="3333377"/>
    <n v="347"/>
    <n v="1"/>
    <x v="0"/>
    <b v="0"/>
    <b v="0"/>
    <b v="0"/>
    <s v="0,32"/>
    <b v="0"/>
    <d v="2022-04-25T00:00:00"/>
    <d v="2022-01-09T00:00:00"/>
  </r>
  <r>
    <n v="567304"/>
    <b v="1"/>
    <s v="Beauty Salon 1653"/>
    <s v="Company Beauty SL1653"/>
    <n v="4095016"/>
    <n v="1692565"/>
    <s v="Casamassima"/>
    <s v="Via Pietà, 79D, 70010 Casamassima BA, Italia"/>
    <d v="2021-06-29T11:18:53"/>
    <n v="393893383358"/>
    <n v="71"/>
    <n v="4859155"/>
    <n v="733"/>
    <n v="817"/>
    <n v="2"/>
    <x v="2"/>
    <b v="0"/>
    <b v="1"/>
    <b v="0"/>
    <s v="40,79"/>
    <b v="0"/>
    <d v="2022-10-18T00:00:00"/>
    <d v="2022-05-19T00:00:00"/>
  </r>
  <r>
    <n v="56555"/>
    <b v="1"/>
    <s v="Beauty Salon 273"/>
    <s v="Company Beauty SL273"/>
    <n v="4543839"/>
    <n v="1103317"/>
    <s v="Verona"/>
    <s v="Via Matteo Albertini, 1, 37131 Verona VR, Italia"/>
    <d v="2021-07-22T07:39:33"/>
    <n v="390558839383"/>
    <n v="5"/>
    <n v="5"/>
    <n v="737333373"/>
    <n v="637"/>
    <n v="2"/>
    <x v="0"/>
    <b v="0"/>
    <b v="0"/>
    <b v="0"/>
    <s v="0,26"/>
    <b v="0"/>
    <d v="2022-10-09T00:00:00"/>
    <d v="2022-07-28T00:00:00"/>
  </r>
  <r>
    <n v="57004"/>
    <b v="1"/>
    <s v="Beauty Salon 1707"/>
    <s v="Company Beauty SL1707"/>
    <n v="4577418"/>
    <n v="4826077"/>
    <s v="Lyon"/>
    <s v="109 Boulevard de la Croix-Rousse, 69004 Lyon, France"/>
    <d v="2021-07-22T12:29:05"/>
    <n v="33935338500"/>
    <n v="6"/>
    <n v="4666667"/>
    <s v="FR37377373337"/>
    <n v="42"/>
    <n v="2"/>
    <x v="0"/>
    <b v="0"/>
    <b v="1"/>
    <b v="0"/>
    <s v="24,71"/>
    <b v="0"/>
    <d v="2022-08-26T00:00:00"/>
    <d v="2022-10-11T00:00:00"/>
  </r>
  <r>
    <n v="57044"/>
    <b v="1"/>
    <s v="Beauty Salon 3950"/>
    <s v="Company Beauty SL3950"/>
    <n v="4087227"/>
    <n v="1443177"/>
    <s v="Somma Vesuviana"/>
    <s v="Via Mercato Vecchio, 61, 80049 Somma Vesuviana NA, Italia"/>
    <d v="2021-07-27T13:40:43"/>
    <n v="390838993585"/>
    <n v="5"/>
    <n v="5"/>
    <n v="777733333"/>
    <n v="815"/>
    <n v="4"/>
    <x v="0"/>
    <b v="0"/>
    <b v="0"/>
    <b v="0"/>
    <s v="0,26"/>
    <b v="0"/>
    <d v="2022-03-14T00:00:00"/>
    <d v="2022-01-23T00:00:00"/>
  </r>
  <r>
    <n v="57065"/>
    <b v="1"/>
    <s v="Beauty Salon 1257"/>
    <s v="Company Beauty SL1257"/>
    <n v="4463927"/>
    <n v="7498464"/>
    <s v="Saluzzo"/>
    <s v="Via Cuneo, 4, 12037 Saluzzo CN, Italia"/>
    <d v="2021-07-28T14:16:49"/>
    <n v="390335833330"/>
    <n v="3"/>
    <n v="5"/>
    <n v="736333333"/>
    <n v="921"/>
    <n v="4"/>
    <x v="0"/>
    <b v="0"/>
    <b v="1"/>
    <b v="0"/>
    <s v="20,16"/>
    <b v="0"/>
    <d v="2022-04-18T00:00:00"/>
    <d v="2022-02-04T00:00:00"/>
  </r>
  <r>
    <n v="57141"/>
    <b v="0"/>
    <s v="Beauty Salon 1486"/>
    <s v="Company Beauty SL1486"/>
    <n v="4860825"/>
    <n v="2968942"/>
    <s v="Quiers"/>
    <s v="30 Rue de Saint-Martin, 77720 Quiers, France"/>
    <d v="2021-08-02T14:50:08"/>
    <n v="33988983833"/>
    <n v="40"/>
    <s v="4,95"/>
    <m/>
    <n v="204"/>
    <n v="1"/>
    <x v="0"/>
    <b v="0"/>
    <b v="1"/>
    <b v="0"/>
    <s v="40,36"/>
    <b v="0"/>
    <d v="2022-07-27T00:00:00"/>
    <d v="2022-07-27T00:00:00"/>
  </r>
  <r>
    <n v="571530"/>
    <b v="1"/>
    <s v="Beauty Salon 2606"/>
    <s v="Company Beauty SL2606"/>
    <n v="4883703"/>
    <n v="2397879"/>
    <s v="Paris"/>
    <s v="75 Rue Claude Decaen, 75012 Paris, France"/>
    <d v="2021-08-09T17:14:22"/>
    <n v="33353559335"/>
    <n v="0"/>
    <n v="0"/>
    <n v="733733733"/>
    <n v="1218"/>
    <n v="3"/>
    <x v="1"/>
    <b v="0"/>
    <b v="1"/>
    <b v="0"/>
    <n v="0"/>
    <b v="0"/>
    <d v="2022-08-22T00:00:00"/>
    <d v="2022-10-02T00:00:00"/>
  </r>
  <r>
    <n v="575304"/>
    <b v="1"/>
    <s v="Beauty Salon 3482"/>
    <s v="Company Beauty SL3482"/>
    <n v="4889312"/>
    <n v="2326444"/>
    <s v="Paris"/>
    <s v="5 Rue de La Jonquière, 75017 Paris, France"/>
    <d v="2021-08-18T07:55:40"/>
    <n v="33983989359"/>
    <n v="3"/>
    <n v="4"/>
    <s v="FR33373337737"/>
    <n v="36"/>
    <n v="1"/>
    <x v="2"/>
    <b v="1"/>
    <b v="0"/>
    <b v="0"/>
    <s v="0,15"/>
    <b v="0"/>
    <d v="2022-09-03T00:00:00"/>
    <d v="2022-10-31T00:00:00"/>
  </r>
  <r>
    <n v="573000"/>
    <b v="1"/>
    <s v="Beauty Salon 3928"/>
    <s v="Company Beauty SL3928"/>
    <n v="4377359"/>
    <n v="1124427"/>
    <s v="Firenze"/>
    <s v="Borgo Ognissanti, 106R, 50123 Firenze FI, Italia"/>
    <d v="2021-09-09T12:48:33"/>
    <n v="390559898550"/>
    <n v="52"/>
    <s v="4,75"/>
    <n v="7337363337"/>
    <n v="1127"/>
    <n v="3"/>
    <x v="0"/>
    <b v="0"/>
    <b v="0"/>
    <b v="0"/>
    <s v="0,39"/>
    <b v="0"/>
    <d v="2022-08-12T00:00:00"/>
    <d v="2022-03-06T00:00:00"/>
  </r>
  <r>
    <n v="573014"/>
    <b v="1"/>
    <s v="Beauty Salon 1882"/>
    <s v="Company Beauty SL1882"/>
    <n v="4164528"/>
    <n v="-89683"/>
    <s v="Zaragoza"/>
    <s v="Calle Tomas Breton, 40, 50005 Zaragoza, España"/>
    <d v="2021-09-10T08:20:50"/>
    <n v="35939595508"/>
    <n v="323"/>
    <n v="4972136"/>
    <s v="333337377G"/>
    <n v="2660"/>
    <n v="6"/>
    <x v="1"/>
    <b v="0"/>
    <b v="1"/>
    <b v="0"/>
    <s v="44,07"/>
    <b v="0"/>
    <d v="2022-10-10T00:00:00"/>
    <d v="2022-09-03T00:00:00"/>
  </r>
  <r>
    <n v="57615"/>
    <b v="1"/>
    <s v="Beauty Salon 1714"/>
    <s v="Company Beauty SL1714"/>
    <n v="4189514"/>
    <n v="1245047"/>
    <s v="Roma"/>
    <s v="Via della Cava Aurelia, 147, 00165 Roma RM, Italia"/>
    <d v="2021-09-16T08:45:18"/>
    <n v="393335933998"/>
    <n v="23"/>
    <n v="4956522"/>
    <n v="7733333"/>
    <n v="429"/>
    <n v="5"/>
    <x v="0"/>
    <b v="0"/>
    <b v="1"/>
    <b v="0"/>
    <n v="38"/>
    <b v="0"/>
    <d v="2022-10-26T00:00:00"/>
    <d v="2022-09-21T00:00:00"/>
  </r>
  <r>
    <n v="57444"/>
    <b v="1"/>
    <s v="Beauty Salon 1416"/>
    <s v="Company Beauty SL1416"/>
    <n v="4871309"/>
    <n v="1901065"/>
    <s v="Les Essarts-le-Roi"/>
    <s v="1 Rés Parc des Essarts, 78690 Les Essarts-le-Roi, France"/>
    <d v="2021-09-29T10:31:58"/>
    <n v="33980350903"/>
    <n v="13"/>
    <n v="5"/>
    <s v="FR3377737737"/>
    <n v="233"/>
    <n v="1"/>
    <x v="2"/>
    <b v="0"/>
    <b v="1"/>
    <b v="0"/>
    <s v="34,8"/>
    <b v="0"/>
    <d v="2022-07-20T00:00:00"/>
    <d v="2022-09-04T00:00:00"/>
  </r>
  <r>
    <n v="57504"/>
    <b v="1"/>
    <s v="Beauty Salon 4347"/>
    <s v="Company Beauty SL4347"/>
    <n v="4554101"/>
    <n v="1159252"/>
    <s v="Vicenza"/>
    <s v="Via Generale Carlo Alberto dalla Chiesa, 173, 36100 Vicenza VI, Italia"/>
    <d v="2021-10-01T12:47:17"/>
    <n v="393589395853"/>
    <n v="5"/>
    <n v="5"/>
    <n v="7776733333"/>
    <n v="206"/>
    <n v="2"/>
    <x v="2"/>
    <b v="0"/>
    <b v="0"/>
    <b v="0"/>
    <s v="0,26"/>
    <b v="0"/>
    <d v="2022-09-27T00:00:00"/>
    <d v="2022-05-30T00:00:00"/>
  </r>
  <r>
    <n v="57544"/>
    <b v="1"/>
    <s v="Beauty Salon 4099"/>
    <s v="Company Beauty SL4099"/>
    <n v="4058511"/>
    <n v="9001444"/>
    <s v="Ozieri"/>
    <s v="Via Umberto I, 62, 07014 Ozieri SS"/>
    <d v="2021-10-06T13:56:29"/>
    <n v="393508999398"/>
    <n v="63"/>
    <n v="4857143"/>
    <n v="733333733"/>
    <n v="398"/>
    <n v="2"/>
    <x v="1"/>
    <b v="0"/>
    <b v="1"/>
    <b v="0"/>
    <s v="40,48"/>
    <b v="0"/>
    <d v="2022-09-14T00:00:00"/>
    <d v="2022-08-19T00:00:00"/>
  </r>
  <r>
    <n v="540630"/>
    <b v="1"/>
    <s v="Beauty Salon 2370"/>
    <s v="Company Beauty SL2370"/>
    <n v="3847894"/>
    <n v="-78189"/>
    <s v="Petrer"/>
    <s v="Av. Reina Sofia, 13, 03610 Petrer, Alicante, España"/>
    <d v="2021-10-08T12:09:56"/>
    <n v="35995539595"/>
    <n v="9"/>
    <n v="4888889"/>
    <n v="773733"/>
    <n v="2076"/>
    <n v="4"/>
    <x v="2"/>
    <b v="0"/>
    <b v="1"/>
    <b v="0"/>
    <s v="30,46"/>
    <b v="0"/>
    <d v="2022-08-18T00:00:00"/>
    <d v="2022-12-07T00:00:00"/>
  </r>
  <r>
    <n v="54146"/>
    <b v="1"/>
    <s v="Beauty Salon 3209"/>
    <s v="Company Beauty SL3209"/>
    <n v="4235507"/>
    <n v="1414196"/>
    <s v="Chieti"/>
    <s v="Via Ortona, 9, 66100 Chieti CH, Italia"/>
    <d v="2021-10-14T07:09:57"/>
    <n v="390833335955"/>
    <n v="24"/>
    <n v="4833333"/>
    <n v="733673"/>
    <n v="686"/>
    <n v="3"/>
    <x v="0"/>
    <b v="0"/>
    <b v="0"/>
    <b v="0"/>
    <s v="0,37"/>
    <b v="0"/>
    <d v="2022-08-14T00:00:00"/>
    <d v="2022-09-04T00:00:00"/>
  </r>
  <r>
    <n v="54160"/>
    <b v="1"/>
    <s v="Beauty Salon 2868"/>
    <s v="Company Beauty SL2868"/>
    <n v="454417"/>
    <n v="1076536"/>
    <s v="Castelnuovo del Garda"/>
    <s v="Via Trento, 46, 37014 Castelnuovo del Garda VR, Italia"/>
    <d v="2021-10-14T12:45:10"/>
    <n v="393508535839"/>
    <n v="0"/>
    <n v="0"/>
    <n v="7773733377"/>
    <n v="271"/>
    <n v="1"/>
    <x v="1"/>
    <b v="0"/>
    <b v="1"/>
    <b v="0"/>
    <n v="0"/>
    <b v="0"/>
    <d v="2022-10-02T00:00:00"/>
    <d v="2022-10-12T00:00:00"/>
  </r>
  <r>
    <n v="54170"/>
    <b v="1"/>
    <s v="Beauty Salon 2566"/>
    <s v="Company Beauty SL2566"/>
    <n v="3988848"/>
    <n v="-8178"/>
    <s v="Borriana"/>
    <s v="Carrer la Carrera, 36, 12530 Borriana, Castelló, España"/>
    <d v="2021-10-15T08:46:09"/>
    <n v="35995533590"/>
    <n v="59"/>
    <n v="4983051"/>
    <s v="33737363R"/>
    <n v="1289"/>
    <n v="4"/>
    <x v="1"/>
    <b v="0"/>
    <b v="1"/>
    <b v="1"/>
    <s v="42,01"/>
    <b v="0"/>
    <d v="2022-11-14T00:00:00"/>
    <d v="2022-01-30T00:00:00"/>
  </r>
  <r>
    <n v="545550"/>
    <b v="0"/>
    <s v="Beauty Salon 2613"/>
    <s v="Company Beauty SL2613"/>
    <n v="4900523"/>
    <n v="2115856"/>
    <s v="Conflans-Sainte-Honorine"/>
    <s v="18 Pl. de la Liberté, 78700 Conflans-Sainte-Honorine, France"/>
    <d v="2021-10-18T15:41:02"/>
    <n v="33995383358"/>
    <n v="17"/>
    <n v="5"/>
    <s v="FR73377333773"/>
    <n v="127"/>
    <n v="1"/>
    <x v="2"/>
    <b v="0"/>
    <b v="1"/>
    <b v="0"/>
    <s v="36,75"/>
    <b v="0"/>
    <d v="2022-08-28T00:00:00"/>
    <d v="2022-08-15T00:00:00"/>
  </r>
  <r>
    <n v="54544"/>
    <b v="1"/>
    <s v="Beauty Salon 1172"/>
    <s v="Company Beauty SL1172"/>
    <n v="406694"/>
    <n v="2291712"/>
    <s v="Εύοσμος"/>
    <s v="17ης Νοεμβρίου 6, Εύοσμος 562 24, Ελλάδα"/>
    <d v="2021-10-19T14:46:43"/>
    <n v="308330383303"/>
    <n v="0"/>
    <n v="0"/>
    <n v="37337637"/>
    <n v="1304"/>
    <n v="4"/>
    <x v="2"/>
    <b v="1"/>
    <b v="0"/>
    <b v="0"/>
    <n v="0"/>
    <b v="0"/>
    <d v="2022-08-05T00:00:00"/>
    <d v="2022-10-22T00:00:00"/>
  </r>
  <r>
    <n v="5450050"/>
    <b v="1"/>
    <s v="Beauty Salon 4437"/>
    <s v="Company Beauty SL4437"/>
    <n v="4190782"/>
    <n v="1248804"/>
    <s v="Roma"/>
    <s v="Via Lombardia, 00187 Roma RM, Italia"/>
    <d v="2021-10-21T19:02:13"/>
    <n v="393335959839"/>
    <n v="0"/>
    <n v="0"/>
    <m/>
    <n v="71"/>
    <n v="1"/>
    <x v="0"/>
    <b v="0"/>
    <b v="0"/>
    <b v="0"/>
    <n v="0"/>
    <b v="0"/>
    <d v="2022-09-16T00:00:00"/>
    <d v="2022-11-18T00:00:00"/>
  </r>
  <r>
    <n v="545074"/>
    <b v="1"/>
    <s v="Beauty Salon 3799"/>
    <s v="Company Beauty SL3799"/>
    <n v="4336092"/>
    <n v="-841899"/>
    <s v="A Coruña"/>
    <s v="Rúa Fuente Álamo, 15, 15010 A Coruña"/>
    <d v="2021-10-26T18:00:09"/>
    <n v="35953833393"/>
    <n v="4"/>
    <n v="5"/>
    <s v="B36373376"/>
    <n v="639"/>
    <n v="3"/>
    <x v="0"/>
    <b v="0"/>
    <b v="1"/>
    <b v="0"/>
    <s v="23,25"/>
    <b v="0"/>
    <d v="2022-11-30T00:00:00"/>
    <d v="2022-11-07T00:00:00"/>
  </r>
  <r>
    <n v="54414"/>
    <b v="1"/>
    <s v="Beauty Salon 387"/>
    <s v="Company Beauty SL387"/>
    <n v="413745"/>
    <n v="2158109"/>
    <s v="Barcelona"/>
    <s v="Carrer de Ricart, 32, 08004 Barcelona, España"/>
    <d v="2021-10-28T07:52:17"/>
    <m/>
    <n v="9"/>
    <n v="5"/>
    <s v="X7733333V"/>
    <n v="49"/>
    <n v="2"/>
    <x v="2"/>
    <b v="0"/>
    <b v="1"/>
    <b v="0"/>
    <s v="31,64"/>
    <b v="0"/>
    <d v="2022-09-12T00:00:00"/>
    <d v="2022-08-31T00:00:00"/>
  </r>
  <r>
    <n v="54460"/>
    <b v="1"/>
    <s v="Beauty Salon 2047"/>
    <s v="Company Beauty SL2047"/>
    <n v="4257421"/>
    <n v="-54594"/>
    <s v="Jaca"/>
    <s v="Av. Zaragoza, 32, 22700 Jaca, Huesca, España"/>
    <d v="2021-10-28T15:25:24"/>
    <n v="35935093938"/>
    <n v="97"/>
    <n v="4989691"/>
    <s v="73773737R"/>
    <n v="1427"/>
    <n v="3"/>
    <x v="1"/>
    <b v="0"/>
    <b v="1"/>
    <b v="0"/>
    <s v="43,13"/>
    <b v="0"/>
    <d v="2022-05-13T00:00:00"/>
    <d v="2022-11-22T00:00:00"/>
  </r>
  <r>
    <n v="543076"/>
    <b v="1"/>
    <s v="Beauty Salon 1812"/>
    <s v="Company Beauty SL1812"/>
    <n v="3921568"/>
    <n v="9126436"/>
    <s v="Cagliari"/>
    <s v="Via Enrico Pessina, 3, 09125 Cagliari CA, Italia"/>
    <d v="2021-11-04T11:48:54"/>
    <n v="390305983988"/>
    <n v="146"/>
    <n v="4979452"/>
    <n v="7337363737"/>
    <n v="20380"/>
    <n v="19"/>
    <x v="1"/>
    <b v="0"/>
    <b v="0"/>
    <b v="0"/>
    <s v="0,44"/>
    <b v="0"/>
    <d v="2022-09-12T00:00:00"/>
    <d v="2022-10-23T00:00:00"/>
  </r>
  <r>
    <n v="54756"/>
    <b v="1"/>
    <s v="Beauty Salon 4523"/>
    <s v="Company Beauty SL4523"/>
    <n v="4086971"/>
    <n v="1423503"/>
    <s v="Napoli"/>
    <s v="Via Eduardo Nicolardi, 192, 80131 Napoli NA, Italia"/>
    <d v="2021-11-12T13:13:58"/>
    <n v="393503035833"/>
    <n v="46"/>
    <n v="5"/>
    <n v="6733763336"/>
    <n v="375"/>
    <n v="2"/>
    <x v="0"/>
    <b v="0"/>
    <b v="1"/>
    <b v="1"/>
    <s v="41,4"/>
    <b v="0"/>
    <d v="2022-09-07T00:00:00"/>
    <d v="2022-10-04T00:00:00"/>
  </r>
  <r>
    <n v="544550"/>
    <b v="1"/>
    <s v="Beauty Salon 4772"/>
    <s v="Company Beauty SL4772"/>
    <n v="3805471"/>
    <n v="23811"/>
    <s v="Μαρούσι"/>
    <s v="Μητροπόλεως 43, Μαρούσι 151 24, Ελλάδα"/>
    <d v="2021-11-17T10:18:57"/>
    <n v="308335839399"/>
    <n v="89"/>
    <n v="4865169"/>
    <n v="3337377"/>
    <n v="852"/>
    <n v="2"/>
    <x v="0"/>
    <b v="0"/>
    <b v="0"/>
    <b v="0"/>
    <s v="0,41"/>
    <b v="0"/>
    <d v="2022-08-26T00:00:00"/>
    <d v="2022-11-02T00:00:00"/>
  </r>
  <r>
    <n v="544305"/>
    <b v="1"/>
    <s v="Beauty Salon 4985"/>
    <s v="Company Beauty SL4985"/>
    <n v="3794761"/>
    <n v="2373785"/>
    <s v="Άγιος Δημήτριος Αττικής"/>
    <s v="Μπουμπουλίνας 10, Αγ. Δημήτριος Αττικής 173 43, Ελλάδα"/>
    <d v="2021-11-18T13:46:56"/>
    <n v="308003000803"/>
    <n v="75"/>
    <n v="4893333"/>
    <n v="673733"/>
    <n v="1490"/>
    <n v="9"/>
    <x v="0"/>
    <b v="0"/>
    <b v="1"/>
    <b v="0"/>
    <s v="41,34"/>
    <b v="0"/>
    <d v="2022-08-19T00:00:00"/>
    <d v="2022-09-02T00:00:00"/>
  </r>
  <r>
    <n v="54465"/>
    <b v="1"/>
    <s v="Beauty Salon 3353"/>
    <s v="Company Beauty SL3353"/>
    <n v="4496247"/>
    <n v="1025767"/>
    <s v="Sissa Trecasali"/>
    <s v="Piazza G. Picelli, 11, 43018 Sissa Trecasali PR, Italia"/>
    <d v="2021-11-18T16:50:59"/>
    <n v="393393503953"/>
    <n v="4"/>
    <n v="5"/>
    <n v="737333736"/>
    <n v="526"/>
    <n v="2"/>
    <x v="0"/>
    <b v="0"/>
    <b v="0"/>
    <b v="0"/>
    <s v="0,23"/>
    <b v="0"/>
    <d v="2022-11-21T00:00:00"/>
    <d v="2022-08-28T00:00:00"/>
  </r>
  <r>
    <n v="544730"/>
    <b v="1"/>
    <s v="Beauty Salon 1546"/>
    <s v="Company Beauty SL1546"/>
    <n v="4044504"/>
    <n v="-367515"/>
    <s v="Madrid"/>
    <s v="C. de Vinaroz, 6, 28002 Madrid, España"/>
    <d v="2021-11-19T08:42:56"/>
    <m/>
    <n v="2"/>
    <s v="2,5"/>
    <s v="Y7737737N"/>
    <n v="103"/>
    <n v="4"/>
    <x v="2"/>
    <b v="0"/>
    <b v="1"/>
    <b v="0"/>
    <s v="9,26"/>
    <b v="0"/>
    <d v="2022-10-15T00:00:00"/>
    <d v="2022-12-07T00:00:00"/>
  </r>
  <r>
    <n v="544450"/>
    <b v="1"/>
    <s v="Beauty Salon 4748"/>
    <s v="Company Beauty SL4748"/>
    <n v="4545194"/>
    <n v="918372"/>
    <s v="Milano"/>
    <s v="Viale Col di Lana, 12, 20136 Milano MI, Italia"/>
    <d v="2021-11-19T10:17:24"/>
    <n v="390889509953"/>
    <n v="82"/>
    <n v="4865854"/>
    <n v="7333763"/>
    <n v="6773"/>
    <n v="4"/>
    <x v="0"/>
    <b v="0"/>
    <b v="1"/>
    <b v="1"/>
    <s v="41,17"/>
    <b v="1"/>
    <d v="2022-11-22T00:00:00"/>
    <d v="2022-08-01T00:00:00"/>
  </r>
  <r>
    <n v="54504"/>
    <b v="1"/>
    <s v="Beauty Salon 3472"/>
    <s v="Company Beauty SL3472"/>
    <n v="370837"/>
    <n v="1528249"/>
    <s v="Siracusa"/>
    <s v="Via Luigi Spagna, 81/83, 96100 Siracusa SR, Italia"/>
    <d v="2021-11-19T14:30:21"/>
    <n v="393509885399"/>
    <n v="15"/>
    <n v="4866667"/>
    <n v="763733373"/>
    <n v="575"/>
    <n v="6"/>
    <x v="0"/>
    <b v="0"/>
    <b v="1"/>
    <b v="0"/>
    <s v="34,27"/>
    <b v="0"/>
    <d v="2022-08-19T00:00:00"/>
    <d v="2022-08-25T00:00:00"/>
  </r>
  <r>
    <n v="54506"/>
    <b v="1"/>
    <s v="Beauty Salon 3716"/>
    <s v="Company Beauty SL3716"/>
    <n v="4189473"/>
    <n v="1256212"/>
    <s v="Roma"/>
    <s v="Via Prenestina, 394f, 00171 Roma RM, Italia"/>
    <d v="2021-11-19T15:05:36"/>
    <n v="393889588853"/>
    <n v="33"/>
    <n v="4878788"/>
    <n v="773373333"/>
    <n v="4672"/>
    <n v="10"/>
    <x v="1"/>
    <b v="0"/>
    <b v="1"/>
    <b v="0"/>
    <s v="38,7"/>
    <b v="0"/>
    <d v="2022-12-01T00:00:00"/>
    <d v="2022-11-12T00:00:00"/>
  </r>
  <r>
    <n v="54574"/>
    <b v="1"/>
    <s v="Beauty Salon 138"/>
    <s v="Company Beauty SL138"/>
    <n v="2848545"/>
    <n v="-16319"/>
    <s v="San Cristóbal de La Laguna"/>
    <s v="C. Pablo Iglesias, 22, 38203 San Cristóbal de La Laguna, Santa Cruz de Tenerife, España"/>
    <d v="2021-11-23T15:14:10"/>
    <n v="35988593333"/>
    <n v="34"/>
    <n v="5"/>
    <s v="73377377X"/>
    <n v="718"/>
    <n v="2"/>
    <x v="0"/>
    <b v="0"/>
    <b v="1"/>
    <b v="0"/>
    <s v="40,45"/>
    <b v="0"/>
    <d v="2022-12-02T00:00:00"/>
    <d v="2022-04-23T00:00:00"/>
  </r>
  <r>
    <n v="54544"/>
    <b v="1"/>
    <s v="Beauty Salon 558"/>
    <s v="Company Beauty SL558"/>
    <n v="3898324"/>
    <n v="1300852"/>
    <s v="Sant Antoni de Portmany"/>
    <s v="Carrer de Cervantes, 38, 07820 Sant Antoni de Portmany, Illes Balears, España"/>
    <d v="2021-11-24T09:19:37"/>
    <n v="35955385538"/>
    <n v="36"/>
    <n v="4944444"/>
    <s v="37333337T"/>
    <n v="803"/>
    <n v="1"/>
    <x v="2"/>
    <b v="0"/>
    <b v="1"/>
    <b v="0"/>
    <s v="39,9"/>
    <b v="0"/>
    <d v="2022-10-05T00:00:00"/>
    <d v="2022-09-22T00:00:00"/>
  </r>
  <r>
    <n v="55016"/>
    <b v="1"/>
    <s v="Beauty Salon 2866"/>
    <s v="Company Beauty SL2866"/>
    <n v="4548006"/>
    <n v="920442"/>
    <s v="Milano"/>
    <s v="Via Luigi Settembrini, 2, 20124 Milano MI, Italia"/>
    <d v="2021-11-24T15:57:47"/>
    <n v="390859585550"/>
    <n v="28"/>
    <s v="4,75"/>
    <n v="73333737"/>
    <n v="1417"/>
    <n v="6"/>
    <x v="1"/>
    <b v="0"/>
    <b v="0"/>
    <b v="0"/>
    <s v="0,36"/>
    <b v="0"/>
    <d v="2022-11-07T00:00:00"/>
    <d v="2022-10-01T00:00:00"/>
  </r>
  <r>
    <n v="55017"/>
    <b v="1"/>
    <s v="Beauty Salon 1056"/>
    <s v="Company Beauty SL1056"/>
    <n v="408998"/>
    <n v="1427077"/>
    <s v="Casavatore"/>
    <s v="Corso Europa, 130, 80020 Casavatore NA, Italy"/>
    <d v="2021-11-24T16:13:11"/>
    <m/>
    <n v="20"/>
    <n v="5"/>
    <n v="37373333"/>
    <n v="3463"/>
    <n v="8"/>
    <x v="0"/>
    <b v="0"/>
    <b v="1"/>
    <b v="0"/>
    <s v="37,78"/>
    <b v="0"/>
    <d v="2022-09-10T00:00:00"/>
    <d v="2022-10-21T00:00:00"/>
  </r>
  <r>
    <n v="55545"/>
    <b v="1"/>
    <s v="Beauty Salon 2282"/>
    <s v="Company Beauty SL2282"/>
    <n v="415863"/>
    <n v="2240244"/>
    <s v="Lliçà de Vall"/>
    <s v="Plaça de la Vila, 2, 08150 Lliçà de Vall, Barcelona, España"/>
    <d v="2021-12-10T09:02:10"/>
    <n v="35989553098"/>
    <n v="47"/>
    <n v="487234"/>
    <s v="X7336633N"/>
    <n v="305"/>
    <n v="1"/>
    <x v="0"/>
    <b v="0"/>
    <b v="1"/>
    <b v="0"/>
    <s v="39,87"/>
    <b v="0"/>
    <d v="2022-11-25T00:00:00"/>
    <d v="2022-12-01T00:00:00"/>
  </r>
  <r>
    <n v="555550"/>
    <b v="1"/>
    <s v="Beauty Salon 1971"/>
    <s v="Company Beauty SL1971"/>
    <n v="4882415"/>
    <n v="2325051"/>
    <s v="Paris"/>
    <s v="4 Rue Poirier de Narçay, 75014 Paris, France"/>
    <d v="2021-12-10T10:02:50"/>
    <n v="33988053583"/>
    <n v="2"/>
    <s v="3,5"/>
    <s v="FR33373337337"/>
    <n v="70"/>
    <n v="4"/>
    <x v="0"/>
    <b v="0"/>
    <b v="1"/>
    <b v="0"/>
    <s v="11,02"/>
    <b v="0"/>
    <d v="2022-10-18T00:00:00"/>
    <d v="2022-11-20T00:00:00"/>
  </r>
  <r>
    <n v="55407"/>
    <b v="1"/>
    <s v="Beauty Salon 741"/>
    <s v="Company Beauty SL741"/>
    <n v="4336145"/>
    <n v="-842201"/>
    <s v="La Coruña"/>
    <s v="Rda. de Outeiro, 255, 15010 La Coruña, España"/>
    <d v="2021-12-17T11:40:18"/>
    <n v="35930093955"/>
    <n v="53"/>
    <n v="4811321"/>
    <s v="73773333N"/>
    <n v="2116"/>
    <n v="4"/>
    <x v="1"/>
    <b v="0"/>
    <b v="1"/>
    <b v="0"/>
    <s v="39,47"/>
    <b v="0"/>
    <d v="2022-09-02T00:00:00"/>
    <d v="2022-11-21T00:00:00"/>
  </r>
  <r>
    <n v="55405"/>
    <b v="1"/>
    <s v="Beauty Salon 220"/>
    <s v="Company Beauty SL220"/>
    <n v="4043596"/>
    <n v="-367791"/>
    <s v="Madrid"/>
    <s v="Calle del Gral Oraá, 59, 28006 Madrid, España"/>
    <d v="2021-12-17T12:19:32"/>
    <n v="35983855959"/>
    <n v="33"/>
    <n v="4818182"/>
    <s v="Y3373337S"/>
    <n v="676"/>
    <n v="5"/>
    <x v="1"/>
    <b v="0"/>
    <b v="1"/>
    <b v="0"/>
    <s v="37,94"/>
    <b v="0"/>
    <d v="2022-11-12T00:00:00"/>
    <d v="2022-09-05T00:00:00"/>
  </r>
  <r>
    <n v="55410"/>
    <b v="1"/>
    <s v="Beauty Salon 3399"/>
    <s v="Company Beauty SL3399"/>
    <n v="4043177"/>
    <n v="-368585"/>
    <s v="Madrid"/>
    <s v="C. de Padilla, 5, 28006 Madrid, España"/>
    <d v="2021-12-17T12:46:42"/>
    <n v="35930888589"/>
    <n v="38"/>
    <n v="5"/>
    <s v="B77337333"/>
    <n v="172"/>
    <n v="3"/>
    <x v="0"/>
    <b v="0"/>
    <b v="1"/>
    <b v="0"/>
    <s v="40,88"/>
    <b v="0"/>
    <d v="2022-09-11T00:00:00"/>
    <d v="2022-11-14T00:00:00"/>
  </r>
  <r>
    <n v="55416"/>
    <b v="1"/>
    <s v="Beauty Salon 3280"/>
    <s v="Company Beauty SL3280"/>
    <n v="433572"/>
    <n v="-831806"/>
    <s v="Oleiros"/>
    <s v="Rúa do Peneireiro, 1, 15178 Oleiros, A Coruña, España"/>
    <d v="2021-12-17T19:15:04"/>
    <n v="35905058099"/>
    <n v="0"/>
    <n v="0"/>
    <s v="Y7377373J"/>
    <n v="183"/>
    <n v="4"/>
    <x v="0"/>
    <b v="0"/>
    <b v="1"/>
    <b v="0"/>
    <n v="0"/>
    <b v="0"/>
    <d v="2022-08-19T00:00:00"/>
    <d v="2022-10-27T00:00:00"/>
  </r>
  <r>
    <n v="554505"/>
    <b v="1"/>
    <s v="Beauty Salon 4890"/>
    <s v="Company Beauty SL4890"/>
    <n v="42147"/>
    <n v="-42585"/>
    <s v="Huesca"/>
    <s v="C. Mesnaderos, 8, 22003 Huesca"/>
    <d v="2021-12-21T08:04:36"/>
    <n v="35958388580"/>
    <n v="32"/>
    <n v="49375"/>
    <s v="Y3377363T"/>
    <n v="743"/>
    <n v="2"/>
    <x v="2"/>
    <b v="0"/>
    <b v="1"/>
    <b v="0"/>
    <s v="39,33"/>
    <b v="0"/>
    <d v="2022-08-04T00:00:00"/>
    <d v="2022-11-29T00:00:00"/>
  </r>
  <r>
    <n v="554304"/>
    <b v="1"/>
    <s v="Beauty Salon 698"/>
    <s v="Company Beauty SL698"/>
    <n v="4150086"/>
    <n v="1816091"/>
    <s v="Masquefa"/>
    <s v="Carrer Serralet, 92, 08783 Masquefa, Barcelona, España"/>
    <d v="2021-12-21T14:57:44"/>
    <n v="35935993330"/>
    <n v="2"/>
    <n v="5"/>
    <s v="37677336K"/>
    <n v="251"/>
    <n v="3"/>
    <x v="0"/>
    <b v="0"/>
    <b v="1"/>
    <b v="0"/>
    <s v="16,12"/>
    <b v="0"/>
    <d v="2022-10-27T00:00:00"/>
    <d v="2022-09-09T00:00:00"/>
  </r>
  <r>
    <n v="55461"/>
    <b v="1"/>
    <s v="Beauty Salon 461"/>
    <s v="Company Beauty SL461"/>
    <n v="4041133"/>
    <n v="-370779"/>
    <s v="Madrid"/>
    <s v="C. de San Millán, 5, 28012 Madrid, España"/>
    <d v="2021-12-21T16:16:38"/>
    <n v="35935838933"/>
    <n v="12"/>
    <n v="5"/>
    <s v="B33733333"/>
    <n v="420"/>
    <n v="2"/>
    <x v="0"/>
    <b v="0"/>
    <b v="1"/>
    <b v="0"/>
    <s v="34,15"/>
    <b v="0"/>
    <d v="2022-09-30T00:00:00"/>
    <d v="2022-11-18T00:00:00"/>
  </r>
  <r>
    <n v="55464"/>
    <b v="1"/>
    <s v="Beauty Salon 2150"/>
    <s v="Company Beauty SL2150"/>
    <n v="4246631"/>
    <n v="-245769"/>
    <s v="Logroño"/>
    <s v="Av. Gonzalo de Berceo, 26, 26005 Logroño, La Rioja, España"/>
    <d v="2021-12-21T16:46:44"/>
    <n v="35953030333"/>
    <n v="13"/>
    <n v="4538462"/>
    <s v="X3333333C"/>
    <n v="358"/>
    <n v="1"/>
    <x v="1"/>
    <b v="0"/>
    <b v="1"/>
    <b v="0"/>
    <s v="29,8"/>
    <b v="0"/>
    <d v="2022-09-06T00:00:00"/>
    <d v="2022-08-09T00:00:00"/>
  </r>
  <r>
    <n v="554630"/>
    <b v="1"/>
    <s v="Beauty Salon 2506"/>
    <s v="Company Beauty SL2506"/>
    <n v="3887414"/>
    <n v="-697979"/>
    <s v="Badajoz"/>
    <s v="Av. de Cristobal Colón, 18, 06005 Badajoz, España"/>
    <d v="2021-12-22T05:48:36"/>
    <n v="35933535353"/>
    <n v="5"/>
    <n v="5"/>
    <s v="E67733367"/>
    <n v="163"/>
    <n v="4"/>
    <x v="2"/>
    <b v="0"/>
    <b v="1"/>
    <b v="0"/>
    <s v="25,67"/>
    <b v="0"/>
    <d v="2022-10-03T00:00:00"/>
    <d v="2022-11-16T00:00:00"/>
  </r>
  <r>
    <n v="55465"/>
    <b v="1"/>
    <s v="Beauty Salon 122"/>
    <s v="Company Beauty SL122"/>
    <n v="4139501"/>
    <n v="2163668"/>
    <s v="Barcelona"/>
    <s v="C. de Mallorca, 277, 08037 Barcelona, España"/>
    <d v="2021-12-22T08:19:58"/>
    <n v="35985089393"/>
    <n v="3"/>
    <n v="5"/>
    <s v="33336737T"/>
    <n v="220"/>
    <n v="3"/>
    <x v="1"/>
    <b v="0"/>
    <b v="1"/>
    <b v="0"/>
    <s v="20,16"/>
    <b v="0"/>
    <d v="2022-11-07T00:00:00"/>
    <d v="2022-09-06T00:00:00"/>
  </r>
  <r>
    <n v="55470"/>
    <b v="0"/>
    <s v="Beauty Salon 971"/>
    <s v="Company Beauty SL971"/>
    <n v="4185473"/>
    <n v="2820684"/>
    <s v="Sant Andreu Salou"/>
    <s v="Can Mas Nou, 74, Veïnat de les Bosques, 17454 Sant Andreu Salou, Girona, España"/>
    <d v="2021-12-22T08:32:01"/>
    <n v="35989385895"/>
    <n v="160"/>
    <s v="4,9"/>
    <s v="33377337K"/>
    <n v="894"/>
    <n v="10"/>
    <x v="1"/>
    <b v="0"/>
    <b v="1"/>
    <b v="0"/>
    <s v="42,59"/>
    <b v="0"/>
    <d v="2022-10-29T00:00:00"/>
    <d v="2022-11-11T00:00:00"/>
  </r>
  <r>
    <n v="55444"/>
    <b v="1"/>
    <s v="Beauty Salon 1885"/>
    <s v="Company Beauty SL1885"/>
    <n v="4046456"/>
    <n v="-363502"/>
    <s v="Madrid"/>
    <s v="C. de Mota del Cuervo, 8, 28043 Madrid, España"/>
    <d v="2021-12-22T11:56:18"/>
    <n v="35938838339"/>
    <n v="14"/>
    <n v="4928571"/>
    <s v="B33773337"/>
    <n v="1187"/>
    <n v="5"/>
    <x v="0"/>
    <b v="0"/>
    <b v="1"/>
    <b v="0"/>
    <s v="34,5"/>
    <b v="0"/>
    <d v="2022-10-07T00:00:00"/>
    <d v="2022-11-28T00:00:00"/>
  </r>
  <r>
    <n v="55455"/>
    <b v="1"/>
    <s v="Beauty Salon 2836"/>
    <s v="Company Beauty SL2836"/>
    <n v="4134802"/>
    <n v="2108329"/>
    <s v="L'Hospitalet de Llobregat"/>
    <s v="C. de la Ermita de Bellvitge, 21, 29, 08907 L'Hospitalet de Llobregat, Barcelona, España"/>
    <d v="2021-12-23T11:36:23"/>
    <n v="35950958555"/>
    <n v="9"/>
    <n v="5"/>
    <s v="Y3333333Z"/>
    <n v="2163"/>
    <n v="1"/>
    <x v="1"/>
    <b v="0"/>
    <b v="1"/>
    <b v="0"/>
    <s v="31,64"/>
    <b v="0"/>
    <d v="2022-06-05T00:00:00"/>
    <d v="2022-12-08T00:00:00"/>
  </r>
  <r>
    <n v="553017"/>
    <b v="1"/>
    <s v="Beauty Salon 3001"/>
    <s v="Company Beauty SL3001"/>
    <n v="3777845"/>
    <n v="-379136"/>
    <s v="Jaén"/>
    <s v="C. San Francisco Javier, 23006 Jaén, España"/>
    <d v="2021-12-27T09:51:33"/>
    <n v="35853895393"/>
    <n v="16"/>
    <n v="5"/>
    <s v="77777376Y"/>
    <n v="455"/>
    <n v="1"/>
    <x v="0"/>
    <b v="0"/>
    <b v="1"/>
    <b v="0"/>
    <s v="36,33"/>
    <b v="0"/>
    <d v="2022-07-12T00:00:00"/>
    <d v="2022-11-22T00:00:00"/>
  </r>
  <r>
    <n v="553051"/>
    <b v="1"/>
    <s v="Beauty Salon 3185"/>
    <s v="Company Beauty SL3185"/>
    <n v="4031686"/>
    <n v="-387741"/>
    <s v="Móstoles"/>
    <s v="C. Río Tormes, 17, 28935 Móstoles, Madrid, España"/>
    <d v="2021-12-27T17:40:58"/>
    <n v="35938393888"/>
    <n v="21"/>
    <n v="5"/>
    <s v="33737777T"/>
    <n v="1520"/>
    <n v="2"/>
    <x v="0"/>
    <b v="0"/>
    <b v="1"/>
    <b v="0"/>
    <s v="38,07"/>
    <b v="0"/>
    <d v="2022-09-20T00:00:00"/>
    <d v="2022-01-22T00:00:00"/>
  </r>
  <r>
    <n v="5530501"/>
    <b v="1"/>
    <s v="Beauty Salon 2328"/>
    <s v="Company Beauty SL2328"/>
    <n v="3950488"/>
    <n v="-4397"/>
    <s v="Paterna"/>
    <s v="Carrer de Sant Agustí, 2, 46980 Paterna, Valencia, España"/>
    <d v="2021-12-28T14:45:24"/>
    <n v="35993889398"/>
    <n v="23"/>
    <n v="4869565"/>
    <s v="33733363F"/>
    <n v="514"/>
    <n v="4"/>
    <x v="1"/>
    <b v="0"/>
    <b v="0"/>
    <b v="0"/>
    <s v="0,37"/>
    <b v="0"/>
    <d v="2022-02-18T00:00:00"/>
    <d v="2022-09-03T00:00:00"/>
  </r>
  <r>
    <n v="5530504"/>
    <b v="1"/>
    <s v="Beauty Salon 3359"/>
    <s v="Company Beauty SL3359"/>
    <n v="3717542"/>
    <n v="-360749"/>
    <s v="Granada"/>
    <s v="C. Emperatriz Eugenia, 17, 18002 Granada, España"/>
    <d v="2021-12-29T11:28:25"/>
    <n v="35958053055"/>
    <n v="28"/>
    <n v="4785714"/>
    <s v="B67733767"/>
    <n v="2085"/>
    <n v="5"/>
    <x v="1"/>
    <b v="0"/>
    <b v="1"/>
    <b v="0"/>
    <s v="36,85"/>
    <b v="0"/>
    <d v="2022-10-08T00:00:00"/>
    <d v="2022-11-06T00:00:00"/>
  </r>
  <r>
    <n v="553044"/>
    <b v="1"/>
    <s v="Beauty Salon 1730"/>
    <s v="Company Beauty SL1730"/>
    <n v="4140294"/>
    <n v="2179602"/>
    <s v="Barcelona"/>
    <s v="C/ d'Aragó, 458, 08013 Barcelona, España"/>
    <d v="2021-12-29T17:33:29"/>
    <n v="35989033595"/>
    <n v="17"/>
    <n v="5"/>
    <s v="37733363D"/>
    <n v="427"/>
    <n v="2"/>
    <x v="2"/>
    <b v="0"/>
    <b v="1"/>
    <b v="0"/>
    <s v="36,75"/>
    <b v="0"/>
    <d v="2022-11-11T00:00:00"/>
    <d v="2022-11-19T00:00:00"/>
  </r>
  <r>
    <n v="553066"/>
    <b v="0"/>
    <s v="Beauty Salon 1829"/>
    <s v="Company Beauty SL1829"/>
    <n v="4040128"/>
    <n v="-366055"/>
    <s v="Madrid"/>
    <s v="C. de Sierra Toledana, 19, 28038 Madrid, España"/>
    <d v="2021-12-31T07:57:47"/>
    <n v="35998533598"/>
    <n v="5"/>
    <n v="5"/>
    <s v="36373333R"/>
    <n v="813"/>
    <n v="1"/>
    <x v="0"/>
    <b v="0"/>
    <b v="1"/>
    <b v="1"/>
    <s v="25,67"/>
    <b v="0"/>
    <d v="2022-08-02T00:00:00"/>
    <d v="2022-11-27T00:00:00"/>
  </r>
  <r>
    <n v="553064"/>
    <b v="1"/>
    <s v="Beauty Salon 4173"/>
    <s v="Company Beauty SL4173"/>
    <n v="4137639"/>
    <n v="2152919"/>
    <s v="Barcelona"/>
    <s v="Carrer de Vilamarí, 26, 08015 Barcelona, España"/>
    <d v="2021-12-31T09:14:55"/>
    <n v="35950838553"/>
    <n v="9"/>
    <n v="5"/>
    <s v="37333337Y"/>
    <n v="38"/>
    <n v="1"/>
    <x v="2"/>
    <b v="0"/>
    <b v="1"/>
    <b v="0"/>
    <s v="31,64"/>
    <b v="0"/>
    <d v="2022-11-04T00:00:00"/>
    <d v="2022-10-18T00:00:00"/>
  </r>
  <r>
    <n v="553054"/>
    <b v="1"/>
    <s v="Beauty Salon 4725"/>
    <s v="Company Beauty SL4725"/>
    <n v="4044328"/>
    <n v="-368008"/>
    <s v="Madrid"/>
    <s v="C. de Gabriel Lobo, 18, 28002 Madrid, España"/>
    <d v="2022-01-03T12:05:39"/>
    <n v="35955908553"/>
    <n v="9"/>
    <n v="4666667"/>
    <s v="B67733337"/>
    <n v="237"/>
    <n v="3"/>
    <x v="0"/>
    <b v="0"/>
    <b v="1"/>
    <b v="0"/>
    <s v="28,27"/>
    <b v="1"/>
    <d v="2022-03-18T00:00:00"/>
    <d v="2022-03-20T00:00:00"/>
  </r>
  <r>
    <n v="55617"/>
    <b v="1"/>
    <s v="Beauty Salon 4688"/>
    <s v="Company Beauty SL4688"/>
    <n v="4046905"/>
    <n v="-366369"/>
    <s v="Madrid"/>
    <s v="C. de Mesena, 108, 28033 Madrid, España"/>
    <d v="2022-01-04T12:16:20"/>
    <n v="35930935535"/>
    <n v="10"/>
    <n v="5"/>
    <s v="36333637N"/>
    <n v="538"/>
    <n v="3"/>
    <x v="2"/>
    <b v="0"/>
    <b v="1"/>
    <b v="0"/>
    <s v="32,6"/>
    <b v="0"/>
    <d v="2022-05-02T00:00:00"/>
    <d v="2022-03-07T00:00:00"/>
  </r>
  <r>
    <n v="556506"/>
    <b v="1"/>
    <s v="Beauty Salon 1609"/>
    <s v="Company Beauty SL1609"/>
    <n v="3651132"/>
    <n v="-489088"/>
    <s v="Marbella"/>
    <s v="C. Jacinto Benavente, 23, 29601 Marbella, Málaga, España"/>
    <d v="2022-01-05T12:01:27"/>
    <n v="35958903599"/>
    <n v="10"/>
    <n v="5"/>
    <s v="Y7777373S"/>
    <n v="254"/>
    <n v="2"/>
    <x v="1"/>
    <b v="0"/>
    <b v="1"/>
    <b v="0"/>
    <s v="32,6"/>
    <b v="0"/>
    <d v="2022-04-24T00:00:00"/>
    <d v="2022-05-27T00:00:00"/>
  </r>
  <r>
    <n v="55646"/>
    <b v="1"/>
    <s v="Beauty Salon 174"/>
    <s v="Company Beauty SL174"/>
    <n v="4045444"/>
    <n v="-367847"/>
    <s v="Madrid"/>
    <s v="C. Serrano, 217, 28016 Madrid, España"/>
    <d v="2022-01-05T15:33:40"/>
    <n v="35953393355"/>
    <n v="8"/>
    <n v="4875"/>
    <s v="33363333N"/>
    <n v="162"/>
    <n v="1"/>
    <x v="2"/>
    <b v="0"/>
    <b v="1"/>
    <b v="0"/>
    <s v="29,25"/>
    <b v="0"/>
    <d v="2022-03-08T00:00:00"/>
    <d v="2022-09-06T00:00:00"/>
  </r>
  <r>
    <n v="55665"/>
    <b v="1"/>
    <s v="Beauty Salon 3167"/>
    <s v="Company Beauty SL3167"/>
    <n v="4140121"/>
    <n v="2183311"/>
    <s v="Barcelona"/>
    <s v="Gran Via de les Corts Catalanes, 753, 08013 Barcelona, España"/>
    <d v="2022-01-07T11:12:42"/>
    <n v="35933885003"/>
    <n v="53"/>
    <n v="4981132"/>
    <s v="Y6776733P"/>
    <n v="407"/>
    <n v="1"/>
    <x v="2"/>
    <b v="0"/>
    <b v="1"/>
    <b v="0"/>
    <s v="41,69"/>
    <b v="0"/>
    <d v="2022-03-12T00:00:00"/>
    <d v="2022-07-10T00:00:00"/>
  </r>
  <r>
    <n v="55666"/>
    <b v="1"/>
    <s v="Beauty Salon 82"/>
    <s v="Company Beauty SL82"/>
    <n v="4091589"/>
    <n v="1478702"/>
    <s v="Avellino"/>
    <s v="Piazza D'Armi, 10, 83100 Avellino AV, Italia"/>
    <d v="2022-01-07T12:36:04"/>
    <n v="393393855505"/>
    <n v="0"/>
    <n v="0"/>
    <m/>
    <n v="392"/>
    <n v="2"/>
    <x v="1"/>
    <b v="0"/>
    <b v="0"/>
    <b v="0"/>
    <n v="0"/>
    <b v="0"/>
    <d v="2022-09-23T00:00:00"/>
    <d v="2022-11-25T00:00:00"/>
  </r>
  <r>
    <n v="55664"/>
    <b v="1"/>
    <s v="Beauty Salon 602"/>
    <s v="Company Beauty SL602"/>
    <n v="413744"/>
    <n v="2147192"/>
    <s v="Barcelona"/>
    <s v="Pl. d'Urquinaona, 6, 14c, 08010 Barcelona, España"/>
    <d v="2022-01-07T13:09:16"/>
    <n v="35988355883"/>
    <n v="2"/>
    <n v="5"/>
    <s v="Y6677373D"/>
    <n v="28"/>
    <n v="1"/>
    <x v="2"/>
    <b v="0"/>
    <b v="1"/>
    <b v="0"/>
    <s v="16,12"/>
    <b v="0"/>
    <d v="2022-10-13T00:00:00"/>
    <d v="2022-08-29T00:00:00"/>
  </r>
  <r>
    <n v="55754"/>
    <b v="1"/>
    <s v="Beauty Salon 1901"/>
    <s v="Company Beauty SL1901"/>
    <n v="451384"/>
    <n v="7772754"/>
    <s v="Settimo Torinese"/>
    <s v="Via Italia, 53, 10036 Settimo Torinese TO, Italia"/>
    <d v="2022-01-12T09:17:09"/>
    <n v="390338000999"/>
    <n v="33"/>
    <n v="496875"/>
    <n v="73333333"/>
    <n v="1028"/>
    <n v="4"/>
    <x v="2"/>
    <b v="0"/>
    <b v="0"/>
    <b v="0"/>
    <s v="0,4"/>
    <b v="0"/>
    <d v="2022-10-08T00:00:00"/>
    <d v="2022-07-14T00:00:00"/>
  </r>
  <r>
    <n v="55767"/>
    <b v="1"/>
    <s v="Beauty Salon 1930"/>
    <s v="Company Beauty SL1930"/>
    <n v="4280884"/>
    <n v="-16585"/>
    <s v="Pamplona"/>
    <s v="Av. de Pío XII, 29, 31008 Pamplona, Navarra, España"/>
    <d v="2022-01-14T08:20:14"/>
    <n v="35999339999"/>
    <n v="29"/>
    <n v="5"/>
    <s v="73337333L"/>
    <n v="132"/>
    <n v="1"/>
    <x v="2"/>
    <b v="0"/>
    <b v="1"/>
    <b v="0"/>
    <s v="39,76"/>
    <b v="1"/>
    <d v="2022-09-14T00:00:00"/>
    <d v="2022-08-23T00:00:00"/>
  </r>
  <r>
    <n v="55405"/>
    <b v="1"/>
    <s v="Beauty Salon 4084"/>
    <s v="Company Beauty SL4084"/>
    <n v="408466"/>
    <n v="1419883"/>
    <s v="Napoli"/>
    <s v="Via Stanislao Manna, 76, 80126 Napoli NA, Italia"/>
    <d v="2022-01-17T23:02:02"/>
    <n v="393333333395"/>
    <n v="32"/>
    <n v="484375"/>
    <n v="7337373333"/>
    <n v="1677"/>
    <n v="7"/>
    <x v="1"/>
    <b v="0"/>
    <b v="1"/>
    <b v="0"/>
    <s v="38,13"/>
    <b v="0"/>
    <d v="2022-10-24T00:00:00"/>
    <d v="2022-03-21T00:00:00"/>
  </r>
  <r>
    <n v="554305"/>
    <b v="1"/>
    <s v="Beauty Salon 1310"/>
    <s v="Company Beauty SL1310"/>
    <n v="4564401"/>
    <n v="9135775"/>
    <s v="Seveso"/>
    <s v="Corso Giuseppe Garibaldi, 35, 20822 Seveso MB, Italia"/>
    <d v="2022-01-20T09:57:39"/>
    <n v="393989805388"/>
    <n v="217"/>
    <n v="4935484"/>
    <n v="7377373766"/>
    <n v="4399"/>
    <n v="10"/>
    <x v="2"/>
    <b v="0"/>
    <b v="1"/>
    <b v="0"/>
    <s v="43,33"/>
    <b v="0"/>
    <d v="2022-04-18T00:00:00"/>
    <d v="2022-11-02T00:00:00"/>
  </r>
  <r>
    <n v="554304"/>
    <b v="1"/>
    <s v="Beauty Salon 2791"/>
    <s v="Company Beauty SL2791"/>
    <n v="4556296"/>
    <n v="1046362"/>
    <s v="Chiesa"/>
    <s v="Via Guglielmo Marconi, 11, 25080 Chiesa BS, Italia"/>
    <d v="2022-01-20T10:24:52"/>
    <n v="393803330885"/>
    <n v="0"/>
    <n v="0"/>
    <n v="733333737"/>
    <n v="1692"/>
    <n v="8"/>
    <x v="0"/>
    <b v="0"/>
    <b v="1"/>
    <b v="0"/>
    <n v="0"/>
    <b v="0"/>
    <d v="2022-04-11T00:00:00"/>
    <d v="2022-11-20T00:00:00"/>
  </r>
  <r>
    <n v="55457"/>
    <b v="1"/>
    <s v="Beauty Salon 1872"/>
    <s v="Company Beauty SL1872"/>
    <n v="3947118"/>
    <n v="-38758"/>
    <s v="València"/>
    <s v="Carrer del Palleter, 38, 46008 València, Valencia, España"/>
    <d v="2022-01-24T09:21:36"/>
    <n v="35980589893"/>
    <n v="3"/>
    <n v="3666667"/>
    <s v="77373337D"/>
    <n v="448"/>
    <n v="3"/>
    <x v="1"/>
    <b v="0"/>
    <b v="1"/>
    <b v="0"/>
    <s v="13,51"/>
    <b v="0"/>
    <d v="2022-09-29T00:00:00"/>
    <d v="2022-04-13T00:00:00"/>
  </r>
  <r>
    <n v="555505"/>
    <b v="0"/>
    <s v="Beauty Salon 1882"/>
    <s v="Company Beauty SL1882"/>
    <n v="4884385"/>
    <n v="2432172"/>
    <s v="Vincennes"/>
    <s v="34 Av. Franklin Roosevelt, 94300 Vincennes, France"/>
    <d v="2022-01-26T07:59:08"/>
    <n v="33359353059"/>
    <n v="41"/>
    <n v="4878049"/>
    <s v="FR36333673733"/>
    <n v="739"/>
    <n v="2"/>
    <x v="2"/>
    <b v="0"/>
    <b v="1"/>
    <b v="0"/>
    <s v="39,5"/>
    <b v="0"/>
    <d v="2022-10-15T00:00:00"/>
    <d v="2022-11-26T00:00:00"/>
  </r>
  <r>
    <n v="500141"/>
    <b v="1"/>
    <s v="Beauty Salon 2333"/>
    <s v="Company Beauty SL2333"/>
    <n v="4545667"/>
    <n v="9169827"/>
    <s v="Milano"/>
    <s v="Viale Coni Zugna, 52, 20131 Milano MI, Italia"/>
    <d v="2022-02-04T08:09:06"/>
    <n v="39088383339"/>
    <n v="62"/>
    <n v="4919355"/>
    <n v="77733763"/>
    <n v="744"/>
    <n v="6"/>
    <x v="0"/>
    <b v="0"/>
    <b v="0"/>
    <b v="0"/>
    <s v="0,41"/>
    <b v="0"/>
    <d v="2022-05-12T00:00:00"/>
    <d v="2022-10-28T00:00:00"/>
  </r>
  <r>
    <n v="500510"/>
    <b v="1"/>
    <s v="Beauty Salon 2632"/>
    <s v="Company Beauty SL2632"/>
    <n v="4038098"/>
    <n v="-366301"/>
    <s v="Madrid"/>
    <s v="Av. Pablo Neruda, 102, 28018 Madrid, España"/>
    <d v="2022-02-09T11:35:19"/>
    <n v="35959383339"/>
    <n v="10"/>
    <s v="4,9"/>
    <s v="73767373L"/>
    <n v="92"/>
    <n v="1"/>
    <x v="0"/>
    <b v="0"/>
    <b v="1"/>
    <b v="0"/>
    <s v="31,5"/>
    <b v="0"/>
    <d v="2022-06-23T00:00:00"/>
    <d v="2022-10-26T00:00:00"/>
  </r>
  <r>
    <n v="500515"/>
    <b v="1"/>
    <s v="Beauty Salon 2926"/>
    <s v="Company Beauty SL2926"/>
    <n v="3809577"/>
    <n v="-116602"/>
    <s v="La Alcayna"/>
    <s v="C. Picos de Europa, 61, 30507 La Alcayna, Murcia, España"/>
    <d v="2022-02-09T12:10:38"/>
    <n v="35988388550"/>
    <n v="8"/>
    <n v="5"/>
    <s v="33333336D"/>
    <n v="3958"/>
    <n v="2"/>
    <x v="2"/>
    <b v="0"/>
    <b v="1"/>
    <b v="0"/>
    <s v="30,52"/>
    <b v="0"/>
    <d v="2022-03-16T00:00:00"/>
    <d v="2022-05-18T00:00:00"/>
  </r>
  <r>
    <n v="500571"/>
    <b v="1"/>
    <s v="Beauty Salon 4941"/>
    <s v="Company Beauty SL4941"/>
    <n v="4036874"/>
    <n v="-3485"/>
    <s v="Velilla de San Antonio"/>
    <s v="C. San Sebastián, 6, 28891 Velilla de San Antonio, Madrid, España"/>
    <d v="2022-02-11T10:21:13"/>
    <n v="35989933935"/>
    <n v="16"/>
    <n v="5"/>
    <s v="B33377333"/>
    <n v="1447"/>
    <n v="6"/>
    <x v="1"/>
    <b v="0"/>
    <b v="1"/>
    <b v="0"/>
    <s v="36,33"/>
    <b v="0"/>
    <d v="2022-09-15T00:00:00"/>
    <d v="2022-05-17T00:00:00"/>
  </r>
  <r>
    <n v="5005430"/>
    <b v="1"/>
    <s v="Beauty Salon 1624"/>
    <s v="Company Beauty SL1624"/>
    <n v="4157241"/>
    <n v="2036312"/>
    <s v="Terrassa"/>
    <s v="Carrer de Sierra Nevada, 11, 08227 Terrassa, Barcelona, España"/>
    <d v="2022-02-11T12:02:27"/>
    <n v="35989839358"/>
    <n v="12"/>
    <n v="5"/>
    <s v="33633633Y"/>
    <n v="517"/>
    <n v="5"/>
    <x v="0"/>
    <b v="0"/>
    <b v="1"/>
    <b v="0"/>
    <s v="33,43"/>
    <b v="0"/>
    <d v="2022-08-24T00:00:00"/>
    <d v="2022-11-10T00:00:00"/>
  </r>
  <r>
    <n v="500401"/>
    <b v="1"/>
    <s v="Beauty Salon 2264"/>
    <s v="Company Beauty SL2264"/>
    <n v="3690735"/>
    <n v="1513753"/>
    <s v="Avola"/>
    <s v="Largo Baluardo, 11, 96012 Avola SR, Italia"/>
    <d v="2022-02-16T15:05:51"/>
    <n v="393533330939"/>
    <n v="2"/>
    <n v="5"/>
    <n v="7333373"/>
    <n v="147"/>
    <n v="2"/>
    <x v="0"/>
    <b v="0"/>
    <b v="1"/>
    <b v="0"/>
    <s v="16,12"/>
    <b v="0"/>
    <d v="2022-07-20T00:00:00"/>
    <d v="2022-03-26T00:00:00"/>
  </r>
  <r>
    <n v="5004450"/>
    <b v="1"/>
    <s v="Beauty Salon 3091"/>
    <s v="Company Beauty SL3091"/>
    <n v="4081309"/>
    <n v="1433577"/>
    <s v="Portici"/>
    <s v="Via Emanuele Gianturco, 34, 80055 Portici NA, Italia"/>
    <d v="2022-02-18T09:00:16"/>
    <n v="393353930833"/>
    <n v="0"/>
    <n v="0"/>
    <n v="7377773333"/>
    <n v="690"/>
    <n v="6"/>
    <x v="2"/>
    <b v="0"/>
    <b v="0"/>
    <b v="0"/>
    <n v="0"/>
    <b v="0"/>
    <d v="2022-04-15T00:00:00"/>
    <d v="2022-05-02T00:00:00"/>
  </r>
  <r>
    <n v="5004430"/>
    <b v="1"/>
    <s v="Beauty Salon 2810"/>
    <s v="Company Beauty SL2810"/>
    <n v="4885899"/>
    <n v="2368906"/>
    <s v="Paris"/>
    <s v="58 Rue St Sabin, 75011 Paris, France"/>
    <d v="2022-02-21T10:12:14"/>
    <n v="33933935380"/>
    <n v="12"/>
    <n v="5"/>
    <n v="373377373"/>
    <n v="60"/>
    <n v="1"/>
    <x v="1"/>
    <b v="0"/>
    <b v="0"/>
    <b v="0"/>
    <s v="0,34"/>
    <b v="0"/>
    <d v="2022-10-01T00:00:00"/>
    <d v="2022-07-13T00:00:00"/>
  </r>
  <r>
    <n v="500457"/>
    <b v="1"/>
    <s v="Beauty Salon 2912"/>
    <s v="Company Beauty SL2912"/>
    <n v="460516"/>
    <n v="1112188"/>
    <s v="Trento"/>
    <s v="Via Padre Eusebio Iori, 11, 38123 Trento TN, Italia"/>
    <d v="2022-02-21T13:06:12"/>
    <n v="393999033985"/>
    <n v="12"/>
    <n v="5"/>
    <n v="737363333"/>
    <n v="617"/>
    <n v="4"/>
    <x v="1"/>
    <b v="0"/>
    <b v="1"/>
    <b v="0"/>
    <s v="34,15"/>
    <b v="0"/>
    <d v="2022-10-12T00:00:00"/>
    <d v="2022-05-05T00:00:00"/>
  </r>
  <r>
    <n v="5003057"/>
    <b v="1"/>
    <s v="Beauty Salon 3920"/>
    <s v="Company Beauty SL3920"/>
    <n v="4174435"/>
    <n v="262734"/>
    <s v="Hostalric"/>
    <s v="Carrer Poeta Ruyra, 18, 17450 Hostalric, Girona, España"/>
    <d v="2022-02-23T07:59:23"/>
    <n v="35938895998"/>
    <n v="54"/>
    <n v="5"/>
    <s v="B67737377"/>
    <n v="840"/>
    <n v="3"/>
    <x v="0"/>
    <b v="0"/>
    <b v="1"/>
    <b v="0"/>
    <s v="42,02"/>
    <b v="1"/>
    <d v="2022-07-01T00:00:00"/>
    <d v="2022-08-14T00:00:00"/>
  </r>
  <r>
    <n v="500303050"/>
    <b v="1"/>
    <s v="Beauty Salon 2227"/>
    <s v="Company Beauty SL2227"/>
    <n v="4141918"/>
    <n v="217257"/>
    <s v="Barcelona"/>
    <s v="Av. de la Mare de Déu de Montserrat, 170, 08041 Barcelona, España"/>
    <d v="2022-02-23T14:09:49"/>
    <n v="35938583383"/>
    <n v="52"/>
    <n v="5"/>
    <s v="Y7737733S"/>
    <n v="477"/>
    <n v="3"/>
    <x v="0"/>
    <b v="0"/>
    <b v="1"/>
    <b v="0"/>
    <s v="41,91"/>
    <b v="0"/>
    <d v="2022-07-18T00:00:00"/>
    <d v="2022-08-26T00:00:00"/>
  </r>
  <r>
    <n v="500667"/>
    <b v="1"/>
    <s v="Beauty Salon 3820"/>
    <s v="Company Beauty SL3820"/>
    <n v="4476163"/>
    <n v="1077453"/>
    <s v="Correggio"/>
    <s v="Via Luciano Tondelli, 42015 Correggio RE, Italia"/>
    <d v="2022-02-28T15:01:51"/>
    <n v="393985853383"/>
    <n v="0"/>
    <n v="0"/>
    <n v="773733"/>
    <n v="153"/>
    <n v="4"/>
    <x v="0"/>
    <b v="0"/>
    <b v="1"/>
    <b v="0"/>
    <n v="0"/>
    <b v="0"/>
    <d v="2022-09-07T00:00:00"/>
    <d v="2022-08-05T00:00:00"/>
  </r>
  <r>
    <n v="500646"/>
    <b v="1"/>
    <s v="Beauty Salon 1690"/>
    <s v="Company Beauty SL1690"/>
    <n v="454773"/>
    <n v="9203002"/>
    <s v="Milano"/>
    <s v="Via Lodovico Settala, 3, 20124 Milano MI, Italia"/>
    <d v="2022-03-01T09:01:54"/>
    <n v="390839985355"/>
    <n v="1"/>
    <n v="5"/>
    <n v="767"/>
    <n v="243"/>
    <n v="1"/>
    <x v="1"/>
    <b v="0"/>
    <b v="1"/>
    <b v="0"/>
    <s v="10,97"/>
    <b v="0"/>
    <d v="2022-09-20T00:00:00"/>
    <d v="2022-10-11T00:00:00"/>
  </r>
  <r>
    <n v="500655"/>
    <b v="1"/>
    <s v="Beauty Salon 1750"/>
    <s v="Company Beauty SL1750"/>
    <n v="3793667"/>
    <n v="2292424"/>
    <s v="Κόρινθος"/>
    <s v="Γεωρ. Παπανδρέου 41, Κόρινθος 201 00, Ελλάδα"/>
    <d v="2022-03-01T10:19:13"/>
    <n v="308353305998"/>
    <n v="4"/>
    <n v="5"/>
    <n v="33733663"/>
    <n v="691"/>
    <n v="5"/>
    <x v="0"/>
    <b v="0"/>
    <b v="1"/>
    <b v="0"/>
    <s v="23,25"/>
    <b v="0"/>
    <d v="2022-11-17T00:00:00"/>
    <d v="2022-10-19T00:00:00"/>
  </r>
  <r>
    <n v="5004150"/>
    <b v="1"/>
    <s v="Beauty Salon 3951"/>
    <s v="Company Beauty SL3951"/>
    <n v="4883687"/>
    <n v="2289336"/>
    <s v="Paris"/>
    <s v="216 Rue de la Croix Nivert, 75015 Paris, France"/>
    <d v="2022-03-07T11:36:30"/>
    <n v="33983890338"/>
    <n v="3"/>
    <n v="5"/>
    <s v="FR33737373767"/>
    <n v="35"/>
    <n v="2"/>
    <x v="0"/>
    <b v="1"/>
    <b v="0"/>
    <b v="0"/>
    <s v="20,16"/>
    <b v="0"/>
    <d v="2022-10-08T00:00:00"/>
    <d v="2022-11-05T00:00:00"/>
  </r>
  <r>
    <n v="5004506"/>
    <b v="0"/>
    <s v="Beauty Salon 491"/>
    <s v="Company Beauty SL491"/>
    <n v="3921742"/>
    <n v="9126415"/>
    <s v="Cagliari"/>
    <s v="Via Giovanni Battista Tuveri, 16, 09129 Cagliari CA, Italia"/>
    <d v="2022-03-08T11:17:47"/>
    <n v="393539039038"/>
    <n v="14"/>
    <n v="5"/>
    <n v="7377373737"/>
    <n v="2268"/>
    <n v="4"/>
    <x v="0"/>
    <b v="0"/>
    <b v="1"/>
    <b v="0"/>
    <s v="35,37"/>
    <b v="0"/>
    <d v="2022-10-14T00:00:00"/>
    <d v="2022-10-18T00:00:00"/>
  </r>
  <r>
    <n v="500447"/>
    <b v="0"/>
    <s v="Beauty Salon 2005"/>
    <s v="Company Beauty SL2005"/>
    <n v="4545658"/>
    <n v="9187281"/>
    <s v="Milano"/>
    <s v="Corso di Porta Vittoria, 8,20122 Milano MI"/>
    <d v="2022-03-10T10:17:45"/>
    <n v="393393389833"/>
    <n v="0"/>
    <n v="0"/>
    <n v="773763"/>
    <n v="267"/>
    <n v="1"/>
    <x v="1"/>
    <b v="0"/>
    <b v="0"/>
    <b v="0"/>
    <n v="0"/>
    <b v="0"/>
    <d v="2022-09-05T00:00:00"/>
    <d v="2022-10-06T00:00:00"/>
  </r>
  <r>
    <n v="500444"/>
    <b v="1"/>
    <s v="Beauty Salon 3641"/>
    <s v="Company Beauty SL3641"/>
    <n v="404027"/>
    <n v="17637"/>
    <s v="Manduria"/>
    <s v="Viale Mancini, 7, 74024 Manduria TA, Italia"/>
    <d v="2022-03-10T10:19:27"/>
    <n v="393338938389"/>
    <n v="3"/>
    <n v="5"/>
    <n v="733773"/>
    <n v="1444"/>
    <n v="6"/>
    <x v="0"/>
    <b v="0"/>
    <b v="1"/>
    <b v="0"/>
    <s v="20,16"/>
    <b v="0"/>
    <d v="2022-11-11T00:00:00"/>
    <d v="2022-09-29T00:00:00"/>
  </r>
  <r>
    <n v="500554"/>
    <b v="0"/>
    <s v="Beauty Salon 264"/>
    <s v="Company Beauty SL264"/>
    <n v="3718782"/>
    <n v="-57863"/>
    <s v="Utrera"/>
    <s v="C. Rubén Darío, 16, 41710 Utrera, Sevilla, España"/>
    <d v="2022-03-11T14:10:25"/>
    <n v="35955593399"/>
    <n v="13"/>
    <n v="5"/>
    <s v="37333333F"/>
    <n v="673"/>
    <n v="3"/>
    <x v="2"/>
    <b v="0"/>
    <b v="1"/>
    <b v="0"/>
    <s v="34,15"/>
    <b v="0"/>
    <d v="2022-11-23T00:00:00"/>
    <d v="2022-09-22T00:00:00"/>
  </r>
  <r>
    <n v="5005450"/>
    <b v="1"/>
    <s v="Beauty Salon 4717"/>
    <s v="Company Beauty SL4717"/>
    <n v="455064"/>
    <n v="9232015"/>
    <s v="Milano"/>
    <s v="Via Asiago, 59, 20128 Milano MI, Italia"/>
    <d v="2022-03-14T10:34:59"/>
    <n v="390883000835"/>
    <n v="113"/>
    <n v="4769912"/>
    <n v="7333373766"/>
    <n v="4287"/>
    <n v="5"/>
    <x v="2"/>
    <b v="0"/>
    <b v="0"/>
    <b v="1"/>
    <s v="0,41"/>
    <b v="0"/>
    <d v="2022-11-18T00:00:00"/>
    <d v="2022-09-08T00:00:00"/>
  </r>
  <r>
    <n v="500547"/>
    <b v="1"/>
    <s v="Beauty Salon 2438"/>
    <s v="Company Beauty SL2438"/>
    <n v="4094934"/>
    <n v="-562901"/>
    <s v="Santa Marta de Tormes"/>
    <s v="Calle Dr. Torres de Villarroel, 4, 37900 Santa Marta de Tormes, Salamanca, España"/>
    <d v="2022-03-14T11:27:14"/>
    <n v="35983000393"/>
    <n v="3"/>
    <n v="5"/>
    <s v="73733737G"/>
    <n v="528"/>
    <n v="2"/>
    <x v="2"/>
    <b v="0"/>
    <b v="1"/>
    <b v="0"/>
    <s v="20,16"/>
    <b v="0"/>
    <d v="2022-10-20T00:00:00"/>
    <d v="2022-10-22T00:00:00"/>
  </r>
  <r>
    <n v="5005750"/>
    <b v="0"/>
    <s v="Beauty Salon 1329"/>
    <s v="Company Beauty SL1329"/>
    <n v="4358031"/>
    <n v="145723"/>
    <s v="Toulouse"/>
    <s v="101 Rue Bonnat, 31400 Toulouse, France"/>
    <d v="2022-03-15T14:46:29"/>
    <n v="33388303585"/>
    <n v="0"/>
    <n v="0"/>
    <s v="FR36337333373"/>
    <n v="1628"/>
    <n v="2"/>
    <x v="1"/>
    <b v="0"/>
    <b v="1"/>
    <b v="0"/>
    <n v="0"/>
    <b v="0"/>
    <d v="2022-09-16T00:00:00"/>
    <d v="2022-10-02T00:00:00"/>
  </r>
  <r>
    <n v="501004"/>
    <b v="1"/>
    <s v="Beauty Salon 480"/>
    <s v="Company Beauty SL480"/>
    <n v="386776"/>
    <n v="-91616"/>
    <s v="Almada"/>
    <s v="R. da Liberdade 2B, 2800-149 Almada, Portugal"/>
    <d v="2022-03-16T13:48:15"/>
    <n v="353833935533"/>
    <n v="34"/>
    <n v="5"/>
    <n v="3373333"/>
    <n v="526"/>
    <n v="6"/>
    <x v="0"/>
    <b v="0"/>
    <b v="1"/>
    <b v="0"/>
    <s v="40,45"/>
    <b v="0"/>
    <d v="2022-11-06T00:00:00"/>
    <d v="2022-11-02T00:00:00"/>
  </r>
  <r>
    <n v="5010430"/>
    <b v="1"/>
    <s v="Beauty Salon 751"/>
    <s v="Company Beauty SL751"/>
    <n v="3998807"/>
    <n v="-653737"/>
    <s v="Coria"/>
    <s v="C. Viriato, 13, 10800 Coria, Cáceres, España"/>
    <d v="2022-03-21T08:21:46"/>
    <n v="35989039989"/>
    <n v="30"/>
    <n v="4966667"/>
    <s v="76337777F"/>
    <n v="734"/>
    <n v="4"/>
    <x v="1"/>
    <b v="0"/>
    <b v="1"/>
    <b v="0"/>
    <s v="39,45"/>
    <b v="0"/>
    <d v="2022-11-20T00:00:00"/>
    <d v="2022-12-06T00:00:00"/>
  </r>
  <r>
    <n v="5011050"/>
    <b v="1"/>
    <s v="Beauty Salon 3062"/>
    <s v="Company Beauty SL3062"/>
    <n v="4885013"/>
    <n v="237459"/>
    <s v="Paris"/>
    <s v="75 Av. Ledru Rollin, 75012 Paris, France"/>
    <d v="2022-03-21T11:16:04"/>
    <n v="33985533908"/>
    <n v="47"/>
    <n v="4744681"/>
    <s v="FR73733763337"/>
    <n v="1610"/>
    <n v="2"/>
    <x v="2"/>
    <b v="0"/>
    <b v="1"/>
    <b v="0"/>
    <s v="38,32"/>
    <b v="0"/>
    <d v="2022-11-11T00:00:00"/>
    <d v="2022-09-26T00:00:00"/>
  </r>
  <r>
    <n v="5011504"/>
    <b v="1"/>
    <s v="Beauty Salon 1219"/>
    <s v="Company Beauty SL1219"/>
    <n v="4040291"/>
    <n v="-389661"/>
    <s v="Boadilla del Monte"/>
    <s v="Av. Infante Don Luis, 15, 28660 Boadilla del Monte, Madrid, España"/>
    <d v="2022-03-22T12:04:06"/>
    <n v="35935903933"/>
    <n v="6"/>
    <n v="5"/>
    <s v="B67333363"/>
    <n v="146"/>
    <n v="3"/>
    <x v="0"/>
    <b v="0"/>
    <b v="1"/>
    <b v="0"/>
    <s v="27,61"/>
    <b v="0"/>
    <d v="2022-12-06T00:00:00"/>
    <d v="2022-11-25T00:00:00"/>
  </r>
  <r>
    <n v="501160"/>
    <b v="1"/>
    <s v="Beauty Salon 3009"/>
    <s v="Company Beauty SL3009"/>
    <n v="4183753"/>
    <n v="1288039"/>
    <s v="Palestrina"/>
    <s v="Via Pedemontana, 135, 00036 Palestrina RM, Italia"/>
    <d v="2022-03-23T10:41:25"/>
    <n v="390983300953"/>
    <n v="1"/>
    <n v="5"/>
    <n v="6633773337"/>
    <n v="573"/>
    <n v="8"/>
    <x v="1"/>
    <b v="0"/>
    <b v="0"/>
    <b v="0"/>
    <s v="0,11"/>
    <b v="0"/>
    <d v="2022-10-25T00:00:00"/>
    <d v="2022-09-17T00:00:00"/>
  </r>
  <r>
    <n v="501545"/>
    <b v="0"/>
    <s v="Beauty Salon 4031"/>
    <s v="Company Beauty SL4031"/>
    <n v="3998434"/>
    <n v="-3245"/>
    <s v="Castelló de la Plana"/>
    <s v="Carrer de Lagasca, 8, 12003 Castelló de la Plana, Castelló, España"/>
    <d v="2022-03-25T15:28:53"/>
    <n v="35995388539"/>
    <n v="15"/>
    <n v="4916667"/>
    <s v="33373376N"/>
    <n v="833"/>
    <n v="5"/>
    <x v="2"/>
    <b v="0"/>
    <b v="1"/>
    <b v="0"/>
    <s v="33,19"/>
    <b v="0"/>
    <d v="2022-10-28T00:00:00"/>
    <d v="2022-11-23T00:00:00"/>
  </r>
  <r>
    <n v="501547"/>
    <b v="1"/>
    <s v="Beauty Salon 1828"/>
    <s v="Company Beauty SL1828"/>
    <n v="4544541"/>
    <n v="1183418"/>
    <s v="Padova"/>
    <s v="Via Giorgio Pullè, 35136 Padova PD, Italia"/>
    <d v="2022-03-29T06:52:40"/>
    <n v="393595080598"/>
    <n v="11"/>
    <n v="5"/>
    <n v="3337363337"/>
    <n v="385"/>
    <n v="2"/>
    <x v="1"/>
    <b v="0"/>
    <b v="1"/>
    <b v="0"/>
    <s v="33,43"/>
    <b v="0"/>
    <d v="2022-09-19T00:00:00"/>
    <d v="2022-11-09T00:00:00"/>
  </r>
  <r>
    <n v="5015050"/>
    <b v="1"/>
    <s v="Beauty Salon 2195"/>
    <s v="Company Beauty SL2195"/>
    <n v="3751454"/>
    <n v="150877"/>
    <s v="Catania"/>
    <s v="Via Grotte Bianche, 113a, 95100 Catania CT, Italia"/>
    <d v="2022-03-30T12:40:01"/>
    <n v="393338539835"/>
    <n v="68"/>
    <n v="4985294"/>
    <n v="3333733377"/>
    <n v="7723"/>
    <n v="6"/>
    <x v="1"/>
    <b v="0"/>
    <b v="1"/>
    <b v="0"/>
    <s v="42,38"/>
    <b v="0"/>
    <d v="2022-09-29T00:00:00"/>
    <d v="2022-11-06T00:00:00"/>
  </r>
  <r>
    <n v="501416"/>
    <b v="1"/>
    <s v="Beauty Salon 2775"/>
    <s v="Company Beauty SL2775"/>
    <n v="3922945"/>
    <n v="9122144"/>
    <s v="Cagliari"/>
    <s v="Via dei Capraia, 10, 09131 Cagliari CA, Italia"/>
    <d v="2022-04-01T16:02:38"/>
    <n v="393995395953"/>
    <n v="15"/>
    <n v="5"/>
    <n v="7633333737"/>
    <n v="378"/>
    <n v="3"/>
    <x v="1"/>
    <b v="0"/>
    <b v="1"/>
    <b v="1"/>
    <s v="35,88"/>
    <b v="0"/>
    <d v="2022-09-22T00:00:00"/>
    <d v="2022-10-29T00:00:00"/>
  </r>
  <r>
    <n v="5014550"/>
    <b v="1"/>
    <s v="Beauty Salon 1019"/>
    <s v="Company Beauty SL1019"/>
    <n v="4044496"/>
    <n v="-380865"/>
    <s v="Madrid"/>
    <s v="Av. Juan XXIII, 10, 28224 Madrid, España"/>
    <d v="2022-04-04T06:35:09"/>
    <n v="35933535855"/>
    <n v="7"/>
    <n v="4857143"/>
    <s v="B37777333"/>
    <n v="5045"/>
    <n v="7"/>
    <x v="1"/>
    <b v="0"/>
    <b v="1"/>
    <b v="0"/>
    <s v="27,82"/>
    <b v="0"/>
    <d v="2022-10-29T00:00:00"/>
    <d v="2022-09-13T00:00:00"/>
  </r>
  <r>
    <n v="501447"/>
    <b v="1"/>
    <s v="Beauty Salon 1724"/>
    <s v="Company Beauty SL1724"/>
    <n v="2839735"/>
    <n v="-165537"/>
    <s v="La Orotava"/>
    <s v="Callejon del Molino, 4, 38312 La Orotava, Santa Cruz de Tenerife, España"/>
    <d v="2022-04-05T07:37:18"/>
    <n v="35988385899"/>
    <n v="33"/>
    <n v="4969697"/>
    <s v="73637333X"/>
    <n v="327"/>
    <n v="2"/>
    <x v="1"/>
    <b v="0"/>
    <b v="1"/>
    <b v="0"/>
    <s v="39,9"/>
    <b v="0"/>
    <d v="2022-12-05T00:00:00"/>
    <d v="2022-09-08T00:00:00"/>
  </r>
  <r>
    <n v="5013047"/>
    <b v="1"/>
    <s v="Beauty Salon 2238"/>
    <s v="Company Beauty SL2238"/>
    <n v="5348884"/>
    <n v="-232619"/>
    <s v="Greater Manchester"/>
    <s v="201 Eccles Old Rd, Salford M6 8HA, UK"/>
    <d v="2022-04-07T13:55:58"/>
    <n v="553359098095"/>
    <n v="37"/>
    <n v="5"/>
    <m/>
    <n v="159"/>
    <n v="3"/>
    <x v="0"/>
    <b v="0"/>
    <b v="1"/>
    <b v="0"/>
    <s v="40,78"/>
    <b v="0"/>
    <d v="2022-10-30T00:00:00"/>
    <d v="2022-10-06T00:00:00"/>
  </r>
  <r>
    <n v="5013050"/>
    <b v="1"/>
    <s v="Beauty Salon 4963"/>
    <s v="Company Beauty SL4963"/>
    <n v="4888766"/>
    <n v="2309868"/>
    <s v="Paris"/>
    <s v="29 Bd Pereire, 75017 Paris, France"/>
    <d v="2022-04-08T15:09:34"/>
    <n v="33958858930"/>
    <n v="17"/>
    <n v="4882353"/>
    <s v="FR33733776337"/>
    <n v="232"/>
    <n v="1"/>
    <x v="2"/>
    <b v="0"/>
    <b v="1"/>
    <b v="1"/>
    <s v="35,29"/>
    <b v="0"/>
    <d v="2022-10-19T00:00:00"/>
    <d v="2022-09-03T00:00:00"/>
  </r>
  <r>
    <n v="501674"/>
    <b v="1"/>
    <s v="Beauty Salon 1560"/>
    <s v="Company Beauty SL1560"/>
    <n v="4144691"/>
    <n v="2210637"/>
    <s v="Santa Coloma de Gramenet"/>
    <s v="Av. de la Generalitat, 82, 08922 Santa Coloma de Gramenet, Barcelona, España"/>
    <d v="2022-04-13T10:02:11"/>
    <n v="35935980838"/>
    <n v="13"/>
    <n v="4846154"/>
    <s v="B37333367"/>
    <n v="1860"/>
    <n v="5"/>
    <x v="2"/>
    <b v="0"/>
    <b v="1"/>
    <b v="0"/>
    <s v="33,01"/>
    <b v="0"/>
    <d v="2022-11-24T00:00:00"/>
    <d v="2022-10-09T00:00:00"/>
  </r>
  <r>
    <n v="501757"/>
    <b v="1"/>
    <s v="Beauty Salon 2554"/>
    <s v="Company Beauty SL2554"/>
    <n v="4223763"/>
    <n v="-871832"/>
    <s v="Vigo"/>
    <s v="Rúa da República Arxentina, 12, 36201 Vigo, Pontevedra, España"/>
    <d v="2022-04-14T07:38:49"/>
    <n v="35993885058"/>
    <n v="16"/>
    <n v="5"/>
    <s v="77337333F"/>
    <n v="401"/>
    <n v="5"/>
    <x v="2"/>
    <b v="0"/>
    <b v="1"/>
    <b v="0"/>
    <s v="36,33"/>
    <b v="0"/>
    <d v="2022-09-03T00:00:00"/>
    <d v="2022-11-03T00:00:00"/>
  </r>
  <r>
    <n v="501771"/>
    <b v="1"/>
    <s v="Beauty Salon 4926"/>
    <s v="Company Beauty SL4926"/>
    <n v="3917746"/>
    <n v="8969197"/>
    <s v="Capoterra"/>
    <s v="Via Dante Alighieri, 10, 09012 Capoterra CA, Italia"/>
    <d v="2022-04-14T15:48:53"/>
    <n v="393509339939"/>
    <n v="107"/>
    <n v="4971963"/>
    <n v="7373733737"/>
    <n v="1286"/>
    <n v="7"/>
    <x v="1"/>
    <b v="0"/>
    <b v="1"/>
    <b v="0"/>
    <s v="43,03"/>
    <b v="0"/>
    <d v="2022-09-05T00:00:00"/>
    <d v="2022-09-30T00:00:00"/>
  </r>
  <r>
    <n v="5017730"/>
    <b v="1"/>
    <s v="Beauty Salon 2167"/>
    <s v="Company Beauty SL2167"/>
    <n v="4892328"/>
    <n v="2205977"/>
    <s v="Bezons"/>
    <s v="2 All. de la Fontaine 95870 Bezons, France"/>
    <d v="2022-04-15T08:23:38"/>
    <n v="33955988399"/>
    <n v="0"/>
    <n v="0"/>
    <n v="7337373"/>
    <n v="396"/>
    <n v="2"/>
    <x v="2"/>
    <b v="1"/>
    <b v="0"/>
    <b v="0"/>
    <n v="0"/>
    <b v="1"/>
    <d v="2022-09-17T00:00:00"/>
    <d v="2022-10-19T00:00:00"/>
  </r>
  <r>
    <n v="50143050"/>
    <b v="1"/>
    <s v="Beauty Salon 4800"/>
    <s v="Company Beauty SL4800"/>
    <n v="3943702"/>
    <n v="-46465"/>
    <s v="Torrent"/>
    <s v="Antic Carrer de Mossen Sicra, 9, 46900 Torrent, Valencia, España"/>
    <d v="2022-04-19T06:19:50"/>
    <n v="35935338983"/>
    <n v="9"/>
    <n v="5"/>
    <s v="E33637333"/>
    <n v="559"/>
    <n v="4"/>
    <x v="1"/>
    <b v="0"/>
    <b v="1"/>
    <b v="0"/>
    <s v="31,64"/>
    <b v="0"/>
    <d v="2022-12-02T00:00:00"/>
    <d v="2022-09-18T00:00:00"/>
  </r>
  <r>
    <n v="501464"/>
    <b v="1"/>
    <s v="Beauty Salon 2939"/>
    <s v="Company Beauty SL2939"/>
    <n v="4191116"/>
    <n v="1253778"/>
    <s v="Roma"/>
    <s v="Via Eugenio Torelli Viollier, 23, 00157 Roma RM, Italia"/>
    <d v="2022-04-19T08:36:16"/>
    <n v="393535338339"/>
    <n v="20"/>
    <s v="4,9"/>
    <n v="3333333333"/>
    <n v="254"/>
    <n v="1"/>
    <x v="2"/>
    <b v="0"/>
    <b v="1"/>
    <b v="1"/>
    <s v="36,5"/>
    <b v="0"/>
    <d v="2022-09-08T00:00:00"/>
    <d v="2022-11-28T00:00:00"/>
  </r>
  <r>
    <n v="501550"/>
    <b v="1"/>
    <s v="Beauty Salon 2984"/>
    <s v="Company Beauty SL2984"/>
    <n v="3946573"/>
    <n v="-35269"/>
    <s v="Valencia"/>
    <s v="Av. del Puerto, 106, 46023 Valencia, España"/>
    <d v="2022-04-20T06:16:01"/>
    <n v="35990880983"/>
    <n v="42"/>
    <n v="5"/>
    <s v="33337733F"/>
    <n v="484"/>
    <n v="4"/>
    <x v="1"/>
    <b v="0"/>
    <b v="1"/>
    <b v="0"/>
    <s v="41,24"/>
    <b v="0"/>
    <d v="2022-10-26T00:00:00"/>
    <d v="2022-11-11T00:00:00"/>
  </r>
  <r>
    <n v="5015550"/>
    <b v="1"/>
    <s v="Beauty Salon 3268"/>
    <s v="Company Beauty SL3268"/>
    <n v="3876094"/>
    <n v="-917803"/>
    <s v="Lisboa"/>
    <s v="Azinhaga da Torre do Fato 7, 1600-451 Lisboa, Portugal"/>
    <d v="2022-04-20T06:54:22"/>
    <n v="353838538903"/>
    <n v="1"/>
    <n v="5"/>
    <n v="336363373"/>
    <n v="43"/>
    <n v="6"/>
    <x v="1"/>
    <b v="0"/>
    <b v="0"/>
    <b v="0"/>
    <s v="0,11"/>
    <b v="0"/>
    <d v="2022-10-02T00:00:00"/>
    <d v="2022-11-06T00:00:00"/>
  </r>
  <r>
    <n v="5015504"/>
    <b v="1"/>
    <s v="Beauty Salon 1767"/>
    <s v="Company Beauty SL1767"/>
    <n v="4889324"/>
    <n v="2338221"/>
    <s v="Paris"/>
    <s v="34 Rue Montcalm, 75018 Paris, France"/>
    <d v="2022-04-20T08:24:53"/>
    <n v="33998098993"/>
    <n v="0"/>
    <n v="0"/>
    <s v="FR36333333333"/>
    <n v="1486"/>
    <n v="2"/>
    <x v="2"/>
    <b v="1"/>
    <b v="0"/>
    <b v="0"/>
    <n v="0"/>
    <b v="0"/>
    <d v="2022-10-06T00:00:00"/>
    <d v="2022-09-18T00:00:00"/>
  </r>
  <r>
    <n v="505054"/>
    <b v="1"/>
    <s v="Beauty Salon 2506"/>
    <s v="Company Beauty SL2506"/>
    <n v="4549636"/>
    <n v="101635"/>
    <s v="Flero"/>
    <s v="Via Francesco Petrarca, 42, 25020 Flero BS, Italia"/>
    <d v="2022-04-21T13:38:38"/>
    <n v="393599955305"/>
    <n v="24"/>
    <n v="4916667"/>
    <n v="677333377"/>
    <n v="510"/>
    <n v="4"/>
    <x v="1"/>
    <b v="0"/>
    <b v="0"/>
    <b v="0"/>
    <s v="0,38"/>
    <b v="0"/>
    <d v="2022-09-15T00:00:00"/>
    <d v="2022-09-13T00:00:00"/>
  </r>
  <r>
    <n v="505504"/>
    <b v="1"/>
    <s v="Beauty Salon 4935"/>
    <s v="Company Beauty SL4935"/>
    <n v="3674494"/>
    <n v="-352031"/>
    <s v="Motril"/>
    <s v="C. Romero Civantos, 3, 18600 Motril, Granada, España"/>
    <d v="2022-04-29T08:17:46"/>
    <n v="35959399988"/>
    <n v="24"/>
    <n v="5"/>
    <s v="73737773K"/>
    <n v="1530"/>
    <n v="6"/>
    <x v="2"/>
    <b v="0"/>
    <b v="1"/>
    <b v="0"/>
    <s v="38,82"/>
    <b v="0"/>
    <d v="2022-09-17T00:00:00"/>
    <d v="2022-09-02T00:00:00"/>
  </r>
  <r>
    <n v="505504"/>
    <b v="1"/>
    <s v="Beauty Salon 1884"/>
    <s v="Company Beauty SL1884"/>
    <n v="5348682"/>
    <n v="1018028"/>
    <s v="Hamburg"/>
    <s v="Edith-Stein-Platz 2, 21035 Hamburg, Deutschland"/>
    <d v="2022-04-29T09:01:36"/>
    <n v="595030030350"/>
    <n v="9"/>
    <n v="5"/>
    <m/>
    <n v="1570"/>
    <n v="5"/>
    <x v="2"/>
    <b v="0"/>
    <b v="0"/>
    <b v="1"/>
    <s v="0,32"/>
    <b v="0"/>
    <d v="2022-09-27T00:00:00"/>
    <d v="2022-10-09T00:00:00"/>
  </r>
  <r>
    <n v="505514"/>
    <b v="1"/>
    <s v="Beauty Salon 1200"/>
    <s v="Company Beauty SL1200"/>
    <n v="4592265"/>
    <n v="1022991"/>
    <s v="Piamborno"/>
    <s v="Via Nazionale, 208, 25052 Piamborno BS, Italia"/>
    <d v="2022-04-29T09:41:45"/>
    <n v="393333998553"/>
    <n v="0"/>
    <n v="0"/>
    <n v="776373733"/>
    <n v="9"/>
    <n v="5"/>
    <x v="1"/>
    <b v="0"/>
    <b v="0"/>
    <b v="0"/>
    <n v="0"/>
    <b v="0"/>
    <d v="2022-09-01T00:00:00"/>
    <d v="2022-09-03T00:00:00"/>
  </r>
  <r>
    <n v="505574"/>
    <b v="1"/>
    <s v="Beauty Salon 4648"/>
    <s v="Company Beauty SL4648"/>
    <n v="3870901"/>
    <n v="-46441"/>
    <s v="Alcoi"/>
    <s v="Av. Hispanitat, 61, 03804 Alcoi, Alicante, España"/>
    <d v="2022-05-02T10:57:23"/>
    <n v="35995335988"/>
    <n v="67"/>
    <n v="4985075"/>
    <s v="E33733333"/>
    <n v="7951"/>
    <n v="5"/>
    <x v="2"/>
    <b v="0"/>
    <b v="1"/>
    <b v="0"/>
    <s v="42,34"/>
    <b v="0"/>
    <d v="2022-10-01T00:00:00"/>
    <d v="2022-10-21T00:00:00"/>
  </r>
  <r>
    <n v="505576"/>
    <b v="1"/>
    <s v="Beauty Salon 1089"/>
    <s v="Company Beauty SL1089"/>
    <n v="3869411"/>
    <n v="-48655"/>
    <s v="Alcoi"/>
    <s v="Carrer Joan de Joanes, 17, 03802 Alcoi, Alicante, España"/>
    <d v="2022-05-02T11:29:57"/>
    <n v="35999588598"/>
    <n v="29"/>
    <n v="4896552"/>
    <s v="E33733333"/>
    <n v="8270"/>
    <n v="7"/>
    <x v="1"/>
    <b v="0"/>
    <b v="1"/>
    <b v="1"/>
    <s v="38,37"/>
    <b v="0"/>
    <d v="2022-10-12T00:00:00"/>
    <d v="2022-09-09T00:00:00"/>
  </r>
  <r>
    <n v="5055060"/>
    <b v="1"/>
    <s v="Beauty Salon 1138"/>
    <s v="Company Beauty SL1138"/>
    <n v="4587451"/>
    <n v="1213216"/>
    <s v="Sernaglia della Battaglia"/>
    <s v="Via Emigranti, 38, 31020 Sernaglia della Battaglia TV, Italia"/>
    <d v="2022-05-05T08:11:33"/>
    <n v="393535099809"/>
    <n v="2"/>
    <n v="5"/>
    <s v="FLPSF377B33C737D"/>
    <n v="271"/>
    <n v="1"/>
    <x v="0"/>
    <b v="0"/>
    <b v="1"/>
    <b v="0"/>
    <s v="16,12"/>
    <b v="0"/>
    <d v="2022-10-23T00:00:00"/>
    <d v="2022-09-23T00:00:00"/>
  </r>
  <r>
    <n v="5055054"/>
    <b v="1"/>
    <s v="Beauty Salon 4777"/>
    <s v="Company Beauty SL4777"/>
    <n v="4448024"/>
    <n v="7505368"/>
    <s v="Busca"/>
    <s v="Via Laghi di Avigliana, 6, 12022 Busca CN, Italia"/>
    <d v="2022-05-05T13:20:00"/>
    <n v="393553039983"/>
    <n v="1"/>
    <n v="5"/>
    <n v="7776373333"/>
    <n v="154"/>
    <n v="1"/>
    <x v="0"/>
    <b v="0"/>
    <b v="1"/>
    <b v="0"/>
    <s v="10,97"/>
    <b v="1"/>
    <d v="2022-11-29T00:00:00"/>
    <d v="2022-10-04T00:00:00"/>
  </r>
  <r>
    <n v="5054500"/>
    <b v="1"/>
    <s v="Beauty Salon 4849"/>
    <s v="Company Beauty SL4849"/>
    <n v="4532357"/>
    <n v="8851795"/>
    <s v="Vigevano"/>
    <s v="Viale Montegrappa, 29, 27029 Vigevano PV, Italia"/>
    <d v="2022-05-06T07:48:22"/>
    <n v="39038335005"/>
    <n v="0"/>
    <n v="0"/>
    <n v="733733333"/>
    <n v="201"/>
    <n v="4"/>
    <x v="1"/>
    <b v="0"/>
    <b v="1"/>
    <b v="0"/>
    <n v="0"/>
    <b v="0"/>
    <d v="2022-11-28T00:00:00"/>
    <d v="2022-11-06T00:00:00"/>
  </r>
  <r>
    <n v="5054650"/>
    <b v="1"/>
    <s v="Beauty Salon 2221"/>
    <s v="Company Beauty SL2221"/>
    <n v="3795061"/>
    <n v="2400709"/>
    <s v="Άρτεμις"/>
    <s v="Λεωφ. Βραυρώνος 186, Άρτεμις 190 16, Ελλάδα"/>
    <d v="2022-05-08T21:16:51"/>
    <n v="308895305390"/>
    <n v="9"/>
    <n v="4777778"/>
    <n v="3737"/>
    <n v="810"/>
    <n v="4"/>
    <x v="1"/>
    <b v="0"/>
    <b v="1"/>
    <b v="0"/>
    <s v="29,34"/>
    <b v="0"/>
    <d v="2022-09-02T00:00:00"/>
    <d v="2022-11-23T00:00:00"/>
  </r>
  <r>
    <n v="5053010"/>
    <b v="1"/>
    <s v="Beauty Salon 4230"/>
    <s v="Company Beauty SL4230"/>
    <n v="5151726"/>
    <n v="-8097"/>
    <s v="Greater London"/>
    <s v="40 Liverpool St, London EC2M 7QN, UK"/>
    <d v="2022-05-10T10:11:10"/>
    <n v="553589085355"/>
    <n v="13"/>
    <n v="5"/>
    <m/>
    <n v="152"/>
    <n v="3"/>
    <x v="0"/>
    <b v="0"/>
    <b v="1"/>
    <b v="0"/>
    <s v="34,8"/>
    <b v="0"/>
    <d v="2022-11-01T00:00:00"/>
    <d v="2022-11-02T00:00:00"/>
  </r>
  <r>
    <n v="5056530"/>
    <b v="1"/>
    <s v="Beauty Salon 3113"/>
    <s v="Company Beauty SL3113"/>
    <n v="4183145"/>
    <n v="1289913"/>
    <s v="Palestrina"/>
    <s v="Via Prenestina Antica, 220, 00036 Palestrina RM, Italia"/>
    <d v="2022-05-12T09:45:47"/>
    <n v="393330988838"/>
    <n v="16"/>
    <n v="4875"/>
    <n v="6376373333"/>
    <n v="385"/>
    <n v="7"/>
    <x v="2"/>
    <b v="0"/>
    <b v="0"/>
    <b v="0"/>
    <s v="0,35"/>
    <b v="0"/>
    <d v="2022-10-27T00:00:00"/>
    <d v="2022-09-24T00:00:00"/>
  </r>
  <r>
    <n v="505641"/>
    <b v="1"/>
    <s v="Beauty Salon 1395"/>
    <s v="Company Beauty SL1395"/>
    <n v="4206259"/>
    <n v="-160383"/>
    <s v="Tudela"/>
    <s v="C. Muro, 43, 31500 Tudela, Navarra, España"/>
    <d v="2022-05-13T12:16:28"/>
    <n v="35958339038"/>
    <n v="2"/>
    <n v="5"/>
    <s v="73737333N"/>
    <n v="282"/>
    <n v="2"/>
    <x v="0"/>
    <b v="0"/>
    <b v="1"/>
    <b v="0"/>
    <s v="16,12"/>
    <b v="0"/>
    <d v="2022-09-11T00:00:00"/>
    <d v="2022-10-30T00:00:00"/>
  </r>
  <r>
    <n v="505704"/>
    <b v="1"/>
    <s v="Beauty Salon 1288"/>
    <s v="Company Beauty SL1288"/>
    <n v="3946556"/>
    <n v="-36978"/>
    <s v="València"/>
    <s v="Carrer del Mestre Gozalbo, 12, 46005 València, Valencia, España"/>
    <d v="2022-05-16T06:35:35"/>
    <n v="35993338555"/>
    <n v="18"/>
    <n v="5"/>
    <s v="37733377C"/>
    <n v="1831"/>
    <n v="6"/>
    <x v="0"/>
    <b v="0"/>
    <b v="1"/>
    <b v="0"/>
    <s v="37,12"/>
    <b v="0"/>
    <d v="2022-10-16T00:00:00"/>
    <d v="2022-12-01T00:00:00"/>
  </r>
  <r>
    <n v="505741"/>
    <b v="1"/>
    <s v="Beauty Salon 4971"/>
    <s v="Company Beauty SL4971"/>
    <n v="5149025"/>
    <n v="7500521"/>
    <s v="Dortmund"/>
    <s v="Hörder Rathausstraße 9, 44263 Dortmund, Deutschland"/>
    <d v="2022-05-16T11:02:31"/>
    <n v="59833539359"/>
    <n v="4"/>
    <n v="5"/>
    <n v="73333633663"/>
    <n v="2450"/>
    <n v="3"/>
    <x v="0"/>
    <b v="0"/>
    <b v="1"/>
    <b v="0"/>
    <s v="23,25"/>
    <b v="0"/>
    <d v="2022-11-09T00:00:00"/>
    <d v="2022-09-25T00:00:00"/>
  </r>
  <r>
    <n v="505400"/>
    <b v="1"/>
    <s v="Beauty Salon 3308"/>
    <s v="Company Beauty SL3308"/>
    <n v="4038364"/>
    <n v="-372711"/>
    <s v="Madrid"/>
    <s v="C. del Pelicano, 14, 28025 Madrid"/>
    <d v="2022-05-18T07:26:30"/>
    <n v="35903338393"/>
    <n v="4"/>
    <n v="5"/>
    <s v="X7366737Y"/>
    <n v="1196"/>
    <n v="1"/>
    <x v="2"/>
    <b v="0"/>
    <b v="1"/>
    <b v="0"/>
    <s v="23,25"/>
    <b v="0"/>
    <d v="2022-11-16T00:00:00"/>
    <d v="2022-10-16T00:00:00"/>
  </r>
  <r>
    <n v="505414"/>
    <b v="1"/>
    <s v="Beauty Salon 2777"/>
    <s v="Company Beauty SL2777"/>
    <n v="419047"/>
    <n v="1250443"/>
    <s v="Roma"/>
    <s v="Via Palestro, 51, 00185 Roma RM, Italia"/>
    <d v="2022-05-18T09:37:17"/>
    <n v="390988803859"/>
    <n v="0"/>
    <n v="0"/>
    <n v="7363763333"/>
    <n v="225"/>
    <n v="5"/>
    <x v="2"/>
    <b v="0"/>
    <b v="0"/>
    <b v="0"/>
    <n v="0"/>
    <b v="0"/>
    <d v="2022-10-03T00:00:00"/>
    <d v="2022-09-08T00:00:00"/>
  </r>
  <r>
    <n v="50500505"/>
    <b v="1"/>
    <s v="Beauty Salon 4824"/>
    <s v="Company Beauty SL4824"/>
    <n v="4074997"/>
    <n v="1451808"/>
    <s v="Scafati"/>
    <s v="Corso Nazionale, 231, 84018 Scafati SA, Italia"/>
    <d v="2022-05-24T13:17:37"/>
    <n v="393393855505"/>
    <n v="23"/>
    <n v="4826087"/>
    <n v="777773336"/>
    <n v="384"/>
    <n v="2"/>
    <x v="1"/>
    <b v="1"/>
    <b v="0"/>
    <b v="0"/>
    <s v="0,01"/>
    <b v="0"/>
    <d v="2022-10-05T00:00:00"/>
    <d v="2022-11-16T00:00:00"/>
  </r>
  <r>
    <n v="5050077"/>
    <b v="1"/>
    <s v="Beauty Salon 3856"/>
    <s v="Company Beauty SL3856"/>
    <n v="3901075"/>
    <n v="9002267"/>
    <s v="Pula"/>
    <s v="Via Nora, 114, 09010 Pula CA, Italia"/>
    <d v="2022-05-25T12:16:48"/>
    <n v="393539333039"/>
    <n v="0"/>
    <n v="0"/>
    <n v="7363333737"/>
    <n v="2488"/>
    <n v="10"/>
    <x v="2"/>
    <b v="0"/>
    <b v="0"/>
    <b v="0"/>
    <n v="0"/>
    <b v="0"/>
    <d v="2022-10-08T00:00:00"/>
    <d v="2022-09-18T00:00:00"/>
  </r>
  <r>
    <n v="50501430"/>
    <b v="1"/>
    <s v="Beauty Salon 2727"/>
    <s v="Company Beauty SL2727"/>
    <n v="3642264"/>
    <n v="-514827"/>
    <s v="Estepona"/>
    <s v="C. Alborán, 2, 29680 Estepona, Málaga, España"/>
    <d v="2022-05-27T07:03:18"/>
    <n v="35953983083"/>
    <n v="3"/>
    <n v="5"/>
    <s v="J33737337"/>
    <n v="634"/>
    <n v="3"/>
    <x v="0"/>
    <b v="0"/>
    <b v="1"/>
    <b v="0"/>
    <s v="20,16"/>
    <b v="1"/>
    <d v="2022-10-29T00:00:00"/>
    <d v="2022-11-29T00:00:00"/>
  </r>
  <r>
    <n v="5050145"/>
    <b v="1"/>
    <s v="Beauty Salon 394"/>
    <s v="Company Beauty SL394"/>
    <n v="3914681"/>
    <n v="-42889"/>
    <s v="Alzira"/>
    <s v="Carrer del Prior Morera, 5, 46600 Alzira, Valencia, España"/>
    <d v="2022-05-30T06:23:40"/>
    <n v="35933580093"/>
    <n v="4"/>
    <n v="5"/>
    <s v="X3773733N"/>
    <n v="224"/>
    <n v="3"/>
    <x v="0"/>
    <b v="0"/>
    <b v="1"/>
    <b v="0"/>
    <s v="23,25"/>
    <b v="0"/>
    <d v="2022-09-27T00:00:00"/>
    <d v="2022-09-25T00:00:00"/>
  </r>
  <r>
    <n v="50501430"/>
    <b v="1"/>
    <s v="Beauty Salon 1997"/>
    <s v="Company Beauty SL1997"/>
    <n v="3671933"/>
    <n v="-441015"/>
    <s v="Málaga"/>
    <s v="C. Cervantes, 12, 29016 Málaga, España"/>
    <d v="2022-05-30T07:04:04"/>
    <n v="35958833933"/>
    <n v="1"/>
    <n v="5"/>
    <s v="B36333633"/>
    <n v="272"/>
    <n v="2"/>
    <x v="0"/>
    <b v="0"/>
    <b v="1"/>
    <b v="0"/>
    <s v="10,97"/>
    <b v="0"/>
    <d v="2022-12-07T00:00:00"/>
    <d v="2022-11-15T00:00:00"/>
  </r>
  <r>
    <n v="50505014"/>
    <b v="1"/>
    <s v="Beauty Salon 903"/>
    <s v="Company Beauty SL903"/>
    <n v="4162733"/>
    <n v="62935"/>
    <s v="Lleida"/>
    <s v="Carrer Baró de Maials, 72, 25005 Lleida, España"/>
    <d v="2022-06-01T10:49:52"/>
    <n v="35998359338"/>
    <n v="0"/>
    <n v="0"/>
    <s v="33336377C"/>
    <n v="0"/>
    <n v="4"/>
    <x v="0"/>
    <b v="1"/>
    <b v="0"/>
    <b v="0"/>
    <n v="0"/>
    <b v="0"/>
    <d v="2022-09-16T00:00:00"/>
    <d v="2022-10-24T00:00:00"/>
  </r>
  <r>
    <n v="50505060"/>
    <b v="1"/>
    <s v="Beauty Salon 3964"/>
    <s v="Company Beauty SL3964"/>
    <n v="538374"/>
    <n v="-162075"/>
    <s v="Horsforth"/>
    <s v="203 Broadgate Ln, Horsforth, Leeds LS18 5BS, UK"/>
    <d v="2022-06-02T11:21:58"/>
    <n v="553953958983"/>
    <n v="16"/>
    <n v="5"/>
    <m/>
    <n v="139"/>
    <n v="1"/>
    <x v="0"/>
    <b v="0"/>
    <b v="0"/>
    <b v="0"/>
    <s v="0,36"/>
    <b v="0"/>
    <d v="2022-10-30T00:00:00"/>
    <d v="2022-11-25T00:00:00"/>
  </r>
  <r>
    <n v="505050630"/>
    <b v="1"/>
    <s v="Beauty Salon 3402"/>
    <s v="Company Beauty SL3402"/>
    <n v="412362"/>
    <n v="18114"/>
    <s v="Sitges"/>
    <s v="Carrer d'Angel Vidal, 29, 31, 08870 Sitges, Barcelona, España"/>
    <d v="2022-06-02T13:52:05"/>
    <n v="35935303883"/>
    <n v="2"/>
    <n v="5"/>
    <s v="73733663H"/>
    <n v="283"/>
    <n v="1"/>
    <x v="0"/>
    <b v="0"/>
    <b v="1"/>
    <b v="0"/>
    <s v="16,12"/>
    <b v="0"/>
    <d v="2022-10-06T00:00:00"/>
    <d v="2022-10-14T00:00:00"/>
  </r>
  <r>
    <n v="50505074"/>
    <b v="1"/>
    <s v="Beauty Salon 2315"/>
    <s v="Company Beauty SL2315"/>
    <n v="3946777"/>
    <n v="-36824"/>
    <s v="València"/>
    <s v="Carrer de Jorge Juan, 31, 46004 València, Valencia, España"/>
    <d v="2022-06-02T16:03:15"/>
    <n v="35983880955"/>
    <n v="0"/>
    <n v="0"/>
    <s v="X7373633E"/>
    <n v="0"/>
    <n v="4"/>
    <x v="1"/>
    <b v="0"/>
    <b v="1"/>
    <b v="0"/>
    <n v="0"/>
    <b v="0"/>
    <d v="2022-12-01T00:00:00"/>
    <d v="2022-10-12T00:00:00"/>
  </r>
  <r>
    <n v="50505041"/>
    <b v="1"/>
    <s v="Beauty Salon 4054"/>
    <s v="Company Beauty SL4054"/>
    <n v="3797667"/>
    <n v="1295981"/>
    <s v="Alcamo"/>
    <s v="Via Monte Bonifato, 45, 91011 Alcamo TP, Italia"/>
    <d v="2022-06-03T10:14:14"/>
    <n v="393393599933"/>
    <n v="0"/>
    <n v="0"/>
    <n v="733333337"/>
    <n v="345"/>
    <n v="9"/>
    <x v="0"/>
    <b v="0"/>
    <b v="1"/>
    <b v="0"/>
    <n v="0"/>
    <b v="0"/>
    <d v="2022-09-29T00:00:00"/>
    <d v="2022-11-17T00:00:00"/>
  </r>
  <r>
    <n v="50503054"/>
    <b v="1"/>
    <s v="Beauty Salon 2922"/>
    <s v="Company Beauty SL2922"/>
    <n v="5084707"/>
    <n v="429809"/>
    <s v="Anderlecht"/>
    <s v="Chau. de Ninove 621, 1070 Anderlecht, Belgique"/>
    <d v="2022-06-10T12:46:33"/>
    <n v="38533889338"/>
    <n v="0"/>
    <n v="0"/>
    <s v="BE3377377737"/>
    <n v="8"/>
    <n v="1"/>
    <x v="2"/>
    <b v="0"/>
    <b v="1"/>
    <b v="0"/>
    <n v="0"/>
    <b v="0"/>
    <d v="2022-09-20T00:00:00"/>
    <d v="2022-09-24T00:00:00"/>
  </r>
  <r>
    <n v="505030504"/>
    <b v="1"/>
    <s v="Beauty Salon 4172"/>
    <s v="Company Beauty SL4172"/>
    <n v="4140665"/>
    <n v="219082"/>
    <s v="Barcelona"/>
    <s v="Gran Via de les Corts Catalanes, 855, 08018 Barcelona, España"/>
    <d v="2022-06-10T15:10:19"/>
    <n v="35985333350"/>
    <n v="1"/>
    <n v="4"/>
    <s v="B67377333"/>
    <n v="1111"/>
    <n v="3"/>
    <x v="0"/>
    <b v="0"/>
    <b v="1"/>
    <b v="0"/>
    <s v="9,53"/>
    <b v="0"/>
    <d v="2022-11-19T00:00:00"/>
    <d v="2022-10-23T00:00:00"/>
  </r>
  <r>
    <n v="50506504"/>
    <b v="1"/>
    <s v="Beauty Salon 3145"/>
    <s v="Company Beauty SL3145"/>
    <n v="4431041"/>
    <n v="8484848"/>
    <s v="Savona"/>
    <s v="Via Santa Lucia, 1, 17100 Savona SV, Italia"/>
    <d v="2022-06-15T10:25:04"/>
    <n v="393399939353"/>
    <n v="4"/>
    <n v="5"/>
    <n v="733373"/>
    <n v="525"/>
    <n v="2"/>
    <x v="1"/>
    <b v="0"/>
    <b v="1"/>
    <b v="0"/>
    <s v="23,25"/>
    <b v="0"/>
    <d v="2022-10-10T00:00:00"/>
    <d v="2022-11-30T00:00:00"/>
  </r>
  <r>
    <n v="5050664"/>
    <b v="0"/>
    <s v="Beauty Salon 115"/>
    <s v="Company Beauty SL115"/>
    <n v="5150596"/>
    <n v="-14745"/>
    <s v="Greater London"/>
    <s v="6A Hertford St, London W1J 7RF, UK"/>
    <d v="2022-06-16T10:30:30"/>
    <n v="553888358888"/>
    <n v="1"/>
    <n v="5"/>
    <m/>
    <n v="46"/>
    <n v="2"/>
    <x v="2"/>
    <b v="0"/>
    <b v="1"/>
    <b v="0"/>
    <s v="10,97"/>
    <b v="0"/>
    <d v="2022-11-20T00:00:00"/>
    <d v="2022-10-27T00:00:00"/>
  </r>
  <r>
    <n v="5050745"/>
    <b v="1"/>
    <s v="Beauty Salon 3008"/>
    <s v="Company Beauty SL3008"/>
    <n v="4884581"/>
    <n v="2402776"/>
    <s v="Paris"/>
    <s v="37 Rue du Rendez-Vous, 75012 Paris, France"/>
    <d v="2022-06-20T07:55:32"/>
    <n v="33988383833"/>
    <n v="12"/>
    <n v="4083333"/>
    <s v="FR77733733373"/>
    <n v="124"/>
    <n v="1"/>
    <x v="1"/>
    <b v="0"/>
    <b v="1"/>
    <b v="0"/>
    <s v="25,12"/>
    <b v="0"/>
    <d v="2022-09-06T00:00:00"/>
    <d v="2022-09-19T00:00:00"/>
  </r>
  <r>
    <n v="5050740"/>
    <b v="1"/>
    <s v="Beauty Salon 710"/>
    <s v="Company Beauty SL710"/>
    <n v="4062235"/>
    <n v="224436"/>
    <s v="Αλεξάνδρεια"/>
    <s v="Νικ. Πλαστήρα 74, Αλεξάνδρεια 593 00, Ελλάδα"/>
    <d v="2022-06-20T13:48:39"/>
    <n v="308333305308"/>
    <n v="0"/>
    <n v="0"/>
    <n v="7733763"/>
    <n v="629"/>
    <n v="2"/>
    <x v="1"/>
    <b v="0"/>
    <b v="1"/>
    <b v="0"/>
    <n v="0"/>
    <b v="0"/>
    <d v="2022-11-25T00:00:00"/>
    <d v="2022-10-12T00:00:00"/>
  </r>
  <r>
    <n v="50504550"/>
    <b v="1"/>
    <s v="Beauty Salon 562"/>
    <s v="Company Beauty SL562"/>
    <n v="5160079"/>
    <n v="-19431"/>
    <s v="Greater London"/>
    <s v="Regents Park Rd, London N3 1DE, UK"/>
    <d v="2022-06-21T11:19:48"/>
    <n v="553555539833"/>
    <n v="11"/>
    <n v="5"/>
    <m/>
    <n v="19"/>
    <n v="1"/>
    <x v="2"/>
    <b v="0"/>
    <b v="1"/>
    <b v="0"/>
    <s v="33,43"/>
    <b v="0"/>
    <d v="2022-09-14T00:00:00"/>
    <d v="2022-11-24T00:00:00"/>
  </r>
  <r>
    <n v="5050446"/>
    <b v="1"/>
    <s v="Beauty Salon 3015"/>
    <s v="Company Beauty SL3015"/>
    <n v="4891115"/>
    <n v="2537011"/>
    <s v="Livry-Gargan"/>
    <s v="5 All. des Jonquilles, 93190 Livry-Gargan, France"/>
    <d v="2022-06-22T07:35:34"/>
    <n v="33358833883"/>
    <n v="9"/>
    <n v="5"/>
    <s v="FR73337373733"/>
    <n v="114"/>
    <n v="1"/>
    <x v="2"/>
    <b v="0"/>
    <b v="1"/>
    <b v="0"/>
    <s v="30,52"/>
    <b v="0"/>
    <d v="2022-09-22T00:00:00"/>
    <d v="2022-09-06T00:00:00"/>
  </r>
  <r>
    <n v="50504305"/>
    <b v="1"/>
    <s v="Beauty Salon 2871"/>
    <s v="Company Beauty SL2871"/>
    <n v="4864328"/>
    <n v="244045"/>
    <s v="Évry-Courcouronnes"/>
    <s v="28 Av. du Parc aux Biches, 91000 Évry-Courcouronnes, France"/>
    <d v="2022-06-22T09:41:20"/>
    <n v="33359583398"/>
    <n v="4"/>
    <s v="4,25"/>
    <s v="FR37337337637"/>
    <n v="56"/>
    <n v="1"/>
    <x v="0"/>
    <b v="0"/>
    <b v="1"/>
    <b v="0"/>
    <s v="18,3"/>
    <b v="0"/>
    <d v="2022-10-17T00:00:00"/>
    <d v="2022-11-19T00:00:00"/>
  </r>
  <r>
    <n v="5050506"/>
    <b v="1"/>
    <s v="Beauty Salon 2017"/>
    <s v="Company Beauty SL2017"/>
    <n v="3935975"/>
    <n v="9006526"/>
    <s v="San Sperate"/>
    <s v="Via Bithia, 8, 09026 San Sperate SU, Italia"/>
    <d v="2022-06-23T07:39:25"/>
    <n v="390309900853"/>
    <n v="0"/>
    <n v="0"/>
    <n v="363333736"/>
    <n v="786"/>
    <n v="3"/>
    <x v="2"/>
    <b v="0"/>
    <b v="0"/>
    <b v="0"/>
    <n v="0"/>
    <b v="0"/>
    <d v="2022-10-24T00:00:00"/>
    <d v="2022-11-03T00:00:00"/>
  </r>
  <r>
    <n v="5050511"/>
    <b v="1"/>
    <s v="Beauty Salon 1124"/>
    <s v="Company Beauty SL1124"/>
    <n v="4168905"/>
    <n v="24908"/>
    <s v="Sant Celoni"/>
    <s v="Carrer Sant Pere, 6, 08470 Sant Celoni, Barcelona, España"/>
    <d v="2022-06-23T08:42:27"/>
    <n v="35938835858"/>
    <n v="2"/>
    <n v="3"/>
    <s v="A37337633"/>
    <n v="270"/>
    <n v="2"/>
    <x v="0"/>
    <b v="0"/>
    <b v="1"/>
    <b v="0"/>
    <s v="9,96"/>
    <b v="0"/>
    <d v="2022-10-24T00:00:00"/>
    <d v="2022-09-24T00:00:00"/>
  </r>
  <r>
    <n v="5040504"/>
    <b v="1"/>
    <s v="Beauty Salon 3895"/>
    <s v="Company Beauty SL3895"/>
    <n v="463054"/>
    <n v="1665326"/>
    <s v="Dun-le-Palestel"/>
    <s v="36 Grande Rue, 23800 Dun-le-Palestel, France"/>
    <d v="2022-06-27T14:13:07"/>
    <n v="33933333339"/>
    <n v="0"/>
    <n v="0"/>
    <s v="FR33333377637"/>
    <n v="62"/>
    <n v="2"/>
    <x v="2"/>
    <b v="0"/>
    <b v="1"/>
    <b v="0"/>
    <n v="0"/>
    <b v="1"/>
    <d v="2022-11-24T00:00:00"/>
    <d v="2022-10-26T00:00:00"/>
  </r>
  <r>
    <n v="504054"/>
    <b v="1"/>
    <s v="Beauty Salon 4756"/>
    <s v="Company Beauty SL4756"/>
    <n v="5298405"/>
    <n v="-112133"/>
    <s v="Mapperley"/>
    <s v="918 Woodborough Rd, Mapperley, Nottingham NG3 5QR, UK"/>
    <d v="2022-06-29T09:25:42"/>
    <n v="553959390933"/>
    <n v="15"/>
    <n v="5"/>
    <m/>
    <n v="203"/>
    <n v="2"/>
    <x v="0"/>
    <b v="1"/>
    <b v="0"/>
    <b v="0"/>
    <s v="35,88"/>
    <b v="1"/>
    <d v="2022-09-11T00:00:00"/>
    <d v="2022-11-09T00:00:00"/>
  </r>
  <r>
    <n v="504554"/>
    <b v="1"/>
    <s v="Beauty Salon 3151"/>
    <s v="Company Beauty SL3151"/>
    <n v="514412"/>
    <n v="-260218"/>
    <s v="Bedminster"/>
    <s v="3-5 North St, Bedminster, Bristol BS3 1EN, UK"/>
    <d v="2022-07-04T07:28:35"/>
    <n v="553333890900"/>
    <n v="7"/>
    <n v="4714286"/>
    <m/>
    <n v="102"/>
    <n v="4"/>
    <x v="1"/>
    <b v="0"/>
    <b v="0"/>
    <b v="0"/>
    <s v="0,27"/>
    <b v="0"/>
    <d v="2022-09-22T00:00:00"/>
    <d v="2022-10-31T00:00:00"/>
  </r>
  <r>
    <n v="5045307"/>
    <b v="1"/>
    <s v="Beauty Salon 1007"/>
    <s v="Company Beauty SL1007"/>
    <n v="3733677"/>
    <n v="-613741"/>
    <s v="Bollullos de la Mitación"/>
    <s v="C. Larga, 74, 41110 Bollullos de la Mitación, Sevilla, España"/>
    <d v="2022-07-04T10:57:40"/>
    <n v="35955338933"/>
    <n v="22"/>
    <n v="4909091"/>
    <s v="37733777C"/>
    <n v="1071"/>
    <n v="3"/>
    <x v="1"/>
    <b v="0"/>
    <b v="1"/>
    <b v="0"/>
    <s v="37,15"/>
    <b v="0"/>
    <d v="2022-10-19T00:00:00"/>
    <d v="2022-09-12T00:00:00"/>
  </r>
  <r>
    <n v="5045046"/>
    <b v="1"/>
    <s v="Beauty Salon 4352"/>
    <s v="Company Beauty SL4352"/>
    <n v="3671331"/>
    <n v="-44386"/>
    <s v="Málaga"/>
    <s v="C. Betsaida, 2, 29006 Málaga, España"/>
    <d v="2022-07-06T13:42:13"/>
    <n v="35938058095"/>
    <n v="5"/>
    <n v="5"/>
    <s v="X7333337R"/>
    <n v="133"/>
    <n v="1"/>
    <x v="0"/>
    <b v="0"/>
    <b v="1"/>
    <b v="0"/>
    <s v="25,67"/>
    <b v="0"/>
    <d v="2022-09-18T00:00:00"/>
    <d v="2022-10-05T00:00:00"/>
  </r>
  <r>
    <n v="5045070"/>
    <b v="1"/>
    <s v="Beauty Salon 2745"/>
    <s v="Company Beauty SL2745"/>
    <n v="4891023"/>
    <n v="2256057"/>
    <s v="La Garenne-Colombes"/>
    <s v="7 All. Denis Papin, 92250 La Garenne-Colombes, France"/>
    <d v="2022-07-07T11:56:11"/>
    <n v="33359835835"/>
    <n v="4"/>
    <n v="5"/>
    <n v="733333773"/>
    <n v="45"/>
    <n v="1"/>
    <x v="0"/>
    <b v="0"/>
    <b v="0"/>
    <b v="0"/>
    <s v="0,23"/>
    <b v="1"/>
    <d v="2022-11-25T00:00:00"/>
    <d v="2022-09-12T00:00:00"/>
  </r>
  <r>
    <n v="5044030"/>
    <b v="1"/>
    <s v="Beauty Salon 3640"/>
    <s v="Company Beauty SL3640"/>
    <n v="5235247"/>
    <n v="4885339"/>
    <s v="Amsterdam"/>
    <s v="Roelof Hartstraat 17, 1071 VG Amsterdam, Netherlands"/>
    <d v="2022-07-11T07:32:20"/>
    <n v="33985095305"/>
    <n v="15"/>
    <n v="4933333"/>
    <s v="NL733373337B33"/>
    <n v="126"/>
    <n v="1"/>
    <x v="1"/>
    <b v="0"/>
    <b v="1"/>
    <b v="0"/>
    <s v="35,05"/>
    <b v="0"/>
    <d v="2022-09-24T00:00:00"/>
    <d v="2022-10-25T00:00:00"/>
  </r>
  <r>
    <n v="504475"/>
    <b v="1"/>
    <s v="Beauty Salon 3741"/>
    <s v="Company Beauty SL3741"/>
    <n v="4421517"/>
    <n v="1203742"/>
    <s v="Forlì"/>
    <s v="Via Decio Raggi, 12, 47121 Forlì FC, Italia"/>
    <d v="2022-07-13T06:57:12"/>
    <n v="390553558983"/>
    <n v="0"/>
    <n v="0"/>
    <n v="7377373333"/>
    <n v="0"/>
    <n v="0"/>
    <x v="2"/>
    <b v="1"/>
    <b v="0"/>
    <b v="0"/>
    <n v="0"/>
    <b v="0"/>
    <d v="2022-11-30T00:00:00"/>
    <d v="2022-11-22T00:00:00"/>
  </r>
  <r>
    <n v="5044450"/>
    <b v="1"/>
    <s v="Beauty Salon 328"/>
    <s v="Company Beauty SL328"/>
    <n v="5247468"/>
    <n v="1345374"/>
    <s v="Berlin"/>
    <s v="Sonnenallee 206, 12059 Berlin, Deutschland"/>
    <d v="2022-07-13T07:30:03"/>
    <n v="5933993883595"/>
    <n v="0"/>
    <n v="0"/>
    <m/>
    <n v="15"/>
    <n v="3"/>
    <x v="0"/>
    <b v="0"/>
    <b v="0"/>
    <b v="0"/>
    <n v="0"/>
    <b v="0"/>
    <d v="2022-12-03T00:00:00"/>
    <d v="2022-09-17T00:00:00"/>
  </r>
  <r>
    <n v="5043050"/>
    <b v="1"/>
    <s v="Beauty Salon 2593"/>
    <s v="Company Beauty SL2593"/>
    <n v="3794801"/>
    <n v="2365378"/>
    <s v="Πειραιάς"/>
    <s v="Πραξιτέλους 35, Πειραιάς 185 32, Ελλάδα"/>
    <d v="2022-07-14T08:28:21"/>
    <n v="308333395805"/>
    <n v="0"/>
    <n v="0"/>
    <n v="33377337"/>
    <n v="336"/>
    <n v="2"/>
    <x v="0"/>
    <b v="0"/>
    <b v="1"/>
    <b v="0"/>
    <n v="0"/>
    <b v="0"/>
    <d v="2022-12-07T00:00:00"/>
    <d v="2022-12-06T00:00:00"/>
  </r>
  <r>
    <n v="5046501"/>
    <b v="1"/>
    <s v="Beauty Salon 2355"/>
    <s v="Company Beauty SL2355"/>
    <n v="4411208"/>
    <n v="9963475"/>
    <s v="Sarzana"/>
    <s v="Via Lancillotto Cattani, 1, 19038 Sarzana SP, Italia"/>
    <d v="2022-07-18T13:55:22"/>
    <n v="390383903383"/>
    <n v="0"/>
    <n v="0"/>
    <n v="337733333"/>
    <n v="1345"/>
    <n v="2"/>
    <x v="0"/>
    <b v="1"/>
    <b v="0"/>
    <b v="0"/>
    <n v="0"/>
    <b v="0"/>
    <d v="2022-11-11T00:00:00"/>
    <d v="2022-12-03T00:00:00"/>
  </r>
  <r>
    <n v="50463030"/>
    <b v="1"/>
    <s v="Beauty Salon 2049"/>
    <s v="Company Beauty SL2049"/>
    <n v="4126929"/>
    <n v="1641956"/>
    <s v="Trani"/>
    <s v="Via Giorgio Almirante, 25, 76125 Trani BT, Italia"/>
    <d v="2022-07-19T09:22:11"/>
    <n v="390883580888"/>
    <n v="8"/>
    <n v="5"/>
    <n v="6373733733"/>
    <n v="1112"/>
    <n v="12"/>
    <x v="1"/>
    <b v="0"/>
    <b v="0"/>
    <b v="0"/>
    <s v="0,31"/>
    <b v="0"/>
    <d v="2022-09-14T00:00:00"/>
    <d v="2022-10-17T00:00:00"/>
  </r>
  <r>
    <n v="5047430"/>
    <b v="1"/>
    <s v="Beauty Salon 3048"/>
    <s v="Company Beauty SL3048"/>
    <n v="4098691"/>
    <n v="1417078"/>
    <s v="San Marcellino"/>
    <s v="Via Giacomo Leopardi, 8, 81030 San Marcellino CE, Italia"/>
    <d v="2022-07-21T10:43:19"/>
    <n v="393983985938"/>
    <n v="0"/>
    <n v="0"/>
    <n v="7337733633"/>
    <n v="115"/>
    <n v="3"/>
    <x v="1"/>
    <b v="1"/>
    <b v="0"/>
    <b v="0"/>
    <n v="0"/>
    <b v="0"/>
    <d v="2022-10-16T00:00:00"/>
    <d v="2022-10-29T00:00:00"/>
  </r>
  <r>
    <n v="5047301"/>
    <b v="1"/>
    <s v="Beauty Salon 3601"/>
    <s v="Company Beauty SL3601"/>
    <n v="4546955"/>
    <n v="9235215"/>
    <s v="Milano"/>
    <s v="Via Ajaccio, 4, 20133 Milano MI, Italia"/>
    <d v="2022-07-21T11:26:50"/>
    <n v="390855593935"/>
    <n v="0"/>
    <n v="0"/>
    <n v="73373763"/>
    <n v="5"/>
    <n v="1"/>
    <x v="0"/>
    <b v="0"/>
    <b v="1"/>
    <b v="0"/>
    <n v="0"/>
    <b v="0"/>
    <d v="2022-10-31T00:00:00"/>
    <d v="2022-11-19T00:00:00"/>
  </r>
  <r>
    <n v="504404"/>
    <b v="0"/>
    <s v="Beauty Salon 2109"/>
    <s v="Company Beauty SL2109"/>
    <n v="3888837"/>
    <n v="1659364"/>
    <s v="Catanzaro"/>
    <s v="Via Monsignor Armando Fares, 88100 Catanzaro CZ, Italia"/>
    <d v="2022-07-25T06:43:06"/>
    <n v="393505998383"/>
    <n v="0"/>
    <n v="0"/>
    <n v="7377333773"/>
    <n v="81"/>
    <n v="3"/>
    <x v="2"/>
    <b v="1"/>
    <b v="0"/>
    <b v="0"/>
    <n v="0"/>
    <b v="1"/>
    <d v="2022-10-31T00:00:00"/>
    <d v="2022-10-08T00:00:00"/>
  </r>
  <r>
    <n v="5044506"/>
    <b v="1"/>
    <s v="Beauty Salon 3277"/>
    <s v="Company Beauty SL3277"/>
    <n v="4190801"/>
    <n v="1244476"/>
    <s v="Roma"/>
    <s v="Via Luigi Rizzo, 52, 00136 Roma RM, Italia"/>
    <d v="2022-07-25T15:22:28"/>
    <n v="393385580893"/>
    <n v="0"/>
    <n v="0"/>
    <n v="3373333337"/>
    <n v="8"/>
    <n v="1"/>
    <x v="1"/>
    <b v="1"/>
    <b v="0"/>
    <b v="0"/>
    <n v="0"/>
    <b v="0"/>
    <d v="2022-11-21T00:00:00"/>
    <d v="2022-10-19T00:00:00"/>
  </r>
  <r>
    <n v="5044450"/>
    <b v="1"/>
    <s v="Beauty Salon 4556"/>
    <s v="Company Beauty SL4556"/>
    <n v="3796519"/>
    <n v="2356469"/>
    <s v="Πέραμα"/>
    <s v="25ης Μαρτίου 12, Πέραμα 188 63, Ελλάδα"/>
    <d v="2022-07-26T07:06:07"/>
    <n v="308305088850"/>
    <n v="0"/>
    <n v="0"/>
    <n v="7733336"/>
    <n v="427"/>
    <n v="3"/>
    <x v="1"/>
    <b v="0"/>
    <b v="1"/>
    <b v="0"/>
    <n v="0"/>
    <b v="0"/>
    <d v="2022-09-01T00:00:00"/>
    <d v="2022-11-14T00:00:00"/>
  </r>
  <r>
    <n v="504464"/>
    <b v="1"/>
    <s v="Beauty Salon 4311"/>
    <s v="Company Beauty SL4311"/>
    <n v="4064971"/>
    <n v="-469951"/>
    <s v="Ávila"/>
    <s v="C. de Don Rufino Martín, 1, 05002 Ávila, España"/>
    <d v="2022-07-26T11:36:42"/>
    <n v="35958388583"/>
    <n v="2"/>
    <n v="5"/>
    <s v="Y6333733D"/>
    <n v="272"/>
    <n v="1"/>
    <x v="1"/>
    <b v="0"/>
    <b v="1"/>
    <b v="0"/>
    <s v="16,12"/>
    <b v="0"/>
    <d v="2022-09-10T00:00:00"/>
    <d v="2022-09-26T00:00:00"/>
  </r>
  <r>
    <n v="504451"/>
    <b v="1"/>
    <s v="Beauty Salon 822"/>
    <s v="Company Beauty SL822"/>
    <n v="5142681"/>
    <n v="-33425"/>
    <s v="Greater London"/>
    <s v="Marvan Court, 1A Waldegrave Rd, Teddington TW11 8LZ, UK"/>
    <d v="2022-07-27T09:30:24"/>
    <n v="553908555895"/>
    <n v="0"/>
    <n v="0"/>
    <m/>
    <n v="128"/>
    <n v="1"/>
    <x v="1"/>
    <b v="1"/>
    <b v="0"/>
    <b v="0"/>
    <n v="0"/>
    <b v="0"/>
    <d v="2022-11-01T00:00:00"/>
    <d v="2022-09-09T00:00:00"/>
  </r>
  <r>
    <n v="504455"/>
    <b v="1"/>
    <s v="Beauty Salon 2876"/>
    <s v="Company Beauty SL2876"/>
    <n v="5162289"/>
    <n v="-5866"/>
    <s v="Greater London"/>
    <s v="North Mall, London N9 0EH, UK"/>
    <d v="2022-07-27T09:51:09"/>
    <n v="553595339889"/>
    <n v="1"/>
    <n v="5"/>
    <n v="773333373"/>
    <n v="385"/>
    <n v="5"/>
    <x v="0"/>
    <b v="0"/>
    <b v="0"/>
    <b v="0"/>
    <s v="0,11"/>
    <b v="0"/>
    <d v="2022-10-28T00:00:00"/>
    <d v="2022-10-04T00:00:00"/>
  </r>
  <r>
    <n v="504545"/>
    <b v="1"/>
    <s v="Beauty Salon 2254"/>
    <s v="Company Beauty SL2254"/>
    <n v="4738222"/>
    <n v="8531176"/>
    <s v="Zürich"/>
    <s v="Ackerstrasse 21, 8005 Zürich, Schweiz"/>
    <d v="2022-07-28T13:17:16"/>
    <n v="53398330909"/>
    <n v="2"/>
    <n v="5"/>
    <m/>
    <n v="18"/>
    <n v="1"/>
    <x v="0"/>
    <b v="0"/>
    <b v="0"/>
    <b v="0"/>
    <s v="0,11"/>
    <b v="0"/>
    <d v="2022-09-10T00:00:00"/>
    <d v="2022-11-17T00:00:00"/>
  </r>
  <r>
    <n v="5045304"/>
    <b v="0"/>
    <s v="Beauty Salon 3743"/>
    <s v="Company Beauty SL3743"/>
    <n v="51533"/>
    <n v="-11959"/>
    <s v="Greater London"/>
    <s v="73 Caledonian Rd, London N1 9BT, UK"/>
    <d v="2022-07-29T08:05:39"/>
    <n v="553583958803"/>
    <n v="0"/>
    <n v="0"/>
    <m/>
    <n v="3499"/>
    <n v="4"/>
    <x v="0"/>
    <b v="0"/>
    <b v="0"/>
    <b v="0"/>
    <n v="0"/>
    <b v="0"/>
    <d v="2022-10-10T00:00:00"/>
    <d v="2022-10-06T00:00:00"/>
  </r>
  <r>
    <n v="504540"/>
    <b v="1"/>
    <s v="Beauty Salon 4690"/>
    <s v="Company Beauty SL4690"/>
    <n v="4448057"/>
    <n v="1137016"/>
    <s v="Bologna"/>
    <s v="Via Giuseppe Dagnini, 38, 40137 Bologna BO, Italia"/>
    <d v="2022-07-29T11:06:05"/>
    <n v="393393508999"/>
    <n v="1"/>
    <n v="5"/>
    <n v="7736733333"/>
    <n v="197"/>
    <n v="2"/>
    <x v="1"/>
    <b v="0"/>
    <b v="0"/>
    <b v="0"/>
    <s v="0,11"/>
    <b v="0"/>
    <d v="2022-11-10T00:00:00"/>
    <d v="2022-10-20T00:00:00"/>
  </r>
  <r>
    <n v="5045530"/>
    <b v="1"/>
    <s v="Beauty Salon 3489"/>
    <s v="Company Beauty SL3489"/>
    <n v="3835286"/>
    <n v="1608217"/>
    <s v="Cittanova"/>
    <s v="Via Grimaldi, 8, 89022 Cittanova RC, Italia"/>
    <d v="2022-07-29T13:07:14"/>
    <m/>
    <n v="0"/>
    <n v="0"/>
    <n v="733333337"/>
    <n v="142"/>
    <n v="4"/>
    <x v="1"/>
    <b v="0"/>
    <b v="1"/>
    <b v="0"/>
    <n v="0"/>
    <b v="1"/>
    <d v="2022-09-14T00:00:00"/>
    <d v="2022-10-21T00:00:00"/>
  </r>
  <r>
    <n v="50300304"/>
    <b v="1"/>
    <s v="Beauty Salon 3553"/>
    <s v="Company Beauty SL3553"/>
    <n v="4234097"/>
    <n v="-786392"/>
    <s v="Ourense"/>
    <s v="Rúa Parque de San Lázaro, 5, 32003 Ourense, España"/>
    <d v="2022-08-01T14:09:41"/>
    <n v="35993090383"/>
    <n v="0"/>
    <n v="0"/>
    <s v="33373777A"/>
    <n v="0"/>
    <n v="2"/>
    <x v="2"/>
    <b v="0"/>
    <b v="1"/>
    <b v="0"/>
    <n v="0"/>
    <b v="0"/>
    <d v="2022-09-15T00:00:00"/>
    <d v="2022-09-15T00:00:00"/>
  </r>
  <r>
    <n v="50300450"/>
    <b v="1"/>
    <s v="Beauty Salon 402"/>
    <s v="Company Beauty SL402"/>
    <n v="5195508"/>
    <n v="7631921"/>
    <s v="Münster"/>
    <s v="Von-Steuben-Straße 10-12, 2. Etage, 48143 Münster, Deutschland"/>
    <d v="2022-08-02T12:11:24"/>
    <n v="593385899985"/>
    <n v="1"/>
    <n v="5"/>
    <m/>
    <n v="4"/>
    <n v="1"/>
    <x v="2"/>
    <b v="1"/>
    <b v="0"/>
    <b v="0"/>
    <n v="0"/>
    <b v="0"/>
    <d v="2022-09-16T00:00:00"/>
    <d v="2022-09-16T00:00:00"/>
  </r>
  <r>
    <n v="50301507"/>
    <b v="1"/>
    <s v="Beauty Salon 3438"/>
    <s v="Company Beauty SL3438"/>
    <n v="435839"/>
    <n v="1334307"/>
    <s v="Tournefeuille"/>
    <s v="29 Chemin St Pierre, 31170 Tournefeuille, France"/>
    <d v="2022-08-03T14:50:02"/>
    <n v="33535598095"/>
    <n v="9"/>
    <n v="5"/>
    <n v="33736373333336"/>
    <n v="2507"/>
    <n v="4"/>
    <x v="0"/>
    <b v="0"/>
    <b v="1"/>
    <b v="0"/>
    <s v="31,64"/>
    <b v="0"/>
    <d v="2022-09-17T00:00:00"/>
    <d v="2022-04-16T00:00:00"/>
  </r>
  <r>
    <n v="5030144"/>
    <b v="1"/>
    <s v="Beauty Salon 2514"/>
    <s v="Company Beauty SL2514"/>
    <n v="4147798"/>
    <n v="1918187"/>
    <s v="Martorell"/>
    <s v="Av. Dr. Francesc Massana, 17, 08760 Martorell, Barcelona, España"/>
    <d v="2022-08-04T07:40:52"/>
    <n v="35950039339"/>
    <n v="0"/>
    <n v="0"/>
    <s v="B33733773"/>
    <n v="29"/>
    <n v="4"/>
    <x v="1"/>
    <b v="0"/>
    <b v="1"/>
    <b v="0"/>
    <n v="0"/>
    <b v="0"/>
    <d v="2022-09-18T00:00:00"/>
    <d v="2022-04-17T00:00:00"/>
  </r>
  <r>
    <n v="5030144"/>
    <b v="1"/>
    <s v="Beauty Salon 2753"/>
    <s v="Company Beauty SL2753"/>
    <n v="4822524"/>
    <n v="1635594"/>
    <s v="Wien"/>
    <s v="Alserbachstraße 5/29, 1090 Wien, Österreich"/>
    <d v="2022-08-04T08:05:57"/>
    <n v="539395393333"/>
    <n v="2"/>
    <n v="5"/>
    <m/>
    <n v="22"/>
    <n v="6"/>
    <x v="0"/>
    <b v="0"/>
    <b v="0"/>
    <b v="0"/>
    <s v="0,16"/>
    <b v="0"/>
    <d v="2022-09-19T00:00:00"/>
    <d v="2022-04-18T00:00:00"/>
  </r>
  <r>
    <n v="50301305"/>
    <b v="1"/>
    <s v="Beauty Salon 1681"/>
    <s v="Company Beauty SL1681"/>
    <n v="4242825"/>
    <n v="-864097"/>
    <s v="Pontevedra"/>
    <s v="Rúa da Virxe do Camiño, 25, 36001 Pontevedra, España"/>
    <d v="2022-08-04T08:24:06"/>
    <n v="35939383998"/>
    <n v="4"/>
    <n v="5"/>
    <s v="76333336G"/>
    <n v="4144"/>
    <n v="4"/>
    <x v="2"/>
    <b v="0"/>
    <b v="1"/>
    <b v="0"/>
    <s v="23,25"/>
    <b v="0"/>
    <d v="2022-09-20T00:00:00"/>
    <d v="2022-04-19T00:00:00"/>
  </r>
  <r>
    <n v="5030170"/>
    <b v="1"/>
    <s v="Beauty Salon 1383"/>
    <s v="Company Beauty SL1383"/>
    <n v="4564725"/>
    <n v="8792689"/>
    <s v="Gallarate"/>
    <s v="Via Egidio Checchi, 27, 21013 Gallarate VA, Italia"/>
    <d v="2022-08-04T10:10:20"/>
    <n v="390333383535"/>
    <n v="11"/>
    <n v="4909091"/>
    <n v="767373333"/>
    <n v="445"/>
    <n v="1"/>
    <x v="1"/>
    <b v="0"/>
    <b v="1"/>
    <b v="0"/>
    <s v="32,4"/>
    <b v="0"/>
    <d v="2022-09-21T00:00:00"/>
    <d v="2022-04-20T00:00:00"/>
  </r>
  <r>
    <n v="50301730"/>
    <b v="1"/>
    <s v="Beauty Salon 908"/>
    <s v="Company Beauty SL908"/>
    <n v="4181459"/>
    <n v="1261741"/>
    <s v="Roma"/>
    <s v="Via della Stazione di Ciampino, 18, 00118 Roma RM, Italia"/>
    <d v="2022-08-04T12:17:44"/>
    <m/>
    <n v="0"/>
    <n v="0"/>
    <n v="6333773333"/>
    <n v="95"/>
    <n v="2"/>
    <x v="0"/>
    <b v="0"/>
    <b v="1"/>
    <b v="0"/>
    <n v="0"/>
    <b v="0"/>
    <d v="2022-09-22T00:00:00"/>
    <d v="2022-10-21T00:00:00"/>
  </r>
  <r>
    <n v="5030154"/>
    <b v="1"/>
    <s v="Beauty Salon 1043"/>
    <s v="Company Beauty SL1043"/>
    <n v="543599"/>
    <n v="1370353"/>
    <s v="Baabe"/>
    <s v="Dorfstraße 1-2, 18586 Baabe, Deutschland"/>
    <d v="2022-08-05T08:54:53"/>
    <n v="5938303388500"/>
    <n v="0"/>
    <n v="0"/>
    <m/>
    <n v="28"/>
    <n v="3"/>
    <x v="0"/>
    <b v="0"/>
    <b v="0"/>
    <b v="0"/>
    <n v="0"/>
    <b v="0"/>
    <d v="2022-09-23T00:00:00"/>
    <d v="2022-10-22T00:00:00"/>
  </r>
  <r>
    <n v="5030504"/>
    <b v="1"/>
    <s v="Beauty Salon 2093"/>
    <s v="Company Beauty SL2093"/>
    <n v="415429"/>
    <n v="1896722"/>
    <s v="Olesa de Montserrat"/>
    <s v="Carrer de Josep Anselm Clavé, 50, 08640 Olesa de Montserrat, Barcelona, España"/>
    <d v="2022-08-05T13:06:39"/>
    <n v="35933008385"/>
    <n v="0"/>
    <n v="0"/>
    <s v="33377333V"/>
    <n v="418"/>
    <n v="2"/>
    <x v="1"/>
    <b v="0"/>
    <b v="1"/>
    <b v="0"/>
    <n v="0"/>
    <b v="0"/>
    <d v="2022-09-24T00:00:00"/>
    <d v="2022-10-23T00:00:00"/>
  </r>
  <r>
    <n v="50305505"/>
    <b v="1"/>
    <s v="Beauty Salon 3838"/>
    <s v="Company Beauty SL3838"/>
    <n v="5153358"/>
    <n v="-10943"/>
    <s v="Greater London"/>
    <s v="19 Chapel Market, London N1 9EZ, UK"/>
    <d v="2022-08-08T12:13:07"/>
    <n v="553555885530"/>
    <n v="24"/>
    <n v="4916667"/>
    <m/>
    <n v="121"/>
    <n v="1"/>
    <x v="2"/>
    <b v="0"/>
    <b v="0"/>
    <b v="0"/>
    <s v="0,38"/>
    <b v="0"/>
    <d v="2022-09-25T00:00:00"/>
    <d v="2022-10-24T00:00:00"/>
  </r>
  <r>
    <n v="50305307"/>
    <b v="1"/>
    <s v="Beauty Salon 4085"/>
    <s v="Company Beauty SL4085"/>
    <n v="5013498"/>
    <n v="4832272"/>
    <s v="Givet"/>
    <s v="36 Rue Notre Dame, 08600 Givet, France"/>
    <d v="2022-08-09T08:52:20"/>
    <n v="33953055399"/>
    <n v="43"/>
    <n v="4976744"/>
    <s v="FR67333736333"/>
    <n v="4942"/>
    <n v="2"/>
    <x v="2"/>
    <b v="0"/>
    <b v="0"/>
    <b v="0"/>
    <n v="0"/>
    <b v="0"/>
    <d v="2022-09-26T00:00:00"/>
    <d v="2022-07-26T00:00:00"/>
  </r>
  <r>
    <n v="50305530"/>
    <b v="1"/>
    <s v="Beauty Salon 2844"/>
    <s v="Company Beauty SL2844"/>
    <n v="5073641"/>
    <n v="7102525"/>
    <s v="Bonn"/>
    <s v="Wenzelgasse 18, 53111 Bonn, Deutschland"/>
    <d v="2022-08-10T10:15:54"/>
    <n v="5935358389095"/>
    <n v="0"/>
    <n v="0"/>
    <m/>
    <n v="23"/>
    <n v="2"/>
    <x v="1"/>
    <b v="0"/>
    <b v="0"/>
    <b v="0"/>
    <n v="0"/>
    <b v="0"/>
    <d v="2022-09-27T00:00:00"/>
    <d v="2022-10-21T00:00:00"/>
  </r>
  <r>
    <n v="50305017"/>
    <b v="1"/>
    <s v="Beauty Salon 1164"/>
    <s v="Company Beauty SL1164"/>
    <n v="5236033"/>
    <n v="1406188"/>
    <s v="Fürstenwalde/Spree"/>
    <s v="Eisenbahnstraße 15, 15517 Fürstenwalde/Spree, Deutschland"/>
    <d v="2022-08-10T16:09:54"/>
    <n v="5935805953333"/>
    <n v="0"/>
    <n v="0"/>
    <m/>
    <n v="93"/>
    <n v="2"/>
    <x v="1"/>
    <b v="0"/>
    <b v="0"/>
    <b v="0"/>
    <n v="0"/>
    <b v="0"/>
    <d v="2022-09-28T00:00:00"/>
    <d v="2022-10-22T00:00:00"/>
  </r>
  <r>
    <n v="503050550"/>
    <b v="1"/>
    <s v="Beauty Salon 2916"/>
    <s v="Company Beauty SL2916"/>
    <n v="4881379"/>
    <n v="2360732"/>
    <s v="Le Kremlin-Bicêtre"/>
    <s v="36 Av. de Fontainebleau, 94270 Le Kremlin-Bicêtre, France"/>
    <d v="2022-08-11T07:42:42"/>
    <n v="33995393805"/>
    <n v="0"/>
    <n v="0"/>
    <s v="FR77373773373"/>
    <n v="1"/>
    <n v="4"/>
    <x v="2"/>
    <b v="1"/>
    <b v="0"/>
    <b v="0"/>
    <n v="0"/>
    <b v="0"/>
    <d v="2022-09-29T00:00:00"/>
    <d v="2022-10-23T00:00:00"/>
  </r>
  <r>
    <n v="50305047"/>
    <b v="0"/>
    <s v="Beauty Salon 1197"/>
    <s v="Company Beauty SL1197"/>
    <n v="3948721"/>
    <n v="-36268"/>
    <s v="València"/>
    <s v="Carrer de Dolores Marqués, 17, 46020 València, Valencia, España"/>
    <d v="2022-08-11T14:00:00"/>
    <m/>
    <n v="0"/>
    <n v="0"/>
    <s v="Y3333333W"/>
    <n v="10"/>
    <n v="5"/>
    <x v="1"/>
    <b v="0"/>
    <b v="1"/>
    <b v="0"/>
    <n v="0"/>
    <b v="0"/>
    <d v="2022-09-30T00:00:00"/>
    <d v="2022-10-22T00:00:00"/>
  </r>
  <r>
    <n v="503050300"/>
    <b v="1"/>
    <s v="Beauty Salon 1472"/>
    <s v="Company Beauty SL1472"/>
    <n v="483085"/>
    <n v="1186367"/>
    <s v="Oberding"/>
    <s v="Dorfstraße 15, 85445 Oberding, Deutschland"/>
    <d v="2022-08-11T14:58:47"/>
    <n v="5935903858993"/>
    <n v="0"/>
    <n v="0"/>
    <m/>
    <n v="13"/>
    <n v="1"/>
    <x v="2"/>
    <b v="0"/>
    <b v="0"/>
    <b v="0"/>
    <n v="0"/>
    <b v="0"/>
    <d v="2022-10-01T00:00:00"/>
    <d v="2022-09-22T00:00:00"/>
  </r>
  <r>
    <n v="5030400"/>
    <b v="1"/>
    <s v="Beauty Salon 4300"/>
    <s v="Company Beauty SL4300"/>
    <n v="5347764"/>
    <n v="102052"/>
    <s v="Hamburg"/>
    <s v="Am Schilfpark 24, 21029 Hamburg, Deutschland"/>
    <d v="2022-08-16T11:31:47"/>
    <n v="5933985383888"/>
    <n v="0"/>
    <n v="0"/>
    <m/>
    <n v="19"/>
    <n v="1"/>
    <x v="1"/>
    <b v="0"/>
    <b v="0"/>
    <b v="0"/>
    <n v="0"/>
    <b v="0"/>
    <d v="2022-10-02T00:00:00"/>
    <d v="2022-09-23T00:00:00"/>
  </r>
  <r>
    <n v="5030404"/>
    <b v="1"/>
    <s v="Beauty Salon 3432"/>
    <s v="Company Beauty SL3432"/>
    <n v="5014002"/>
    <n v="8751614"/>
    <s v="Frankfurt am Main"/>
    <s v="Borsigallee 26, 60388 Frankfurt am Main, Deutschland"/>
    <d v="2022-08-16T12:01:32"/>
    <n v="5933983859383"/>
    <n v="0"/>
    <n v="0"/>
    <m/>
    <n v="43"/>
    <n v="2"/>
    <x v="1"/>
    <b v="0"/>
    <b v="0"/>
    <b v="0"/>
    <n v="0"/>
    <b v="0"/>
    <d v="2022-11-28T00:00:00"/>
    <d v="2022-10-09T00:00:00"/>
  </r>
  <r>
    <n v="5030444"/>
    <b v="1"/>
    <s v="Beauty Salon 1431"/>
    <s v="Company Beauty SL1431"/>
    <n v="5587062"/>
    <n v="-43113"/>
    <s v="Glasgow"/>
    <s v="419 Shields Road, Glasgow, G41 1NY"/>
    <d v="2022-08-19T11:56:05"/>
    <n v="553538385858"/>
    <n v="2"/>
    <n v="5"/>
    <m/>
    <n v="55"/>
    <n v="1"/>
    <x v="0"/>
    <b v="0"/>
    <b v="0"/>
    <b v="0"/>
    <s v="0,16"/>
    <b v="0"/>
    <d v="2022-10-21T00:00:00"/>
    <d v="2022-11-13T00:00:00"/>
  </r>
  <r>
    <n v="50303005"/>
    <b v="1"/>
    <s v="Beauty Salon 3967"/>
    <s v="Company Beauty SL3967"/>
    <n v="523741"/>
    <n v="4874559"/>
    <s v="Amsterdam"/>
    <s v="Tweede Hugo de Grootstraat 5h, 1052 LA Amsterdam, Netherlands"/>
    <d v="2022-08-22T07:16:29"/>
    <n v="33955933533"/>
    <n v="38"/>
    <n v="5"/>
    <s v="NL337673377B33"/>
    <n v="77"/>
    <n v="1"/>
    <x v="2"/>
    <b v="0"/>
    <b v="1"/>
    <b v="0"/>
    <s v="40,88"/>
    <b v="0"/>
    <d v="2022-10-21T00:00:00"/>
    <d v="2022-10-25T00:00:00"/>
  </r>
  <r>
    <n v="50303016"/>
    <b v="1"/>
    <s v="Beauty Salon 1294"/>
    <s v="Company Beauty SL1294"/>
    <n v="4879829"/>
    <n v="2482325"/>
    <s v="Saint-Maur-des-Fossés"/>
    <s v="69 Bd de Créteil, 94100 Saint-Maur-des-Fossés, France"/>
    <d v="2022-08-22T12:49:14"/>
    <n v="33353038800"/>
    <n v="1"/>
    <n v="5"/>
    <s v="FR3737363336"/>
    <n v="63"/>
    <n v="2"/>
    <x v="0"/>
    <b v="0"/>
    <b v="1"/>
    <b v="0"/>
    <s v="10,97"/>
    <b v="0"/>
    <d v="2022-12-02T00:00:00"/>
    <d v="2022-12-02T00:00:00"/>
  </r>
  <r>
    <n v="503030505"/>
    <b v="1"/>
    <s v="Beauty Salon 1503"/>
    <s v="Company Beauty SL1503"/>
    <n v="4889923"/>
    <n v="2344619"/>
    <s v="Paris"/>
    <s v="19 Rue Francis de Croisset, 75018 Paris, France"/>
    <d v="2022-08-23T14:02:44"/>
    <n v="33998899588"/>
    <n v="0"/>
    <n v="0"/>
    <m/>
    <n v="1"/>
    <n v="1"/>
    <x v="2"/>
    <b v="0"/>
    <b v="1"/>
    <b v="0"/>
    <n v="0"/>
    <b v="0"/>
    <d v="2022-10-27T00:00:00"/>
    <d v="2022-10-16T00:00:00"/>
  </r>
  <r>
    <n v="5030604"/>
    <b v="1"/>
    <s v="Beauty Salon 3267"/>
    <s v="Company Beauty SL3267"/>
    <n v="4885606"/>
    <n v="2316862"/>
    <s v="Paris"/>
    <s v="58 Rue de Bourgogne, 75007 Paris, France"/>
    <d v="2022-08-26T08:05:49"/>
    <n v="33938533938"/>
    <n v="0"/>
    <n v="0"/>
    <s v="FR37337373373"/>
    <n v="1"/>
    <n v="2"/>
    <x v="0"/>
    <b v="0"/>
    <b v="1"/>
    <b v="0"/>
    <n v="0"/>
    <b v="0"/>
    <d v="2022-11-22T00:00:00"/>
    <d v="2022-10-21T00:00:00"/>
  </r>
  <r>
    <n v="5030617"/>
    <b v="1"/>
    <s v="Beauty Salon 2774"/>
    <s v="Company Beauty SL2774"/>
    <n v="5151476"/>
    <n v="6849248"/>
    <s v="Oberhausen"/>
    <s v="Steinbrinkstraße 200, 46145 Oberhausen, Deutschland"/>
    <d v="2022-08-26T13:55:47"/>
    <n v="5933983938558"/>
    <n v="0"/>
    <n v="0"/>
    <m/>
    <n v="33"/>
    <n v="2"/>
    <x v="0"/>
    <b v="0"/>
    <b v="0"/>
    <b v="0"/>
    <n v="0"/>
    <b v="0"/>
    <d v="2022-10-06T00:00:00"/>
    <d v="2022-10-18T00:00:00"/>
  </r>
  <r>
    <n v="50306505"/>
    <b v="1"/>
    <s v="Beauty Salon 1734"/>
    <s v="Company Beauty SL1734"/>
    <n v="4353735"/>
    <n v="5420833"/>
    <s v="Aix-en-Provence"/>
    <s v="90 Chem. du Pont Rout, 13090 Aix-en-Provence, France"/>
    <d v="2022-08-29T09:45:35"/>
    <n v="33938539385"/>
    <n v="1"/>
    <n v="5"/>
    <s v="FR37337733337"/>
    <n v="43"/>
    <n v="1"/>
    <x v="1"/>
    <b v="1"/>
    <b v="0"/>
    <b v="0"/>
    <n v="0"/>
    <b v="0"/>
    <d v="2022-10-28T00:00:00"/>
    <d v="2022-10-02T00:00:00"/>
  </r>
  <r>
    <n v="5030641"/>
    <b v="1"/>
    <s v="Beauty Salon 298"/>
    <s v="Company Beauty SL298"/>
    <n v="4743468"/>
    <n v="856711"/>
    <s v="Opfikon"/>
    <s v="8152 Opfikon, Schweiz"/>
    <d v="2022-08-29T11:09:00"/>
    <n v="53388359993"/>
    <n v="2"/>
    <n v="5"/>
    <m/>
    <n v="6"/>
    <n v="2"/>
    <x v="0"/>
    <b v="0"/>
    <b v="0"/>
    <b v="0"/>
    <s v="0,16"/>
    <b v="1"/>
    <d v="2022-11-22T00:00:00"/>
    <d v="2022-10-05T00:00:00"/>
  </r>
  <r>
    <n v="5030644"/>
    <b v="1"/>
    <s v="Beauty Salon 4241"/>
    <s v="Company Beauty SL4241"/>
    <n v="4045994"/>
    <n v="1725812"/>
    <s v="Taranto"/>
    <s v="Corso Piemonte, 63, 74121 Taranto TA, Italia"/>
    <d v="2022-08-29T13:24:28"/>
    <n v="393883393503"/>
    <n v="0"/>
    <n v="0"/>
    <n v="7377333773"/>
    <n v="167"/>
    <n v="9"/>
    <x v="1"/>
    <b v="0"/>
    <b v="1"/>
    <b v="1"/>
    <n v="0"/>
    <b v="0"/>
    <d v="2022-11-02T00:00:00"/>
    <d v="2022-10-21T00:00:00"/>
  </r>
  <r>
    <n v="5030646"/>
    <b v="1"/>
    <s v="Beauty Salon 4261"/>
    <s v="Company Beauty SL4261"/>
    <n v="4722608"/>
    <n v="8991138"/>
    <s v="Uznach"/>
    <s v="Rickenstrasse 11, 8730 Uznach, Schweiz"/>
    <d v="2022-08-31T09:19:36"/>
    <n v="53395935500"/>
    <n v="0"/>
    <n v="0"/>
    <m/>
    <n v="34"/>
    <n v="1"/>
    <x v="0"/>
    <b v="0"/>
    <b v="0"/>
    <b v="0"/>
    <n v="0"/>
    <b v="0"/>
    <d v="2022-12-02T00:00:00"/>
    <d v="2022-10-09T00:00:00"/>
  </r>
  <r>
    <n v="5030655"/>
    <b v="1"/>
    <s v="Beauty Salon 1899"/>
    <s v="Company Beauty SL1899"/>
    <n v="4733677"/>
    <n v="8525842"/>
    <s v="Zürich"/>
    <s v="Marchwartstrasse 44, 8038 Zürich, Schweiz"/>
    <d v="2022-08-31T10:03:19"/>
    <n v="53393555985"/>
    <n v="4"/>
    <n v="5"/>
    <m/>
    <n v="23"/>
    <n v="1"/>
    <x v="1"/>
    <b v="0"/>
    <b v="0"/>
    <b v="0"/>
    <s v="0,23"/>
    <b v="0"/>
    <d v="2022-10-03T00:00:00"/>
    <d v="2022-10-31T00:00:00"/>
  </r>
  <r>
    <n v="50307050"/>
    <b v="1"/>
    <s v="Beauty Salon 1123"/>
    <s v="Company Beauty SL1123"/>
    <n v="4738011"/>
    <n v="852724"/>
    <s v="Zürich"/>
    <s v="Schöneggstrasse 10, 8004 Zürich, Schweiz"/>
    <d v="2022-08-31T14:32:07"/>
    <n v="53393033853"/>
    <n v="0"/>
    <n v="0"/>
    <m/>
    <n v="2"/>
    <n v="1"/>
    <x v="1"/>
    <b v="1"/>
    <b v="0"/>
    <b v="0"/>
    <n v="0"/>
    <b v="0"/>
    <d v="2022-10-25T00:00:00"/>
    <d v="2022-10-26T00:00:00"/>
  </r>
  <r>
    <n v="50307530"/>
    <b v="1"/>
    <s v="Beauty Salon 1507"/>
    <s v="Company Beauty SL1507"/>
    <n v="5359439"/>
    <n v="1000253"/>
    <s v="Hamburg"/>
    <s v="Ulmenstraße 23B, 22299 Hamburg, Deutschland"/>
    <d v="2022-09-01T09:43:13"/>
    <n v="595083983995"/>
    <n v="0"/>
    <n v="0"/>
    <m/>
    <n v="23"/>
    <n v="4"/>
    <x v="2"/>
    <b v="0"/>
    <b v="0"/>
    <b v="0"/>
    <n v="0"/>
    <b v="0"/>
    <d v="2022-11-26T00:00:00"/>
    <d v="2022-11-04T00:00:00"/>
  </r>
  <r>
    <n v="5030740"/>
    <b v="1"/>
    <s v="Beauty Salon 172"/>
    <s v="Company Beauty SL172"/>
    <n v="486094"/>
    <n v="2305167"/>
    <s v="Brétigny-sur-Orge"/>
    <s v="16 Rue du Général Leclerc, 91220 Brétigny-sur-Orge, France"/>
    <d v="2022-09-01T12:45:12"/>
    <n v="33995358038"/>
    <n v="0"/>
    <n v="0"/>
    <m/>
    <n v="5"/>
    <n v="3"/>
    <x v="0"/>
    <b v="0"/>
    <b v="0"/>
    <b v="0"/>
    <n v="0"/>
    <b v="0"/>
    <d v="2022-12-08T00:00:00"/>
    <d v="2022-11-15T00:00:00"/>
  </r>
  <r>
    <n v="50307304"/>
    <b v="1"/>
    <s v="Beauty Salon 4764"/>
    <s v="Company Beauty SL4764"/>
    <n v="423506"/>
    <n v="1339364"/>
    <s v="L'Aquila"/>
    <s v="Via Fontesecco, 16, 67100 L'Aquila AQ, Italia"/>
    <d v="2022-09-02T08:17:04"/>
    <n v="393935989393"/>
    <n v="0"/>
    <n v="0"/>
    <n v="7733663"/>
    <n v="168"/>
    <n v="7"/>
    <x v="2"/>
    <b v="1"/>
    <b v="0"/>
    <b v="0"/>
    <n v="0"/>
    <b v="0"/>
    <d v="2022-11-19T00:00:00"/>
    <d v="2022-11-10T00:00:00"/>
  </r>
  <r>
    <n v="50307750"/>
    <b v="1"/>
    <s v="Beauty Salon 4410"/>
    <s v="Company Beauty SL4410"/>
    <n v="4155708"/>
    <n v="146661"/>
    <s v="Campobasso"/>
    <s v="Via Giambattista Vico, 37, 86100 Campobasso CB, Italia"/>
    <d v="2022-09-02T09:23:40"/>
    <n v="3908353953383"/>
    <n v="2"/>
    <n v="5"/>
    <n v="7333733"/>
    <n v="355"/>
    <n v="7"/>
    <x v="2"/>
    <b v="0"/>
    <b v="0"/>
    <b v="0"/>
    <s v="0,16"/>
    <b v="0"/>
    <d v="2022-10-14T00:00:00"/>
    <d v="2022-11-11T00:00:00"/>
  </r>
  <r>
    <n v="5030744"/>
    <b v="1"/>
    <s v="Beauty Salon 2821"/>
    <s v="Company Beauty SL2821"/>
    <n v="456827"/>
    <n v="1194114"/>
    <s v="Castelfranco Veneto"/>
    <s v="Piazza della Serenissima, 20, 31033 Castelfranco Veneto TV, Italia"/>
    <d v="2022-09-02T09:55:07"/>
    <n v="393383988858"/>
    <n v="0"/>
    <n v="0"/>
    <n v="3337773337"/>
    <n v="55"/>
    <n v="2"/>
    <x v="1"/>
    <b v="1"/>
    <b v="0"/>
    <b v="0"/>
    <n v="0"/>
    <b v="0"/>
    <d v="2022-11-25T00:00:00"/>
    <d v="2022-11-15T00:00:00"/>
  </r>
  <r>
    <n v="50307530"/>
    <b v="1"/>
    <s v="Beauty Salon 609"/>
    <s v="Company Beauty SL609"/>
    <n v="4551819"/>
    <n v="1022325"/>
    <s v="Brescia"/>
    <s v="Via Alessandro Lamarmora, 316, 25124 Brescia BS, Italia"/>
    <d v="2022-09-02T11:05:48"/>
    <n v="390303538555"/>
    <n v="0"/>
    <n v="0"/>
    <n v="633737"/>
    <n v="20"/>
    <n v="2"/>
    <x v="0"/>
    <b v="0"/>
    <b v="1"/>
    <b v="0"/>
    <n v="0"/>
    <b v="0"/>
    <d v="2022-11-22T00:00:00"/>
    <d v="2022-10-10T00:00:00"/>
  </r>
  <r>
    <n v="5030756"/>
    <b v="1"/>
    <s v="Beauty Salon 2976"/>
    <s v="Company Beauty SL2976"/>
    <n v="4902795"/>
    <n v="2222315"/>
    <s v="Taverny"/>
    <s v="257 Rue de Paris, 95150 Taverny, France"/>
    <d v="2022-09-02T11:12:40"/>
    <n v="33989393838"/>
    <n v="0"/>
    <n v="0"/>
    <s v="FR33733733777"/>
    <n v="0"/>
    <n v="1"/>
    <x v="2"/>
    <b v="1"/>
    <b v="0"/>
    <b v="0"/>
    <n v="0"/>
    <b v="1"/>
    <d v="2022-10-12T00:00:00"/>
    <d v="2022-10-06T00:00:00"/>
  </r>
  <r>
    <n v="5030414"/>
    <b v="1"/>
    <s v="Beauty Salon 3213"/>
    <s v="Company Beauty SL3213"/>
    <n v="4145661"/>
    <n v="1290878"/>
    <s v="Latina"/>
    <s v="Via Sabaudia, 85, 04100 Latina LT, Italia"/>
    <d v="2022-09-02T13:39:03"/>
    <n v="393899008985"/>
    <n v="0"/>
    <n v="0"/>
    <n v="7333333377"/>
    <n v="67"/>
    <n v="1"/>
    <x v="2"/>
    <b v="1"/>
    <b v="0"/>
    <b v="0"/>
    <n v="0"/>
    <b v="0"/>
    <d v="2022-11-16T00:00:00"/>
    <d v="2022-10-23T00:00:00"/>
  </r>
  <r>
    <n v="5030454"/>
    <b v="1"/>
    <s v="Beauty Salon 852"/>
    <s v="Company Beauty SL852"/>
    <n v="4186115"/>
    <n v="1255511"/>
    <s v="Roma"/>
    <s v="Via dell'Aeroporto, 2a, 00175 Roma RM, Italia"/>
    <d v="2022-09-02T14:42:43"/>
    <n v="390980939833"/>
    <n v="0"/>
    <n v="0"/>
    <n v="6337733333"/>
    <n v="215"/>
    <n v="4"/>
    <x v="2"/>
    <b v="0"/>
    <b v="1"/>
    <b v="0"/>
    <n v="0"/>
    <b v="0"/>
    <d v="2022-10-28T00:00:00"/>
    <d v="2022-12-02T00:00:00"/>
  </r>
  <r>
    <n v="5030444"/>
    <b v="0"/>
    <s v="Beauty Salon 4720"/>
    <s v="Company Beauty SL4720"/>
    <n v="450718"/>
    <n v="755377"/>
    <s v="Rivoli"/>
    <s v="Corso Francia, 224C, 10098 Rivoli TO, Italia"/>
    <d v="2022-09-05T09:09:24"/>
    <n v="393595355355"/>
    <n v="0"/>
    <n v="0"/>
    <n v="737333333"/>
    <n v="4"/>
    <n v="1"/>
    <x v="2"/>
    <b v="1"/>
    <b v="0"/>
    <b v="0"/>
    <n v="0"/>
    <b v="0"/>
    <d v="2022-10-12T00:00:00"/>
    <d v="2022-10-26T00:00:00"/>
  </r>
  <r>
    <n v="5030454"/>
    <b v="1"/>
    <s v="Beauty Salon 2242"/>
    <s v="Company Beauty SL2242"/>
    <n v="3875461"/>
    <n v="-895981"/>
    <s v="Alcochete"/>
    <s v="R. Carlos Manuel Rodrigues Francisco 11, 2890-096 Alcochete, Portugal"/>
    <d v="2022-09-06T12:33:20"/>
    <n v="353933393855"/>
    <n v="0"/>
    <n v="0"/>
    <n v="3337377"/>
    <n v="0"/>
    <n v="1"/>
    <x v="2"/>
    <b v="0"/>
    <b v="1"/>
    <b v="0"/>
    <n v="0"/>
    <b v="0"/>
    <d v="2022-12-05T00:00:00"/>
    <d v="2022-10-02T00:00:00"/>
  </r>
  <r>
    <n v="5030507"/>
    <b v="1"/>
    <s v="Beauty Salon 2483"/>
    <s v="Company Beauty SL2483"/>
    <n v="5473806"/>
    <n v="2526615"/>
    <s v="Vilnius"/>
    <s v="Ateities g. 11, Vilnius 08304, Lithuania"/>
    <d v="2022-09-06T14:27:04"/>
    <n v="33098090333"/>
    <n v="4"/>
    <s v="4,75"/>
    <m/>
    <n v="358"/>
    <n v="6"/>
    <x v="0"/>
    <b v="0"/>
    <b v="0"/>
    <b v="0"/>
    <s v="0,21"/>
    <b v="0"/>
    <d v="2022-10-26T00:00:00"/>
    <d v="2022-10-24T00:00:00"/>
  </r>
  <r>
    <n v="50305150"/>
    <b v="1"/>
    <s v="Beauty Salon 1129"/>
    <s v="Company Beauty SL1129"/>
    <n v="5160598"/>
    <n v="52957"/>
    <s v="Woodford Bridge"/>
    <s v="646A Chigwell Rd, Woodford Bridge, Woodford Green IG8 8AF, UK"/>
    <d v="2022-09-07T07:30:18"/>
    <n v="553383003593"/>
    <n v="0"/>
    <n v="0"/>
    <m/>
    <n v="14"/>
    <n v="5"/>
    <x v="1"/>
    <b v="1"/>
    <b v="0"/>
    <b v="0"/>
    <n v="0"/>
    <b v="0"/>
    <d v="2022-11-01T00:00:00"/>
    <d v="2022-11-29T00:00:00"/>
  </r>
  <r>
    <n v="5030515"/>
    <b v="1"/>
    <s v="Beauty Salon 3562"/>
    <s v="Company Beauty SL3562"/>
    <n v="4138575"/>
    <n v="2158795"/>
    <s v="Barcelona"/>
    <s v="C. del Consell de Cent, 218, 08011 Barcelona, España"/>
    <d v="2022-09-07T09:26:57"/>
    <n v="35900358859"/>
    <n v="0"/>
    <n v="0"/>
    <s v="B37373637"/>
    <n v="120"/>
    <n v="4"/>
    <x v="2"/>
    <b v="0"/>
    <b v="1"/>
    <b v="0"/>
    <n v="0"/>
    <b v="0"/>
    <d v="2022-11-08T00:00:00"/>
    <d v="2022-10-08T00:00:00"/>
  </r>
  <r>
    <n v="5030550"/>
    <b v="1"/>
    <s v="Beauty Salon 3363"/>
    <s v="Company Beauty SL3363"/>
    <n v="4157657"/>
    <n v="2019856"/>
    <s v="Terrassa"/>
    <s v="Rambla de Francesc Macià, 61, 08226 Terrassa, Barcelona, España"/>
    <d v="2022-09-07T09:47:37"/>
    <n v="35958389533"/>
    <n v="0"/>
    <n v="0"/>
    <s v="37777366G"/>
    <n v="54"/>
    <n v="4"/>
    <x v="0"/>
    <b v="0"/>
    <b v="1"/>
    <b v="0"/>
    <n v="0"/>
    <b v="1"/>
    <d v="2022-11-15T00:00:00"/>
    <d v="2022-10-26T00:00:00"/>
  </r>
  <r>
    <n v="50305430"/>
    <b v="1"/>
    <s v="Beauty Salon 4370"/>
    <s v="Company Beauty SL4370"/>
    <n v="5155359"/>
    <n v="-4503"/>
    <s v="Greater London"/>
    <s v="67 Chatsworth Rd, Lower Clapton, London E5 0LH, UK"/>
    <d v="2022-09-08T07:02:59"/>
    <n v="553858939330"/>
    <n v="0"/>
    <n v="0"/>
    <m/>
    <n v="21"/>
    <n v="2"/>
    <x v="2"/>
    <b v="0"/>
    <b v="0"/>
    <b v="0"/>
    <n v="0"/>
    <b v="0"/>
    <d v="2022-10-28T00:00:00"/>
    <d v="2022-10-05T00:00:00"/>
  </r>
  <r>
    <n v="5030577"/>
    <b v="1"/>
    <s v="Beauty Salon 4986"/>
    <s v="Company Beauty SL4986"/>
    <n v="5064203"/>
    <n v="5574812"/>
    <s v="Liège"/>
    <s v="Rue de l'Etuve 17, 4000 Liège, Belgique"/>
    <d v="2022-09-08T11:43:34"/>
    <n v="38588899998"/>
    <n v="0"/>
    <n v="0"/>
    <m/>
    <n v="58"/>
    <n v="1"/>
    <x v="0"/>
    <b v="1"/>
    <b v="0"/>
    <b v="0"/>
    <n v="0"/>
    <b v="0"/>
    <d v="2022-11-27T00:00:00"/>
    <d v="2022-10-11T00:00:00"/>
  </r>
  <r>
    <n v="5030540"/>
    <b v="1"/>
    <s v="Beauty Salon 3884"/>
    <s v="Company Beauty SL3884"/>
    <n v="4173971"/>
    <n v="1235958"/>
    <s v="Roma"/>
    <s v="Via Jacopo Melani, 22, 00124 Roma RM, Italia"/>
    <d v="2022-09-08T12:18:42"/>
    <n v="393883383505"/>
    <n v="0"/>
    <n v="0"/>
    <s v="PZZDNL67A63H333Z"/>
    <n v="6"/>
    <n v="1"/>
    <x v="1"/>
    <b v="0"/>
    <b v="1"/>
    <b v="0"/>
    <n v="0"/>
    <b v="0"/>
    <d v="2022-11-11T00:00:00"/>
    <d v="2022-11-08T00:00:00"/>
  </r>
  <r>
    <n v="5030545"/>
    <b v="1"/>
    <s v="Beauty Salon 3876"/>
    <s v="Company Beauty SL3876"/>
    <n v="5151587"/>
    <n v="-13176"/>
    <s v="Greater London"/>
    <s v="18 Soho Square, London W1D 3QH, UK"/>
    <d v="2022-09-08T13:07:58"/>
    <n v="553389538553"/>
    <n v="35"/>
    <n v="5"/>
    <m/>
    <n v="65"/>
    <n v="1"/>
    <x v="0"/>
    <b v="0"/>
    <b v="0"/>
    <b v="0"/>
    <s v="0,4"/>
    <b v="0"/>
    <d v="2022-11-21T00:00:00"/>
    <d v="2022-10-21T00:00:00"/>
  </r>
  <r>
    <n v="5030544"/>
    <b v="1"/>
    <s v="Beauty Salon 2133"/>
    <s v="Company Beauty SL2133"/>
    <n v="5241679"/>
    <n v="-196989"/>
    <s v="West Midlands"/>
    <s v="2a Bell Ln, Birmingham B31 1JZ, UK"/>
    <d v="2022-09-08T13:23:30"/>
    <n v="553398030853"/>
    <n v="0"/>
    <n v="0"/>
    <m/>
    <n v="42"/>
    <n v="1"/>
    <x v="1"/>
    <b v="0"/>
    <b v="0"/>
    <b v="0"/>
    <n v="0"/>
    <b v="1"/>
    <d v="2022-11-19T00:00:00"/>
    <d v="2022-12-08T00:00:00"/>
  </r>
  <r>
    <n v="5030547"/>
    <b v="1"/>
    <s v="Beauty Salon 4895"/>
    <s v="Company Beauty SL4895"/>
    <n v="5587099"/>
    <n v="-430921"/>
    <s v="Partick"/>
    <s v="within ClipJoint hairdressers, 8 Peel St, Partick, Glasgow G11 5LL, UK"/>
    <d v="2022-09-08T14:14:56"/>
    <n v="553983830988"/>
    <n v="2"/>
    <n v="5"/>
    <m/>
    <n v="37"/>
    <n v="1"/>
    <x v="1"/>
    <b v="0"/>
    <b v="0"/>
    <b v="0"/>
    <s v="0,16"/>
    <b v="0"/>
    <d v="2022-11-19T00:00:00"/>
    <d v="2022-12-03T00:00:00"/>
  </r>
  <r>
    <n v="5030556"/>
    <b v="1"/>
    <s v="Beauty Salon 161"/>
    <s v="Company Beauty SL161"/>
    <n v="4062633"/>
    <n v="1794175"/>
    <s v="Brindisi"/>
    <s v="Viale Francia, 33, 72100 Brindisi BR, Italia"/>
    <d v="2022-09-09T08:37:32"/>
    <n v="393809099085"/>
    <n v="0"/>
    <n v="0"/>
    <n v="633333733"/>
    <n v="52"/>
    <n v="3"/>
    <x v="2"/>
    <b v="0"/>
    <b v="1"/>
    <b v="1"/>
    <n v="0"/>
    <b v="1"/>
    <d v="2022-12-04T00:00:00"/>
    <d v="2022-11-05T00:00:00"/>
  </r>
  <r>
    <n v="5030555"/>
    <b v="0"/>
    <s v="Beauty Salon 852"/>
    <s v="Company Beauty SL852"/>
    <n v="5346206"/>
    <n v="-217329"/>
    <s v="Greater Manchester"/>
    <s v="Unit P17, Gorton Retail Market, Manchester M18 8LD, UK"/>
    <d v="2022-09-09T08:56:55"/>
    <n v="553939339890"/>
    <n v="1"/>
    <n v="5"/>
    <m/>
    <n v="29"/>
    <n v="2"/>
    <x v="1"/>
    <b v="0"/>
    <b v="0"/>
    <b v="0"/>
    <s v="0,11"/>
    <b v="0"/>
    <d v="2022-12-05T00:00:00"/>
    <d v="2022-10-15T00:00:00"/>
  </r>
  <r>
    <n v="5060150"/>
    <b v="1"/>
    <s v="Beauty Salon 752"/>
    <s v="Company Beauty SL752"/>
    <n v="5167397"/>
    <n v="-33074"/>
    <s v="Hertfordshire"/>
    <s v="The Thrive, Battlers Green Farm, Common Ln, Radlett WD7 8PH, UK"/>
    <d v="2022-09-09T11:31:45"/>
    <n v="553833338339"/>
    <n v="0"/>
    <n v="0"/>
    <m/>
    <n v="0"/>
    <n v="0"/>
    <x v="0"/>
    <b v="1"/>
    <b v="0"/>
    <b v="0"/>
    <n v="0"/>
    <b v="0"/>
    <d v="2022-12-05T00:00:00"/>
    <d v="2022-12-05T00:00:00"/>
  </r>
  <r>
    <n v="50603050"/>
    <b v="1"/>
    <s v="Beauty Salon 4310"/>
    <s v="Company Beauty SL4310"/>
    <n v="3805542"/>
    <n v="2380421"/>
    <s v="Μαρούσι"/>
    <s v="Θέμιδος 1, Μαρούσι 151 24, Ελλάδα"/>
    <d v="2022-09-12T13:43:33"/>
    <n v="308309353385"/>
    <n v="0"/>
    <n v="0"/>
    <n v="73736377"/>
    <n v="1156"/>
    <n v="2"/>
    <x v="2"/>
    <b v="0"/>
    <b v="1"/>
    <b v="0"/>
    <n v="0"/>
    <b v="0"/>
    <d v="2022-11-29T00:00:00"/>
    <d v="2022-10-17T00:00:00"/>
  </r>
  <r>
    <n v="506074"/>
    <b v="1"/>
    <s v="Beauty Salon 4175"/>
    <s v="Company Beauty SL4175"/>
    <n v="4565026"/>
    <n v="1377898"/>
    <s v="Trieste"/>
    <s v="Via della Ginnastica, 5/a, 34125 Trieste TS, Italia"/>
    <d v="2022-09-13T09:59:31"/>
    <n v="393580803883"/>
    <n v="0"/>
    <n v="0"/>
    <n v="77373736"/>
    <n v="296"/>
    <n v="1"/>
    <x v="2"/>
    <b v="0"/>
    <b v="1"/>
    <b v="0"/>
    <n v="0"/>
    <b v="0"/>
    <d v="2022-11-03T00:00:00"/>
    <d v="2022-10-11T00:00:00"/>
  </r>
  <r>
    <n v="506044"/>
    <b v="1"/>
    <s v="Beauty Salon 3522"/>
    <s v="Company Beauty SL3522"/>
    <n v="4176931"/>
    <n v="1266087"/>
    <s v="Marino"/>
    <s v="Corso Trieste, 56, 00047 Marino RM, Italia"/>
    <d v="2022-09-13T12:36:24"/>
    <n v="390933039939"/>
    <n v="0"/>
    <n v="0"/>
    <n v="6733763333"/>
    <n v="1"/>
    <n v="4"/>
    <x v="1"/>
    <b v="1"/>
    <b v="0"/>
    <b v="0"/>
    <n v="0"/>
    <b v="0"/>
    <d v="2022-10-23T00:00:00"/>
    <d v="2022-11-19T00:00:00"/>
  </r>
  <r>
    <n v="506046"/>
    <b v="1"/>
    <s v="Beauty Salon 4702"/>
    <s v="Company Beauty SL4702"/>
    <n v="4886664"/>
    <n v="2285022"/>
    <s v="Paris"/>
    <s v="Rue Saint-Didier, Paris, France"/>
    <d v="2022-09-13T12:54:20"/>
    <n v="33358858880"/>
    <n v="0"/>
    <n v="0"/>
    <s v="FR73337673333"/>
    <n v="30"/>
    <n v="2"/>
    <x v="2"/>
    <b v="0"/>
    <b v="1"/>
    <b v="0"/>
    <n v="0"/>
    <b v="0"/>
    <d v="2022-10-03T00:00:00"/>
    <d v="2022-11-02T00:00:00"/>
  </r>
  <r>
    <n v="506110"/>
    <b v="1"/>
    <s v="Beauty Salon 2653"/>
    <s v="Company Beauty SL2653"/>
    <n v="5156745"/>
    <n v="-12217"/>
    <s v="Greater London"/>
    <s v="484 Hornsey Rd, Finsbury Park, London N19 4EF, UK"/>
    <d v="2022-09-14T09:19:57"/>
    <n v="553380535353"/>
    <n v="0"/>
    <n v="0"/>
    <m/>
    <n v="73"/>
    <n v="3"/>
    <x v="1"/>
    <b v="0"/>
    <b v="1"/>
    <b v="0"/>
    <n v="0"/>
    <b v="0"/>
    <d v="2022-11-16T00:00:00"/>
    <d v="2022-10-16T00:00:00"/>
  </r>
  <r>
    <n v="506115"/>
    <b v="1"/>
    <s v="Beauty Salon 3769"/>
    <s v="Company Beauty SL3769"/>
    <n v="5147903"/>
    <n v="-19951"/>
    <s v="Greater London"/>
    <s v="655 Fulham Rd., London SW6 5PY, UK"/>
    <d v="2022-09-14T10:39:07"/>
    <n v="558035330800"/>
    <n v="0"/>
    <n v="0"/>
    <m/>
    <n v="0"/>
    <n v="4"/>
    <x v="0"/>
    <b v="1"/>
    <b v="0"/>
    <b v="1"/>
    <n v="0"/>
    <b v="0"/>
    <d v="2022-10-01T00:00:00"/>
    <d v="2022-10-05T00:00:00"/>
  </r>
  <r>
    <n v="5061501"/>
    <b v="1"/>
    <s v="Beauty Salon 267"/>
    <s v="Company Beauty SL267"/>
    <n v="5337868"/>
    <n v="-147057"/>
    <s v="Sheffield City Centre"/>
    <s v="113-115 Pinstone St, Sheffield City Centre, Sheffield S1 2HL, UK"/>
    <d v="2022-09-14T13:28:31"/>
    <n v="553390900909"/>
    <n v="2"/>
    <n v="5"/>
    <m/>
    <n v="5"/>
    <n v="2"/>
    <x v="1"/>
    <b v="1"/>
    <b v="0"/>
    <b v="0"/>
    <n v="0"/>
    <b v="0"/>
    <d v="2022-11-29T00:00:00"/>
    <d v="2022-10-29T00:00:00"/>
  </r>
  <r>
    <n v="506146"/>
    <b v="1"/>
    <s v="Beauty Salon 2835"/>
    <s v="Company Beauty SL2835"/>
    <n v="404113"/>
    <n v="-370369"/>
    <s v="Madrid"/>
    <s v="C. de Jesús y María, 17, 28012 Madrid, España"/>
    <d v="2022-09-15T07:44:05"/>
    <n v="35903883885"/>
    <n v="0"/>
    <n v="0"/>
    <s v="73737673X"/>
    <n v="1"/>
    <n v="4"/>
    <x v="0"/>
    <b v="0"/>
    <b v="1"/>
    <b v="0"/>
    <n v="0"/>
    <b v="1"/>
    <d v="2022-10-02T00:00:00"/>
    <d v="2022-10-02T00:00:00"/>
  </r>
  <r>
    <n v="506177"/>
    <b v="1"/>
    <s v="Beauty Salon 2923"/>
    <s v="Company Beauty SL2923"/>
    <n v="3651013"/>
    <n v="-489154"/>
    <s v="Marbella"/>
    <s v="Av. Ricardo Soriano, 31, 1d, 29601 Marbella, Málaga, España"/>
    <d v="2022-09-15T10:58:28"/>
    <n v="35995599358"/>
    <n v="1"/>
    <n v="5"/>
    <s v="X6333676A"/>
    <n v="15"/>
    <n v="3"/>
    <x v="0"/>
    <b v="0"/>
    <b v="1"/>
    <b v="0"/>
    <s v="10,97"/>
    <b v="0"/>
    <d v="2022-12-03T00:00:00"/>
    <d v="2022-11-28T00:00:00"/>
  </r>
  <r>
    <n v="506141"/>
    <b v="1"/>
    <s v="Beauty Salon 2172"/>
    <s v="Company Beauty SL2172"/>
    <n v="5334042"/>
    <n v="-626585"/>
    <m/>
    <s v="66/67 Aungier St, Dublin, D02 YR81, Ireland"/>
    <d v="2022-09-15T11:32:36"/>
    <n v="353830988880"/>
    <n v="0"/>
    <n v="0"/>
    <m/>
    <n v="15"/>
    <n v="1"/>
    <x v="2"/>
    <b v="0"/>
    <b v="0"/>
    <b v="0"/>
    <n v="0"/>
    <b v="0"/>
    <d v="2022-10-04T00:00:00"/>
    <d v="2022-11-09T00:00:00"/>
  </r>
  <r>
    <n v="506154"/>
    <b v="1"/>
    <s v="Beauty Salon 649"/>
    <s v="Company Beauty SL649"/>
    <n v="4557647"/>
    <n v="4810661"/>
    <s v="Chasse-sur-Rhône"/>
    <s v="1515 Av. Frédéric Mistral, 38670 Chasse-sur-Rhône, France"/>
    <d v="2022-09-15T15:08:15"/>
    <n v="33330535355"/>
    <n v="0"/>
    <n v="0"/>
    <s v="FR73733337337"/>
    <n v="1"/>
    <n v="1"/>
    <x v="2"/>
    <b v="1"/>
    <b v="0"/>
    <b v="0"/>
    <n v="0"/>
    <b v="0"/>
    <d v="2022-10-05T00:00:00"/>
    <d v="2022-10-01T00:00:00"/>
  </r>
  <r>
    <n v="506554"/>
    <b v="1"/>
    <s v="Beauty Salon 3370"/>
    <s v="Company Beauty SL3370"/>
    <n v="5048888"/>
    <n v="2506264"/>
    <s v="Calonne-Ricouart"/>
    <s v="Rue de saint-nazaire, 62470 Calonne-Ricouart, France"/>
    <d v="2022-09-16T11:16:43"/>
    <n v="33958880539"/>
    <n v="0"/>
    <n v="0"/>
    <s v="FR73337376773"/>
    <n v="0"/>
    <n v="1"/>
    <x v="0"/>
    <b v="1"/>
    <b v="0"/>
    <b v="0"/>
    <n v="0"/>
    <b v="0"/>
    <d v="2022-11-23T00:00:00"/>
    <d v="2022-11-08T00:00:00"/>
  </r>
  <r>
    <n v="506541"/>
    <b v="1"/>
    <s v="Beauty Salon 252"/>
    <s v="Company Beauty SL252"/>
    <n v="4192051"/>
    <n v="1250808"/>
    <s v="Roma"/>
    <s v="Via Chiana, 110a, 00198 Roma RM, Italia"/>
    <d v="2022-09-19T07:00:51"/>
    <n v="393839339855"/>
    <n v="0"/>
    <n v="0"/>
    <n v="6636373333"/>
    <n v="51"/>
    <n v="3"/>
    <x v="0"/>
    <b v="0"/>
    <b v="1"/>
    <b v="0"/>
    <n v="0"/>
    <b v="0"/>
    <d v="2022-10-27T00:00:00"/>
    <d v="2022-11-14T00:00:00"/>
  </r>
  <r>
    <n v="5065430"/>
    <b v="1"/>
    <s v="Beauty Salon 2023"/>
    <s v="Company Beauty SL2023"/>
    <n v="5137515"/>
    <n v="6760862"/>
    <s v="Duisburg"/>
    <s v="Altenbrucher Damm 15, 47249 Duisburg, Deutschland"/>
    <d v="2022-09-19T07:40:04"/>
    <n v="5980358800830"/>
    <n v="0"/>
    <n v="0"/>
    <m/>
    <n v="36"/>
    <n v="1"/>
    <x v="1"/>
    <b v="0"/>
    <b v="0"/>
    <b v="0"/>
    <n v="0"/>
    <b v="1"/>
    <d v="2022-10-02T00:00:00"/>
    <d v="2022-10-10T00:00:00"/>
  </r>
  <r>
    <n v="506546"/>
    <b v="1"/>
    <s v="Beauty Salon 1656"/>
    <s v="Company Beauty SL1656"/>
    <n v="3943216"/>
    <n v="3019086"/>
    <s v="Campos"/>
    <s v="Carrer de sa Creu, 2, 07630 Campos, Illes Balears, España"/>
    <d v="2022-09-19T07:42:23"/>
    <n v="35933850085"/>
    <n v="0"/>
    <n v="0"/>
    <s v="33737337E"/>
    <n v="18"/>
    <n v="2"/>
    <x v="1"/>
    <b v="0"/>
    <b v="1"/>
    <b v="0"/>
    <n v="0"/>
    <b v="0"/>
    <d v="2022-11-17T00:00:00"/>
    <d v="2022-11-30T00:00:00"/>
  </r>
  <r>
    <n v="5065306"/>
    <b v="1"/>
    <s v="Beauty Salon 3035"/>
    <s v="Company Beauty SL3035"/>
    <n v="4462957"/>
    <n v="1096547"/>
    <s v="Modena"/>
    <s v="Via Emilia Est, 1058, 41126 Modena MO, Italia"/>
    <d v="2022-09-19T08:34:03"/>
    <n v="390598938933"/>
    <n v="0"/>
    <n v="0"/>
    <m/>
    <n v="20"/>
    <n v="4"/>
    <x v="0"/>
    <b v="0"/>
    <b v="0"/>
    <b v="0"/>
    <n v="0"/>
    <b v="0"/>
    <d v="2022-10-24T00:00:00"/>
    <d v="2022-11-01T00:00:00"/>
  </r>
  <r>
    <n v="506565"/>
    <b v="1"/>
    <s v="Beauty Salon 3169"/>
    <s v="Company Beauty SL3169"/>
    <n v="3810342"/>
    <n v="1566711"/>
    <s v="Reggio Calabria"/>
    <s v="Via Spirito Santo, 317, 89128 Reggio Calabria RC, Italia"/>
    <d v="2022-09-19T10:04:06"/>
    <n v="393803890330"/>
    <n v="0"/>
    <n v="0"/>
    <n v="733373336"/>
    <n v="70"/>
    <n v="3"/>
    <x v="2"/>
    <b v="1"/>
    <b v="0"/>
    <b v="0"/>
    <n v="0"/>
    <b v="0"/>
    <d v="2022-10-20T00:00:00"/>
    <d v="2022-10-30T00:00:00"/>
  </r>
  <r>
    <n v="506571"/>
    <b v="1"/>
    <s v="Beauty Salon 4701"/>
    <s v="Company Beauty SL4701"/>
    <n v="4047137"/>
    <n v="-386848"/>
    <s v="Majadahonda"/>
    <s v="C. Las Norias, 25, 28220 Majadahonda, Madrid, España"/>
    <d v="2022-09-19T10:08:16"/>
    <n v="35985388558"/>
    <n v="0"/>
    <n v="0"/>
    <s v="76373633K"/>
    <n v="11"/>
    <n v="2"/>
    <x v="1"/>
    <b v="0"/>
    <b v="1"/>
    <b v="0"/>
    <n v="0"/>
    <b v="0"/>
    <d v="2022-11-20T00:00:00"/>
    <d v="2022-11-28T00:00:00"/>
  </r>
  <r>
    <n v="506576"/>
    <b v="1"/>
    <s v="Beauty Salon 98"/>
    <s v="Company Beauty SL98"/>
    <n v="3799334"/>
    <n v="2372431"/>
    <s v="Αθήνα"/>
    <s v="Αλκαμένους 37, Αθήνα 104 40, Ελλάδα"/>
    <d v="2022-09-19T10:57:51"/>
    <n v="308335835835"/>
    <n v="0"/>
    <n v="0"/>
    <n v="37677337"/>
    <n v="0"/>
    <n v="2"/>
    <x v="2"/>
    <b v="1"/>
    <b v="0"/>
    <b v="0"/>
    <n v="0"/>
    <b v="0"/>
    <d v="2022-10-14T00:00:00"/>
    <d v="2022-10-26T00:00:00"/>
  </r>
  <r>
    <n v="50650030"/>
    <b v="1"/>
    <s v="Beauty Salon 2513"/>
    <s v="Company Beauty SL2513"/>
    <n v="4080744"/>
    <n v="1461611"/>
    <s v="Sarno"/>
    <s v="Via S. Valentino, 6, 84087 Sarno SA, Italia"/>
    <d v="2022-09-20T07:48:19"/>
    <n v="393883538939"/>
    <n v="0"/>
    <n v="0"/>
    <n v="3336673636"/>
    <n v="141"/>
    <n v="4"/>
    <x v="2"/>
    <b v="0"/>
    <b v="1"/>
    <b v="0"/>
    <n v="0"/>
    <b v="0"/>
    <d v="2022-11-30T00:00:00"/>
    <d v="2022-10-27T00:00:00"/>
  </r>
  <r>
    <n v="5065055"/>
    <b v="1"/>
    <s v="Beauty Salon 247"/>
    <s v="Company Beauty SL247"/>
    <n v="3817372"/>
    <n v="1333015"/>
    <s v="Palermo"/>
    <s v="Via Mater Dolorosa, 80, 90146 Palermo PA, Italia"/>
    <d v="2022-09-20T09:52:15"/>
    <n v="390939880838"/>
    <n v="0"/>
    <n v="0"/>
    <n v="6333333337"/>
    <n v="67"/>
    <n v="5"/>
    <x v="2"/>
    <b v="1"/>
    <b v="0"/>
    <b v="0"/>
    <n v="0"/>
    <b v="0"/>
    <d v="2022-11-17T00:00:00"/>
    <d v="2022-10-19T00:00:00"/>
  </r>
  <r>
    <n v="50650550"/>
    <b v="1"/>
    <s v="Beauty Salon 2315"/>
    <s v="Company Beauty SL2315"/>
    <n v="3803602"/>
    <n v="2382661"/>
    <s v="Βριλήσσια"/>
    <s v="Γράμμου 24-26, Βριλήσσια 152 35, Ελλάδα"/>
    <d v="2022-09-20T09:58:09"/>
    <n v="308330333858"/>
    <n v="0"/>
    <n v="0"/>
    <n v="333337"/>
    <n v="0"/>
    <n v="3"/>
    <x v="2"/>
    <b v="1"/>
    <b v="0"/>
    <b v="0"/>
    <n v="0"/>
    <b v="0"/>
    <d v="2022-11-26T00:00:00"/>
    <d v="2022-10-30T00:00:00"/>
  </r>
  <r>
    <n v="5065055"/>
    <b v="1"/>
    <s v="Beauty Salon 3591"/>
    <s v="Company Beauty SL3591"/>
    <n v="4730233"/>
    <n v="65637"/>
    <s v="Brain-sur-Allonnes"/>
    <s v="2 Pl. du Commerce, 49650 Brain-sur-Allonnes, France"/>
    <d v="2022-09-20T10:32:10"/>
    <n v="33390093059"/>
    <n v="0"/>
    <n v="0"/>
    <s v="FR33333337373"/>
    <n v="11"/>
    <n v="2"/>
    <x v="1"/>
    <b v="1"/>
    <b v="0"/>
    <b v="0"/>
    <n v="0"/>
    <b v="1"/>
    <d v="2022-10-14T00:00:00"/>
    <d v="2022-11-12T00:00:00"/>
  </r>
  <r>
    <n v="50650506"/>
    <b v="1"/>
    <s v="Beauty Salon 617"/>
    <s v="Company Beauty SL617"/>
    <n v="4569229"/>
    <n v="8817722"/>
    <s v="Oggiona"/>
    <s v="Via Giacomo Matteotti, 16, 21040 Oggiona VA, Italia"/>
    <d v="2022-09-20T12:11:50"/>
    <n v="393538833033"/>
    <n v="0"/>
    <n v="0"/>
    <n v="7336733333"/>
    <n v="0"/>
    <n v="4"/>
    <x v="0"/>
    <b v="1"/>
    <b v="0"/>
    <b v="0"/>
    <n v="0"/>
    <b v="0"/>
    <d v="2022-11-27T00:00:00"/>
    <d v="2022-12-07T00:00:00"/>
  </r>
  <r>
    <n v="5065045"/>
    <b v="1"/>
    <s v="Beauty Salon 4441"/>
    <s v="Company Beauty SL4441"/>
    <n v="4242579"/>
    <n v="1418919"/>
    <s v="Sambuceto"/>
    <s v="Viale Sandro Pertini, 66020 Sambuceto CH, Italia"/>
    <d v="2022-09-20T13:18:29"/>
    <n v="393893333303"/>
    <n v="0"/>
    <n v="0"/>
    <m/>
    <n v="1"/>
    <n v="0"/>
    <x v="1"/>
    <b v="1"/>
    <b v="0"/>
    <b v="0"/>
    <n v="0"/>
    <b v="0"/>
    <d v="2022-11-13T00:00:00"/>
    <d v="2022-11-03T00:00:00"/>
  </r>
  <r>
    <n v="50650307"/>
    <b v="1"/>
    <s v="Beauty Salon 4092"/>
    <s v="Company Beauty SL4092"/>
    <n v="5196831"/>
    <n v="4588419"/>
    <s v="Rotterdam"/>
    <s v="Emmy van Leersumhof 24a, 3059 LT Rotterdam, Netherlands"/>
    <d v="2022-09-21T06:46:15"/>
    <n v="33933399330"/>
    <n v="0"/>
    <n v="0"/>
    <s v="NL373333333B33"/>
    <n v="0"/>
    <n v="1"/>
    <x v="2"/>
    <b v="1"/>
    <b v="0"/>
    <b v="0"/>
    <n v="0"/>
    <b v="0"/>
    <d v="2022-11-11T00:00:00"/>
    <d v="2022-11-30T00:00:00"/>
  </r>
  <r>
    <n v="50650630"/>
    <b v="1"/>
    <s v="Beauty Salon 944"/>
    <s v="Company Beauty SL944"/>
    <n v="4488247"/>
    <n v="7332139"/>
    <s v="Pinerolo"/>
    <s v="Via Montebello, 19, 10064 Pinerolo TO, Italia"/>
    <d v="2022-09-21T07:57:47"/>
    <n v="393339355588"/>
    <n v="0"/>
    <n v="0"/>
    <n v="73733333"/>
    <n v="57"/>
    <n v="4"/>
    <x v="2"/>
    <b v="0"/>
    <b v="0"/>
    <b v="0"/>
    <n v="0"/>
    <b v="0"/>
    <d v="2022-10-12T00:00:00"/>
    <d v="2022-10-22T00:00:00"/>
  </r>
  <r>
    <n v="5065065"/>
    <b v="1"/>
    <s v="Beauty Salon 4695"/>
    <s v="Company Beauty SL4695"/>
    <n v="4887101"/>
    <n v="2354869"/>
    <s v="Paris"/>
    <s v="25 Bd de Strasbourg, 75010 Paris, France"/>
    <d v="2022-09-21T08:36:09"/>
    <n v="33985830993"/>
    <n v="0"/>
    <n v="0"/>
    <m/>
    <n v="0"/>
    <n v="2"/>
    <x v="0"/>
    <b v="1"/>
    <b v="0"/>
    <b v="0"/>
    <n v="0"/>
    <b v="0"/>
    <d v="2022-10-14T00:00:00"/>
    <d v="2022-10-17T00:00:00"/>
  </r>
  <r>
    <n v="5065074"/>
    <b v="1"/>
    <s v="Beauty Salon 1041"/>
    <s v="Company Beauty SL1041"/>
    <n v="4868086"/>
    <n v="2535317"/>
    <s v="Quincy-sous-Sénart"/>
    <s v="19 Rue des 2 Communes, 91480 Quincy-sous-Sénart, France"/>
    <d v="2022-09-21T09:05:37"/>
    <n v="33933588385"/>
    <n v="0"/>
    <n v="0"/>
    <s v="FR73737737736"/>
    <n v="0"/>
    <n v="5"/>
    <x v="2"/>
    <b v="1"/>
    <b v="0"/>
    <b v="0"/>
    <n v="0"/>
    <b v="0"/>
    <d v="2022-11-22T00:00:00"/>
    <d v="2022-10-05T00:00:00"/>
  </r>
  <r>
    <n v="5065047"/>
    <b v="1"/>
    <s v="Beauty Salon 4600"/>
    <s v="Company Beauty SL4600"/>
    <n v="3948883"/>
    <n v="-36453"/>
    <s v="València"/>
    <s v="Carrer de la Torreta de Miramar, 25, 46020 València, Valencia, España"/>
    <d v="2022-09-21T10:24:53"/>
    <n v="35935958889"/>
    <n v="1"/>
    <n v="5"/>
    <s v="Y7733336T"/>
    <n v="33"/>
    <n v="2"/>
    <x v="2"/>
    <b v="0"/>
    <b v="1"/>
    <b v="0"/>
    <s v="10,97"/>
    <b v="0"/>
    <d v="2022-11-11T00:00:00"/>
    <d v="2022-10-24T00:00:00"/>
  </r>
  <r>
    <n v="5065045"/>
    <b v="1"/>
    <s v="Beauty Salon 909"/>
    <s v="Company Beauty SL909"/>
    <n v="4040434"/>
    <n v="-37039"/>
    <s v="Madrid"/>
    <s v="C. de Ercilla, 3, 28005 Madrid, España"/>
    <d v="2022-09-21T10:38:05"/>
    <n v="35993903859"/>
    <n v="0"/>
    <n v="0"/>
    <s v="33376776W"/>
    <n v="0"/>
    <n v="1"/>
    <x v="1"/>
    <b v="1"/>
    <b v="0"/>
    <b v="0"/>
    <n v="0"/>
    <b v="0"/>
    <d v="2022-10-19T00:00:00"/>
    <d v="2022-10-27T00:00:00"/>
  </r>
  <r>
    <n v="5065056"/>
    <b v="1"/>
    <s v="Beauty Salon 4980"/>
    <s v="Company Beauty SL4980"/>
    <n v="5211847"/>
    <n v="4638001"/>
    <s v="Alphen aan den Rijn"/>
    <s v="Lisdodde 106, 2408 LX Alphen aan den Rijn, Netherlands"/>
    <d v="2022-09-21T11:54:37"/>
    <n v="33983558589"/>
    <n v="0"/>
    <n v="0"/>
    <s v="NL337336333B73"/>
    <n v="0"/>
    <n v="1"/>
    <x v="2"/>
    <b v="1"/>
    <b v="0"/>
    <b v="0"/>
    <n v="0"/>
    <b v="0"/>
    <d v="2022-11-27T00:00:00"/>
    <d v="2022-10-13T00:00:00"/>
  </r>
  <r>
    <n v="5065054"/>
    <b v="1"/>
    <s v="Beauty Salon 227"/>
    <s v="Company Beauty SL227"/>
    <n v="4793253"/>
    <n v="2927277"/>
    <s v="Château-Renard"/>
    <s v="2 Pl. de la République, 45220 Château-Renard, France"/>
    <d v="2022-09-21T12:01:48"/>
    <n v="33933309350"/>
    <n v="0"/>
    <n v="0"/>
    <s v="FR63373733337"/>
    <n v="0"/>
    <n v="1"/>
    <x v="0"/>
    <b v="1"/>
    <b v="0"/>
    <b v="0"/>
    <n v="0"/>
    <b v="0"/>
    <d v="2022-11-15T00:00:00"/>
    <d v="2022-10-09T00:00:00"/>
  </r>
  <r>
    <n v="506406"/>
    <b v="1"/>
    <s v="Beauty Salon 2045"/>
    <s v="Company Beauty SL2045"/>
    <n v="4138408"/>
    <n v="2049578"/>
    <s v="Sant Feliu de Llobregat"/>
    <s v="Rambla Marquesa de Castellbell, 63, 08980 Sant Feliu de Llobregat, Barcelona, España"/>
    <d v="2022-09-21T14:28:55"/>
    <n v="35998039950"/>
    <n v="0"/>
    <n v="0"/>
    <s v="j33333333"/>
    <n v="81"/>
    <n v="3"/>
    <x v="0"/>
    <b v="0"/>
    <b v="1"/>
    <b v="0"/>
    <n v="0"/>
    <b v="0"/>
    <d v="2022-11-05T00:00:00"/>
    <d v="2022-10-15T00:00:00"/>
  </r>
  <r>
    <n v="506407"/>
    <b v="1"/>
    <s v="Beauty Salon 1302"/>
    <s v="Company Beauty SL1302"/>
    <n v="5251013"/>
    <n v="1330373"/>
    <s v="Berlin"/>
    <s v="Schillerstraße 46, 10627 Berlin, Deutschland"/>
    <d v="2022-09-21T14:30:06"/>
    <n v="5935808008089"/>
    <n v="0"/>
    <n v="0"/>
    <m/>
    <n v="0"/>
    <n v="1"/>
    <x v="2"/>
    <b v="0"/>
    <b v="0"/>
    <b v="1"/>
    <n v="0"/>
    <b v="0"/>
    <d v="2022-11-29T00:00:00"/>
    <d v="2022-11-01T00:00:00"/>
  </r>
  <r>
    <n v="506414"/>
    <b v="0"/>
    <s v="Beauty Salon 1103"/>
    <s v="Company Beauty SL1103"/>
    <n v="4888348"/>
    <n v="2287243"/>
    <s v="Paris"/>
    <s v="4 Av. de la Prte de Villiers, 75017 Paris, France"/>
    <d v="2022-09-22T07:31:16"/>
    <n v="33985399899"/>
    <n v="0"/>
    <n v="0"/>
    <s v="FR33737773333"/>
    <n v="0"/>
    <n v="1"/>
    <x v="0"/>
    <b v="0"/>
    <b v="1"/>
    <b v="0"/>
    <n v="0"/>
    <b v="0"/>
    <d v="2022-11-22T00:00:00"/>
    <d v="2022-10-27T00:00:00"/>
  </r>
  <r>
    <n v="506445"/>
    <b v="1"/>
    <s v="Beauty Salon 4945"/>
    <s v="Company Beauty SL4945"/>
    <n v="4894362"/>
    <n v="232664"/>
    <s v="Villeneuve-la-Garenne"/>
    <s v="10 Rue Paul Signac, 92390 Villeneuve-la-Garenne, France"/>
    <d v="2022-09-22T11:03:24"/>
    <n v="33935385583"/>
    <n v="0"/>
    <n v="0"/>
    <s v="FR73333377367"/>
    <n v="0"/>
    <n v="2"/>
    <x v="1"/>
    <b v="0"/>
    <b v="1"/>
    <b v="0"/>
    <n v="0"/>
    <b v="0"/>
    <d v="2022-10-01T00:00:00"/>
    <d v="2022-10-20T00:00:00"/>
  </r>
  <r>
    <n v="506444"/>
    <b v="1"/>
    <s v="Beauty Salon 359"/>
    <s v="Company Beauty SL359"/>
    <n v="4854452"/>
    <n v="2676292"/>
    <s v="Melun"/>
    <s v="7 Av. du Maréchal Juin, 77000 Melun, France"/>
    <d v="2022-09-22T11:04:33"/>
    <n v="33999099550"/>
    <n v="0"/>
    <n v="0"/>
    <s v="FR36373733333"/>
    <n v="0"/>
    <n v="1"/>
    <x v="2"/>
    <b v="1"/>
    <b v="0"/>
    <b v="0"/>
    <n v="0"/>
    <b v="0"/>
    <d v="2022-10-22T00:00:00"/>
    <d v="2022-10-14T00:00:00"/>
  </r>
  <r>
    <n v="5064306"/>
    <b v="1"/>
    <s v="Beauty Salon 734"/>
    <s v="Company Beauty SL734"/>
    <n v="3814114"/>
    <n v="1334939"/>
    <s v="Palermo"/>
    <s v="Via Maggiore Pietro Toselli, 201, 90143 Palermo PA, Italia"/>
    <d v="2022-09-22T12:38:26"/>
    <n v="393885895588"/>
    <n v="0"/>
    <n v="0"/>
    <n v="6333333337"/>
    <n v="38"/>
    <n v="3"/>
    <x v="0"/>
    <b v="1"/>
    <b v="0"/>
    <b v="0"/>
    <n v="0"/>
    <b v="0"/>
    <d v="2022-11-29T00:00:00"/>
    <d v="2022-11-09T00:00:00"/>
  </r>
  <r>
    <n v="506461"/>
    <b v="1"/>
    <s v="Beauty Salon 4168"/>
    <s v="Company Beauty SL4168"/>
    <n v="5159195"/>
    <n v="-16557"/>
    <s v="Greater London"/>
    <s v="170A High Rd, London N2 9AS, UK"/>
    <d v="2022-09-22T13:13:34"/>
    <n v="553539353898"/>
    <n v="0"/>
    <n v="0"/>
    <m/>
    <n v="18"/>
    <n v="3"/>
    <x v="1"/>
    <b v="0"/>
    <b v="0"/>
    <b v="0"/>
    <n v="0"/>
    <b v="0"/>
    <d v="2022-10-24T00:00:00"/>
    <d v="2022-11-09T00:00:00"/>
  </r>
  <r>
    <n v="506465"/>
    <b v="1"/>
    <s v="Beauty Salon 4387"/>
    <s v="Company Beauty SL4387"/>
    <n v="4472784"/>
    <n v="1925505"/>
    <s v="Lacapelle-Marival"/>
    <s v="1 Route de figeac, 46120, Lacapelle-Marival, France"/>
    <d v="2022-09-22T13:17:16"/>
    <n v="33399083859"/>
    <n v="0"/>
    <n v="0"/>
    <m/>
    <n v="0"/>
    <n v="2"/>
    <x v="1"/>
    <b v="1"/>
    <b v="0"/>
    <b v="0"/>
    <n v="0"/>
    <b v="0"/>
    <d v="2022-11-12T00:00:00"/>
    <d v="2022-10-21T00:00:00"/>
  </r>
  <r>
    <n v="506464"/>
    <b v="1"/>
    <s v="Beauty Salon 4091"/>
    <s v="Company Beauty SL4091"/>
    <n v="4548049"/>
    <n v="9194338"/>
    <s v="Milano"/>
    <s v="Via Marco Polo, 11, 20124 Milano MI, Italia"/>
    <d v="2022-09-22T14:16:15"/>
    <n v="393508855530"/>
    <n v="0"/>
    <n v="0"/>
    <n v="337733767"/>
    <n v="69"/>
    <n v="3"/>
    <x v="0"/>
    <b v="1"/>
    <b v="0"/>
    <b v="0"/>
    <n v="0"/>
    <b v="0"/>
    <d v="2022-11-14T00:00:00"/>
    <d v="2022-11-14T00:00:00"/>
  </r>
  <r>
    <n v="5064750"/>
    <b v="1"/>
    <s v="Beauty Salon 2967"/>
    <s v="Company Beauty SL2967"/>
    <n v="4886256"/>
    <n v="2340004"/>
    <s v="Paris"/>
    <s v="4 Rue du Pélican, 75001 Paris, France"/>
    <d v="2022-09-22T15:35:41"/>
    <n v="33935533850"/>
    <n v="0"/>
    <n v="0"/>
    <s v="FR33337367337"/>
    <n v="0"/>
    <n v="1"/>
    <x v="1"/>
    <b v="1"/>
    <b v="0"/>
    <b v="0"/>
    <n v="0"/>
    <b v="0"/>
    <d v="2022-11-22T00:00:00"/>
    <d v="2022-11-11T00:00:00"/>
  </r>
  <r>
    <n v="506474"/>
    <b v="1"/>
    <s v="Beauty Salon 2681"/>
    <s v="Company Beauty SL2681"/>
    <n v="404342"/>
    <n v="-370098"/>
    <s v="Madrid"/>
    <s v="C. Eloy Gonzalo, 26, 28010 Madrid, España"/>
    <d v="2022-09-23T06:45:54"/>
    <n v="35935939989"/>
    <n v="1"/>
    <n v="5"/>
    <s v="37333367E"/>
    <n v="39"/>
    <n v="5"/>
    <x v="0"/>
    <b v="0"/>
    <b v="1"/>
    <b v="0"/>
    <s v="10,97"/>
    <b v="1"/>
    <d v="2022-10-30T00:00:00"/>
    <d v="2022-11-16T00:00:00"/>
  </r>
  <r>
    <n v="506440"/>
    <b v="1"/>
    <s v="Beauty Salon 2214"/>
    <s v="Company Beauty SL2214"/>
    <n v="4318485"/>
    <n v="2994307"/>
    <s v="Narbonne"/>
    <s v="17 Av. Anatole France, 11100 Narbonne, France"/>
    <d v="2022-09-23T06:51:23"/>
    <n v="33385353530"/>
    <n v="0"/>
    <n v="0"/>
    <s v="FR73733737333"/>
    <n v="0"/>
    <n v="3"/>
    <x v="1"/>
    <b v="1"/>
    <b v="0"/>
    <b v="0"/>
    <n v="0"/>
    <b v="1"/>
    <d v="2022-12-06T00:00:00"/>
    <d v="2022-10-15T00:00:00"/>
  </r>
  <r>
    <n v="5064450"/>
    <b v="1"/>
    <s v="Beauty Salon 3765"/>
    <s v="Company Beauty SL3765"/>
    <n v="4367622"/>
    <n v="4430167"/>
    <s v="Saint-Gilles"/>
    <s v="57 Rue Gambetta, 30800 Saint-Gilles, France"/>
    <d v="2022-09-23T07:09:46"/>
    <m/>
    <n v="0"/>
    <n v="0"/>
    <m/>
    <n v="0"/>
    <n v="0"/>
    <x v="1"/>
    <b v="1"/>
    <b v="0"/>
    <b v="0"/>
    <n v="0"/>
    <b v="0"/>
    <d v="2022-11-27T00:00:00"/>
    <d v="2022-11-17T00:00:00"/>
  </r>
  <r>
    <n v="506451"/>
    <b v="1"/>
    <s v="Beauty Salon 1914"/>
    <s v="Company Beauty SL1914"/>
    <n v="3896085"/>
    <n v="-586315"/>
    <s v="Don Benito"/>
    <s v="C. Maestro, 8, 06400 Don Benito, Badajoz, España"/>
    <d v="2022-09-23T07:42:15"/>
    <n v="35959535088"/>
    <n v="0"/>
    <n v="0"/>
    <s v="37373736Q"/>
    <n v="27"/>
    <n v="4"/>
    <x v="1"/>
    <b v="1"/>
    <b v="0"/>
    <b v="0"/>
    <n v="0"/>
    <b v="0"/>
    <d v="2022-10-09T00:00:00"/>
    <d v="2022-11-07T00:00:00"/>
  </r>
  <r>
    <n v="506454"/>
    <b v="1"/>
    <s v="Beauty Salon 4549"/>
    <s v="Company Beauty SL4549"/>
    <n v="3791729"/>
    <n v="2371417"/>
    <s v="Άλιμος"/>
    <s v="Λυσικράτους 26, Άλιμος 174 55, Ελλάδα"/>
    <d v="2022-09-23T07:54:12"/>
    <n v="308309883999"/>
    <n v="0"/>
    <n v="0"/>
    <n v="33333733"/>
    <n v="0"/>
    <n v="3"/>
    <x v="1"/>
    <b v="1"/>
    <b v="0"/>
    <b v="0"/>
    <n v="0"/>
    <b v="0"/>
    <d v="2022-11-21T00:00:00"/>
    <d v="2022-10-06T00:00:00"/>
  </r>
  <r>
    <n v="50630150"/>
    <b v="1"/>
    <s v="Beauty Salon 4575"/>
    <s v="Company Beauty SL4575"/>
    <n v="4884365"/>
    <n v="2218737"/>
    <s v="Saint-Cloud"/>
    <s v="23 Rue du Dr Desfossez, 92210 Saint-Cloud, France"/>
    <d v="2022-09-23T08:58:40"/>
    <n v="33989535383"/>
    <n v="0"/>
    <n v="0"/>
    <s v="FR73373737737"/>
    <n v="0"/>
    <n v="2"/>
    <x v="2"/>
    <b v="1"/>
    <b v="0"/>
    <b v="0"/>
    <n v="0"/>
    <b v="0"/>
    <d v="2022-10-14T00:00:00"/>
    <d v="2022-10-01T00:00:00"/>
  </r>
  <r>
    <n v="5063014"/>
    <b v="1"/>
    <s v="Beauty Salon 1612"/>
    <s v="Company Beauty SL1612"/>
    <n v="5113434"/>
    <n v="6452501"/>
    <s v="Mönchengladbach"/>
    <s v="Zur Burgmühle 2, 41199 Mönchengladbach, Deutschland"/>
    <d v="2022-09-23T09:28:23"/>
    <n v="5933985338338"/>
    <n v="0"/>
    <n v="0"/>
    <m/>
    <n v="0"/>
    <n v="1"/>
    <x v="2"/>
    <b v="1"/>
    <b v="0"/>
    <b v="0"/>
    <n v="0"/>
    <b v="0"/>
    <d v="2022-11-09T00:00:00"/>
    <d v="2022-11-18T00:00:00"/>
  </r>
  <r>
    <n v="5063054"/>
    <b v="1"/>
    <s v="Beauty Salon 1986"/>
    <s v="Company Beauty SL1986"/>
    <n v="3947121"/>
    <n v="-36822"/>
    <s v="València"/>
    <s v="Carrer del Gravador Esteve, 6, 46004 València, Valencia, España"/>
    <d v="2022-09-23T10:53:57"/>
    <n v="35993583553"/>
    <n v="0"/>
    <n v="0"/>
    <s v="B76373737"/>
    <n v="0"/>
    <n v="2"/>
    <x v="2"/>
    <b v="0"/>
    <b v="1"/>
    <b v="0"/>
    <n v="0"/>
    <b v="0"/>
    <d v="2022-11-20T00:00:00"/>
    <d v="2022-11-16T00:00:00"/>
  </r>
  <r>
    <n v="5063057"/>
    <b v="1"/>
    <s v="Beauty Salon 4412"/>
    <s v="Company Beauty SL4412"/>
    <n v="4738717"/>
    <n v="8539442"/>
    <s v="Zürich"/>
    <s v="Stampfenbachstrasse 151, 8006 Zürich, Schweiz"/>
    <d v="2022-09-23T11:07:27"/>
    <n v="53398858530"/>
    <n v="0"/>
    <n v="0"/>
    <m/>
    <n v="0"/>
    <n v="1"/>
    <x v="0"/>
    <b v="1"/>
    <b v="0"/>
    <b v="0"/>
    <n v="0"/>
    <b v="0"/>
    <d v="2022-11-21T00:00:00"/>
    <d v="2022-11-05T00:00:00"/>
  </r>
  <r>
    <n v="5063055"/>
    <b v="1"/>
    <s v="Beauty Salon 2481"/>
    <s v="Company Beauty SL2481"/>
    <n v="5145778"/>
    <n v="11124"/>
    <s v="Greater London"/>
    <s v="127 Lee Rd, Blackheath, London SE3 9DS, UK"/>
    <d v="2022-09-23T11:31:47"/>
    <n v="553903305393"/>
    <n v="0"/>
    <n v="0"/>
    <m/>
    <n v="0"/>
    <n v="1"/>
    <x v="0"/>
    <b v="1"/>
    <b v="0"/>
    <b v="0"/>
    <n v="0"/>
    <b v="0"/>
    <d v="2022-11-21T00:00:00"/>
    <d v="2022-12-07T00:00:00"/>
  </r>
  <r>
    <n v="50630500"/>
    <b v="1"/>
    <s v="Beauty Salon 2276"/>
    <s v="Company Beauty SL2276"/>
    <n v="4880823"/>
    <n v="9211917"/>
    <s v="Stuttgart"/>
    <s v="Duisburger Str. 35, 70376 Stuttgart, Deutschland"/>
    <d v="2022-09-23T11:34:36"/>
    <n v="5933393803008"/>
    <n v="0"/>
    <n v="0"/>
    <m/>
    <n v="0"/>
    <n v="2"/>
    <x v="0"/>
    <b v="1"/>
    <b v="0"/>
    <b v="0"/>
    <n v="0"/>
    <b v="0"/>
    <d v="2022-10-05T00:00:00"/>
    <d v="2022-10-13T00:00:00"/>
  </r>
  <r>
    <n v="506305050"/>
    <b v="0"/>
    <s v="Beauty Salon 2483"/>
    <s v="Company Beauty SL2483"/>
    <n v="4133453"/>
    <n v="-872686"/>
    <s v="Árvore"/>
    <s v="R. Ana Leite do Passo 93, 4480-093 Árvore, Portugal"/>
    <d v="2022-09-23T12:40:32"/>
    <n v="353998339389"/>
    <n v="0"/>
    <n v="0"/>
    <n v="7733"/>
    <n v="33"/>
    <n v="5"/>
    <x v="1"/>
    <b v="0"/>
    <b v="1"/>
    <b v="0"/>
    <n v="0"/>
    <b v="1"/>
    <d v="2022-10-27T00:00:00"/>
    <d v="2022-11-01T00:00:00"/>
  </r>
  <r>
    <n v="50630505"/>
    <b v="0"/>
    <s v="Beauty Salon 3567"/>
    <s v="Company Beauty SL3567"/>
    <n v="5224742"/>
    <n v="5256329"/>
    <s v="Eemnes"/>
    <s v="Wezeboom 21, 3755 WT Eemnes, Netherlands"/>
    <d v="2022-09-23T14:33:51"/>
    <n v="33983335838"/>
    <n v="0"/>
    <n v="0"/>
    <s v="NL337337337B33"/>
    <n v="0"/>
    <n v="1"/>
    <x v="0"/>
    <b v="1"/>
    <b v="0"/>
    <b v="0"/>
    <n v="0"/>
    <b v="0"/>
    <d v="2022-10-19T00:00:00"/>
    <d v="2022-10-02T00:00:00"/>
  </r>
  <r>
    <n v="5063071"/>
    <b v="1"/>
    <s v="Beauty Salon 1036"/>
    <s v="Company Beauty SL1036"/>
    <n v="3957006"/>
    <n v="264739"/>
    <s v="Palma"/>
    <s v="Carrer dels Paraires, 23, 07001 Palma, Illes Balears, España"/>
    <d v="2022-09-27T07:36:31"/>
    <n v="35959853993"/>
    <n v="0"/>
    <n v="0"/>
    <s v="Y7373677B"/>
    <n v="0"/>
    <n v="3"/>
    <x v="2"/>
    <b v="0"/>
    <b v="1"/>
    <b v="0"/>
    <n v="0"/>
    <b v="0"/>
    <d v="2022-11-21T00:00:00"/>
    <d v="2022-11-26T00:00:00"/>
  </r>
  <r>
    <n v="50630750"/>
    <b v="1"/>
    <s v="Beauty Salon 1786"/>
    <s v="Company Beauty SL1786"/>
    <n v="4360382"/>
    <n v="144854"/>
    <s v="Toulouse"/>
    <s v="14 Rue Maurice Fonvieille, 31000 Toulouse, France"/>
    <d v="2022-09-27T07:58:26"/>
    <n v="33358533098"/>
    <n v="0"/>
    <n v="0"/>
    <s v="FR33333333763"/>
    <n v="0"/>
    <n v="5"/>
    <x v="1"/>
    <b v="1"/>
    <b v="0"/>
    <b v="0"/>
    <n v="0"/>
    <b v="0"/>
    <d v="2022-11-25T00:00:00"/>
    <d v="2022-11-27T00:00:00"/>
  </r>
  <r>
    <n v="5063076"/>
    <b v="1"/>
    <s v="Beauty Salon 4049"/>
    <s v="Company Beauty SL4049"/>
    <n v="4706547"/>
    <n v="3935101"/>
    <s v="Château-Chinon"/>
    <s v="22 Pl. Gudin, 58120 Château-Chinon, France"/>
    <d v="2022-09-27T08:26:23"/>
    <n v="33389858590"/>
    <n v="0"/>
    <n v="0"/>
    <s v="FR37737673337"/>
    <n v="0"/>
    <n v="1"/>
    <x v="0"/>
    <b v="1"/>
    <b v="0"/>
    <b v="0"/>
    <n v="0"/>
    <b v="0"/>
    <d v="2022-10-28T00:00:00"/>
    <d v="2022-11-18T00:00:00"/>
  </r>
  <r>
    <n v="50630450"/>
    <b v="1"/>
    <s v="Beauty Salon 3216"/>
    <s v="Company Beauty SL3216"/>
    <n v="3977229"/>
    <n v="303007"/>
    <s v="La Puebla"/>
    <s v="Rda. Albufera, 56, 07420 La Puebla, Islas Baleares, España"/>
    <d v="2022-09-27T09:11:21"/>
    <n v="35933939355"/>
    <n v="0"/>
    <n v="0"/>
    <s v="73337377V"/>
    <n v="0"/>
    <n v="2"/>
    <x v="0"/>
    <b v="0"/>
    <b v="1"/>
    <b v="0"/>
    <n v="0"/>
    <b v="0"/>
    <d v="2022-11-09T00:00:00"/>
    <d v="2022-11-18T00:00:00"/>
  </r>
  <r>
    <n v="5063044"/>
    <b v="1"/>
    <s v="Beauty Salon 738"/>
    <s v="Company Beauty SL738"/>
    <n v="394703"/>
    <n v="-34909"/>
    <s v="València"/>
    <s v="C/ del Dr. Manuel Candela, 52, 46021 València"/>
    <d v="2022-09-27T09:46:30"/>
    <n v="35953953505"/>
    <n v="0"/>
    <n v="0"/>
    <s v="37337633C"/>
    <n v="0"/>
    <n v="1"/>
    <x v="2"/>
    <b v="1"/>
    <b v="0"/>
    <b v="0"/>
    <n v="0"/>
    <b v="0"/>
    <d v="2022-10-23T00:00:00"/>
    <d v="2022-12-03T00:00:00"/>
  </r>
  <r>
    <n v="5063045"/>
    <b v="1"/>
    <s v="Beauty Salon 2376"/>
    <s v="Company Beauty SL2376"/>
    <n v="5153984"/>
    <n v="-9689"/>
    <s v="Greater London"/>
    <s v="156 Essex Rd, London N1 8LY, UK"/>
    <d v="2022-09-27T09:48:32"/>
    <n v="553593939335"/>
    <n v="0"/>
    <n v="0"/>
    <m/>
    <n v="0"/>
    <n v="1"/>
    <x v="0"/>
    <b v="1"/>
    <b v="0"/>
    <b v="0"/>
    <n v="0"/>
    <b v="0"/>
    <d v="2022-11-07T00:00:00"/>
    <d v="2022-10-13T00:00:00"/>
  </r>
  <r>
    <n v="50630530"/>
    <b v="1"/>
    <s v="Beauty Salon 1094"/>
    <s v="Company Beauty SL1094"/>
    <n v="5597445"/>
    <n v="-318582"/>
    <s v="Edinburgh"/>
    <s v="140 Ferry Rd., Edinburgh EH6 4PQ, UK"/>
    <d v="2022-09-27T10:13:58"/>
    <n v="553939535583"/>
    <n v="0"/>
    <n v="0"/>
    <m/>
    <n v="0"/>
    <n v="2"/>
    <x v="2"/>
    <b v="1"/>
    <b v="0"/>
    <b v="0"/>
    <n v="0"/>
    <b v="0"/>
    <d v="2022-11-22T00:00:00"/>
    <d v="2022-11-13T00:00:00"/>
  </r>
  <r>
    <n v="5063054"/>
    <b v="1"/>
    <s v="Beauty Salon 22"/>
    <s v="Company Beauty SL22"/>
    <n v="4884142"/>
    <n v="2313337"/>
    <s v="Paris"/>
    <s v="48 Bd Pasteur, 75015 Paris, France"/>
    <d v="2022-09-27T10:36:27"/>
    <n v="33953589530"/>
    <n v="0"/>
    <n v="0"/>
    <s v="FR33337333333"/>
    <n v="0"/>
    <n v="2"/>
    <x v="0"/>
    <b v="1"/>
    <b v="0"/>
    <b v="0"/>
    <n v="0"/>
    <b v="0"/>
    <d v="2022-11-16T00:00:00"/>
    <d v="2022-11-15T00:00:00"/>
  </r>
  <r>
    <n v="5066030"/>
    <b v="1"/>
    <s v="Beauty Salon 2316"/>
    <s v="Company Beauty SL2316"/>
    <n v="4604297"/>
    <n v="8931405"/>
    <s v="Lamone"/>
    <s v="Via Girella 16, 6814 Lamone, Schweiz"/>
    <d v="2022-09-27T11:54:44"/>
    <n v="53383809353"/>
    <n v="0"/>
    <n v="0"/>
    <s v="CHE-333.773.333 IVA"/>
    <n v="0"/>
    <n v="4"/>
    <x v="0"/>
    <b v="1"/>
    <b v="0"/>
    <b v="0"/>
    <n v="0"/>
    <b v="0"/>
    <d v="2022-11-26T00:00:00"/>
    <d v="2022-11-30T00:00:00"/>
  </r>
  <r>
    <n v="506607"/>
    <b v="1"/>
    <s v="Beauty Salon 1231"/>
    <s v="Company Beauty SL1231"/>
    <n v="4091093"/>
    <n v="1438479"/>
    <s v="Pomigliano d'Arco"/>
    <s v="Via Roma, 108, 80038 Pomigliano d'Arco NA, Italia"/>
    <d v="2022-09-27T12:13:28"/>
    <n v="393353588835"/>
    <n v="0"/>
    <n v="0"/>
    <n v="73333"/>
    <n v="0"/>
    <n v="2"/>
    <x v="1"/>
    <b v="1"/>
    <b v="0"/>
    <b v="0"/>
    <n v="0"/>
    <b v="0"/>
    <d v="2022-11-17T00:00:00"/>
    <d v="2022-11-17T00:00:00"/>
  </r>
  <r>
    <n v="506610"/>
    <b v="1"/>
    <s v="Beauty Salon 861"/>
    <s v="Company Beauty SL861"/>
    <n v="4346346"/>
    <n v="-379057"/>
    <s v="Santander"/>
    <s v="C. Castelar, 49, 39004 Santander, Cantabria, España"/>
    <d v="2022-09-27T12:39:55"/>
    <n v="35958339593"/>
    <n v="0"/>
    <n v="0"/>
    <s v="X3733763S"/>
    <n v="0"/>
    <n v="2"/>
    <x v="0"/>
    <b v="1"/>
    <b v="0"/>
    <b v="0"/>
    <n v="0"/>
    <b v="0"/>
    <d v="2022-11-25T00:00:00"/>
    <d v="2022-11-29T00:00:00"/>
  </r>
  <r>
    <n v="506615"/>
    <b v="1"/>
    <s v="Beauty Salon 196"/>
    <s v="Company Beauty SL196"/>
    <n v="4050155"/>
    <n v="-369199"/>
    <s v="Madrid"/>
    <s v="Ronda del Caballero de la Mancha, 71, 28034 Madrid, España"/>
    <d v="2022-09-27T12:45:48"/>
    <n v="35933939395"/>
    <n v="0"/>
    <n v="0"/>
    <s v="33377633F"/>
    <n v="1"/>
    <n v="3"/>
    <x v="0"/>
    <b v="0"/>
    <b v="1"/>
    <b v="0"/>
    <n v="0"/>
    <b v="0"/>
    <d v="2022-11-12T00:00:00"/>
    <d v="2022-11-13T00:00:00"/>
  </r>
  <r>
    <n v="506616"/>
    <b v="1"/>
    <s v="Beauty Salon 3413"/>
    <s v="Company Beauty SL3413"/>
    <n v="5152774"/>
    <n v="7540376"/>
    <s v="Dortmund"/>
    <s v="Am Westheck 62, 44309 Dortmund, Deutschland"/>
    <d v="2022-09-27T13:49:41"/>
    <n v="5983359388808"/>
    <n v="0"/>
    <n v="0"/>
    <m/>
    <n v="0"/>
    <n v="2"/>
    <x v="2"/>
    <b v="1"/>
    <b v="0"/>
    <b v="1"/>
    <n v="0"/>
    <b v="0"/>
    <d v="2022-11-26T00:00:00"/>
    <d v="2022-11-30T00:00:00"/>
  </r>
  <r>
    <n v="506655"/>
    <b v="1"/>
    <s v="Beauty Salon 619"/>
    <s v="Company Beauty SL619"/>
    <n v="4045892"/>
    <n v="-367758"/>
    <s v="Madrid"/>
    <s v="C. de Costa Rica, 1, 28016 Madrid, España"/>
    <d v="2022-09-27T14:29:28"/>
    <n v="35903838983"/>
    <n v="0"/>
    <n v="0"/>
    <s v="33373736S"/>
    <n v="0"/>
    <n v="3"/>
    <x v="0"/>
    <b v="1"/>
    <b v="0"/>
    <b v="0"/>
    <n v="0"/>
    <b v="0"/>
    <d v="2022-11-20T00:00:00"/>
    <d v="2022-11-27T00:00:00"/>
  </r>
  <r>
    <n v="506656"/>
    <b v="1"/>
    <s v="Beauty Salon 4846"/>
    <s v="Company Beauty SL4846"/>
    <n v="5125157"/>
    <n v="6801801"/>
    <s v="Düsseldorf"/>
    <s v="Münsterstraße 331, 40470 Düsseldorf, Deutschland"/>
    <d v="2022-09-27T15:34:24"/>
    <n v="5935350389893"/>
    <n v="0"/>
    <n v="0"/>
    <m/>
    <n v="0"/>
    <n v="1"/>
    <x v="1"/>
    <b v="1"/>
    <b v="0"/>
    <b v="0"/>
    <n v="0"/>
    <b v="0"/>
    <d v="2022-11-23T00:00:00"/>
    <d v="2022-11-26T00:00:00"/>
  </r>
  <r>
    <n v="506655"/>
    <b v="1"/>
    <s v="Beauty Salon 4487"/>
    <s v="Company Beauty SL4487"/>
    <n v="5142353"/>
    <n v="703687"/>
    <s v="Essen"/>
    <s v="Oberstraße 68, 45134 Essen, Deutschland"/>
    <d v="2022-09-27T16:23:18"/>
    <n v="5933955933535"/>
    <n v="0"/>
    <n v="0"/>
    <m/>
    <n v="0"/>
    <n v="1"/>
    <x v="1"/>
    <b v="1"/>
    <b v="0"/>
    <b v="0"/>
    <n v="0"/>
    <b v="0"/>
    <d v="2022-11-13T00:00:00"/>
    <d v="2022-11-21T00:00:00"/>
  </r>
  <r>
    <n v="5066507"/>
    <b v="0"/>
    <s v="Beauty Salon 247"/>
    <s v="Company Beauty SL247"/>
    <n v="4115668"/>
    <n v="1105422"/>
    <s v="Reus"/>
    <s v="Carrer dels Recs, 21, 43201 Reus, Tarragona, España"/>
    <d v="2022-09-28T07:54:11"/>
    <n v="35935893933"/>
    <n v="0"/>
    <n v="0"/>
    <s v="X6363733A"/>
    <n v="0"/>
    <n v="6"/>
    <x v="0"/>
    <b v="1"/>
    <b v="0"/>
    <b v="0"/>
    <n v="0"/>
    <b v="0"/>
    <d v="2022-11-23T00:00:00"/>
    <d v="2022-12-03T00:00:00"/>
  </r>
  <r>
    <n v="5066450"/>
    <b v="1"/>
    <s v="Beauty Salon 2502"/>
    <s v="Company Beauty SL2502"/>
    <n v="4885666"/>
    <n v="2284662"/>
    <s v="Paris"/>
    <s v="9 Av. Fremiet, 75016 Paris, France"/>
    <d v="2022-09-28T08:36:06"/>
    <n v="33935993830"/>
    <n v="0"/>
    <n v="0"/>
    <s v="FR33373673367"/>
    <n v="0"/>
    <n v="1"/>
    <x v="0"/>
    <b v="1"/>
    <b v="0"/>
    <b v="0"/>
    <n v="0"/>
    <b v="0"/>
    <d v="2022-11-26T00:00:00"/>
    <d v="2022-11-21T00:00:00"/>
  </r>
  <r>
    <n v="506644"/>
    <b v="1"/>
    <s v="Beauty Salon 1817"/>
    <s v="Company Beauty SL1817"/>
    <n v="387261"/>
    <n v="-911901"/>
    <s v="Lisboa"/>
    <s v="Av. Afonso III 71B, 1900-185 Lisboa, Portugal"/>
    <d v="2022-09-28T08:37:20"/>
    <n v="353980855933"/>
    <n v="0"/>
    <n v="0"/>
    <n v="336637366"/>
    <n v="0"/>
    <n v="5"/>
    <x v="1"/>
    <b v="0"/>
    <b v="0"/>
    <b v="1"/>
    <n v="0"/>
    <b v="0"/>
    <d v="2022-12-07T00:00:00"/>
    <d v="2022-11-13T00:00:00"/>
  </r>
  <r>
    <n v="5066430"/>
    <b v="1"/>
    <s v="Beauty Salon 3349"/>
    <s v="Company Beauty SL3349"/>
    <n v="3734521"/>
    <n v="-235935"/>
    <s v="Purchena"/>
    <s v="Pl. Triana, 19, 04870 Purchena, Almería, España"/>
    <d v="2022-09-28T08:37:38"/>
    <n v="35980889590"/>
    <n v="0"/>
    <n v="0"/>
    <s v="33637377C"/>
    <n v="0"/>
    <n v="1"/>
    <x v="2"/>
    <b v="1"/>
    <b v="0"/>
    <b v="0"/>
    <n v="0"/>
    <b v="0"/>
    <d v="2022-11-29T00:00:00"/>
    <d v="2022-12-01T00:00:00"/>
  </r>
  <r>
    <n v="5066300"/>
    <b v="1"/>
    <s v="Beauty Salon 1637"/>
    <s v="Company Beauty SL1637"/>
    <n v="4888645"/>
    <n v="2348282"/>
    <s v="Paris"/>
    <s v="94 Rue Myrha, 75018 Paris, France"/>
    <d v="2022-09-28T09:11:29"/>
    <n v="33985889335"/>
    <n v="0"/>
    <n v="0"/>
    <s v="FR33333333337"/>
    <n v="0"/>
    <n v="5"/>
    <x v="2"/>
    <b v="1"/>
    <b v="0"/>
    <b v="0"/>
    <n v="0"/>
    <b v="0"/>
    <d v="2022-11-20T00:00:00"/>
    <d v="2022-12-07T00:00:00"/>
  </r>
  <r>
    <n v="5066301"/>
    <b v="1"/>
    <s v="Beauty Salon 3008"/>
    <s v="Company Beauty SL3008"/>
    <n v="4822166"/>
    <n v="114743"/>
    <s v="Karlsfeld"/>
    <s v="Münchner Str. 209, 85757 Karlsfeld, Deutschland"/>
    <d v="2022-09-28T09:31:02"/>
    <n v="5935889300930"/>
    <n v="0"/>
    <n v="0"/>
    <m/>
    <n v="0"/>
    <n v="1"/>
    <x v="0"/>
    <b v="1"/>
    <b v="0"/>
    <b v="0"/>
    <n v="0"/>
    <b v="0"/>
    <d v="2022-12-02T00:00:00"/>
    <d v="2022-12-07T00:00:00"/>
  </r>
  <r>
    <n v="5066304"/>
    <b v="1"/>
    <s v="Beauty Salon 4663"/>
    <s v="Company Beauty SL4663"/>
    <n v="4137462"/>
    <n v="2132909"/>
    <s v="Barcelona"/>
    <s v="Carrer de Sant Medir, 16, 08028 Barcelona, España"/>
    <d v="2022-09-28T10:04:00"/>
    <n v="35933399330"/>
    <n v="0"/>
    <n v="0"/>
    <s v="77733773P"/>
    <n v="0"/>
    <n v="2"/>
    <x v="0"/>
    <b v="1"/>
    <b v="0"/>
    <b v="0"/>
    <n v="0"/>
    <b v="0"/>
    <d v="2022-12-06T00:00:00"/>
    <d v="2022-11-16T00:00:00"/>
  </r>
  <r>
    <n v="50663030"/>
    <b v="1"/>
    <s v="Beauty Salon 4641"/>
    <s v="Company Beauty SL4641"/>
    <n v="5146523"/>
    <n v="-18059"/>
    <s v="Greater London"/>
    <s v="224-226 York Rd, London SW11 3SD, UK"/>
    <d v="2022-09-28T10:11:57"/>
    <n v="553889998535"/>
    <n v="0"/>
    <n v="0"/>
    <m/>
    <n v="0"/>
    <n v="2"/>
    <x v="0"/>
    <b v="1"/>
    <b v="0"/>
    <b v="0"/>
    <n v="0"/>
    <b v="0"/>
    <d v="2022-11-28T00:00:00"/>
    <d v="2022-12-02T00:00:00"/>
  </r>
  <r>
    <n v="5066304"/>
    <b v="1"/>
    <s v="Beauty Salon 4203"/>
    <s v="Company Beauty SL4203"/>
    <n v="4889162"/>
    <n v="2346141"/>
    <s v="Paris"/>
    <s v="14 Rue Ferdinand Flocon, 75018 Paris, France"/>
    <d v="2022-09-28T10:49:02"/>
    <n v="33398533588"/>
    <n v="0"/>
    <n v="0"/>
    <s v="FR37337337336"/>
    <n v="0"/>
    <n v="1"/>
    <x v="0"/>
    <b v="1"/>
    <b v="0"/>
    <b v="0"/>
    <n v="0"/>
    <b v="0"/>
    <d v="2022-12-04T00:00:00"/>
    <d v="2022-11-29T00:00:00"/>
  </r>
  <r>
    <n v="5066305"/>
    <b v="1"/>
    <s v="Beauty Salon 2217"/>
    <s v="Company Beauty SL2217"/>
    <n v="3864329"/>
    <n v="46784"/>
    <s v="Calp"/>
    <s v="Av. Valencia, 13, 03710 Calp, Alicante, España"/>
    <d v="2022-09-28T10:58:54"/>
    <n v="35909538338"/>
    <n v="0"/>
    <n v="0"/>
    <s v="73337363A"/>
    <n v="0"/>
    <n v="2"/>
    <x v="1"/>
    <b v="1"/>
    <b v="0"/>
    <b v="0"/>
    <n v="0"/>
    <b v="0"/>
    <d v="2022-11-21T00:00:00"/>
    <d v="2022-11-23T00:00:00"/>
  </r>
  <r>
    <n v="506661"/>
    <b v="1"/>
    <s v="Beauty Salon 1430"/>
    <s v="Company Beauty SL1430"/>
    <n v="4751101"/>
    <n v="8595552"/>
    <s v="Embrach"/>
    <s v="Schützenhausstrasse 111, 8424 Embrach, Schweiz"/>
    <d v="2022-09-28T11:50:04"/>
    <n v="53395538838"/>
    <n v="0"/>
    <n v="0"/>
    <m/>
    <n v="0"/>
    <n v="1"/>
    <x v="0"/>
    <b v="1"/>
    <b v="0"/>
    <b v="0"/>
    <n v="0"/>
    <b v="0"/>
    <d v="2022-12-05T00:00:00"/>
    <d v="2022-11-13T00:00:00"/>
  </r>
  <r>
    <n v="5066630"/>
    <b v="0"/>
    <s v="Beauty Salon 370"/>
    <s v="Company Beauty SL370"/>
    <n v="4042335"/>
    <n v="-370681"/>
    <s v="Madrid"/>
    <s v="C. de Andrés Borrego, 5, 28004 Madrid, España"/>
    <d v="2022-09-28T12:47:22"/>
    <n v="35903355358"/>
    <n v="0"/>
    <n v="0"/>
    <s v="33333373Y"/>
    <n v="0"/>
    <n v="1"/>
    <x v="0"/>
    <b v="0"/>
    <b v="1"/>
    <b v="0"/>
    <n v="0"/>
    <b v="0"/>
    <d v="2022-12-02T00:00:00"/>
    <d v="2022-12-04T00:00:00"/>
  </r>
  <r>
    <n v="506666"/>
    <b v="1"/>
    <s v="Beauty Salon 1961"/>
    <s v="Company Beauty SL1961"/>
    <n v="3737684"/>
    <n v="-594734"/>
    <s v="Sevilla"/>
    <s v="C. Eva Cervantes, 18, 41006 Sevilla, España"/>
    <d v="2022-09-28T12:48:25"/>
    <n v="35933550383"/>
    <n v="0"/>
    <n v="0"/>
    <s v="33633337X"/>
    <n v="0"/>
    <n v="2"/>
    <x v="1"/>
    <b v="1"/>
    <b v="0"/>
    <b v="0"/>
    <n v="0"/>
    <b v="0"/>
    <d v="2022-11-17T00:00:00"/>
    <d v="2022-11-12T00:00:00"/>
  </r>
  <r>
    <n v="506664"/>
    <b v="1"/>
    <s v="Beauty Salon 3204"/>
    <s v="Company Beauty SL3204"/>
    <n v="5156281"/>
    <n v="220388"/>
    <s v="Greater London"/>
    <s v="14 North St, Hornchurch RM11 1QX, UK"/>
    <d v="2022-09-28T13:07:01"/>
    <n v="553585339505"/>
    <n v="0"/>
    <n v="0"/>
    <m/>
    <n v="0"/>
    <n v="1"/>
    <x v="2"/>
    <b v="1"/>
    <b v="0"/>
    <b v="0"/>
    <n v="0"/>
    <b v="0"/>
    <d v="2022-11-28T00:00:00"/>
    <d v="2022-11-12T00:00:00"/>
  </r>
  <r>
    <n v="506677"/>
    <b v="1"/>
    <s v="Beauty Salon 2226"/>
    <s v="Company Beauty SL2226"/>
    <n v="3936065"/>
    <n v="-937957"/>
    <s v="Peniche"/>
    <s v="R. António Conceição Bento 17, 2520-294 Peniche, Portugal"/>
    <d v="2022-09-28T14:30:29"/>
    <n v="353938805895"/>
    <n v="0"/>
    <n v="0"/>
    <n v="6333333"/>
    <n v="0"/>
    <n v="1"/>
    <x v="2"/>
    <b v="1"/>
    <b v="0"/>
    <b v="0"/>
    <n v="0"/>
    <b v="0"/>
    <d v="2022-11-30T00:00:00"/>
    <d v="2022-12-08T00:00:00"/>
  </r>
  <r>
    <n v="506674"/>
    <b v="1"/>
    <s v="Beauty Salon 4173"/>
    <s v="Company Beauty SL4173"/>
    <n v="3734626"/>
    <n v="-605446"/>
    <s v="Mairena del Aljarafe"/>
    <s v="C. Haya, 11, 41927 Mairena del Aljarafe, Sevilla, España"/>
    <d v="2022-09-28T14:38:38"/>
    <n v="35905558555"/>
    <n v="0"/>
    <n v="0"/>
    <s v="33776333M"/>
    <n v="0"/>
    <n v="1"/>
    <x v="0"/>
    <b v="1"/>
    <b v="0"/>
    <b v="0"/>
    <n v="0"/>
    <b v="0"/>
    <d v="2022-11-25T00:00:00"/>
    <d v="2022-11-17T00:00:00"/>
  </r>
  <r>
    <n v="506675"/>
    <b v="1"/>
    <s v="Beauty Salon 4060"/>
    <s v="Company Beauty SL4060"/>
    <n v="4092109"/>
    <n v="1447626"/>
    <s v="San Vitaliano"/>
    <s v="Via Frascatoli, 76, 80030 San Vitaliano NA, Italia"/>
    <d v="2022-09-28T14:39:55"/>
    <n v="393838330383"/>
    <n v="0"/>
    <n v="0"/>
    <n v="773337"/>
    <n v="0"/>
    <n v="3"/>
    <x v="1"/>
    <b v="1"/>
    <b v="0"/>
    <b v="0"/>
    <n v="0"/>
    <b v="0"/>
    <d v="2022-11-24T00:00:00"/>
    <d v="2022-11-20T00:00:00"/>
  </r>
  <r>
    <n v="506645"/>
    <b v="1"/>
    <s v="Beauty Salon 1041"/>
    <s v="Company Beauty SL1041"/>
    <n v="4350723"/>
    <n v="-146896"/>
    <s v="Bayonne"/>
    <s v="All. de la Font de Vignau 64100 Bayonne, France"/>
    <d v="2022-09-28T14:59:50"/>
    <n v="33930058859"/>
    <n v="0"/>
    <n v="0"/>
    <s v="FR37733376773"/>
    <n v="0"/>
    <n v="0"/>
    <x v="0"/>
    <b v="1"/>
    <b v="0"/>
    <b v="0"/>
    <n v="0"/>
    <b v="0"/>
    <d v="2022-12-08T00:00:00"/>
    <d v="2022-11-25T00:00:00"/>
  </r>
  <r>
    <n v="506644"/>
    <b v="0"/>
    <s v="Beauty Salon 3162"/>
    <s v="Company Beauty SL3162"/>
    <n v="5351153"/>
    <n v="1025262"/>
    <s v="Reinbek"/>
    <s v="Schmiedesberg 13, 21465 Reinbek, Deutschland"/>
    <d v="2022-09-28T15:21:49"/>
    <n v="593385000553"/>
    <n v="0"/>
    <n v="0"/>
    <m/>
    <n v="0"/>
    <n v="0"/>
    <x v="0"/>
    <b v="1"/>
    <b v="0"/>
    <b v="0"/>
    <n v="0"/>
    <b v="0"/>
    <d v="2022-11-15T00:00:00"/>
    <d v="2022-11-21T00:00:00"/>
  </r>
  <r>
    <n v="506646"/>
    <b v="1"/>
    <s v="Beauty Salon 1207"/>
    <s v="Company Beauty SL1207"/>
    <n v="4569826"/>
    <n v="967727"/>
    <s v="Bergamo"/>
    <s v="Bergamo BG, Italia"/>
    <d v="2022-09-28T20:18:00"/>
    <n v="393899398880"/>
    <n v="0"/>
    <n v="0"/>
    <m/>
    <n v="0"/>
    <n v="1"/>
    <x v="2"/>
    <b v="0"/>
    <b v="0"/>
    <b v="0"/>
    <n v="0"/>
    <b v="0"/>
    <d v="2022-11-30T00:00:00"/>
    <d v="2022-12-05T00:00:00"/>
  </r>
  <r>
    <n v="506644"/>
    <b v="1"/>
    <s v="Beauty Salon 4857"/>
    <s v="Company Beauty SL4857"/>
    <n v="476777"/>
    <n v="2594187"/>
    <s v="Poilly-Lez-Gien"/>
    <s v="Rue du 11 Novembre, 45500 Poilly-Lez-Gien, France"/>
    <d v="2022-09-29T07:16:20"/>
    <n v="33390335805"/>
    <n v="0"/>
    <n v="0"/>
    <m/>
    <n v="0"/>
    <n v="0"/>
    <x v="2"/>
    <b v="1"/>
    <b v="0"/>
    <b v="0"/>
    <n v="0"/>
    <b v="0"/>
    <d v="2022-11-27T00:00:00"/>
    <d v="2022-12-06T00:00:00"/>
  </r>
  <r>
    <n v="506645"/>
    <b v="1"/>
    <s v="Beauty Salon 420"/>
    <s v="Company Beauty SL420"/>
    <n v="4045735"/>
    <n v="-369199"/>
    <s v="Madrid"/>
    <s v="C. del Poeta Joan Maragall, 22, 28020 Madrid, España"/>
    <d v="2022-09-29T07:19:14"/>
    <n v="35933555389"/>
    <n v="0"/>
    <n v="0"/>
    <s v="Y3333333K"/>
    <n v="0"/>
    <n v="0"/>
    <x v="0"/>
    <b v="1"/>
    <b v="0"/>
    <b v="0"/>
    <n v="0"/>
    <b v="0"/>
    <d v="2022-11-19T00:00:00"/>
    <d v="2022-11-21T00:00:00"/>
  </r>
  <r>
    <n v="506650"/>
    <b v="1"/>
    <s v="Beauty Salon 2109"/>
    <s v="Company Beauty SL2109"/>
    <n v="4184493"/>
    <n v="1254475"/>
    <s v="Roma"/>
    <s v="Via al Quarto Miglio, 95, 00178 Roma RM, Italia"/>
    <d v="2022-09-29T07:19:24"/>
    <n v="393839353808"/>
    <n v="0"/>
    <n v="0"/>
    <n v="777773337"/>
    <n v="0"/>
    <n v="0"/>
    <x v="2"/>
    <b v="1"/>
    <b v="0"/>
    <b v="0"/>
    <n v="0"/>
    <b v="0"/>
    <d v="2022-11-19T00:00:00"/>
    <d v="2022-11-14T00:00:00"/>
  </r>
  <r>
    <n v="506651"/>
    <b v="1"/>
    <s v="Beauty Salon 405"/>
    <s v="Company Beauty SL405"/>
    <n v="3890907"/>
    <n v="-93434"/>
    <s v="Igreja Nova"/>
    <s v="R. da Estrada Principal 15, 2640-367 Igreja Nova, Portugal"/>
    <d v="2022-09-29T07:43:17"/>
    <n v="353993338833"/>
    <n v="0"/>
    <n v="0"/>
    <n v="77633333"/>
    <n v="0"/>
    <n v="0"/>
    <x v="1"/>
    <b v="0"/>
    <b v="0"/>
    <b v="0"/>
    <n v="0"/>
    <b v="0"/>
    <d v="2022-11-14T00:00:00"/>
    <d v="2022-12-02T00:00:00"/>
  </r>
  <r>
    <n v="506655"/>
    <b v="1"/>
    <s v="Beauty Salon 3770"/>
    <s v="Company Beauty SL3770"/>
    <n v="4367622"/>
    <n v="4430167"/>
    <s v="Saint-Gilles"/>
    <s v="57 Rue Gambetta, 30800 Saint-Gilles, France"/>
    <d v="2022-09-29T07:55:53"/>
    <n v="33599835308"/>
    <n v="0"/>
    <n v="0"/>
    <s v="FR36733373336"/>
    <n v="0"/>
    <n v="0"/>
    <x v="1"/>
    <b v="1"/>
    <b v="0"/>
    <b v="0"/>
    <n v="0"/>
    <b v="0"/>
    <d v="2022-11-23T00:00:00"/>
    <d v="2022-11-30T00:00:00"/>
  </r>
  <r>
    <n v="5066550"/>
    <b v="1"/>
    <s v="Beauty Salon 2082"/>
    <s v="Company Beauty SL2082"/>
    <n v="413974"/>
    <n v="2163884"/>
    <s v="Barcelona"/>
    <s v="Avinguda Diagonal, 359, 08037 Barcelona, España"/>
    <d v="2022-09-29T08:07:31"/>
    <n v="35905398939"/>
    <n v="0"/>
    <n v="0"/>
    <s v="Y7376633T"/>
    <n v="0"/>
    <n v="0"/>
    <x v="2"/>
    <b v="1"/>
    <b v="0"/>
    <b v="0"/>
    <n v="0"/>
    <b v="0"/>
    <d v="2022-11-26T00:00:00"/>
    <d v="2022-11-22T00:00:00"/>
  </r>
  <r>
    <n v="506654"/>
    <b v="1"/>
    <s v="Beauty Salon 1898"/>
    <s v="Company Beauty SL1898"/>
    <n v="4040215"/>
    <n v="-356111"/>
    <s v="Madrid"/>
    <s v="Francisco Grande Covian, 27, 28052 Madrid, España"/>
    <d v="2022-09-29T08:09:55"/>
    <n v="35355933359"/>
    <n v="0"/>
    <n v="0"/>
    <s v="33363736K"/>
    <n v="0"/>
    <n v="0"/>
    <x v="0"/>
    <b v="1"/>
    <b v="0"/>
    <b v="0"/>
    <n v="0"/>
    <b v="0"/>
    <d v="2022-11-15T00:00:00"/>
    <d v="2022-11-24T00:00:00"/>
  </r>
  <r>
    <n v="5066530"/>
    <b v="1"/>
    <s v="Beauty Salon 3241"/>
    <s v="Company Beauty SL3241"/>
    <n v="5250508"/>
    <n v="1335597"/>
    <s v="Berlin"/>
    <s v="Lützowstraße 50, 10785 Berlin, Deutschland"/>
    <d v="2022-09-29T08:22:46"/>
    <n v="593089393938"/>
    <n v="0"/>
    <n v="0"/>
    <m/>
    <n v="0"/>
    <n v="0"/>
    <x v="2"/>
    <b v="1"/>
    <b v="0"/>
    <b v="0"/>
    <n v="0"/>
    <b v="0"/>
    <d v="2022-12-03T00:00:00"/>
    <d v="2022-12-06T00:00:00"/>
  </r>
  <r>
    <n v="506656"/>
    <b v="1"/>
    <s v="Beauty Salon 2193"/>
    <s v="Company Beauty SL2193"/>
    <n v="4367206"/>
    <n v="7189697"/>
    <s v="Saint-Laurent-du-Var"/>
    <s v="34 Bd Louis Roux, 06700 Saint-Laurent-du-Var, France"/>
    <d v="2022-09-29T08:23:26"/>
    <n v="33930358938"/>
    <n v="0"/>
    <n v="0"/>
    <s v="FR3377633337"/>
    <n v="0"/>
    <n v="0"/>
    <x v="0"/>
    <b v="1"/>
    <b v="0"/>
    <b v="0"/>
    <n v="0"/>
    <b v="0"/>
    <d v="2022-11-19T00:00:00"/>
    <d v="2022-11-24T00:00:00"/>
  </r>
  <r>
    <n v="506657"/>
    <b v="1"/>
    <s v="Beauty Salon 2037"/>
    <s v="Company Beauty SL2037"/>
    <n v="4880844"/>
    <n v="2528657"/>
    <s v="Champigny-sur-Marne"/>
    <s v="94 Rue du Monument, 94500 Champigny-sur-Marne, France"/>
    <d v="2022-09-29T08:23:38"/>
    <n v="33393839988"/>
    <n v="0"/>
    <n v="0"/>
    <s v="FR73773373333"/>
    <n v="0"/>
    <n v="0"/>
    <x v="2"/>
    <b v="1"/>
    <b v="0"/>
    <b v="0"/>
    <n v="0"/>
    <b v="0"/>
    <d v="2022-12-08T00:00:00"/>
    <d v="2022-12-06T00:00:00"/>
  </r>
  <r>
    <n v="506654"/>
    <b v="1"/>
    <s v="Beauty Salon 467"/>
    <s v="Company Beauty SL467"/>
    <n v="5249127"/>
    <n v="1339419"/>
    <s v="Berlin"/>
    <s v="Zossener Str. 15, 10961 Berlin, Deutschland"/>
    <d v="2022-09-29T08:41:44"/>
    <n v="593090055538"/>
    <n v="0"/>
    <n v="0"/>
    <m/>
    <n v="0"/>
    <n v="0"/>
    <x v="0"/>
    <b v="1"/>
    <b v="0"/>
    <b v="0"/>
    <n v="0"/>
    <b v="0"/>
    <d v="2022-11-19T00:00:00"/>
    <d v="2022-11-20T00:00:00"/>
  </r>
  <r>
    <n v="506655"/>
    <b v="1"/>
    <s v="Beauty Salon 3103"/>
    <s v="Company Beauty SL3103"/>
    <n v="4824496"/>
    <n v="1636206"/>
    <s v="Wien"/>
    <s v="Heiligenstädter Str. 78, 1190 Wien, Österreich"/>
    <d v="2022-09-29T08:43:45"/>
    <n v="5399983850858"/>
    <n v="0"/>
    <n v="0"/>
    <m/>
    <n v="0"/>
    <n v="0"/>
    <x v="1"/>
    <b v="0"/>
    <b v="1"/>
    <b v="0"/>
    <n v="0"/>
    <b v="0"/>
    <d v="2022-12-05T00:00:00"/>
    <d v="2022-11-26T00:00:00"/>
  </r>
  <r>
    <n v="506700"/>
    <b v="1"/>
    <s v="Beauty Salon 2615"/>
    <s v="Company Beauty SL2615"/>
    <n v="4861259"/>
    <n v="2483231"/>
    <s v="Corbeil-Essonnes"/>
    <s v="6 Rue Saint-Spire, 91100 Corbeil-Essonnes, France"/>
    <d v="2022-09-29T08:49:19"/>
    <n v="33909339089"/>
    <n v="0"/>
    <n v="0"/>
    <s v="FR73377367333"/>
    <n v="0"/>
    <n v="0"/>
    <x v="1"/>
    <b v="1"/>
    <b v="0"/>
    <b v="0"/>
    <n v="0"/>
    <b v="0"/>
    <d v="2022-11-30T00:00:00"/>
    <d v="2022-11-22T00:00:00"/>
  </r>
  <r>
    <n v="506701"/>
    <b v="1"/>
    <s v="Beauty Salon 2727"/>
    <s v="Company Beauty SL2727"/>
    <n v="4157063"/>
    <n v="2084466"/>
    <s v="Sabadell"/>
    <s v="Pl. Assemblea de Catalunya, 12, 08207 Sabadell, Barcelona, España"/>
    <d v="2022-09-29T08:51:02"/>
    <n v="35935309598"/>
    <n v="0"/>
    <n v="0"/>
    <s v="33733337S"/>
    <n v="0"/>
    <n v="0"/>
    <x v="2"/>
    <b v="1"/>
    <b v="0"/>
    <b v="0"/>
    <n v="0"/>
    <b v="0"/>
    <d v="2022-11-29T00:00:00"/>
    <d v="2022-11-29T00:00:00"/>
  </r>
  <r>
    <n v="506705"/>
    <b v="1"/>
    <s v="Beauty Salon 2280"/>
    <s v="Company Beauty SL2280"/>
    <n v="4544702"/>
    <n v="1094439"/>
    <s v="Verona"/>
    <s v="Via Stanga, 4, 37139 Verona VR, Italia"/>
    <d v="2022-09-29T08:51:33"/>
    <n v="393803035899"/>
    <n v="0"/>
    <n v="0"/>
    <n v="76633373"/>
    <n v="0"/>
    <n v="0"/>
    <x v="0"/>
    <b v="1"/>
    <b v="0"/>
    <b v="0"/>
    <n v="0"/>
    <b v="0"/>
    <d v="2022-11-20T00:00:00"/>
    <d v="2022-12-08T00:00:00"/>
  </r>
  <r>
    <n v="5067050"/>
    <b v="1"/>
    <s v="Beauty Salon 4925"/>
    <s v="Company Beauty SL4925"/>
    <n v="4173028"/>
    <n v="1821831"/>
    <s v="Manresa"/>
    <s v="Carrer del Pujolet, 29, 08242 Manresa, Barcelona, España"/>
    <d v="2022-09-29T09:05:06"/>
    <n v="35993889959"/>
    <n v="0"/>
    <n v="0"/>
    <s v="77777337K"/>
    <n v="0"/>
    <n v="0"/>
    <x v="2"/>
    <b v="1"/>
    <b v="0"/>
    <b v="0"/>
    <n v="0"/>
    <b v="0"/>
    <d v="2022-11-28T00:00:00"/>
    <d v="2022-11-13T00:00:00"/>
  </r>
  <r>
    <n v="506704"/>
    <b v="1"/>
    <s v="Beauty Salon 2498"/>
    <s v="Company Beauty SL2498"/>
    <n v="3857183"/>
    <n v="-79112"/>
    <s v="Évora"/>
    <s v="R. de Santa Catharina 21, 7000-567 Évora, Portugal"/>
    <d v="2022-09-29T09:10:06"/>
    <n v="353938933393"/>
    <n v="0"/>
    <n v="0"/>
    <m/>
    <n v="0"/>
    <n v="0"/>
    <x v="2"/>
    <b v="1"/>
    <b v="0"/>
    <b v="0"/>
    <n v="0"/>
    <b v="0"/>
    <d v="2022-11-25T00:00:00"/>
    <d v="2022-12-07T00:00:00"/>
  </r>
  <r>
    <n v="5067030"/>
    <b v="1"/>
    <s v="Beauty Salon 3341"/>
    <s v="Company Beauty SL3341"/>
    <n v="4190843"/>
    <n v="1247613"/>
    <s v="Roma"/>
    <s v="Via di Ripetta, 34, 00186 Roma RM, Italia"/>
    <d v="2022-09-29T09:16:29"/>
    <n v="393895835333"/>
    <n v="0"/>
    <n v="0"/>
    <n v="6333333337"/>
    <n v="0"/>
    <n v="0"/>
    <x v="1"/>
    <b v="1"/>
    <b v="0"/>
    <b v="0"/>
    <n v="0"/>
    <b v="0"/>
    <d v="2022-11-18T00:00:00"/>
    <d v="2022-12-07T00:00:00"/>
  </r>
  <r>
    <n v="506706"/>
    <b v="1"/>
    <s v="Beauty Salon 1073"/>
    <s v="Company Beauty SL1073"/>
    <n v="4092404"/>
    <n v="1453638"/>
    <s v="Nola"/>
    <s v="Via Madonna delle Grazie, 67, 80035 Nola NA, Italia"/>
    <d v="2022-09-29T09:33:44"/>
    <n v="390835388350"/>
    <n v="0"/>
    <n v="0"/>
    <n v="7373337"/>
    <n v="0"/>
    <n v="0"/>
    <x v="2"/>
    <b v="1"/>
    <b v="0"/>
    <b v="0"/>
    <n v="0"/>
    <b v="0"/>
    <d v="2022-11-23T00:00:00"/>
    <d v="2022-12-06T00:00:00"/>
  </r>
  <r>
    <n v="506704"/>
    <b v="1"/>
    <s v="Beauty Salon 1846"/>
    <s v="Company Beauty SL1846"/>
    <n v="4819929"/>
    <n v="1639963"/>
    <s v="Wien"/>
    <s v="Erdbergstraße 57, 1030 Wien, Österreich"/>
    <d v="2022-09-29T09:48:43"/>
    <n v="539393803099"/>
    <n v="0"/>
    <n v="0"/>
    <m/>
    <n v="0"/>
    <n v="0"/>
    <x v="2"/>
    <b v="1"/>
    <b v="0"/>
    <b v="0"/>
    <n v="0"/>
    <b v="0"/>
    <d v="2022-12-06T00:00:00"/>
    <d v="2022-12-08T00:00:00"/>
  </r>
  <r>
    <n v="506705"/>
    <b v="1"/>
    <s v="Beauty Salon 668"/>
    <s v="Company Beauty SL668"/>
    <n v="4566702"/>
    <n v="8332441"/>
    <s v="Vintebbio"/>
    <s v="Via G. Marconi, 4, 13037 Vintebbio VC, Italia"/>
    <d v="2022-09-29T09:49:32"/>
    <n v="393353835835"/>
    <n v="0"/>
    <n v="0"/>
    <n v="777333333"/>
    <n v="0"/>
    <n v="0"/>
    <x v="2"/>
    <b v="1"/>
    <b v="0"/>
    <b v="0"/>
    <n v="0"/>
    <b v="0"/>
    <d v="2022-11-17T00:00:00"/>
    <d v="2022-11-14T00:00:00"/>
  </r>
  <r>
    <n v="506710"/>
    <b v="1"/>
    <s v="Beauty Salon 4390"/>
    <s v="Company Beauty SL4390"/>
    <n v="5154644"/>
    <n v="-36895"/>
    <s v="Greater London"/>
    <s v="3 Station Parade, Ealing Rd, Northolt UB5 5HR, UK"/>
    <d v="2022-09-29T09:57:50"/>
    <n v="558080358335"/>
    <n v="0"/>
    <n v="0"/>
    <m/>
    <n v="0"/>
    <n v="0"/>
    <x v="0"/>
    <b v="1"/>
    <b v="0"/>
    <b v="0"/>
    <n v="0"/>
    <b v="1"/>
    <d v="2022-12-07T00:00:00"/>
    <d v="2022-11-25T00:00:00"/>
  </r>
  <r>
    <n v="506711"/>
    <b v="1"/>
    <s v="Beauty Salon 3944"/>
    <s v="Company Beauty SL3944"/>
    <n v="3807281"/>
    <n v="2381242"/>
    <s v="Κηφισιά"/>
    <s v="Λεωφ. Κηφισίας 238, Κηφισιά 145 62, Ελλάδα"/>
    <d v="2022-09-29T10:11:16"/>
    <n v="309985993899"/>
    <n v="0"/>
    <n v="0"/>
    <n v="733733"/>
    <n v="0"/>
    <n v="0"/>
    <x v="1"/>
    <b v="1"/>
    <b v="0"/>
    <b v="0"/>
    <n v="0"/>
    <b v="0"/>
    <d v="2022-12-04T00:00:00"/>
    <d v="2022-12-08T00:00:00"/>
  </r>
  <r>
    <n v="506715"/>
    <b v="1"/>
    <s v="Beauty Salon 2995"/>
    <s v="Company Beauty SL2995"/>
    <n v="4564908"/>
    <n v="9200391"/>
    <s v="Seregno"/>
    <s v="Via Cristoforo Colombo, 52, 20831 Seregno MB, Italia"/>
    <d v="2022-09-29T10:12:13"/>
    <n v="393508088099"/>
    <n v="0"/>
    <n v="0"/>
    <n v="77373763"/>
    <n v="0"/>
    <n v="0"/>
    <x v="2"/>
    <b v="1"/>
    <b v="0"/>
    <b v="0"/>
    <n v="0"/>
    <b v="0"/>
    <d v="2022-11-28T00:00:00"/>
    <d v="2022-11-28T00:00:00"/>
  </r>
  <r>
    <n v="5067150"/>
    <b v="1"/>
    <s v="Beauty Salon 4821"/>
    <s v="Company Beauty SL4821"/>
    <n v="2807835"/>
    <n v="-166817"/>
    <s v="Arona"/>
    <s v="TF-28, 50, 38627 Arona, Santa Cruz de Tenerife, España"/>
    <d v="2022-09-29T10:25:14"/>
    <n v="35985880898"/>
    <n v="0"/>
    <n v="0"/>
    <s v="Y3337373W"/>
    <n v="0"/>
    <n v="0"/>
    <x v="0"/>
    <b v="1"/>
    <b v="0"/>
    <b v="0"/>
    <n v="0"/>
    <b v="0"/>
    <d v="2022-11-12T00:00:00"/>
    <d v="2022-12-05T00:00:00"/>
  </r>
  <r>
    <n v="506717"/>
    <b v="1"/>
    <s v="Beauty Salon 3307"/>
    <s v="Company Beauty SL3307"/>
    <n v="387668"/>
    <n v="-915092"/>
    <s v="Lisboa"/>
    <s v="Av. Maria Helena Vieira da Silva 46, 1750-184 Lisboa, Portugal"/>
    <d v="2022-09-29T10:49:48"/>
    <n v="353993353835"/>
    <n v="0"/>
    <n v="0"/>
    <n v="73363333"/>
    <n v="0"/>
    <n v="0"/>
    <x v="0"/>
    <b v="1"/>
    <b v="0"/>
    <b v="1"/>
    <n v="0"/>
    <b v="0"/>
    <d v="2022-12-05T00:00:00"/>
    <d v="2022-12-02T00:00:00"/>
  </r>
  <r>
    <n v="506714"/>
    <b v="1"/>
    <s v="Beauty Salon 606"/>
    <s v="Company Beauty SL606"/>
    <n v="4138348"/>
    <n v="2134609"/>
    <s v="Barcelona"/>
    <s v="Carrer del Vallespir, 170, 08014 Barcelona, España"/>
    <d v="2022-09-29T11:19:28"/>
    <m/>
    <n v="0"/>
    <n v="0"/>
    <s v="73736373H"/>
    <n v="0"/>
    <n v="0"/>
    <x v="1"/>
    <b v="1"/>
    <b v="0"/>
    <b v="0"/>
    <n v="0"/>
    <b v="1"/>
    <d v="2022-11-29T00:00:00"/>
    <d v="2022-11-26T00:00:00"/>
  </r>
  <r>
    <n v="506715"/>
    <b v="1"/>
    <s v="Beauty Salon 3265"/>
    <s v="Company Beauty SL3265"/>
    <n v="5360377"/>
    <n v="1015451"/>
    <s v="Hamburg"/>
    <s v="Rahlstedter Bahnhofstraße 10, 22143 Hamburg, Deutschland"/>
    <d v="2022-09-29T11:20:55"/>
    <n v="595093999958"/>
    <n v="0"/>
    <n v="0"/>
    <m/>
    <n v="0"/>
    <n v="0"/>
    <x v="2"/>
    <b v="1"/>
    <b v="0"/>
    <b v="0"/>
    <n v="0"/>
    <b v="0"/>
    <d v="2022-11-22T00:00:00"/>
    <d v="2022-12-05T00:00:00"/>
  </r>
  <r>
    <n v="506750"/>
    <b v="1"/>
    <s v="Beauty Salon 4702"/>
    <s v="Company Beauty SL4702"/>
    <n v="5347871"/>
    <n v="-302616"/>
    <s v="Waterloo"/>
    <s v="105 St John's Rd, Waterloo, Liverpool L22 9QD, UK"/>
    <d v="2022-09-29T11:31:42"/>
    <n v="553398353998"/>
    <n v="0"/>
    <n v="0"/>
    <m/>
    <n v="0"/>
    <n v="0"/>
    <x v="1"/>
    <b v="1"/>
    <b v="0"/>
    <b v="0"/>
    <n v="0"/>
    <b v="0"/>
    <d v="2022-11-20T00:00:00"/>
    <d v="2022-11-22T00:00:00"/>
  </r>
  <r>
    <n v="506751"/>
    <b v="1"/>
    <s v="Beauty Salon 2730"/>
    <s v="Company Beauty SL2730"/>
    <n v="5223201"/>
    <n v="5186033"/>
    <s v="Hilversum"/>
    <s v="Leeghwaterstraat 100, 1221 BJ Hilversum, Netherlands"/>
    <d v="2022-09-29T11:41:27"/>
    <n v="33938383389"/>
    <n v="0"/>
    <n v="0"/>
    <s v="NL333337737B67"/>
    <n v="0"/>
    <n v="0"/>
    <x v="0"/>
    <b v="1"/>
    <b v="0"/>
    <b v="0"/>
    <n v="0"/>
    <b v="1"/>
    <d v="2022-11-26T00:00:00"/>
    <d v="2022-11-30T00:00:00"/>
  </r>
  <r>
    <n v="506755"/>
    <b v="1"/>
    <s v="Beauty Salon 3306"/>
    <s v="Company Beauty SL3306"/>
    <n v="4201382"/>
    <n v="1236877"/>
    <s v="Roma"/>
    <s v="Via Paolo Ferrari, 68, 00123 Roma RM, Italia"/>
    <d v="2022-09-29T12:10:44"/>
    <n v="390930890355"/>
    <n v="0"/>
    <n v="0"/>
    <n v="733333333"/>
    <n v="0"/>
    <n v="0"/>
    <x v="1"/>
    <b v="1"/>
    <b v="0"/>
    <b v="0"/>
    <n v="0"/>
    <b v="0"/>
    <d v="2022-12-05T00:00:00"/>
    <d v="2022-12-01T00:00:00"/>
  </r>
  <r>
    <n v="5067550"/>
    <b v="1"/>
    <s v="Beauty Salon 4412"/>
    <s v="Company Beauty SL4412"/>
    <n v="4715573"/>
    <n v="6570534"/>
    <s v="Guyans-Vennes"/>
    <s v="21 Grande Rue, 25390 Guyans-Vennes, France"/>
    <d v="2022-09-29T12:31:32"/>
    <n v="33938859338"/>
    <n v="0"/>
    <n v="0"/>
    <s v="FR33333737377"/>
    <n v="0"/>
    <n v="0"/>
    <x v="0"/>
    <b v="1"/>
    <b v="0"/>
    <b v="0"/>
    <n v="0"/>
    <b v="0"/>
    <d v="2022-11-22T00:00:00"/>
    <d v="2022-11-29T00:00:00"/>
  </r>
  <r>
    <n v="506754"/>
    <b v="1"/>
    <s v="Beauty Salon 2932"/>
    <s v="Company Beauty SL2932"/>
    <n v="5307907"/>
    <n v="8801995"/>
    <s v="Bremen"/>
    <s v="Wandschneiderstraße 6, 28195 Bremen, Deutschland"/>
    <d v="2022-09-29T12:35:41"/>
    <n v="5958359955990"/>
    <n v="0"/>
    <n v="0"/>
    <m/>
    <n v="0"/>
    <n v="0"/>
    <x v="0"/>
    <b v="0"/>
    <b v="1"/>
    <b v="0"/>
    <n v="0"/>
    <b v="0"/>
    <d v="2022-11-24T00:00:00"/>
    <d v="2022-11-16T00:00:00"/>
  </r>
  <r>
    <n v="5067530"/>
    <b v="1"/>
    <s v="Beauty Salon 2734"/>
    <s v="Company Beauty SL2734"/>
    <n v="4621293"/>
    <n v="1108943"/>
    <s v="Mezzolombardo"/>
    <s v="Corso del Popolo, 2, 38017 Mezzolombardo TN, Italia"/>
    <d v="2022-09-29T12:40:12"/>
    <n v="393899083938"/>
    <n v="0"/>
    <n v="0"/>
    <m/>
    <n v="0"/>
    <n v="0"/>
    <x v="1"/>
    <b v="0"/>
    <b v="0"/>
    <b v="0"/>
    <n v="0"/>
    <b v="0"/>
    <d v="2022-11-27T00:00:00"/>
    <d v="2022-11-25T00:00:00"/>
  </r>
  <r>
    <n v="506756"/>
    <b v="1"/>
    <s v="Beauty Salon 2022"/>
    <s v="Company Beauty SL2022"/>
    <n v="3824228"/>
    <n v="2173922"/>
    <s v="Πάτρα"/>
    <s v="Παλαιών Πατρών Γερμανού 56, Πάτρα 262 25, Ελλάδα"/>
    <d v="2022-09-29T12:46:16"/>
    <n v="308933830355"/>
    <n v="0"/>
    <n v="0"/>
    <n v="677"/>
    <n v="0"/>
    <n v="0"/>
    <x v="0"/>
    <b v="1"/>
    <b v="0"/>
    <b v="1"/>
    <n v="0"/>
    <b v="0"/>
    <d v="2022-11-19T00:00:00"/>
    <d v="2022-11-13T00:00:00"/>
  </r>
  <r>
    <n v="506757"/>
    <b v="1"/>
    <s v="Beauty Salon 4885"/>
    <s v="Company Beauty SL4885"/>
    <n v="3802881"/>
    <n v="-138651"/>
    <s v="Albudeite"/>
    <s v="C. Juan Pedro Blanco Hermosilla, 5, 30190 Albudeite, Murcia, España"/>
    <d v="2022-09-29T12:47:03"/>
    <n v="35993939508"/>
    <n v="0"/>
    <n v="0"/>
    <s v="33333333A"/>
    <n v="0"/>
    <n v="0"/>
    <x v="1"/>
    <b v="1"/>
    <b v="0"/>
    <b v="1"/>
    <n v="0"/>
    <b v="0"/>
    <d v="2022-12-08T00:00:00"/>
    <d v="2022-11-20T00:00:00"/>
  </r>
  <r>
    <n v="506754"/>
    <b v="1"/>
    <s v="Beauty Salon 1178"/>
    <s v="Company Beauty SL1178"/>
    <n v="4824081"/>
    <n v="1643211"/>
    <s v="Wien"/>
    <s v="Wagramer Str. 61/9/1, 1220 Wien, Österreich"/>
    <d v="2022-09-29T12:52:57"/>
    <n v="539903508588"/>
    <n v="0"/>
    <n v="0"/>
    <m/>
    <n v="0"/>
    <n v="0"/>
    <x v="1"/>
    <b v="1"/>
    <b v="0"/>
    <b v="0"/>
    <n v="0"/>
    <b v="0"/>
    <d v="2022-12-04T00:00:00"/>
    <d v="2022-11-22T00:00:00"/>
  </r>
  <r>
    <n v="506755"/>
    <b v="1"/>
    <s v="Beauty Salon 4004"/>
    <s v="Company Beauty SL4004"/>
    <n v="4275519"/>
    <n v="1111178"/>
    <s v="Grosseto"/>
    <s v="Via Fratelli Bandiera, 40, 58100 Grosseto GR, Italia"/>
    <d v="2022-09-29T13:10:08"/>
    <n v="39059588589"/>
    <n v="0"/>
    <n v="0"/>
    <n v="736363373"/>
    <n v="0"/>
    <n v="0"/>
    <x v="1"/>
    <b v="1"/>
    <b v="0"/>
    <b v="0"/>
    <n v="0"/>
    <b v="0"/>
    <d v="2022-11-21T00:00:00"/>
    <d v="2022-11-22T00:00:00"/>
  </r>
  <r>
    <n v="5067500"/>
    <b v="1"/>
    <s v="Beauty Salon 4967"/>
    <s v="Company Beauty SL4967"/>
    <n v="5150845"/>
    <n v="-33522"/>
    <s v="Greater London"/>
    <s v="54, 62 Uxbridge Rd, London W7 3SU, UK"/>
    <d v="2022-09-29T13:10:19"/>
    <n v="553580358950"/>
    <n v="0"/>
    <n v="0"/>
    <s v="not vat registered"/>
    <n v="0"/>
    <n v="0"/>
    <x v="2"/>
    <b v="0"/>
    <b v="1"/>
    <b v="1"/>
    <n v="0"/>
    <b v="0"/>
    <d v="2022-11-15T00:00:00"/>
    <d v="2022-11-13T00:00:00"/>
  </r>
  <r>
    <n v="5067501"/>
    <b v="1"/>
    <s v="Beauty Salon 3092"/>
    <s v="Company Beauty SL3092"/>
    <n v="4117861"/>
    <n v="-838731"/>
    <s v="Baltar"/>
    <s v="Av. Dom Manuel I 791, 4585-013 Baltar, Portugal"/>
    <d v="2022-09-29T13:28:24"/>
    <n v="353885355335"/>
    <n v="0"/>
    <n v="0"/>
    <n v="336336673"/>
    <n v="0"/>
    <n v="0"/>
    <x v="1"/>
    <b v="1"/>
    <b v="0"/>
    <b v="0"/>
    <n v="0"/>
    <b v="0"/>
    <d v="2022-11-29T00:00:00"/>
    <d v="2022-11-19T00:00:00"/>
  </r>
  <r>
    <n v="5067505"/>
    <b v="1"/>
    <s v="Beauty Salon 1977"/>
    <s v="Company Beauty SL1977"/>
    <n v="418953"/>
    <n v="1256602"/>
    <s v="Roma"/>
    <s v="Via Prenestina, 461a, 00177 Roma RM, Italia"/>
    <d v="2022-09-29T13:38:47"/>
    <n v="393538309535"/>
    <n v="0"/>
    <n v="0"/>
    <n v="6373673337"/>
    <n v="0"/>
    <n v="0"/>
    <x v="2"/>
    <b v="1"/>
    <b v="0"/>
    <b v="1"/>
    <n v="0"/>
    <b v="0"/>
    <d v="2022-12-08T00:00:00"/>
    <d v="2022-11-27T00:00:00"/>
  </r>
  <r>
    <n v="50675050"/>
    <b v="1"/>
    <s v="Beauty Salon 779"/>
    <s v="Company Beauty SL779"/>
    <n v="4811223"/>
    <n v="1157027"/>
    <s v="München"/>
    <s v="Hans-Mielich-Straße 35, 81543 München, Deutschland"/>
    <d v="2022-09-29T13:39:37"/>
    <m/>
    <n v="0"/>
    <n v="0"/>
    <m/>
    <n v="0"/>
    <n v="0"/>
    <x v="1"/>
    <b v="0"/>
    <b v="0"/>
    <b v="0"/>
    <n v="0"/>
    <b v="0"/>
    <d v="2022-12-05T00:00:00"/>
    <d v="2022-11-12T00:00:00"/>
  </r>
  <r>
    <n v="5067504"/>
    <b v="1"/>
    <s v="Beauty Salon 1734"/>
    <s v="Company Beauty SL1734"/>
    <n v="4548612"/>
    <n v="9217382"/>
    <s v="Milano"/>
    <s v="Piazzale Loreto, 2, 20131 Milano MI, Italia"/>
    <d v="2022-09-29T13:47:47"/>
    <n v="39089305899"/>
    <n v="0"/>
    <n v="0"/>
    <n v="7336733766"/>
    <n v="0"/>
    <n v="0"/>
    <x v="2"/>
    <b v="1"/>
    <b v="0"/>
    <b v="0"/>
    <n v="0"/>
    <b v="0"/>
    <d v="2022-11-23T00:00:00"/>
    <d v="2022-11-12T00:00:00"/>
  </r>
  <r>
    <n v="50675030"/>
    <b v="1"/>
    <s v="Beauty Salon 4616"/>
    <s v="Company Beauty SL4616"/>
    <n v="4448598"/>
    <n v="1133939"/>
    <s v="Bologna"/>
    <s v="Via San Mamolo, 3, 40136 Bologna BO, Italia"/>
    <d v="2022-09-29T13:53:40"/>
    <n v="393359553533"/>
    <n v="0"/>
    <n v="0"/>
    <n v="7333333333"/>
    <n v="0"/>
    <n v="0"/>
    <x v="0"/>
    <b v="1"/>
    <b v="0"/>
    <b v="0"/>
    <n v="0"/>
    <b v="0"/>
    <d v="2022-12-02T00:00:00"/>
    <d v="2022-11-27T00:00:00"/>
  </r>
  <r>
    <n v="5067506"/>
    <b v="1"/>
    <s v="Beauty Salon 901"/>
    <s v="Company Beauty SL901"/>
    <n v="4907515"/>
    <n v="4144174"/>
    <s v="Bouzy"/>
    <s v="16 Rue Charles de Gaulle, 51150 Bouzy, France"/>
    <d v="2022-09-29T13:55:16"/>
    <n v="33983393993"/>
    <n v="0"/>
    <n v="0"/>
    <m/>
    <n v="0"/>
    <n v="0"/>
    <x v="1"/>
    <b v="1"/>
    <b v="0"/>
    <b v="0"/>
    <n v="0"/>
    <b v="0"/>
    <d v="2022-12-06T00:00:00"/>
    <d v="2022-12-01T00:00:00"/>
  </r>
  <r>
    <n v="5067507"/>
    <b v="1"/>
    <s v="Beauty Salon 4976"/>
    <s v="Company Beauty SL4976"/>
    <n v="4544495"/>
    <n v="9129196"/>
    <s v="Milano"/>
    <s v="Via Angelo Inganni, 2, 20147 Milano MI, Italia"/>
    <d v="2022-09-29T14:34:27"/>
    <n v="393333893859"/>
    <n v="0"/>
    <n v="0"/>
    <n v="7736363763"/>
    <n v="0"/>
    <n v="0"/>
    <x v="0"/>
    <b v="1"/>
    <b v="0"/>
    <b v="0"/>
    <n v="0"/>
    <b v="0"/>
    <d v="2022-11-26T00:00:00"/>
    <d v="2022-11-26T00:00:00"/>
  </r>
  <r>
    <n v="5067504"/>
    <b v="1"/>
    <s v="Beauty Salon 2055"/>
    <s v="Company Beauty SL2055"/>
    <n v="4372371"/>
    <n v="4025746"/>
    <s v="Beaulieu"/>
    <s v="9 Av. Général Pamphile de Lacroix, 34160 Beaulieu, France"/>
    <d v="2022-09-29T14:54:10"/>
    <n v="33909353803"/>
    <n v="0"/>
    <n v="0"/>
    <s v="FR73733736333"/>
    <n v="0"/>
    <n v="0"/>
    <x v="2"/>
    <b v="1"/>
    <b v="0"/>
    <b v="0"/>
    <n v="0"/>
    <b v="0"/>
    <d v="2022-11-30T00:00:00"/>
    <d v="2022-11-23T00:00:00"/>
  </r>
  <r>
    <n v="5067505"/>
    <b v="1"/>
    <s v="Beauty Salon 2217"/>
    <s v="Company Beauty SL2217"/>
    <n v="3940958"/>
    <n v="-913934"/>
    <s v="Caldas da Rainha"/>
    <s v="Rua Fonte do Pinheiro 53, 2500-203 Caldas da Rainha, Portugal"/>
    <d v="2022-09-29T15:18:04"/>
    <n v="353933998938"/>
    <n v="0"/>
    <n v="0"/>
    <n v="73367337"/>
    <n v="0"/>
    <n v="0"/>
    <x v="1"/>
    <b v="1"/>
    <b v="0"/>
    <b v="0"/>
    <n v="0"/>
    <b v="0"/>
    <d v="2022-12-07T00:00:00"/>
    <d v="2022-12-02T00:00:00"/>
  </r>
  <r>
    <n v="506740"/>
    <b v="1"/>
    <s v="Beauty Salon 1655"/>
    <s v="Company Beauty SL1655"/>
    <n v="5469155"/>
    <n v="2528503"/>
    <s v="Vilnius"/>
    <s v="A. Juozapavičiaus g. 9A, Vilnius 09311, Lithuania"/>
    <d v="2022-09-29T15:29:11"/>
    <n v="33093988399"/>
    <n v="0"/>
    <n v="0"/>
    <m/>
    <n v="0"/>
    <n v="0"/>
    <x v="2"/>
    <b v="1"/>
    <b v="0"/>
    <b v="0"/>
    <n v="0"/>
    <b v="0"/>
    <d v="2022-12-04T00:00:00"/>
    <d v="2022-12-04T00:00:00"/>
  </r>
  <r>
    <n v="506741"/>
    <b v="1"/>
    <s v="Beauty Salon 2543"/>
    <s v="Company Beauty SL2543"/>
    <n v="4543871"/>
    <n v="1176411"/>
    <s v="Mestrino"/>
    <s v="Via Marco Polo, 87b, 35035 Mestrino PD, Italia"/>
    <d v="2022-09-29T15:39:30"/>
    <m/>
    <n v="0"/>
    <n v="0"/>
    <n v="3337733333"/>
    <n v="0"/>
    <n v="0"/>
    <x v="2"/>
    <b v="1"/>
    <b v="0"/>
    <b v="0"/>
    <n v="0"/>
    <b v="0"/>
    <d v="2022-11-16T00:00:00"/>
    <d v="2022-11-28T00:00:00"/>
  </r>
  <r>
    <n v="506745"/>
    <b v="1"/>
    <s v="Beauty Salon 1078"/>
    <s v="Company Beauty SL1078"/>
    <n v="5245837"/>
    <n v="133241"/>
    <s v="Berlin"/>
    <s v="Kieler Str. 5, 12163 Berlin, Deutschland"/>
    <d v="2022-09-29T15:40:59"/>
    <n v="593388080033"/>
    <n v="0"/>
    <n v="0"/>
    <m/>
    <n v="0"/>
    <n v="0"/>
    <x v="0"/>
    <b v="1"/>
    <b v="0"/>
    <b v="1"/>
    <n v="0"/>
    <b v="0"/>
    <d v="2022-11-19T00:00:00"/>
    <d v="2022-12-06T00:00:00"/>
  </r>
  <r>
    <n v="5067450"/>
    <b v="1"/>
    <s v="Beauty Salon 1756"/>
    <s v="Company Beauty SL1756"/>
    <n v="4495967"/>
    <n v="7601545"/>
    <s v="Candiolo"/>
    <s v="Via Torino, 3, 10060 Candiolo TO, Italia"/>
    <d v="2022-09-29T15:41:42"/>
    <n v="393859930333"/>
    <n v="0"/>
    <n v="0"/>
    <n v="363333333"/>
    <n v="0"/>
    <n v="0"/>
    <x v="2"/>
    <b v="1"/>
    <b v="0"/>
    <b v="0"/>
    <n v="0"/>
    <b v="0"/>
    <d v="2022-11-13T00:00:00"/>
    <d v="2022-11-14T00:00:00"/>
  </r>
  <r>
    <n v="506744"/>
    <b v="1"/>
    <s v="Beauty Salon 2711"/>
    <s v="Company Beauty SL2711"/>
    <n v="4886751"/>
    <n v="2373101"/>
    <s v="Paris"/>
    <s v="116 Ave Parmentier, 75011 Paris, France"/>
    <d v="2022-09-29T15:50:50"/>
    <n v="33959539888"/>
    <n v="0"/>
    <n v="0"/>
    <s v="FR67333377767"/>
    <n v="0"/>
    <n v="0"/>
    <x v="1"/>
    <b v="1"/>
    <b v="0"/>
    <b v="0"/>
    <n v="0"/>
    <b v="0"/>
    <d v="2022-11-22T00:00:00"/>
    <d v="2022-11-30T00:00:00"/>
  </r>
  <r>
    <n v="5067430"/>
    <b v="1"/>
    <s v="Beauty Salon 4826"/>
    <s v="Company Beauty SL4826"/>
    <n v="5470726"/>
    <n v="2517276"/>
    <s v="Vilnius"/>
    <s v="Tvankstos g. 12, Vilnius 06200, Lithuania"/>
    <d v="2022-09-29T16:03:19"/>
    <n v="33090893088"/>
    <n v="0"/>
    <n v="0"/>
    <m/>
    <n v="0"/>
    <n v="0"/>
    <x v="2"/>
    <b v="1"/>
    <b v="0"/>
    <b v="0"/>
    <n v="0"/>
    <b v="0"/>
    <d v="2022-11-15T00:00:00"/>
    <d v="2022-11-14T00:00:00"/>
  </r>
  <r>
    <n v="506746"/>
    <b v="1"/>
    <s v="Beauty Salon 4689"/>
    <s v="Company Beauty SL4689"/>
    <n v="5160293"/>
    <n v="-27061"/>
    <s v="Burnt Oak"/>
    <s v="155 Burnt Oak Broadway, Burnt Oak, Edgware HA8 5EH, UK"/>
    <d v="2022-09-29T16:11:58"/>
    <n v="553888033958"/>
    <n v="0"/>
    <n v="0"/>
    <m/>
    <n v="0"/>
    <n v="0"/>
    <x v="0"/>
    <b v="1"/>
    <b v="0"/>
    <b v="0"/>
    <n v="0"/>
    <b v="0"/>
    <d v="2022-12-02T00:00:00"/>
    <d v="2022-11-16T00:00:00"/>
  </r>
  <r>
    <n v="506747"/>
    <b v="0"/>
    <s v="Beauty Salon 1214"/>
    <s v="Company Beauty SL1214"/>
    <n v="4582468"/>
    <n v="8813603"/>
    <s v="Varese"/>
    <s v="Via Francesco Crispi, 48, 21100 Varese VA, Italia"/>
    <d v="2022-09-29T17:03:06"/>
    <n v="393338839350"/>
    <n v="0"/>
    <n v="0"/>
    <m/>
    <n v="0"/>
    <n v="0"/>
    <x v="0"/>
    <b v="0"/>
    <b v="0"/>
    <b v="0"/>
    <n v="0"/>
    <b v="0"/>
    <d v="2022-12-02T00:00:00"/>
    <d v="2022-12-01T00:00:00"/>
  </r>
  <r>
    <n v="506744"/>
    <b v="0"/>
    <s v="Beauty Salon 2678"/>
    <s v="Company Beauty SL2678"/>
    <n v="4545295"/>
    <n v="9150467"/>
    <s v="Milano"/>
    <s v="Via Vespri Siciliani, 11, 20146 Milano MI, Italia"/>
    <d v="2022-09-29T17:10:14"/>
    <n v="393889999885"/>
    <n v="0"/>
    <n v="0"/>
    <m/>
    <n v="0"/>
    <n v="0"/>
    <x v="0"/>
    <b v="0"/>
    <b v="0"/>
    <b v="0"/>
    <n v="0"/>
    <b v="0"/>
    <d v="2022-12-03T00:00:00"/>
    <d v="2022-11-22T00:00:00"/>
  </r>
  <r>
    <m/>
    <m/>
    <m/>
    <m/>
    <m/>
    <m/>
    <m/>
    <m/>
    <m/>
    <m/>
    <m/>
    <m/>
    <m/>
    <m/>
    <m/>
    <x v="3"/>
    <m/>
    <m/>
    <m/>
    <m/>
    <m/>
    <m/>
    <m/>
  </r>
  <r>
    <m/>
    <m/>
    <m/>
    <m/>
    <m/>
    <m/>
    <m/>
    <m/>
    <m/>
    <m/>
    <m/>
    <m/>
    <m/>
    <m/>
    <m/>
    <x v="3"/>
    <m/>
    <m/>
    <m/>
    <m/>
    <m/>
    <m/>
    <m/>
  </r>
  <r>
    <m/>
    <m/>
    <m/>
    <m/>
    <m/>
    <m/>
    <m/>
    <m/>
    <m/>
    <m/>
    <m/>
    <m/>
    <m/>
    <m/>
    <m/>
    <x v="3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n v="530"/>
    <n v="130382"/>
    <s v="Roma"/>
    <s v="Via Lione, 24, 00144 Roma, Italia"/>
    <d v="2022-12-08T00:00:00"/>
    <d v="2022-12-02T00:00:00"/>
    <n v="-6"/>
    <x v="0"/>
    <x v="0"/>
  </r>
  <r>
    <n v="570"/>
    <n v="129748"/>
    <s v="Roma"/>
    <s v="Via Angelo Brofferio, 12, 00195 Roma, Italia"/>
    <d v="2022-12-08T00:00:00"/>
    <d v="2022-12-02T00:00:00"/>
    <n v="-6"/>
    <x v="0"/>
    <x v="1"/>
  </r>
  <r>
    <n v="655"/>
    <n v="70784"/>
    <s v="Roma"/>
    <s v="Via del Pianeta Venere, 37, 00144 Roma, Italia"/>
    <d v="2022-12-08T00:00:00"/>
    <d v="2022-12-02T00:00:00"/>
    <n v="-6"/>
    <x v="0"/>
    <x v="1"/>
  </r>
  <r>
    <n v="767"/>
    <n v="54365"/>
    <s v="Bettolle"/>
    <s v="Via Giuseppe di Vittorio, 99, 53048 Bettolle SI, Italia"/>
    <d v="2022-12-08T00:00:00"/>
    <d v="2022-12-02T00:00:00"/>
    <n v="-6"/>
    <x v="0"/>
    <x v="2"/>
  </r>
  <r>
    <n v="1104"/>
    <n v="0"/>
    <s v="Pozzomaggiore"/>
    <s v="Via Trifoglio, 3, 07018 Pozzomaggiore SS, Italia"/>
    <d v="2022-08-28T00:00:00"/>
    <d v="2022-12-02T00:00:00"/>
    <n v="96"/>
    <x v="1"/>
    <x v="2"/>
  </r>
  <r>
    <n v="1140"/>
    <n v="0"/>
    <s v="Augusta"/>
    <s v="Via Papa Giovanni XXIII, 15, 96011 Augusta SR, Italia"/>
    <d v="2022-09-11T00:00:00"/>
    <d v="2022-12-02T00:00:00"/>
    <n v="82"/>
    <x v="1"/>
    <x v="0"/>
  </r>
  <r>
    <n v="1445"/>
    <n v="0"/>
    <s v="Trento"/>
    <s v="Via Fratelli Fontana, 1, 38121 Trento, Italia"/>
    <d v="2022-11-14T00:00:00"/>
    <d v="2022-12-02T00:00:00"/>
    <n v="18"/>
    <x v="1"/>
    <x v="0"/>
  </r>
  <r>
    <n v="1450"/>
    <n v="0"/>
    <s v="La Spezia"/>
    <s v="Corso Nazionale, 156, 19126 La Spezia SP, Italia"/>
    <d v="2022-07-16T00:00:00"/>
    <d v="2022-12-02T00:00:00"/>
    <n v="139"/>
    <x v="1"/>
    <x v="0"/>
  </r>
  <r>
    <n v="1514"/>
    <n v="0"/>
    <s v="Asti"/>
    <s v="Piazza Vittorio Alfieri, 26, 14100 Asti AT, Italia"/>
    <d v="2022-03-04T00:00:00"/>
    <d v="2022-12-02T00:00:00"/>
    <n v="273"/>
    <x v="1"/>
    <x v="0"/>
  </r>
  <r>
    <n v="1605"/>
    <n v="13512"/>
    <s v="Roma"/>
    <s v="Viale Ippocrate, 35, 00161 Roma RM, Italia"/>
    <d v="2022-08-24T00:00:00"/>
    <d v="2022-12-02T00:00:00"/>
    <n v="100"/>
    <x v="1"/>
    <x v="1"/>
  </r>
  <r>
    <n v="1701"/>
    <n v="0"/>
    <s v="Martignacco"/>
    <s v="Via Antonio Bardelli, 4, 33035 Martignacco UD, Italia"/>
    <d v="2022-06-21T00:00:00"/>
    <d v="2022-12-02T00:00:00"/>
    <n v="164"/>
    <x v="1"/>
    <x v="0"/>
  </r>
  <r>
    <n v="1775"/>
    <n v="0"/>
    <s v="Ravenna"/>
    <s v="Via Portorose, 37, 48122 Ravenna RA, Italia"/>
    <d v="2022-09-19T00:00:00"/>
    <d v="2022-12-02T00:00:00"/>
    <n v="74"/>
    <x v="1"/>
    <x v="1"/>
  </r>
  <r>
    <n v="4530"/>
    <n v="25027"/>
    <s v="Roma"/>
    <s v="Via di Gesù e Maria, 11, 00187 Roma, Italia"/>
    <d v="2022-11-13T00:00:00"/>
    <d v="2022-12-02T00:00:00"/>
    <n v="19"/>
    <x v="0"/>
    <x v="2"/>
  </r>
  <r>
    <n v="5047"/>
    <n v="56227"/>
    <s v="Milano"/>
    <s v="Via Cesare Cesariano, 6, 20154 Milano, Italia"/>
    <d v="2022-12-08T00:00:00"/>
    <d v="2022-12-02T00:00:00"/>
    <n v="-6"/>
    <x v="0"/>
    <x v="2"/>
  </r>
  <r>
    <n v="5051"/>
    <n v="0"/>
    <s v="Foggia"/>
    <s v="Via Carlo Ciampitti, 38, 71121 Foggia FG, Italia"/>
    <d v="2022-03-07T00:00:00"/>
    <d v="2022-12-02T00:00:00"/>
    <n v="270"/>
    <x v="1"/>
    <x v="2"/>
  </r>
  <r>
    <n v="5544"/>
    <n v="17"/>
    <s v="Borgomanero"/>
    <s v="Via Gozzano, 78, 28021 Borgomanero NO, Italia"/>
    <d v="2022-09-06T00:00:00"/>
    <d v="2022-12-02T00:00:00"/>
    <n v="87"/>
    <x v="1"/>
    <x v="1"/>
  </r>
  <r>
    <n v="5565"/>
    <n v="23437"/>
    <s v="Ζωγράφου"/>
    <s v="Γεωρ. Ζωγράφου 35, Ζωγράφου 157 72, Ελλάδα"/>
    <d v="2022-11-09T00:00:00"/>
    <d v="2022-12-02T00:00:00"/>
    <n v="23"/>
    <x v="0"/>
    <x v="0"/>
  </r>
  <r>
    <n v="5764"/>
    <n v="0"/>
    <s v="Vercelli"/>
    <s v="Via Aravecchia, 12, 13100 Vercelli VC, Italia"/>
    <d v="2022-01-31T00:00:00"/>
    <d v="2022-12-02T00:00:00"/>
    <n v="305"/>
    <x v="1"/>
    <x v="0"/>
  </r>
  <r>
    <n v="6456"/>
    <n v="40"/>
    <s v="Madrid"/>
    <s v="Calle de Velázquez, 69, 28006 Madrid, España"/>
    <d v="2022-04-30T00:00:00"/>
    <d v="2022-12-02T00:00:00"/>
    <n v="216"/>
    <x v="1"/>
    <x v="1"/>
  </r>
  <r>
    <n v="6617"/>
    <n v="48"/>
    <s v="Madrid"/>
    <s v="C. de Costanilla del Calero, 32, 28027 Madrid"/>
    <d v="2022-04-09T00:00:00"/>
    <d v="2022-12-02T00:00:00"/>
    <n v="237"/>
    <x v="1"/>
    <x v="0"/>
  </r>
  <r>
    <n v="7146"/>
    <n v="8811"/>
    <s v="Arbo"/>
    <s v="Rúa Antonia Tovar, 34, 36430 Arbo, Pontevedra, España"/>
    <d v="2022-06-14T00:00:00"/>
    <d v="2022-12-02T00:00:00"/>
    <n v="171"/>
    <x v="1"/>
    <x v="1"/>
  </r>
  <r>
    <n v="7605"/>
    <n v="28"/>
    <s v="Villena"/>
    <s v="C. Joaquín M López, 24, 03400 Villena, Alicante, España"/>
    <d v="2022-03-02T00:00:00"/>
    <d v="2022-12-02T00:00:00"/>
    <n v="275"/>
    <x v="1"/>
    <x v="2"/>
  </r>
  <r>
    <n v="7757"/>
    <n v="8"/>
    <s v="Barcelona"/>
    <s v="C/ de València, 306, 08009 Barcelona, España"/>
    <d v="2022-05-09T00:00:00"/>
    <d v="2022-12-02T00:00:00"/>
    <n v="207"/>
    <x v="1"/>
    <x v="2"/>
  </r>
  <r>
    <n v="10545"/>
    <n v="32913"/>
    <s v="Subiaco"/>
    <s v="Via Papa Braschi, 10, 00028 Subiaco RM, Italia"/>
    <d v="2022-12-08T00:00:00"/>
    <d v="2022-12-02T00:00:00"/>
    <n v="-6"/>
    <x v="0"/>
    <x v="2"/>
  </r>
  <r>
    <n v="11061"/>
    <n v="16534"/>
    <s v="Ceuta"/>
    <s v="Calle Méndez Núñez, 8, 51001 Ceuta, España"/>
    <d v="2022-10-18T00:00:00"/>
    <d v="2022-12-02T00:00:00"/>
    <n v="45"/>
    <x v="1"/>
    <x v="1"/>
  </r>
  <r>
    <n v="13055"/>
    <n v="0"/>
    <s v="Reggio Emilia"/>
    <s v="Via Emilia S. Pietro, 48, 42121 Reggio Emilia RE, Italia"/>
    <d v="2022-05-06T00:00:00"/>
    <d v="2022-12-02T00:00:00"/>
    <n v="210"/>
    <x v="1"/>
    <x v="2"/>
  </r>
  <r>
    <n v="14044"/>
    <n v="76"/>
    <s v="Rueil-Malmaison"/>
    <s v="65 Rue Gallieni, 92500 Rueil-Malmaison, Francia"/>
    <d v="2022-01-01T00:00:00"/>
    <d v="2022-12-02T00:00:00"/>
    <n v="335"/>
    <x v="1"/>
    <x v="1"/>
  </r>
  <r>
    <n v="14155"/>
    <n v="7633"/>
    <s v="Milano"/>
    <s v="Corso Lodi, 9, 20135 Milano MI, Italia"/>
    <d v="2022-08-07T00:00:00"/>
    <d v="2022-12-02T00:00:00"/>
    <n v="117"/>
    <x v="1"/>
    <x v="0"/>
  </r>
  <r>
    <n v="14405"/>
    <n v="14612"/>
    <s v="Battipaglia"/>
    <s v="Via IV Novembre, 25, 84091 Battipaglia SA, Italia"/>
    <d v="2022-10-22T00:00:00"/>
    <d v="2022-12-02T00:00:00"/>
    <n v="41"/>
    <x v="1"/>
    <x v="2"/>
  </r>
  <r>
    <n v="14441"/>
    <n v="1379"/>
    <s v="Lyon"/>
    <s v="39 Route de Vienne, 69007 Lyon, Francia"/>
    <d v="2022-05-17T00:00:00"/>
    <d v="2022-12-02T00:00:00"/>
    <n v="199"/>
    <x v="1"/>
    <x v="1"/>
  </r>
  <r>
    <n v="14504"/>
    <n v="0"/>
    <s v="Verona"/>
    <s v="Galleria Pellicciai, 16, 37121 Verona VR, Italia"/>
    <d v="2022-08-30T00:00:00"/>
    <d v="2022-12-02T00:00:00"/>
    <n v="94"/>
    <x v="1"/>
    <x v="2"/>
  </r>
  <r>
    <n v="14515"/>
    <n v="13965"/>
    <s v="Montefino"/>
    <s v="Via Rasetti, 64030 Montefino TE, Italia"/>
    <d v="2022-10-16T00:00:00"/>
    <d v="2022-12-02T00:00:00"/>
    <n v="47"/>
    <x v="1"/>
    <x v="1"/>
  </r>
  <r>
    <n v="15441"/>
    <n v="25629"/>
    <s v="Badia Polesine"/>
    <s v="Via Danieli, 40, 45021 Badia Polesine RO, Italia"/>
    <d v="2022-11-14T00:00:00"/>
    <d v="2022-12-02T00:00:00"/>
    <n v="18"/>
    <x v="0"/>
    <x v="1"/>
  </r>
  <r>
    <n v="15446"/>
    <n v="15061"/>
    <s v="San Mauro Torinese"/>
    <s v="Via Martiri della Libertà, 53, 10099 San Mauro Torinese TO, Italia"/>
    <d v="2022-10-27T00:00:00"/>
    <d v="2022-12-02T00:00:00"/>
    <n v="36"/>
    <x v="1"/>
    <x v="1"/>
  </r>
  <r>
    <n v="15447"/>
    <n v="15180"/>
    <s v="València"/>
    <s v="Av. de Burjassot, 29, 46009 València, Valencia, España"/>
    <d v="2022-10-15T00:00:00"/>
    <d v="2022-12-02T00:00:00"/>
    <n v="48"/>
    <x v="1"/>
    <x v="0"/>
  </r>
  <r>
    <n v="15556"/>
    <n v="13905"/>
    <s v="Firenze"/>
    <s v="Viale Francesco Petrarca, 100, 50124 Firenze FI, Italia"/>
    <d v="2022-01-28T00:00:00"/>
    <d v="2022-12-02T00:00:00"/>
    <n v="308"/>
    <x v="1"/>
    <x v="0"/>
  </r>
  <r>
    <n v="16040"/>
    <n v="5841"/>
    <s v="Lisboa"/>
    <s v="Praça do Município 38, 1200-005 Lisboa, Portugal"/>
    <d v="2022-06-03T00:00:00"/>
    <d v="2022-12-02T00:00:00"/>
    <n v="182"/>
    <x v="1"/>
    <x v="2"/>
  </r>
  <r>
    <n v="16041"/>
    <n v="38097"/>
    <s v="Torino"/>
    <s v="Via Valprato, 68, 10155 Torino TO, Italia"/>
    <d v="2022-12-08T00:00:00"/>
    <d v="2022-12-02T00:00:00"/>
    <n v="-6"/>
    <x v="0"/>
    <x v="2"/>
  </r>
  <r>
    <n v="16064"/>
    <n v="27247"/>
    <s v="Vergato"/>
    <s v="Via Garibaldi, 23, 40038 Vergato BO, Italia"/>
    <d v="2022-11-16T00:00:00"/>
    <d v="2022-12-02T00:00:00"/>
    <n v="16"/>
    <x v="0"/>
    <x v="0"/>
  </r>
  <r>
    <n v="16144"/>
    <n v="9240"/>
    <s v="San Giorgio a Cremano"/>
    <s v="Via Botteghelle, 22, 80046 San Giorgio a Cremano NA, Italia"/>
    <d v="2022-09-01T00:00:00"/>
    <d v="2022-12-02T00:00:00"/>
    <n v="92"/>
    <x v="1"/>
    <x v="2"/>
  </r>
  <r>
    <n v="16740"/>
    <n v="3475"/>
    <s v="Parma"/>
    <s v="Str. della Repubblica, 100, 43121 Parma PR, Italia"/>
    <d v="2022-05-17T00:00:00"/>
    <d v="2022-12-02T00:00:00"/>
    <n v="199"/>
    <x v="1"/>
    <x v="0"/>
  </r>
  <r>
    <n v="16765"/>
    <n v="8529"/>
    <s v="Αθήνα"/>
    <s v="Ευαλκίδου 10, Αθήνα 104 45, Ελλάδα"/>
    <d v="2022-02-16T00:00:00"/>
    <d v="2022-12-02T00:00:00"/>
    <n v="289"/>
    <x v="1"/>
    <x v="1"/>
  </r>
  <r>
    <n v="17665"/>
    <n v="38"/>
    <s v="Paris"/>
    <s v="36 Rue de Montholon, 75009 Paris, Francia"/>
    <d v="2022-01-27T00:00:00"/>
    <d v="2022-12-02T00:00:00"/>
    <n v="309"/>
    <x v="1"/>
    <x v="1"/>
  </r>
  <r>
    <n v="40430"/>
    <n v="2766"/>
    <s v="Spinea"/>
    <s v="Via della Costituzione, 129, 30038 Spinea VE, Italia"/>
    <d v="2022-08-24T00:00:00"/>
    <d v="2022-12-02T00:00:00"/>
    <n v="100"/>
    <x v="1"/>
    <x v="1"/>
  </r>
  <r>
    <n v="41504"/>
    <n v="12187"/>
    <s v="Roma"/>
    <s v="Via Lago di Lesina, 45, 00199 Roma RM, Italia"/>
    <d v="2022-10-30T00:00:00"/>
    <d v="2022-12-02T00:00:00"/>
    <n v="33"/>
    <x v="1"/>
    <x v="0"/>
  </r>
  <r>
    <n v="50016"/>
    <n v="8274"/>
    <s v="Porto"/>
    <s v="Alameda Dr. António Macedo 115, 4250-053 Porto, Portugal"/>
    <d v="2022-06-29T00:00:00"/>
    <d v="2022-12-02T00:00:00"/>
    <n v="156"/>
    <x v="1"/>
    <x v="0"/>
  </r>
  <r>
    <n v="50057"/>
    <n v="12142"/>
    <s v="Noto"/>
    <s v="Via Camillo Benso Conte di Cavour, 102, 96017 Noto SR, Italia"/>
    <d v="2022-11-12T00:00:00"/>
    <d v="2022-12-02T00:00:00"/>
    <n v="20"/>
    <x v="0"/>
    <x v="2"/>
  </r>
  <r>
    <n v="50440"/>
    <n v="4320"/>
    <s v="Broni"/>
    <s v="Via Roma, 8, 27043 Broni PV, Italia"/>
    <d v="2022-06-17T00:00:00"/>
    <d v="2022-12-02T00:00:00"/>
    <n v="168"/>
    <x v="1"/>
    <x v="2"/>
  </r>
  <r>
    <n v="50445"/>
    <n v="19832"/>
    <s v="Roma"/>
    <s v="Via Lucio Elio Seiano, 105, 00174 Roma RM, Italia"/>
    <d v="2022-10-16T00:00:00"/>
    <d v="2022-12-02T00:00:00"/>
    <n v="47"/>
    <x v="1"/>
    <x v="0"/>
  </r>
  <r>
    <n v="50457"/>
    <n v="14900"/>
    <s v="Sant Feliu de Llobregat"/>
    <s v="Passatge Terrassa, 3, 08980 Sant Feliu de Llobregat, Barcelona, España"/>
    <d v="2022-06-08T00:00:00"/>
    <d v="2022-12-02T00:00:00"/>
    <n v="177"/>
    <x v="1"/>
    <x v="2"/>
  </r>
  <r>
    <n v="50505"/>
    <n v="44405"/>
    <s v="Milano"/>
    <s v="Via Lorenzo Bartolini, 49, 20155 Milano MI, Italia"/>
    <d v="2022-12-08T00:00:00"/>
    <d v="2022-12-02T00:00:00"/>
    <n v="-6"/>
    <x v="0"/>
    <x v="0"/>
  </r>
  <r>
    <n v="50506"/>
    <n v="11828"/>
    <s v="Avigliana"/>
    <s v="Corso Laghi, 15, 10051 Avigliana TO, Italia"/>
    <d v="2022-08-28T00:00:00"/>
    <d v="2022-12-02T00:00:00"/>
    <n v="96"/>
    <x v="1"/>
    <x v="0"/>
  </r>
  <r>
    <n v="50541"/>
    <n v="4829"/>
    <s v="Livorno"/>
    <s v="Via Giovanni Bartolena, 30, 57128 Livorno LI, Italia"/>
    <d v="2022-10-17T00:00:00"/>
    <d v="2022-12-02T00:00:00"/>
    <n v="46"/>
    <x v="1"/>
    <x v="2"/>
  </r>
  <r>
    <n v="50547"/>
    <n v="14814"/>
    <s v="Cessalto"/>
    <s v="Piazza del Santo Volto, 8, 31040 Cessalto TV, Italia"/>
    <d v="2022-11-08T00:00:00"/>
    <d v="2022-12-02T00:00:00"/>
    <n v="24"/>
    <x v="0"/>
    <x v="1"/>
  </r>
  <r>
    <n v="50644"/>
    <n v="23306"/>
    <s v="Firenze"/>
    <s v="Via della Rondinella, 17, 50135 Firenze FI, Italia"/>
    <d v="2022-11-03T00:00:00"/>
    <d v="2022-12-02T00:00:00"/>
    <n v="29"/>
    <x v="0"/>
    <x v="2"/>
  </r>
  <r>
    <n v="51040"/>
    <n v="8940"/>
    <s v="Avola"/>
    <s v="Piazza Umberto I, 31, 96012 Avola SR, Italia"/>
    <d v="2022-11-02T00:00:00"/>
    <d v="2022-12-02T00:00:00"/>
    <n v="30"/>
    <x v="1"/>
    <x v="0"/>
  </r>
  <r>
    <n v="51055"/>
    <n v="7883"/>
    <s v="Pistoia"/>
    <s v="Via Sebastiano Ciampi, 39, 51100 Pistoia PT, Italia"/>
    <d v="2022-06-22T00:00:00"/>
    <d v="2022-12-02T00:00:00"/>
    <n v="163"/>
    <x v="1"/>
    <x v="1"/>
  </r>
  <r>
    <n v="51056"/>
    <n v="17585"/>
    <s v="Córdoba"/>
    <s v="Calle Málaga, 3, 14003 Córdoba, España"/>
    <d v="2022-10-26T00:00:00"/>
    <d v="2022-12-02T00:00:00"/>
    <n v="37"/>
    <x v="1"/>
    <x v="0"/>
  </r>
  <r>
    <n v="51067"/>
    <n v="12492"/>
    <s v="Camaiore"/>
    <s v="Via del Fortino, 59, 55041 Camaiore LU, Italia"/>
    <d v="2022-10-18T00:00:00"/>
    <d v="2022-12-02T00:00:00"/>
    <n v="45"/>
    <x v="1"/>
    <x v="2"/>
  </r>
  <r>
    <n v="51400"/>
    <n v="13816"/>
    <s v="Πειραιάς"/>
    <s v="Αιτωλικού 45, Πειραιάς 185 45, Ελλάδα"/>
    <d v="2022-07-15T00:00:00"/>
    <d v="2022-12-02T00:00:00"/>
    <n v="140"/>
    <x v="1"/>
    <x v="1"/>
  </r>
  <r>
    <n v="51441"/>
    <n v="2887"/>
    <s v="centro storico di San Salvo"/>
    <s v="Via Trignina, 58, 66050 centro storico di San Salvo CH, Italia"/>
    <d v="2022-06-02T00:00:00"/>
    <d v="2022-12-02T00:00:00"/>
    <n v="183"/>
    <x v="1"/>
    <x v="1"/>
  </r>
  <r>
    <n v="51466"/>
    <n v="8030"/>
    <s v="Palma"/>
    <s v="Carrer de Cecili Metel, 1, 07003 Palma, Illes Balears, España"/>
    <d v="2022-09-21T00:00:00"/>
    <d v="2022-12-02T00:00:00"/>
    <n v="72"/>
    <x v="1"/>
    <x v="2"/>
  </r>
  <r>
    <n v="51550"/>
    <n v="5891"/>
    <s v="Biancavilla"/>
    <s v="Via Monte Cervino, 9, 95033 Biancavilla CT, Italia"/>
    <d v="2022-06-09T00:00:00"/>
    <d v="2022-12-02T00:00:00"/>
    <n v="176"/>
    <x v="1"/>
    <x v="1"/>
  </r>
  <r>
    <n v="54146"/>
    <n v="4446"/>
    <s v="Chieti"/>
    <s v="Via Ortona, 9, 66100 Chieti CH, Italia"/>
    <d v="2022-09-04T00:00:00"/>
    <d v="2022-12-02T00:00:00"/>
    <n v="89"/>
    <x v="1"/>
    <x v="0"/>
  </r>
  <r>
    <n v="54160"/>
    <n v="2894"/>
    <s v="Castelnuovo del Garda"/>
    <s v="Via Trento, 46, 37014 Castelnuovo del Garda VR, Italia"/>
    <d v="2022-10-12T00:00:00"/>
    <d v="2022-12-02T00:00:00"/>
    <n v="51"/>
    <x v="1"/>
    <x v="1"/>
  </r>
  <r>
    <n v="54170"/>
    <n v="8670"/>
    <s v="Borriana"/>
    <s v="Carrer la Carrera, 36, 12530 Borriana, Castelló, España"/>
    <d v="2022-01-30T00:00:00"/>
    <d v="2022-12-02T00:00:00"/>
    <n v="306"/>
    <x v="1"/>
    <x v="1"/>
  </r>
  <r>
    <n v="54176"/>
    <n v="17094"/>
    <s v="Murcia"/>
    <s v="Av. Europa, 4, 30007 Murcia, España"/>
    <d v="2022-10-17T00:00:00"/>
    <d v="2022-12-02T00:00:00"/>
    <n v="46"/>
    <x v="1"/>
    <x v="0"/>
  </r>
  <r>
    <n v="54414"/>
    <n v="83"/>
    <s v="Barcelona"/>
    <s v="Carrer de Ricart, 32, 08004 Barcelona, España"/>
    <d v="2022-08-31T00:00:00"/>
    <d v="2022-12-02T00:00:00"/>
    <n v="93"/>
    <x v="1"/>
    <x v="2"/>
  </r>
  <r>
    <n v="54460"/>
    <n v="4496"/>
    <s v="Jaca"/>
    <s v="Av. Zaragoza, 32, 22700 Jaca, Huesca, España"/>
    <d v="2022-11-22T00:00:00"/>
    <d v="2022-12-02T00:00:00"/>
    <n v="10"/>
    <x v="0"/>
    <x v="1"/>
  </r>
  <r>
    <n v="54465"/>
    <n v="4936"/>
    <s v="Sissa Trecasali"/>
    <s v="Piazza G. Picelli, 11, 43018 Sissa Trecasali PR, Italia"/>
    <d v="2022-08-28T00:00:00"/>
    <d v="2022-12-02T00:00:00"/>
    <n v="96"/>
    <x v="1"/>
    <x v="0"/>
  </r>
  <r>
    <n v="54470"/>
    <n v="43908"/>
    <s v="Catanzaro"/>
    <s v="Via Merante Vincenzo Padre, 11B, 88100 Catanzaro CZ, Italia"/>
    <d v="2022-12-08T00:00:00"/>
    <d v="2022-12-02T00:00:00"/>
    <n v="-6"/>
    <x v="0"/>
    <x v="0"/>
  </r>
  <r>
    <n v="54504"/>
    <n v="11307"/>
    <s v="Siracusa"/>
    <s v="Via Luigi Spagna, 81/83, 96100 Siracusa SR, Italia"/>
    <d v="2022-08-25T00:00:00"/>
    <d v="2022-12-02T00:00:00"/>
    <n v="99"/>
    <x v="1"/>
    <x v="0"/>
  </r>
  <r>
    <n v="54505"/>
    <n v="11040"/>
    <s v="Livorno"/>
    <s v="Corso Amedeo, 269, 57125 Livorno LI, Italia"/>
    <d v="2022-11-03T00:00:00"/>
    <d v="2022-12-02T00:00:00"/>
    <n v="29"/>
    <x v="0"/>
    <x v="0"/>
  </r>
  <r>
    <n v="54506"/>
    <n v="23764"/>
    <s v="Roma"/>
    <s v="Via Prenestina, 394f, 00171 Roma RM, Italia"/>
    <d v="2022-11-12T00:00:00"/>
    <d v="2022-12-02T00:00:00"/>
    <n v="20"/>
    <x v="0"/>
    <x v="1"/>
  </r>
  <r>
    <n v="54544"/>
    <n v="9624"/>
    <s v="Εύοσμος"/>
    <s v="17ης Νοεμβρίου 6, Εύοσμος 562 24, Ελλάδα"/>
    <d v="2022-10-22T00:00:00"/>
    <d v="2022-12-02T00:00:00"/>
    <n v="41"/>
    <x v="1"/>
    <x v="2"/>
  </r>
  <r>
    <n v="54544"/>
    <n v="2645"/>
    <s v="Sant Antoni de Portmany"/>
    <s v="Carrer de Cervantes, 38, 07820 Sant Antoni de Portmany, Illes Balears, España"/>
    <d v="2022-10-22T00:00:00"/>
    <d v="2022-12-02T00:00:00"/>
    <n v="41"/>
    <x v="1"/>
    <x v="2"/>
  </r>
  <r>
    <n v="54550"/>
    <n v="78065"/>
    <s v="Napoli"/>
    <s v="Via Eduardo Suarez, 32, 80129 Napoli, Italia"/>
    <d v="2022-12-08T00:00:00"/>
    <d v="2022-12-02T00:00:00"/>
    <n v="-6"/>
    <x v="0"/>
    <x v="1"/>
  </r>
  <r>
    <n v="54561"/>
    <n v="13684"/>
    <s v="Bronte"/>
    <s v="Via Scorpione, 5, 95034 Bronte CT, Italia"/>
    <d v="2022-09-17T00:00:00"/>
    <d v="2022-12-02T00:00:00"/>
    <n v="76"/>
    <x v="1"/>
    <x v="0"/>
  </r>
  <r>
    <n v="54574"/>
    <n v="3624"/>
    <s v="San Cristóbal de La Laguna"/>
    <s v="C. Pablo Iglesias, 22, 38203 San Cristóbal de La Laguna, Santa Cruz de Tenerife, España"/>
    <d v="2022-04-23T00:00:00"/>
    <d v="2022-12-02T00:00:00"/>
    <n v="223"/>
    <x v="1"/>
    <x v="0"/>
  </r>
  <r>
    <n v="54756"/>
    <n v="3815"/>
    <s v="Napoli"/>
    <s v="Via Eduardo Nicolardi, 192, 80131 Napoli NA, Italia"/>
    <d v="2022-10-04T00:00:00"/>
    <d v="2022-12-02T00:00:00"/>
    <n v="59"/>
    <x v="1"/>
    <x v="0"/>
  </r>
  <r>
    <n v="55016"/>
    <n v="13091"/>
    <s v="Milano"/>
    <s v="Via Luigi Settembrini, 2, 20124 Milano MI, Italia"/>
    <d v="2022-10-01T00:00:00"/>
    <d v="2022-12-02T00:00:00"/>
    <n v="62"/>
    <x v="1"/>
    <x v="1"/>
  </r>
  <r>
    <n v="55017"/>
    <n v="19737"/>
    <s v="Casavatore"/>
    <s v="Corso Europa, 130, 80020 Casavatore NA, Italy"/>
    <d v="2022-10-21T00:00:00"/>
    <d v="2022-12-02T00:00:00"/>
    <n v="42"/>
    <x v="1"/>
    <x v="0"/>
  </r>
  <r>
    <n v="55150"/>
    <n v="0"/>
    <s v="Ancona"/>
    <s v="Via Duilio Scandali, 69, 60122 Ancona, Italia"/>
    <d v="2022-03-06T00:00:00"/>
    <d v="2022-12-02T00:00:00"/>
    <n v="271"/>
    <x v="1"/>
    <x v="1"/>
  </r>
  <r>
    <n v="55405"/>
    <n v="1943"/>
    <s v="Madrid"/>
    <s v="Calle del Gral Oraá, 59, 28006 Madrid, España"/>
    <d v="2022-09-05T00:00:00"/>
    <d v="2022-12-02T00:00:00"/>
    <n v="88"/>
    <x v="1"/>
    <x v="1"/>
  </r>
  <r>
    <n v="55405"/>
    <n v="9134"/>
    <s v="Napoli"/>
    <s v="Via Stanislao Manna, 76, 80126 Napoli NA, Italia"/>
    <d v="2022-09-05T00:00:00"/>
    <d v="2022-12-02T00:00:00"/>
    <n v="88"/>
    <x v="1"/>
    <x v="1"/>
  </r>
  <r>
    <n v="55407"/>
    <n v="5657"/>
    <s v="La Coruña"/>
    <s v="Rda. de Outeiro, 255, 15010 La Coruña, España"/>
    <d v="2022-11-21T00:00:00"/>
    <d v="2022-12-02T00:00:00"/>
    <n v="11"/>
    <x v="0"/>
    <x v="1"/>
  </r>
  <r>
    <n v="55410"/>
    <n v="1086"/>
    <s v="Madrid"/>
    <s v="C. de Padilla, 5, 28006 Madrid, España"/>
    <d v="2022-11-14T00:00:00"/>
    <d v="2022-12-02T00:00:00"/>
    <n v="18"/>
    <x v="0"/>
    <x v="0"/>
  </r>
  <r>
    <n v="55416"/>
    <n v="466"/>
    <s v="Oleiros"/>
    <s v="Rúa do Peneireiro, 1, 15178 Oleiros, A Coruña, España"/>
    <d v="2022-10-27T00:00:00"/>
    <d v="2022-12-02T00:00:00"/>
    <n v="36"/>
    <x v="1"/>
    <x v="0"/>
  </r>
  <r>
    <n v="55444"/>
    <n v="7285"/>
    <s v="Madrid"/>
    <s v="C. de Mota del Cuervo, 8, 28043 Madrid, España"/>
    <d v="2022-11-28T00:00:00"/>
    <d v="2022-12-02T00:00:00"/>
    <n v="4"/>
    <x v="0"/>
    <x v="0"/>
  </r>
  <r>
    <n v="55447"/>
    <n v="12059"/>
    <s v="Lecce"/>
    <s v="Via Giuseppe Giusti, 47, 73100 Lecce LE, Italia"/>
    <d v="2022-05-29T00:00:00"/>
    <d v="2022-12-02T00:00:00"/>
    <n v="187"/>
    <x v="1"/>
    <x v="0"/>
  </r>
  <r>
    <n v="55455"/>
    <n v="106"/>
    <s v="L'Hospitalet de Llobregat"/>
    <s v="C. de la Ermita de Bellvitge, 21, 29, 08907 L'Hospitalet de Llobregat, Barcelona, España"/>
    <d v="2022-12-08T00:00:00"/>
    <d v="2022-12-02T00:00:00"/>
    <n v="-6"/>
    <x v="0"/>
    <x v="1"/>
  </r>
  <r>
    <n v="55457"/>
    <n v="2384"/>
    <s v="València"/>
    <s v="Carrer del Palleter, 38, 46008 València, Valencia, España"/>
    <d v="2022-04-13T00:00:00"/>
    <d v="2022-12-02T00:00:00"/>
    <n v="233"/>
    <x v="1"/>
    <x v="1"/>
  </r>
  <r>
    <n v="55461"/>
    <n v="260"/>
    <s v="Madrid"/>
    <s v="C. de San Millán, 5, 28012 Madrid, España"/>
    <d v="2022-11-18T00:00:00"/>
    <d v="2022-12-02T00:00:00"/>
    <n v="14"/>
    <x v="0"/>
    <x v="0"/>
  </r>
  <r>
    <n v="55464"/>
    <n v="2688"/>
    <s v="Madrid"/>
    <s v="Av. del Dr. Federico Rubio y Galí, 104, 28040 Madrid, España"/>
    <d v="2022-07-28T00:00:00"/>
    <d v="2022-12-02T00:00:00"/>
    <n v="127"/>
    <x v="1"/>
    <x v="0"/>
  </r>
  <r>
    <n v="55464"/>
    <n v="721"/>
    <s v="Logroño"/>
    <s v="Av. Gonzalo de Berceo, 26, 26005 Logroño, La Rioja, España"/>
    <d v="2022-07-28T00:00:00"/>
    <d v="2022-12-02T00:00:00"/>
    <n v="127"/>
    <x v="1"/>
    <x v="0"/>
  </r>
  <r>
    <n v="55465"/>
    <n v="351"/>
    <s v="Barcelona"/>
    <s v="C. de Mallorca, 277, 08037 Barcelona, España"/>
    <d v="2022-09-06T00:00:00"/>
    <d v="2022-12-02T00:00:00"/>
    <n v="87"/>
    <x v="1"/>
    <x v="1"/>
  </r>
  <r>
    <n v="55470"/>
    <n v="3583"/>
    <s v="Sant Andreu Salou"/>
    <s v="Can Mas Nou, 74, Veïnat de les Bosques, 17454 Sant Andreu Salou, Girona, España"/>
    <d v="2022-11-11T00:00:00"/>
    <d v="2022-12-02T00:00:00"/>
    <n v="21"/>
    <x v="0"/>
    <x v="1"/>
  </r>
  <r>
    <n v="55505"/>
    <n v="4839"/>
    <s v="Torino"/>
    <s v="Via Nizza, 142, 10126 Torino TO, Italia"/>
    <d v="2022-02-15T00:00:00"/>
    <d v="2022-12-02T00:00:00"/>
    <n v="290"/>
    <x v="1"/>
    <x v="1"/>
  </r>
  <r>
    <n v="55506"/>
    <n v="0"/>
    <s v="Collestrada"/>
    <s v="Str. Centrale Umbra, 28, 06135 Collestrada PG, Italia"/>
    <d v="2022-03-30T00:00:00"/>
    <d v="2022-12-02T00:00:00"/>
    <n v="247"/>
    <x v="1"/>
    <x v="2"/>
  </r>
  <r>
    <n v="55545"/>
    <n v="1807"/>
    <s v="Lliçà de Vall"/>
    <s v="Plaça de la Vila, 2, 08150 Lliçà de Vall, Barcelona, España"/>
    <d v="2022-12-01T00:00:00"/>
    <d v="2022-12-02T00:00:00"/>
    <n v="1"/>
    <x v="0"/>
    <x v="0"/>
  </r>
  <r>
    <n v="55555"/>
    <n v="19764"/>
    <s v="Domodossola"/>
    <s v="Via Luigi Cadorna, 38, 28845 Domodossola VB, Italia"/>
    <d v="2022-10-25T00:00:00"/>
    <d v="2022-12-02T00:00:00"/>
    <n v="38"/>
    <x v="1"/>
    <x v="0"/>
  </r>
  <r>
    <n v="55617"/>
    <n v="1499"/>
    <s v="Madrid"/>
    <s v="C. de Mesena, 108, 28033 Madrid, España"/>
    <d v="2022-03-07T00:00:00"/>
    <d v="2022-12-02T00:00:00"/>
    <n v="270"/>
    <x v="1"/>
    <x v="2"/>
  </r>
  <r>
    <n v="55630"/>
    <n v="10104"/>
    <s v="Sant Cugat del Vallès"/>
    <s v="Passeig de Francesc Macià, 67, 08173 Sant Cugat del Vallès, Barcelona, Spagna"/>
    <d v="2022-07-20T00:00:00"/>
    <d v="2022-12-02T00:00:00"/>
    <n v="135"/>
    <x v="1"/>
    <x v="2"/>
  </r>
  <r>
    <n v="55644"/>
    <n v="10453"/>
    <s v="Formigine"/>
    <s v="Via Battezzate, 27, 41043 Formigine MO, Italia"/>
    <d v="2022-10-15T00:00:00"/>
    <d v="2022-12-02T00:00:00"/>
    <n v="48"/>
    <x v="1"/>
    <x v="2"/>
  </r>
  <r>
    <n v="55646"/>
    <n v="649"/>
    <s v="Madrid"/>
    <s v="C. Serrano, 217, 28016 Madrid, España"/>
    <d v="2022-09-06T00:00:00"/>
    <d v="2022-12-02T00:00:00"/>
    <n v="87"/>
    <x v="1"/>
    <x v="2"/>
  </r>
  <r>
    <n v="55664"/>
    <n v="42"/>
    <s v="Barcelona"/>
    <s v="Pl. d'Urquinaona, 6, 14c, 08010 Barcelona, España"/>
    <d v="2022-08-29T00:00:00"/>
    <d v="2022-12-02T00:00:00"/>
    <n v="95"/>
    <x v="1"/>
    <x v="2"/>
  </r>
  <r>
    <n v="55665"/>
    <n v="1131"/>
    <s v="Barcelona"/>
    <s v="Gran Via de les Corts Catalanes, 753, 08013 Barcelona, España"/>
    <d v="2022-07-10T00:00:00"/>
    <d v="2022-12-02T00:00:00"/>
    <n v="145"/>
    <x v="1"/>
    <x v="2"/>
  </r>
  <r>
    <n v="55666"/>
    <n v="1379"/>
    <s v="Avellino"/>
    <s v="Piazza D'Armi, 10, 83100 Avellino AV, Italia"/>
    <d v="2022-11-25T00:00:00"/>
    <d v="2022-12-02T00:00:00"/>
    <n v="7"/>
    <x v="0"/>
    <x v="1"/>
  </r>
  <r>
    <n v="55754"/>
    <n v="6284"/>
    <s v="Settimo Torinese"/>
    <s v="Via Italia, 53, 10036 Settimo Torinese TO, Italia"/>
    <d v="2022-07-14T00:00:00"/>
    <d v="2022-12-02T00:00:00"/>
    <n v="141"/>
    <x v="1"/>
    <x v="2"/>
  </r>
  <r>
    <n v="55767"/>
    <n v="533"/>
    <s v="Pamplona"/>
    <s v="Av. de Pío XII, 29, 31008 Pamplona, Navarra, España"/>
    <d v="2022-08-23T00:00:00"/>
    <d v="2022-12-02T00:00:00"/>
    <n v="101"/>
    <x v="1"/>
    <x v="2"/>
  </r>
  <r>
    <n v="56005"/>
    <n v="14483"/>
    <s v="Madrid"/>
    <s v="Calle Rodríguez Marín, 78, 28002 Madrid, España"/>
    <d v="2022-09-13T00:00:00"/>
    <d v="2022-12-02T00:00:00"/>
    <n v="80"/>
    <x v="1"/>
    <x v="1"/>
  </r>
  <r>
    <n v="56115"/>
    <n v="2368"/>
    <s v="Castellammare di Stabia"/>
    <s v="Via del Pittore Ignoto, 3, 80053 Castellammare di Stabia NA, Italia"/>
    <d v="2022-04-08T00:00:00"/>
    <d v="2022-12-02T00:00:00"/>
    <n v="238"/>
    <x v="1"/>
    <x v="1"/>
  </r>
  <r>
    <n v="56555"/>
    <n v="7815"/>
    <s v="Verona"/>
    <s v="Via Matteo Albertini, 1, 37131 Verona VR, Italia"/>
    <d v="2022-07-28T00:00:00"/>
    <d v="2022-12-02T00:00:00"/>
    <n v="127"/>
    <x v="1"/>
    <x v="0"/>
  </r>
  <r>
    <n v="56556"/>
    <n v="3173"/>
    <s v="Riccione"/>
    <s v="Viale Portofino, 26, 47838 Riccione RN, Italia"/>
    <d v="2022-04-24T00:00:00"/>
    <d v="2022-12-02T00:00:00"/>
    <n v="222"/>
    <x v="1"/>
    <x v="1"/>
  </r>
  <r>
    <n v="56750"/>
    <n v="3205"/>
    <s v="Milano"/>
    <s v="Via Enrico Tellini, 14, 20155 Milano, Italia"/>
    <d v="2022-06-29T00:00:00"/>
    <d v="2022-12-02T00:00:00"/>
    <n v="156"/>
    <x v="1"/>
    <x v="2"/>
  </r>
  <r>
    <n v="57004"/>
    <n v="39"/>
    <s v="Lyon"/>
    <s v="109 Boulevard de la Croix-Rousse, 69004 Lyon, France"/>
    <d v="2022-10-11T00:00:00"/>
    <d v="2022-12-02T00:00:00"/>
    <n v="52"/>
    <x v="1"/>
    <x v="0"/>
  </r>
  <r>
    <n v="57044"/>
    <n v="4522"/>
    <s v="Somma Vesuviana"/>
    <s v="Via Mercato Vecchio, 61, 80049 Somma Vesuviana NA, Italia"/>
    <d v="2022-01-23T00:00:00"/>
    <d v="2022-12-02T00:00:00"/>
    <n v="313"/>
    <x v="1"/>
    <x v="0"/>
  </r>
  <r>
    <n v="57065"/>
    <n v="4299"/>
    <s v="Saluzzo"/>
    <s v="Via Cuneo, 4, 12037 Saluzzo CN, Italia"/>
    <d v="2022-02-04T00:00:00"/>
    <d v="2022-12-02T00:00:00"/>
    <n v="301"/>
    <x v="1"/>
    <x v="0"/>
  </r>
  <r>
    <n v="57141"/>
    <n v="1157"/>
    <s v="Quiers"/>
    <s v="30 Rue de Saint-Martin, 77720 Quiers, France"/>
    <d v="2022-07-27T00:00:00"/>
    <d v="2022-12-02T00:00:00"/>
    <n v="128"/>
    <x v="1"/>
    <x v="0"/>
  </r>
  <r>
    <n v="57444"/>
    <n v="313"/>
    <s v="Les Essarts-le-Roi"/>
    <s v="1 Rés Parc des Essarts, 78690 Les Essarts-le-Roi, France"/>
    <d v="2022-09-04T00:00:00"/>
    <d v="2022-12-02T00:00:00"/>
    <n v="89"/>
    <x v="1"/>
    <x v="2"/>
  </r>
  <r>
    <n v="57504"/>
    <n v="392"/>
    <s v="Vicenza"/>
    <s v="Via Generale Carlo Alberto dalla Chiesa, 173, 36100 Vicenza VI, Italia"/>
    <d v="2022-05-30T00:00:00"/>
    <d v="2022-12-02T00:00:00"/>
    <n v="186"/>
    <x v="1"/>
    <x v="2"/>
  </r>
  <r>
    <n v="57544"/>
    <n v="3642"/>
    <s v="Ozieri"/>
    <s v="Via Umberto I, 62, 07014 Ozieri SS"/>
    <d v="2022-08-19T00:00:00"/>
    <d v="2022-12-02T00:00:00"/>
    <n v="105"/>
    <x v="1"/>
    <x v="1"/>
  </r>
  <r>
    <n v="57615"/>
    <n v="4184"/>
    <s v="Roma"/>
    <s v="Via della Cava Aurelia, 147, 00165 Roma RM, Italia"/>
    <d v="2022-09-21T00:00:00"/>
    <d v="2022-12-02T00:00:00"/>
    <n v="72"/>
    <x v="1"/>
    <x v="0"/>
  </r>
  <r>
    <n v="103050"/>
    <n v="83570"/>
    <s v="Milano"/>
    <s v="Via Bergamo, 14, 20135 Milano MI, Italia"/>
    <d v="2022-12-08T00:00:00"/>
    <d v="2022-12-02T00:00:00"/>
    <n v="-6"/>
    <x v="0"/>
    <x v="2"/>
  </r>
  <r>
    <n v="105505"/>
    <n v="128"/>
    <s v="Κηφισιά"/>
    <s v="Λεωφ. Κηφισίας 238, Κηφισιά 145 62, Ελλάδα"/>
    <d v="2022-04-18T00:00:00"/>
    <d v="2022-12-02T00:00:00"/>
    <n v="228"/>
    <x v="1"/>
    <x v="0"/>
  </r>
  <r>
    <n v="115045"/>
    <n v="13040"/>
    <s v="Alicante (Alacant)"/>
    <s v="Calle Susana Llaneras, 39, 03001 Alicante (Alacant), Alicante, España"/>
    <d v="2022-02-03T00:00:00"/>
    <d v="2022-12-02T00:00:00"/>
    <n v="302"/>
    <x v="1"/>
    <x v="2"/>
  </r>
  <r>
    <n v="130515"/>
    <n v="8356"/>
    <s v="Porta a Mare (Zona Industriale)"/>
    <s v="Via Chiassatello, 3, 56121 Porta a Mare (Zona Industriale) PI, Italia"/>
    <d v="2022-10-07T00:00:00"/>
    <d v="2022-12-02T00:00:00"/>
    <n v="56"/>
    <x v="1"/>
    <x v="1"/>
  </r>
  <r>
    <n v="143001"/>
    <n v="6589"/>
    <s v="Parma"/>
    <s v="Via Vincenzo Re, 47, 43125 Parma PR, Italia"/>
    <d v="2022-01-10T00:00:00"/>
    <d v="2022-12-02T00:00:00"/>
    <n v="326"/>
    <x v="1"/>
    <x v="1"/>
  </r>
  <r>
    <n v="144305"/>
    <n v="14988"/>
    <s v="Brescia"/>
    <s v="Via Guglielmo Marconi, 2, 25128 Brescia BS, Italia"/>
    <d v="2022-04-17T00:00:00"/>
    <d v="2022-12-02T00:00:00"/>
    <n v="229"/>
    <x v="1"/>
    <x v="0"/>
  </r>
  <r>
    <n v="144550"/>
    <n v="517"/>
    <s v="Madrid"/>
    <s v="Calle del General Díaz Porlier, 50, 28001 Madrid, España"/>
    <d v="2022-02-02T00:00:00"/>
    <d v="2022-12-02T00:00:00"/>
    <n v="303"/>
    <x v="1"/>
    <x v="2"/>
  </r>
  <r>
    <n v="145004"/>
    <n v="20065"/>
    <s v="Reggio Calabria"/>
    <s v="Via Casa Savoia, 204d, 89135 Reggio Calabria RC, Italia"/>
    <d v="2022-11-08T00:00:00"/>
    <d v="2022-12-02T00:00:00"/>
    <n v="24"/>
    <x v="0"/>
    <x v="2"/>
  </r>
  <r>
    <n v="145004"/>
    <n v="17438"/>
    <s v="Barletta"/>
    <s v="Via Enrico Fermi, 51, 76121 Barletta BT, Italy"/>
    <d v="2022-11-08T00:00:00"/>
    <d v="2022-12-02T00:00:00"/>
    <n v="24"/>
    <x v="0"/>
    <x v="2"/>
  </r>
  <r>
    <n v="145056"/>
    <n v="6160"/>
    <s v="Lyon"/>
    <s v="78 Rue Ney, 69006 Lyon, France"/>
    <d v="2022-05-05T00:00:00"/>
    <d v="2022-12-02T00:00:00"/>
    <n v="211"/>
    <x v="1"/>
    <x v="1"/>
  </r>
  <r>
    <n v="145307"/>
    <n v="9598"/>
    <s v="L'Ametlla del Vallès"/>
    <s v="Carrer Francesc Macià, 3, 08480 L'Ametlla del Vallès, Barcelona, España"/>
    <d v="2022-08-23T00:00:00"/>
    <d v="2022-12-02T00:00:00"/>
    <n v="101"/>
    <x v="1"/>
    <x v="0"/>
  </r>
  <r>
    <n v="150514"/>
    <n v="14275"/>
    <s v="Milano"/>
    <s v="Via Accademia, 53, 20131 Milano MI, Italia"/>
    <d v="2022-01-05T00:00:00"/>
    <d v="2022-12-02T00:00:00"/>
    <n v="331"/>
    <x v="1"/>
    <x v="2"/>
  </r>
  <r>
    <n v="150530"/>
    <n v="10771"/>
    <s v="Verona"/>
    <s v="Via Agrigento, 10a, 37138 Verona VR, Italia"/>
    <d v="2022-06-22T00:00:00"/>
    <d v="2022-12-02T00:00:00"/>
    <n v="163"/>
    <x v="1"/>
    <x v="0"/>
  </r>
  <r>
    <n v="150571"/>
    <n v="55801"/>
    <s v="Burela"/>
    <s v="Rúa de Eijo Garay, 12, 27880 Burela, Lugo"/>
    <d v="2022-12-08T00:00:00"/>
    <d v="2022-12-02T00:00:00"/>
    <n v="-6"/>
    <x v="0"/>
    <x v="2"/>
  </r>
  <r>
    <n v="154550"/>
    <n v="14650"/>
    <s v="Benifairó de los Valles"/>
    <s v="Carrer de Valencia, 52, 46511 Benifairó de los Valles, Valencia, España"/>
    <d v="2022-01-19T00:00:00"/>
    <d v="2022-12-02T00:00:00"/>
    <n v="317"/>
    <x v="1"/>
    <x v="0"/>
  </r>
  <r>
    <n v="154630"/>
    <n v="18936"/>
    <s v="Selargius"/>
    <s v="Via Antonio Gallus, 75, 09047 Selargius CA, Italia"/>
    <d v="2022-10-13T00:00:00"/>
    <d v="2022-12-02T00:00:00"/>
    <n v="50"/>
    <x v="1"/>
    <x v="1"/>
  </r>
  <r>
    <n v="155505"/>
    <n v="31770"/>
    <s v="Nettuno"/>
    <s v="Via Vittorio Veneto, 24, 00048 Nettuno RM, Italia"/>
    <d v="2022-12-08T00:00:00"/>
    <d v="2022-12-02T00:00:00"/>
    <n v="-6"/>
    <x v="0"/>
    <x v="2"/>
  </r>
  <r>
    <n v="155550"/>
    <n v="10657"/>
    <s v="Nice"/>
    <s v="3 Rue Chauvain, 06000 Nice, France"/>
    <d v="2022-11-26T00:00:00"/>
    <d v="2022-12-02T00:00:00"/>
    <n v="6"/>
    <x v="0"/>
    <x v="2"/>
  </r>
  <r>
    <n v="161430"/>
    <n v="16982"/>
    <s v="Casarano"/>
    <s v="Via Matino, 63, 73042 Casarano LE, Italia"/>
    <d v="2022-10-24T00:00:00"/>
    <d v="2022-12-02T00:00:00"/>
    <n v="39"/>
    <x v="1"/>
    <x v="1"/>
  </r>
  <r>
    <n v="165074"/>
    <n v="13286"/>
    <s v="Spotorno"/>
    <s v="Via G. Garibaldi, 7, 17028 Spotorno SV, Italia"/>
    <d v="2022-01-29T00:00:00"/>
    <d v="2022-12-02T00:00:00"/>
    <n v="307"/>
    <x v="1"/>
    <x v="0"/>
  </r>
  <r>
    <n v="306507"/>
    <n v="15"/>
    <s v="A Coruña"/>
    <s v="Rúa Monasterio de Caaveiro, 30, 15010 A Coruña, España"/>
    <d v="2022-11-19T00:00:00"/>
    <d v="2022-12-02T00:00:00"/>
    <n v="13"/>
    <x v="1"/>
    <x v="0"/>
  </r>
  <r>
    <n v="430450"/>
    <n v="25614"/>
    <s v="Ferrara"/>
    <s v="Via Giuoco del Pallone, 10, 44121 Ferrara FE, Italia"/>
    <d v="2022-11-10T00:00:00"/>
    <d v="2022-12-02T00:00:00"/>
    <n v="22"/>
    <x v="0"/>
    <x v="0"/>
  </r>
  <r>
    <n v="500141"/>
    <n v="4555"/>
    <s v="Milano"/>
    <s v="Viale Coni Zugna, 52, 20131 Milano MI, Italia"/>
    <d v="2022-10-28T00:00:00"/>
    <d v="2022-12-02T00:00:00"/>
    <n v="35"/>
    <x v="1"/>
    <x v="0"/>
  </r>
  <r>
    <n v="500401"/>
    <n v="795"/>
    <s v="Avola"/>
    <s v="Largo Baluardo, 11, 96012 Avola SR, Italia"/>
    <d v="2022-03-26T00:00:00"/>
    <d v="2022-12-02T00:00:00"/>
    <n v="251"/>
    <x v="1"/>
    <x v="0"/>
  </r>
  <r>
    <n v="500430"/>
    <n v="61100"/>
    <s v="Reggio Calabria"/>
    <s v="Via Giulia, 12, 89125 Reggio Calabria RC, Italia"/>
    <d v="2022-12-08T00:00:00"/>
    <d v="2022-12-02T00:00:00"/>
    <n v="-6"/>
    <x v="0"/>
    <x v="1"/>
  </r>
  <r>
    <n v="500444"/>
    <n v="4874"/>
    <s v="Manduria"/>
    <s v="Viale Mancini, 7, 74024 Manduria TA, Italia"/>
    <d v="2022-09-29T00:00:00"/>
    <d v="2022-12-02T00:00:00"/>
    <n v="64"/>
    <x v="1"/>
    <x v="0"/>
  </r>
  <r>
    <n v="500447"/>
    <n v="805"/>
    <s v="Milano"/>
    <s v="Corso di Porta Vittoria, 8,20122 Milano MI"/>
    <d v="2022-10-06T00:00:00"/>
    <d v="2022-12-02T00:00:00"/>
    <n v="57"/>
    <x v="1"/>
    <x v="1"/>
  </r>
  <r>
    <n v="500450"/>
    <n v="42234"/>
    <s v="Casalecchio di Reno"/>
    <s v="Via Francesco Petrarca, 11, 40033 Casalecchio di Reno BO, Italia"/>
    <d v="2022-12-08T00:00:00"/>
    <d v="2022-12-02T00:00:00"/>
    <n v="-6"/>
    <x v="0"/>
    <x v="0"/>
  </r>
  <r>
    <n v="500457"/>
    <n v="2438"/>
    <s v="Trento"/>
    <s v="Via Padre Eusebio Iori, 11, 38123 Trento TN, Italia"/>
    <d v="2022-05-05T00:00:00"/>
    <d v="2022-12-02T00:00:00"/>
    <n v="211"/>
    <x v="1"/>
    <x v="1"/>
  </r>
  <r>
    <n v="500510"/>
    <n v="191"/>
    <s v="Madrid"/>
    <s v="Av. Pablo Neruda, 102, 28018 Madrid, España"/>
    <d v="2022-10-26T00:00:00"/>
    <d v="2022-12-02T00:00:00"/>
    <n v="37"/>
    <x v="1"/>
    <x v="0"/>
  </r>
  <r>
    <n v="500515"/>
    <n v="4486"/>
    <s v="La Alcayna"/>
    <s v="C. Picos de Europa, 61, 30507 La Alcayna, Murcia, España"/>
    <d v="2022-05-18T00:00:00"/>
    <d v="2022-12-02T00:00:00"/>
    <n v="198"/>
    <x v="1"/>
    <x v="2"/>
  </r>
  <r>
    <n v="500547"/>
    <n v="2437"/>
    <s v="Santa Marta de Tormes"/>
    <s v="Calle Dr. Torres de Villarroel, 4, 37900 Santa Marta de Tormes, Salamanca, España"/>
    <d v="2022-10-22T00:00:00"/>
    <d v="2022-12-02T00:00:00"/>
    <n v="41"/>
    <x v="1"/>
    <x v="2"/>
  </r>
  <r>
    <n v="500554"/>
    <n v="5575"/>
    <s v="Utrera"/>
    <s v="C. Rubén Darío, 16, 41710 Utrera, Sevilla, España"/>
    <d v="2022-09-22T00:00:00"/>
    <d v="2022-12-02T00:00:00"/>
    <n v="71"/>
    <x v="1"/>
    <x v="2"/>
  </r>
  <r>
    <n v="500571"/>
    <n v="8257"/>
    <s v="Velilla de San Antonio"/>
    <s v="C. San Sebastián, 6, 28891 Velilla de San Antonio, Madrid, España"/>
    <d v="2022-05-17T00:00:00"/>
    <d v="2022-12-02T00:00:00"/>
    <n v="199"/>
    <x v="1"/>
    <x v="1"/>
  </r>
  <r>
    <n v="500646"/>
    <n v="624"/>
    <s v="Milano"/>
    <s v="Via Lodovico Settala, 3, 20124 Milano MI, Italia"/>
    <d v="2022-10-11T00:00:00"/>
    <d v="2022-12-02T00:00:00"/>
    <n v="52"/>
    <x v="1"/>
    <x v="1"/>
  </r>
  <r>
    <n v="500655"/>
    <n v="2964"/>
    <s v="Κόρινθος"/>
    <s v="Γεωρ. Παπανδρέου 41, Κόρινθος 201 00, Ελλάδα"/>
    <d v="2022-10-19T00:00:00"/>
    <d v="2022-12-02T00:00:00"/>
    <n v="44"/>
    <x v="1"/>
    <x v="0"/>
  </r>
  <r>
    <n v="500667"/>
    <n v="210"/>
    <s v="Correggio"/>
    <s v="Via Luciano Tondelli, 42015 Correggio RE, Italia"/>
    <d v="2022-08-05T00:00:00"/>
    <d v="2022-12-02T00:00:00"/>
    <n v="119"/>
    <x v="1"/>
    <x v="0"/>
  </r>
  <r>
    <n v="501004"/>
    <n v="2729"/>
    <s v="Almada"/>
    <s v="R. da Liberdade 2B, 2800-149 Almada, Portugal"/>
    <d v="2022-11-02T00:00:00"/>
    <d v="2022-12-02T00:00:00"/>
    <n v="30"/>
    <x v="1"/>
    <x v="0"/>
  </r>
  <r>
    <n v="501160"/>
    <n v="5278"/>
    <s v="Palestrina"/>
    <s v="Via Pedemontana, 135, 00036 Palestrina RM, Italia"/>
    <d v="2022-09-17T00:00:00"/>
    <d v="2022-12-02T00:00:00"/>
    <n v="76"/>
    <x v="1"/>
    <x v="1"/>
  </r>
  <r>
    <n v="501416"/>
    <n v="2114"/>
    <s v="Cagliari"/>
    <s v="Via dei Capraia, 10, 09131 Cagliari CA, Italia"/>
    <d v="2022-10-29T00:00:00"/>
    <d v="2022-12-02T00:00:00"/>
    <n v="34"/>
    <x v="1"/>
    <x v="1"/>
  </r>
  <r>
    <n v="501447"/>
    <n v="3734"/>
    <s v="La Orotava"/>
    <s v="Callejon del Molino, 4, 38312 La Orotava, Santa Cruz de Tenerife, España"/>
    <d v="2022-09-08T00:00:00"/>
    <d v="2022-12-02T00:00:00"/>
    <n v="85"/>
    <x v="1"/>
    <x v="1"/>
  </r>
  <r>
    <n v="501464"/>
    <n v="1017"/>
    <s v="Roma"/>
    <s v="Via Eugenio Torelli Viollier, 23, 00157 Roma RM, Italia"/>
    <d v="2022-11-28T00:00:00"/>
    <d v="2022-12-02T00:00:00"/>
    <n v="4"/>
    <x v="0"/>
    <x v="2"/>
  </r>
  <r>
    <n v="501545"/>
    <n v="4961"/>
    <s v="Castelló de la Plana"/>
    <s v="Carrer de Lagasca, 8, 12003 Castelló de la Plana, Castelló, España"/>
    <d v="2022-11-23T00:00:00"/>
    <d v="2022-12-02T00:00:00"/>
    <n v="9"/>
    <x v="0"/>
    <x v="2"/>
  </r>
  <r>
    <n v="501547"/>
    <n v="2598"/>
    <s v="Padova"/>
    <s v="Via Giorgio Pullè, 35136 Padova PD, Italia"/>
    <d v="2022-11-09T00:00:00"/>
    <d v="2022-12-02T00:00:00"/>
    <n v="23"/>
    <x v="0"/>
    <x v="1"/>
  </r>
  <r>
    <n v="501550"/>
    <n v="2013"/>
    <s v="Valencia"/>
    <s v="Av. del Puerto, 106, 46023 Valencia, España"/>
    <d v="2022-11-11T00:00:00"/>
    <d v="2022-12-02T00:00:00"/>
    <n v="21"/>
    <x v="0"/>
    <x v="1"/>
  </r>
  <r>
    <n v="501674"/>
    <n v="2130"/>
    <s v="Santa Coloma de Gramenet"/>
    <s v="Av. de la Generalitat, 82, 08922 Santa Coloma de Gramenet, Barcelona, España"/>
    <d v="2022-10-09T00:00:00"/>
    <d v="2022-12-02T00:00:00"/>
    <n v="54"/>
    <x v="1"/>
    <x v="2"/>
  </r>
  <r>
    <n v="501757"/>
    <n v="2115"/>
    <s v="Vigo"/>
    <s v="Rúa da República Arxentina, 12, 36201 Vigo, Pontevedra, España"/>
    <d v="2022-11-03T00:00:00"/>
    <d v="2022-12-02T00:00:00"/>
    <n v="29"/>
    <x v="0"/>
    <x v="2"/>
  </r>
  <r>
    <n v="501771"/>
    <n v="5896"/>
    <s v="Capoterra"/>
    <s v="Via Dante Alighieri, 10, 09012 Capoterra CA, Italia"/>
    <d v="2022-09-30T00:00:00"/>
    <d v="2022-12-02T00:00:00"/>
    <n v="63"/>
    <x v="1"/>
    <x v="1"/>
  </r>
  <r>
    <n v="503055"/>
    <n v="21572"/>
    <s v="San Bonifacio"/>
    <s v="Via Trento, 104A, 37047 San Bonifacio VR, Italia"/>
    <d v="2022-11-04T00:00:00"/>
    <d v="2022-12-02T00:00:00"/>
    <n v="28"/>
    <x v="0"/>
    <x v="0"/>
  </r>
  <r>
    <n v="503055"/>
    <n v="15111"/>
    <s v="Padova"/>
    <s v="Viale Arcella, 3e, 35132 Padova PD, Italia"/>
    <d v="2022-11-04T00:00:00"/>
    <d v="2022-12-02T00:00:00"/>
    <n v="28"/>
    <x v="0"/>
    <x v="0"/>
  </r>
  <r>
    <n v="503065"/>
    <n v="40834"/>
    <s v="Sansepolcro"/>
    <s v="Via Silvio Zanchi, 2, 52037 Sansepolcro AR, Italia"/>
    <d v="2022-12-08T00:00:00"/>
    <d v="2022-12-02T00:00:00"/>
    <n v="-6"/>
    <x v="0"/>
    <x v="2"/>
  </r>
  <r>
    <n v="504054"/>
    <n v="667"/>
    <s v="Mapperley"/>
    <s v="918 Woodborough Rd, Mapperley, Nottingham NG3 5QR, UK"/>
    <d v="2022-11-09T00:00:00"/>
    <d v="2022-12-02T00:00:00"/>
    <n v="23"/>
    <x v="0"/>
    <x v="0"/>
  </r>
  <r>
    <n v="504404"/>
    <n v="166"/>
    <s v="Catanzaro"/>
    <s v="Via Monsignor Armando Fares, 88100 Catanzaro CZ, Italia"/>
    <d v="2022-10-08T00:00:00"/>
    <d v="2022-12-02T00:00:00"/>
    <n v="55"/>
    <x v="1"/>
    <x v="2"/>
  </r>
  <r>
    <n v="504451"/>
    <n v="2"/>
    <s v="Greater London"/>
    <s v="Marvan Court, 1A Waldegrave Rd, Teddington TW11 8LZ, UK"/>
    <d v="2022-09-09T00:00:00"/>
    <d v="2022-12-02T00:00:00"/>
    <n v="84"/>
    <x v="1"/>
    <x v="1"/>
  </r>
  <r>
    <n v="504455"/>
    <n v="160"/>
    <s v="Greater London"/>
    <s v="North Mall, London N9 0EH, UK"/>
    <d v="2022-10-04T00:00:00"/>
    <d v="2022-12-02T00:00:00"/>
    <n v="59"/>
    <x v="1"/>
    <x v="0"/>
  </r>
  <r>
    <n v="504464"/>
    <n v="749"/>
    <s v="Ávila"/>
    <s v="C. de Don Rufino Martín, 1, 05002 Ávila, España"/>
    <d v="2022-09-26T00:00:00"/>
    <d v="2022-12-02T00:00:00"/>
    <n v="67"/>
    <x v="1"/>
    <x v="1"/>
  </r>
  <r>
    <n v="504475"/>
    <n v="0"/>
    <s v="Forlì"/>
    <s v="Via Decio Raggi, 12, 47121 Forlì FC, Italia"/>
    <d v="2022-11-22T00:00:00"/>
    <d v="2022-12-02T00:00:00"/>
    <n v="10"/>
    <x v="1"/>
    <x v="2"/>
  </r>
  <r>
    <n v="504540"/>
    <n v="757"/>
    <s v="Bologna"/>
    <s v="Via Giuseppe Dagnini, 38, 40137 Bologna BO, Italia"/>
    <d v="2022-10-20T00:00:00"/>
    <d v="2022-12-02T00:00:00"/>
    <n v="43"/>
    <x v="1"/>
    <x v="1"/>
  </r>
  <r>
    <n v="504545"/>
    <n v="21"/>
    <s v="Zürich"/>
    <s v="Ackerstrasse 21, 8005 Zürich, Schweiz"/>
    <d v="2022-11-17T00:00:00"/>
    <d v="2022-12-02T00:00:00"/>
    <n v="15"/>
    <x v="1"/>
    <x v="0"/>
  </r>
  <r>
    <n v="504554"/>
    <n v="225"/>
    <s v="Bedminster"/>
    <s v="3-5 North St, Bedminster, Bristol BS3 1EN, UK"/>
    <d v="2022-10-31T00:00:00"/>
    <d v="2022-12-02T00:00:00"/>
    <n v="32"/>
    <x v="1"/>
    <x v="1"/>
  </r>
  <r>
    <n v="505030"/>
    <n v="18553"/>
    <s v="Cogoleto"/>
    <s v="Via Giuseppe Mazzini, 9/11, 16016 Cogoleto GE, Italia"/>
    <d v="2022-10-12T00:00:00"/>
    <d v="2022-12-02T00:00:00"/>
    <n v="51"/>
    <x v="1"/>
    <x v="0"/>
  </r>
  <r>
    <n v="505054"/>
    <n v="3977"/>
    <s v="Flero"/>
    <s v="Via Francesco Petrarca, 42, 25020 Flero BS, Italia"/>
    <d v="2022-09-13T00:00:00"/>
    <d v="2022-12-02T00:00:00"/>
    <n v="80"/>
    <x v="1"/>
    <x v="1"/>
  </r>
  <r>
    <n v="505400"/>
    <n v="1124"/>
    <s v="Madrid"/>
    <s v="C. del Pelicano, 14, 28025 Madrid"/>
    <d v="2022-10-16T00:00:00"/>
    <d v="2022-12-02T00:00:00"/>
    <n v="47"/>
    <x v="1"/>
    <x v="2"/>
  </r>
  <r>
    <n v="505414"/>
    <n v="379"/>
    <s v="Roma"/>
    <s v="Via Palestro, 51, 00185 Roma RM, Italia"/>
    <d v="2022-09-08T00:00:00"/>
    <d v="2022-12-02T00:00:00"/>
    <n v="85"/>
    <x v="1"/>
    <x v="2"/>
  </r>
  <r>
    <n v="505504"/>
    <n v="4954"/>
    <s v="Motril"/>
    <s v="C. Romero Civantos, 3, 18600 Motril, Granada, España"/>
    <d v="2022-09-02T00:00:00"/>
    <d v="2022-12-02T00:00:00"/>
    <n v="91"/>
    <x v="1"/>
    <x v="2"/>
  </r>
  <r>
    <n v="505504"/>
    <n v="2746"/>
    <s v="Hamburg"/>
    <s v="Edith-Stein-Platz 2, 21035 Hamburg, Deutschland"/>
    <d v="2022-09-02T00:00:00"/>
    <d v="2022-12-02T00:00:00"/>
    <n v="91"/>
    <x v="1"/>
    <x v="2"/>
  </r>
  <r>
    <n v="505514"/>
    <n v="17"/>
    <s v="Piamborno"/>
    <s v="Via Nazionale, 208, 25052 Piamborno BS, Italia"/>
    <d v="2022-09-03T00:00:00"/>
    <d v="2022-12-02T00:00:00"/>
    <n v="90"/>
    <x v="1"/>
    <x v="1"/>
  </r>
  <r>
    <n v="505574"/>
    <n v="6978"/>
    <s v="Alcoi"/>
    <s v="Av. Hispanitat, 61, 03804 Alcoi, Alicante, España"/>
    <d v="2022-10-21T00:00:00"/>
    <d v="2022-12-02T00:00:00"/>
    <n v="42"/>
    <x v="1"/>
    <x v="2"/>
  </r>
  <r>
    <n v="505576"/>
    <n v="7505"/>
    <s v="Alcoi"/>
    <s v="Carrer Joan de Joanes, 17, 03802 Alcoi, Alicante, España"/>
    <d v="2022-09-09T00:00:00"/>
    <d v="2022-12-02T00:00:00"/>
    <n v="84"/>
    <x v="1"/>
    <x v="1"/>
  </r>
  <r>
    <n v="505641"/>
    <n v="2114"/>
    <s v="Tudela"/>
    <s v="C. Muro, 43, 31500 Tudela, Navarra, España"/>
    <d v="2022-10-30T00:00:00"/>
    <d v="2022-12-02T00:00:00"/>
    <n v="33"/>
    <x v="1"/>
    <x v="0"/>
  </r>
  <r>
    <n v="505704"/>
    <n v="3481"/>
    <s v="València"/>
    <s v="Carrer del Mestre Gozalbo, 12, 46005 València, Valencia, España"/>
    <d v="2022-12-01T00:00:00"/>
    <d v="2022-12-02T00:00:00"/>
    <n v="1"/>
    <x v="0"/>
    <x v="0"/>
  </r>
  <r>
    <n v="505741"/>
    <n v="1752"/>
    <s v="Dortmund"/>
    <s v="Hörder Rathausstraße 9, 44263 Dortmund, Deutschland"/>
    <d v="2022-09-25T00:00:00"/>
    <d v="2022-12-02T00:00:00"/>
    <n v="68"/>
    <x v="1"/>
    <x v="0"/>
  </r>
  <r>
    <n v="506044"/>
    <n v="3"/>
    <s v="Marino"/>
    <s v="Corso Trieste, 56, 00047 Marino RM, Italia"/>
    <d v="2022-11-19T00:00:00"/>
    <d v="2022-12-02T00:00:00"/>
    <n v="13"/>
    <x v="1"/>
    <x v="1"/>
  </r>
  <r>
    <n v="506046"/>
    <n v="50"/>
    <s v="Paris"/>
    <s v="Rue Saint-Didier, Paris, France"/>
    <d v="2022-11-02T00:00:00"/>
    <d v="2022-12-02T00:00:00"/>
    <n v="30"/>
    <x v="1"/>
    <x v="2"/>
  </r>
  <r>
    <n v="506074"/>
    <n v="575"/>
    <s v="Trieste"/>
    <s v="Via della Ginnastica, 5/a, 34125 Trieste TS, Italia"/>
    <d v="2022-10-11T00:00:00"/>
    <d v="2022-12-02T00:00:00"/>
    <n v="52"/>
    <x v="1"/>
    <x v="2"/>
  </r>
  <r>
    <n v="506110"/>
    <n v="25"/>
    <s v="Greater London"/>
    <s v="484 Hornsey Rd, Finsbury Park, London N19 4EF, UK"/>
    <d v="2022-10-16T00:00:00"/>
    <d v="2022-12-02T00:00:00"/>
    <n v="47"/>
    <x v="1"/>
    <x v="1"/>
  </r>
  <r>
    <n v="506115"/>
    <n v="0"/>
    <s v="Greater London"/>
    <s v="655 Fulham Rd., London SW6 5PY, UK"/>
    <d v="2022-10-05T00:00:00"/>
    <d v="2022-12-02T00:00:00"/>
    <n v="58"/>
    <x v="1"/>
    <x v="0"/>
  </r>
  <r>
    <n v="506141"/>
    <n v="29"/>
    <m/>
    <s v="66/67 Aungier St, Dublin, D02 YR81, Ireland"/>
    <d v="2022-11-09T00:00:00"/>
    <d v="2022-12-02T00:00:00"/>
    <n v="23"/>
    <x v="1"/>
    <x v="2"/>
  </r>
  <r>
    <n v="506146"/>
    <n v="0"/>
    <s v="Madrid"/>
    <s v="C. de Jesús y María, 17, 28012 Madrid, España"/>
    <d v="2022-10-02T00:00:00"/>
    <d v="2022-12-02T00:00:00"/>
    <n v="61"/>
    <x v="1"/>
    <x v="0"/>
  </r>
  <r>
    <n v="506154"/>
    <n v="2"/>
    <s v="Chasse-sur-Rhône"/>
    <s v="1515 Av. Frédéric Mistral, 38670 Chasse-sur-Rhône, France"/>
    <d v="2022-10-01T00:00:00"/>
    <d v="2022-12-02T00:00:00"/>
    <n v="62"/>
    <x v="1"/>
    <x v="2"/>
  </r>
  <r>
    <n v="506177"/>
    <n v="41"/>
    <s v="Marbella"/>
    <s v="Av. Ricardo Soriano, 31, 1d, 29601 Marbella, Málaga, España"/>
    <d v="2022-11-28T00:00:00"/>
    <d v="2022-12-02T00:00:00"/>
    <n v="4"/>
    <x v="0"/>
    <x v="0"/>
  </r>
  <r>
    <n v="506406"/>
    <n v="105"/>
    <s v="Sant Feliu de Llobregat"/>
    <s v="Rambla Marquesa de Castellbell, 63, 08980 Sant Feliu de Llobregat, Barcelona, España"/>
    <d v="2022-10-15T00:00:00"/>
    <d v="2022-12-02T00:00:00"/>
    <n v="48"/>
    <x v="1"/>
    <x v="0"/>
  </r>
  <r>
    <n v="506407"/>
    <n v="0"/>
    <s v="Berlin"/>
    <s v="Schillerstraße 46, 10627 Berlin, Deutschland"/>
    <d v="2022-11-01T00:00:00"/>
    <d v="2022-12-02T00:00:00"/>
    <n v="31"/>
    <x v="1"/>
    <x v="2"/>
  </r>
  <r>
    <n v="506414"/>
    <n v="0"/>
    <s v="Paris"/>
    <s v="4 Av. de la Prte de Villiers, 75017 Paris, France"/>
    <d v="2022-10-27T00:00:00"/>
    <d v="2022-12-02T00:00:00"/>
    <n v="36"/>
    <x v="1"/>
    <x v="0"/>
  </r>
  <r>
    <n v="506440"/>
    <n v="0"/>
    <s v="Narbonne"/>
    <s v="17 Av. Anatole France, 11100 Narbonne, France"/>
    <d v="2022-10-15T00:00:00"/>
    <d v="2022-12-02T00:00:00"/>
    <n v="48"/>
    <x v="1"/>
    <x v="1"/>
  </r>
  <r>
    <n v="506444"/>
    <n v="0"/>
    <s v="Melun"/>
    <s v="7 Av. du Maréchal Juin, 77000 Melun, France"/>
    <d v="2022-10-14T00:00:00"/>
    <d v="2022-12-02T00:00:00"/>
    <n v="49"/>
    <x v="1"/>
    <x v="2"/>
  </r>
  <r>
    <n v="506445"/>
    <n v="0"/>
    <s v="Villeneuve-la-Garenne"/>
    <s v="10 Rue Paul Signac, 92390 Villeneuve-la-Garenne, France"/>
    <d v="2022-10-20T00:00:00"/>
    <d v="2022-12-02T00:00:00"/>
    <n v="43"/>
    <x v="1"/>
    <x v="1"/>
  </r>
  <r>
    <n v="506451"/>
    <n v="30"/>
    <s v="Don Benito"/>
    <s v="C. Maestro, 8, 06400 Don Benito, Badajoz, España"/>
    <d v="2022-11-07T00:00:00"/>
    <d v="2022-12-02T00:00:00"/>
    <n v="25"/>
    <x v="1"/>
    <x v="1"/>
  </r>
  <r>
    <n v="506454"/>
    <n v="0"/>
    <s v="Άλιμος"/>
    <s v="Λυσικράτους 26, Άλιμος 174 55, Ελλάδα"/>
    <d v="2022-10-06T00:00:00"/>
    <d v="2022-12-02T00:00:00"/>
    <n v="57"/>
    <x v="1"/>
    <x v="1"/>
  </r>
  <r>
    <n v="506461"/>
    <n v="31"/>
    <s v="Greater London"/>
    <s v="170A High Rd, London N2 9AS, UK"/>
    <d v="2022-11-09T00:00:00"/>
    <d v="2022-12-02T00:00:00"/>
    <n v="23"/>
    <x v="1"/>
    <x v="1"/>
  </r>
  <r>
    <n v="506464"/>
    <n v="189"/>
    <s v="Milano"/>
    <s v="Via Marco Polo, 11, 20124 Milano MI, Italia"/>
    <d v="2022-11-14T00:00:00"/>
    <d v="2022-12-02T00:00:00"/>
    <n v="18"/>
    <x v="0"/>
    <x v="0"/>
  </r>
  <r>
    <n v="506465"/>
    <n v="0"/>
    <s v="Lacapelle-Marival"/>
    <s v="1 Route de figeac, 46120, Lacapelle-Marival, France"/>
    <d v="2022-10-21T00:00:00"/>
    <d v="2022-12-02T00:00:00"/>
    <n v="42"/>
    <x v="1"/>
    <x v="1"/>
  </r>
  <r>
    <n v="506474"/>
    <n v="129"/>
    <s v="Madrid"/>
    <s v="C. Eloy Gonzalo, 26, 28010 Madrid, España"/>
    <d v="2022-11-16T00:00:00"/>
    <d v="2022-12-02T00:00:00"/>
    <n v="16"/>
    <x v="0"/>
    <x v="0"/>
  </r>
  <r>
    <n v="506541"/>
    <n v="83"/>
    <s v="Roma"/>
    <s v="Via Chiana, 110a, 00198 Roma RM, Italia"/>
    <d v="2022-11-14T00:00:00"/>
    <d v="2022-12-02T00:00:00"/>
    <n v="18"/>
    <x v="0"/>
    <x v="0"/>
  </r>
  <r>
    <n v="506546"/>
    <n v="21"/>
    <s v="Campos"/>
    <s v="Carrer de sa Creu, 2, 07630 Campos, Illes Balears, España"/>
    <d v="2022-11-30T00:00:00"/>
    <d v="2022-12-02T00:00:00"/>
    <n v="2"/>
    <x v="1"/>
    <x v="1"/>
  </r>
  <r>
    <n v="506554"/>
    <n v="0"/>
    <s v="Calonne-Ricouart"/>
    <s v="Rue de saint-nazaire, 62470 Calonne-Ricouart, France"/>
    <d v="2022-11-08T00:00:00"/>
    <d v="2022-12-02T00:00:00"/>
    <n v="24"/>
    <x v="1"/>
    <x v="0"/>
  </r>
  <r>
    <n v="506565"/>
    <n v="140"/>
    <s v="Reggio Calabria"/>
    <s v="Via Spirito Santo, 317, 89128 Reggio Calabria RC, Italia"/>
    <d v="2022-10-30T00:00:00"/>
    <d v="2022-12-02T00:00:00"/>
    <n v="33"/>
    <x v="1"/>
    <x v="2"/>
  </r>
  <r>
    <n v="506571"/>
    <n v="18"/>
    <s v="Majadahonda"/>
    <s v="C. Las Norias, 25, 28220 Majadahonda, Madrid, España"/>
    <d v="2022-11-28T00:00:00"/>
    <d v="2022-12-02T00:00:00"/>
    <n v="4"/>
    <x v="1"/>
    <x v="1"/>
  </r>
  <r>
    <n v="506576"/>
    <n v="0"/>
    <s v="Αθήνα"/>
    <s v="Αλκαμένους 37, Αθήνα 104 40, Ελλάδα"/>
    <d v="2022-10-26T00:00:00"/>
    <d v="2022-12-02T00:00:00"/>
    <n v="37"/>
    <x v="1"/>
    <x v="2"/>
  </r>
  <r>
    <n v="506607"/>
    <n v="0"/>
    <s v="Pomigliano d'Arco"/>
    <s v="Via Roma, 108, 80038 Pomigliano d'Arco NA, Italia"/>
    <d v="2022-11-17T00:00:00"/>
    <d v="2022-12-02T00:00:00"/>
    <n v="15"/>
    <x v="1"/>
    <x v="1"/>
  </r>
  <r>
    <n v="506610"/>
    <n v="0"/>
    <s v="Santander"/>
    <s v="C. Castelar, 49, 39004 Santander, Cantabria, España"/>
    <d v="2022-11-29T00:00:00"/>
    <d v="2022-12-02T00:00:00"/>
    <n v="3"/>
    <x v="1"/>
    <x v="0"/>
  </r>
  <r>
    <n v="506615"/>
    <n v="0"/>
    <s v="Madrid"/>
    <s v="Ronda del Caballero de la Mancha, 71, 28034 Madrid, España"/>
    <d v="2022-11-13T00:00:00"/>
    <d v="2022-12-02T00:00:00"/>
    <n v="19"/>
    <x v="1"/>
    <x v="0"/>
  </r>
  <r>
    <n v="506616"/>
    <n v="0"/>
    <s v="Dortmund"/>
    <s v="Am Westheck 62, 44309 Dortmund, Deutschland"/>
    <d v="2022-11-30T00:00:00"/>
    <d v="2022-12-02T00:00:00"/>
    <n v="2"/>
    <x v="1"/>
    <x v="2"/>
  </r>
  <r>
    <n v="506644"/>
    <n v="0"/>
    <s v="Lisboa"/>
    <s v="Av. Afonso III 71B, 1900-185 Lisboa, Portugal"/>
    <d v="2022-11-13T00:00:00"/>
    <d v="2022-12-02T00:00:00"/>
    <n v="19"/>
    <x v="1"/>
    <x v="1"/>
  </r>
  <r>
    <n v="506644"/>
    <n v="0"/>
    <s v="Reinbek"/>
    <s v="Schmiedesberg 13, 21465 Reinbek, Deutschland"/>
    <d v="2022-11-13T00:00:00"/>
    <d v="2022-12-02T00:00:00"/>
    <n v="19"/>
    <x v="1"/>
    <x v="1"/>
  </r>
  <r>
    <n v="506644"/>
    <n v="0"/>
    <s v="Poilly-Lez-Gien"/>
    <s v="Rue du 11 Novembre, 45500 Poilly-Lez-Gien, France"/>
    <d v="2022-11-13T00:00:00"/>
    <d v="2022-12-02T00:00:00"/>
    <n v="19"/>
    <x v="1"/>
    <x v="1"/>
  </r>
  <r>
    <n v="506645"/>
    <n v="0"/>
    <s v="Bayonne"/>
    <s v="All. de la Font de Vignau 64100 Bayonne, France"/>
    <d v="2022-11-25T00:00:00"/>
    <d v="2022-12-02T00:00:00"/>
    <n v="7"/>
    <x v="1"/>
    <x v="0"/>
  </r>
  <r>
    <n v="506645"/>
    <n v="0"/>
    <s v="Madrid"/>
    <s v="C. del Poeta Joan Maragall, 22, 28020 Madrid, España"/>
    <d v="2022-11-25T00:00:00"/>
    <d v="2022-12-02T00:00:00"/>
    <n v="7"/>
    <x v="1"/>
    <x v="0"/>
  </r>
  <r>
    <n v="506646"/>
    <n v="0"/>
    <s v="Bergamo"/>
    <s v="Bergamo BG, Italia"/>
    <d v="2022-12-05T00:00:00"/>
    <d v="2022-12-02T00:00:00"/>
    <n v="-3"/>
    <x v="1"/>
    <x v="2"/>
  </r>
  <r>
    <n v="506650"/>
    <n v="0"/>
    <s v="Roma"/>
    <s v="Via al Quarto Miglio, 95, 00178 Roma RM, Italia"/>
    <d v="2022-11-14T00:00:00"/>
    <d v="2022-12-02T00:00:00"/>
    <n v="18"/>
    <x v="1"/>
    <x v="2"/>
  </r>
  <r>
    <n v="506651"/>
    <n v="0"/>
    <s v="Igreja Nova"/>
    <s v="R. da Estrada Principal 15, 2640-367 Igreja Nova, Portugal"/>
    <d v="2022-12-02T00:00:00"/>
    <d v="2022-12-02T00:00:00"/>
    <n v="0"/>
    <x v="1"/>
    <x v="1"/>
  </r>
  <r>
    <n v="506654"/>
    <n v="0"/>
    <s v="Madrid"/>
    <s v="Francisco Grande Covian, 27, 28052 Madrid, España"/>
    <d v="2022-11-24T00:00:00"/>
    <d v="2022-12-02T00:00:00"/>
    <n v="8"/>
    <x v="1"/>
    <x v="0"/>
  </r>
  <r>
    <n v="506654"/>
    <n v="0"/>
    <s v="Berlin"/>
    <s v="Zossener Str. 15, 10961 Berlin, Deutschland"/>
    <d v="2022-11-24T00:00:00"/>
    <d v="2022-12-02T00:00:00"/>
    <n v="8"/>
    <x v="1"/>
    <x v="0"/>
  </r>
  <r>
    <n v="506655"/>
    <n v="0"/>
    <s v="Madrid"/>
    <s v="C. de Costa Rica, 1, 28016 Madrid, España"/>
    <d v="2022-11-27T00:00:00"/>
    <d v="2022-12-02T00:00:00"/>
    <n v="5"/>
    <x v="1"/>
    <x v="0"/>
  </r>
  <r>
    <n v="506655"/>
    <n v="0"/>
    <s v="Essen"/>
    <s v="Oberstraße 68, 45134 Essen, Deutschland"/>
    <d v="2022-11-27T00:00:00"/>
    <d v="2022-12-02T00:00:00"/>
    <n v="5"/>
    <x v="1"/>
    <x v="0"/>
  </r>
  <r>
    <n v="506655"/>
    <n v="0"/>
    <s v="Saint-Gilles"/>
    <s v="57 Rue Gambetta, 30800 Saint-Gilles, France"/>
    <d v="2022-11-27T00:00:00"/>
    <d v="2022-12-02T00:00:00"/>
    <n v="5"/>
    <x v="1"/>
    <x v="0"/>
  </r>
  <r>
    <n v="506655"/>
    <n v="0"/>
    <s v="Wien"/>
    <s v="Heiligenstädter Str. 78, 1190 Wien, Österreich"/>
    <d v="2022-11-27T00:00:00"/>
    <d v="2022-12-02T00:00:00"/>
    <n v="5"/>
    <x v="1"/>
    <x v="0"/>
  </r>
  <r>
    <n v="506656"/>
    <n v="0"/>
    <s v="Düsseldorf"/>
    <s v="Münsterstraße 331, 40470 Düsseldorf, Deutschland"/>
    <d v="2022-11-26T00:00:00"/>
    <d v="2022-12-02T00:00:00"/>
    <n v="6"/>
    <x v="1"/>
    <x v="1"/>
  </r>
  <r>
    <n v="506656"/>
    <n v="0"/>
    <s v="Saint-Laurent-du-Var"/>
    <s v="34 Bd Louis Roux, 06700 Saint-Laurent-du-Var, France"/>
    <d v="2022-11-26T00:00:00"/>
    <d v="2022-12-02T00:00:00"/>
    <n v="6"/>
    <x v="1"/>
    <x v="1"/>
  </r>
  <r>
    <n v="506657"/>
    <n v="0"/>
    <s v="Champigny-sur-Marne"/>
    <s v="94 Rue du Monument, 94500 Champigny-sur-Marne, France"/>
    <d v="2022-12-06T00:00:00"/>
    <d v="2022-12-02T00:00:00"/>
    <n v="-4"/>
    <x v="1"/>
    <x v="2"/>
  </r>
  <r>
    <n v="506661"/>
    <n v="0"/>
    <s v="Embrach"/>
    <s v="Schützenhausstrasse 111, 8424 Embrach, Schweiz"/>
    <d v="2022-11-13T00:00:00"/>
    <d v="2022-12-02T00:00:00"/>
    <n v="19"/>
    <x v="1"/>
    <x v="0"/>
  </r>
  <r>
    <n v="506664"/>
    <n v="0"/>
    <s v="Greater London"/>
    <s v="14 North St, Hornchurch RM11 1QX, UK"/>
    <d v="2022-11-12T00:00:00"/>
    <d v="2022-12-02T00:00:00"/>
    <n v="20"/>
    <x v="1"/>
    <x v="2"/>
  </r>
  <r>
    <n v="506666"/>
    <n v="0"/>
    <s v="Sevilla"/>
    <s v="C. Eva Cervantes, 18, 41006 Sevilla, España"/>
    <d v="2022-11-12T00:00:00"/>
    <d v="2022-12-02T00:00:00"/>
    <n v="20"/>
    <x v="1"/>
    <x v="1"/>
  </r>
  <r>
    <n v="506674"/>
    <n v="0"/>
    <s v="Mairena del Aljarafe"/>
    <s v="C. Haya, 11, 41927 Mairena del Aljarafe, Sevilla, España"/>
    <d v="2022-11-17T00:00:00"/>
    <d v="2022-12-02T00:00:00"/>
    <n v="15"/>
    <x v="1"/>
    <x v="0"/>
  </r>
  <r>
    <n v="506675"/>
    <n v="0"/>
    <s v="San Vitaliano"/>
    <s v="Via Frascatoli, 76, 80030 San Vitaliano NA, Italia"/>
    <d v="2022-11-20T00:00:00"/>
    <d v="2022-12-02T00:00:00"/>
    <n v="12"/>
    <x v="1"/>
    <x v="1"/>
  </r>
  <r>
    <n v="506677"/>
    <n v="0"/>
    <s v="Peniche"/>
    <s v="R. António Conceição Bento 17, 2520-294 Peniche, Portugal"/>
    <d v="2022-12-08T00:00:00"/>
    <d v="2022-12-02T00:00:00"/>
    <n v="-6"/>
    <x v="1"/>
    <x v="2"/>
  </r>
  <r>
    <n v="506700"/>
    <n v="0"/>
    <s v="Corbeil-Essonnes"/>
    <s v="6 Rue Saint-Spire, 91100 Corbeil-Essonnes, France"/>
    <d v="2022-11-22T00:00:00"/>
    <d v="2022-12-02T00:00:00"/>
    <n v="10"/>
    <x v="1"/>
    <x v="1"/>
  </r>
  <r>
    <n v="506701"/>
    <n v="0"/>
    <s v="Sabadell"/>
    <s v="Pl. Assemblea de Catalunya, 12, 08207 Sabadell, Barcelona, España"/>
    <d v="2022-11-29T00:00:00"/>
    <d v="2022-12-02T00:00:00"/>
    <n v="3"/>
    <x v="1"/>
    <x v="2"/>
  </r>
  <r>
    <n v="506704"/>
    <n v="0"/>
    <s v="Évora"/>
    <s v="R. de Santa Catharina 21, 7000-567 Évora, Portugal"/>
    <d v="2022-12-07T00:00:00"/>
    <d v="2022-12-02T00:00:00"/>
    <n v="-5"/>
    <x v="1"/>
    <x v="2"/>
  </r>
  <r>
    <n v="506704"/>
    <n v="0"/>
    <s v="Wien"/>
    <s v="Erdbergstraße 57, 1030 Wien, Österreich"/>
    <d v="2022-12-07T00:00:00"/>
    <d v="2022-12-02T00:00:00"/>
    <n v="-5"/>
    <x v="1"/>
    <x v="2"/>
  </r>
  <r>
    <n v="506705"/>
    <n v="0"/>
    <s v="Verona"/>
    <s v="Via Stanga, 4, 37139 Verona VR, Italia"/>
    <d v="2022-12-08T00:00:00"/>
    <d v="2022-12-02T00:00:00"/>
    <n v="-6"/>
    <x v="1"/>
    <x v="0"/>
  </r>
  <r>
    <n v="506705"/>
    <n v="0"/>
    <s v="Vintebbio"/>
    <s v="Via G. Marconi, 4, 13037 Vintebbio VC, Italia"/>
    <d v="2022-12-08T00:00:00"/>
    <d v="2022-12-02T00:00:00"/>
    <n v="-6"/>
    <x v="1"/>
    <x v="0"/>
  </r>
  <r>
    <n v="506706"/>
    <n v="0"/>
    <s v="Nola"/>
    <s v="Via Madonna delle Grazie, 67, 80035 Nola NA, Italia"/>
    <d v="2022-12-06T00:00:00"/>
    <d v="2022-12-02T00:00:00"/>
    <n v="-4"/>
    <x v="1"/>
    <x v="2"/>
  </r>
  <r>
    <n v="506710"/>
    <n v="0"/>
    <s v="Greater London"/>
    <s v="3 Station Parade, Ealing Rd, Northolt UB5 5HR, UK"/>
    <d v="2022-11-25T00:00:00"/>
    <d v="2022-12-02T00:00:00"/>
    <n v="7"/>
    <x v="1"/>
    <x v="0"/>
  </r>
  <r>
    <n v="506711"/>
    <n v="0"/>
    <s v="Κηφισιά"/>
    <s v="Λεωφ. Κηφισίας 238, Κηφισιά 145 62, Ελλάδα"/>
    <d v="2022-12-08T00:00:00"/>
    <d v="2022-12-02T00:00:00"/>
    <n v="-6"/>
    <x v="1"/>
    <x v="1"/>
  </r>
  <r>
    <n v="506714"/>
    <n v="0"/>
    <s v="Barcelona"/>
    <s v="Carrer del Vallespir, 170, 08014 Barcelona, España"/>
    <d v="2022-11-26T00:00:00"/>
    <d v="2022-12-02T00:00:00"/>
    <n v="6"/>
    <x v="1"/>
    <x v="1"/>
  </r>
  <r>
    <n v="506715"/>
    <n v="0"/>
    <s v="Seregno"/>
    <s v="Via Cristoforo Colombo, 52, 20831 Seregno MB, Italia"/>
    <d v="2022-11-28T00:00:00"/>
    <d v="2022-12-02T00:00:00"/>
    <n v="4"/>
    <x v="1"/>
    <x v="2"/>
  </r>
  <r>
    <n v="506715"/>
    <n v="0"/>
    <s v="Hamburg"/>
    <s v="Rahlstedter Bahnhofstraße 10, 22143 Hamburg, Deutschland"/>
    <d v="2022-11-28T00:00:00"/>
    <d v="2022-12-02T00:00:00"/>
    <n v="4"/>
    <x v="1"/>
    <x v="2"/>
  </r>
  <r>
    <n v="506717"/>
    <n v="0"/>
    <s v="Lisboa"/>
    <s v="Av. Maria Helena Vieira da Silva 46, 1750-184 Lisboa, Portugal"/>
    <d v="2022-12-02T00:00:00"/>
    <d v="2022-12-02T00:00:00"/>
    <n v="0"/>
    <x v="1"/>
    <x v="0"/>
  </r>
  <r>
    <n v="506740"/>
    <n v="0"/>
    <s v="Vilnius"/>
    <s v="A. Juozapavičiaus g. 9A, Vilnius 09311, Lithuania"/>
    <d v="2022-12-04T00:00:00"/>
    <d v="2022-12-02T00:00:00"/>
    <n v="-2"/>
    <x v="1"/>
    <x v="2"/>
  </r>
  <r>
    <n v="506741"/>
    <n v="0"/>
    <s v="Mestrino"/>
    <s v="Via Marco Polo, 87b, 35035 Mestrino PD, Italia"/>
    <d v="2022-11-28T00:00:00"/>
    <d v="2022-12-02T00:00:00"/>
    <n v="4"/>
    <x v="1"/>
    <x v="2"/>
  </r>
  <r>
    <n v="506744"/>
    <n v="0"/>
    <s v="Paris"/>
    <s v="116 Ave Parmentier, 75011 Paris, France"/>
    <d v="2022-11-30T00:00:00"/>
    <d v="2022-12-02T00:00:00"/>
    <n v="2"/>
    <x v="1"/>
    <x v="1"/>
  </r>
  <r>
    <n v="506744"/>
    <n v="0"/>
    <s v="Milano"/>
    <s v="Via Vespri Siciliani, 11, 20146 Milano MI, Italia"/>
    <d v="2022-11-30T00:00:00"/>
    <d v="2022-12-02T00:00:00"/>
    <n v="2"/>
    <x v="1"/>
    <x v="1"/>
  </r>
  <r>
    <n v="506745"/>
    <n v="0"/>
    <s v="Berlin"/>
    <s v="Kieler Str. 5, 12163 Berlin, Deutschland"/>
    <d v="2022-12-06T00:00:00"/>
    <d v="2022-12-02T00:00:00"/>
    <n v="-4"/>
    <x v="1"/>
    <x v="0"/>
  </r>
  <r>
    <n v="506746"/>
    <n v="0"/>
    <s v="Burnt Oak"/>
    <s v="155 Burnt Oak Broadway, Burnt Oak, Edgware HA8 5EH, UK"/>
    <d v="2022-11-16T00:00:00"/>
    <d v="2022-12-02T00:00:00"/>
    <n v="16"/>
    <x v="1"/>
    <x v="0"/>
  </r>
  <r>
    <n v="506747"/>
    <n v="0"/>
    <s v="Varese"/>
    <s v="Via Francesco Crispi, 48, 21100 Varese VA, Italia"/>
    <d v="2022-12-01T00:00:00"/>
    <d v="2022-12-02T00:00:00"/>
    <n v="1"/>
    <x v="1"/>
    <x v="0"/>
  </r>
  <r>
    <n v="506750"/>
    <n v="0"/>
    <s v="Waterloo"/>
    <s v="105 St John's Rd, Waterloo, Liverpool L22 9QD, UK"/>
    <d v="2022-11-22T00:00:00"/>
    <d v="2022-12-02T00:00:00"/>
    <n v="10"/>
    <x v="1"/>
    <x v="1"/>
  </r>
  <r>
    <n v="506751"/>
    <n v="0"/>
    <s v="Hilversum"/>
    <s v="Leeghwaterstraat 100, 1221 BJ Hilversum, Netherlands"/>
    <d v="2022-11-30T00:00:00"/>
    <d v="2022-12-02T00:00:00"/>
    <n v="2"/>
    <x v="1"/>
    <x v="0"/>
  </r>
  <r>
    <n v="506754"/>
    <n v="0"/>
    <s v="Bremen"/>
    <s v="Wandschneiderstraße 6, 28195 Bremen, Deutschland"/>
    <d v="2022-11-16T00:00:00"/>
    <d v="2022-12-02T00:00:00"/>
    <n v="16"/>
    <x v="1"/>
    <x v="0"/>
  </r>
  <r>
    <n v="506754"/>
    <n v="0"/>
    <s v="Wien"/>
    <s v="Wagramer Str. 61/9/1, 1220 Wien, Österreich"/>
    <d v="2022-11-16T00:00:00"/>
    <d v="2022-12-02T00:00:00"/>
    <n v="16"/>
    <x v="1"/>
    <x v="0"/>
  </r>
  <r>
    <n v="506755"/>
    <n v="0"/>
    <s v="Roma"/>
    <s v="Via Paolo Ferrari, 68, 00123 Roma RM, Italia"/>
    <d v="2022-12-01T00:00:00"/>
    <d v="2022-12-02T00:00:00"/>
    <n v="1"/>
    <x v="1"/>
    <x v="1"/>
  </r>
  <r>
    <n v="506755"/>
    <n v="0"/>
    <s v="Grosseto"/>
    <s v="Via Fratelli Bandiera, 40, 58100 Grosseto GR, Italia"/>
    <d v="2022-12-01T00:00:00"/>
    <d v="2022-12-02T00:00:00"/>
    <n v="1"/>
    <x v="1"/>
    <x v="1"/>
  </r>
  <r>
    <n v="506756"/>
    <n v="0"/>
    <s v="Πάτρα"/>
    <s v="Παλαιών Πατρών Γερμανού 56, Πάτρα 262 25, Ελλάδα"/>
    <d v="2022-11-13T00:00:00"/>
    <d v="2022-12-02T00:00:00"/>
    <n v="19"/>
    <x v="1"/>
    <x v="0"/>
  </r>
  <r>
    <n v="506757"/>
    <n v="0"/>
    <s v="Albudeite"/>
    <s v="C. Juan Pedro Blanco Hermosilla, 5, 30190 Albudeite, Murcia, España"/>
    <d v="2022-11-20T00:00:00"/>
    <d v="2022-12-02T00:00:00"/>
    <n v="12"/>
    <x v="1"/>
    <x v="1"/>
  </r>
  <r>
    <n v="507507"/>
    <n v="1629"/>
    <s v="Riva del Garda"/>
    <s v="Viale Trento, 41, 38066 Riva del Garda TN, Italia"/>
    <d v="2022-09-18T00:00:00"/>
    <d v="2022-12-02T00:00:00"/>
    <n v="75"/>
    <x v="1"/>
    <x v="1"/>
  </r>
  <r>
    <n v="510430"/>
    <n v="9894"/>
    <s v="Roma"/>
    <s v="Vicolo della Serpe, 23, 00149 Roma RM, Italia"/>
    <d v="2022-09-09T00:00:00"/>
    <d v="2022-12-02T00:00:00"/>
    <n v="84"/>
    <x v="1"/>
    <x v="2"/>
  </r>
  <r>
    <n v="510505"/>
    <n v="5283"/>
    <s v="Tuenno"/>
    <s v="Via Vincenzo Maistrelli, 7, 38019 Tuenno TN, Italia"/>
    <d v="2022-11-20T00:00:00"/>
    <d v="2022-12-02T00:00:00"/>
    <n v="12"/>
    <x v="0"/>
    <x v="0"/>
  </r>
  <r>
    <n v="511505"/>
    <n v="68655"/>
    <s v="Pamplona"/>
    <s v="Calle Emilio Arrieta, 25, 31002 Pamplona, Navarra, España"/>
    <d v="2022-12-08T00:00:00"/>
    <d v="2022-12-02T00:00:00"/>
    <n v="-6"/>
    <x v="0"/>
    <x v="2"/>
  </r>
  <r>
    <n v="513057"/>
    <n v="7156"/>
    <s v="Monteggio"/>
    <s v="Via Cantonale 103, 6996 Monteggio, Svizzera"/>
    <d v="2022-11-22T00:00:00"/>
    <d v="2022-12-02T00:00:00"/>
    <n v="10"/>
    <x v="0"/>
    <x v="0"/>
  </r>
  <r>
    <n v="514305"/>
    <n v="7180"/>
    <s v="Milano"/>
    <s v="Via Gian Giacomo Mora, 5, 20123 Milano MI, Italia"/>
    <d v="2022-02-22T00:00:00"/>
    <d v="2022-12-02T00:00:00"/>
    <n v="283"/>
    <x v="1"/>
    <x v="1"/>
  </r>
  <r>
    <n v="515055"/>
    <n v="14725"/>
    <s v="Jerez de la Frontera"/>
    <s v="Plaza Parque de Capuchinos, 3, 11405 Jerez de la Frontera, Cádiz"/>
    <d v="2022-03-22T00:00:00"/>
    <d v="2022-12-02T00:00:00"/>
    <n v="255"/>
    <x v="1"/>
    <x v="1"/>
  </r>
  <r>
    <n v="515306"/>
    <n v="14517"/>
    <s v="Palma"/>
    <s v="Carrer de Miquel Capllonch, 21, 07010 Palma, Illes Balears, España"/>
    <d v="2022-11-07T00:00:00"/>
    <d v="2022-12-02T00:00:00"/>
    <n v="25"/>
    <x v="0"/>
    <x v="0"/>
  </r>
  <r>
    <n v="515501"/>
    <n v="7687"/>
    <s v="Napoli"/>
    <s v="Via Giuseppe Orsi, 46, 80128 Napoli NA, Italia"/>
    <d v="2022-03-21T00:00:00"/>
    <d v="2022-12-02T00:00:00"/>
    <n v="256"/>
    <x v="1"/>
    <x v="0"/>
  </r>
  <r>
    <n v="530040"/>
    <n v="2740"/>
    <s v="Madrid"/>
    <s v="Calle de Serrano, 15, 28001 Madrid, España"/>
    <d v="2022-05-18T00:00:00"/>
    <d v="2022-12-02T00:00:00"/>
    <n v="198"/>
    <x v="1"/>
    <x v="0"/>
  </r>
  <r>
    <n v="530054"/>
    <n v="11574"/>
    <s v="Abbiategrasso"/>
    <s v="Piazza Cinque Giornate, 23, 20081 Abbiategrasso MI, Italia"/>
    <d v="2022-11-02T00:00:00"/>
    <d v="2022-12-02T00:00:00"/>
    <n v="30"/>
    <x v="1"/>
    <x v="1"/>
  </r>
  <r>
    <n v="530144"/>
    <n v="2909"/>
    <s v="Roma"/>
    <s v="Via Lucca, 31, 00161 Roma RM, Italia"/>
    <d v="2022-09-14T00:00:00"/>
    <d v="2022-12-02T00:00:00"/>
    <n v="79"/>
    <x v="1"/>
    <x v="0"/>
  </r>
  <r>
    <n v="530416"/>
    <n v="3812"/>
    <s v="San Felice Circeo"/>
    <s v="Viale Regina Elena, 58, 04017 San Felice Circeo LT, Italia"/>
    <d v="2022-08-19T00:00:00"/>
    <d v="2022-12-02T00:00:00"/>
    <n v="105"/>
    <x v="1"/>
    <x v="0"/>
  </r>
  <r>
    <n v="530455"/>
    <n v="4396"/>
    <s v="Albiano D'ivrea"/>
    <s v="Corso Vittorio Emanuele, 22, 10010 Albiano D'ivrea TO, Italia"/>
    <d v="2022-06-16T00:00:00"/>
    <d v="2022-12-02T00:00:00"/>
    <n v="169"/>
    <x v="1"/>
    <x v="2"/>
  </r>
  <r>
    <n v="530505"/>
    <n v="3488"/>
    <s v="Εύοσμος"/>
    <s v="Στρατάρχου Αλεξάνδρου Παπάγου 45, Εύοσμος 562 24, Ελλάδα"/>
    <d v="2022-06-23T00:00:00"/>
    <d v="2022-12-02T00:00:00"/>
    <n v="162"/>
    <x v="1"/>
    <x v="0"/>
  </r>
  <r>
    <n v="530516"/>
    <n v="5695"/>
    <s v="Offanengo"/>
    <s v="via A.de Gasperi, 48, 26010 Offanengo CR, Italia"/>
    <d v="2022-10-27T00:00:00"/>
    <d v="2022-12-02T00:00:00"/>
    <n v="36"/>
    <x v="1"/>
    <x v="0"/>
  </r>
  <r>
    <n v="530545"/>
    <n v="10925"/>
    <s v="Roma"/>
    <s v="Via della Riserva Nuova, 294, 00132 Roma RM, Italia"/>
    <d v="2022-09-02T00:00:00"/>
    <d v="2022-12-02T00:00:00"/>
    <n v="91"/>
    <x v="1"/>
    <x v="0"/>
  </r>
  <r>
    <n v="530604"/>
    <n v="2499"/>
    <s v="Madrid"/>
    <s v="Calle de Coslada, 12, 28028 Madrid, España"/>
    <d v="2022-06-22T00:00:00"/>
    <d v="2022-12-02T00:00:00"/>
    <n v="163"/>
    <x v="1"/>
    <x v="0"/>
  </r>
  <r>
    <n v="530644"/>
    <n v="13477"/>
    <s v="València"/>
    <s v="C/ d'Almassora, 40, 46010 València, Valencia, España"/>
    <d v="2022-07-11T00:00:00"/>
    <d v="2022-12-02T00:00:00"/>
    <n v="144"/>
    <x v="1"/>
    <x v="0"/>
  </r>
  <r>
    <n v="530666"/>
    <n v="7011"/>
    <s v="Albissola Marina"/>
    <s v="Corso Baldovino Bigliati, 112, 17012 Albissola Marina SV, Italia"/>
    <d v="2022-06-03T00:00:00"/>
    <d v="2022-12-02T00:00:00"/>
    <n v="182"/>
    <x v="1"/>
    <x v="2"/>
  </r>
  <r>
    <n v="530761"/>
    <n v="5407"/>
    <s v="Manziana"/>
    <s v="Via S. Francesco D'Assisi, 16, 00066 Manziana RM, Italia"/>
    <d v="2022-06-14T00:00:00"/>
    <d v="2022-12-02T00:00:00"/>
    <n v="171"/>
    <x v="1"/>
    <x v="1"/>
  </r>
  <r>
    <n v="540630"/>
    <n v="4155"/>
    <s v="Petrer"/>
    <s v="Av. Reina Sofia, 13, 03610 Petrer, Alicante, España"/>
    <d v="2022-12-07T00:00:00"/>
    <d v="2022-12-02T00:00:00"/>
    <n v="-5"/>
    <x v="0"/>
    <x v="2"/>
  </r>
  <r>
    <n v="543076"/>
    <n v="15550"/>
    <s v="Cagliari"/>
    <s v="Via Enrico Pessina, 3, 09125 Cagliari CA, Italia"/>
    <d v="2022-10-23T00:00:00"/>
    <d v="2022-12-02T00:00:00"/>
    <n v="40"/>
    <x v="1"/>
    <x v="1"/>
  </r>
  <r>
    <n v="544305"/>
    <n v="10963"/>
    <s v="Άγιος Δημήτριος Αττικής"/>
    <s v="Μπουμπουλίνας 10, Αγ. Δημήτριος Αττικής 173 43, Ελλάδα"/>
    <d v="2022-09-02T00:00:00"/>
    <d v="2022-12-02T00:00:00"/>
    <n v="91"/>
    <x v="1"/>
    <x v="0"/>
  </r>
  <r>
    <n v="544450"/>
    <n v="7077"/>
    <s v="Milano"/>
    <s v="Viale Col di Lana, 12, 20136 Milano MI, Italia"/>
    <d v="2022-08-01T00:00:00"/>
    <d v="2022-12-02T00:00:00"/>
    <n v="123"/>
    <x v="1"/>
    <x v="0"/>
  </r>
  <r>
    <n v="544550"/>
    <n v="2652"/>
    <s v="Μαρούσι"/>
    <s v="Μητροπόλεως 43, Μαρούσι 151 24, Ελλάδα"/>
    <d v="2022-11-02T00:00:00"/>
    <d v="2022-12-02T00:00:00"/>
    <n v="30"/>
    <x v="1"/>
    <x v="0"/>
  </r>
  <r>
    <n v="544730"/>
    <n v="204"/>
    <s v="Madrid"/>
    <s v="C. de Vinaroz, 6, 28002 Madrid, España"/>
    <d v="2022-12-07T00:00:00"/>
    <d v="2022-12-02T00:00:00"/>
    <n v="-5"/>
    <x v="0"/>
    <x v="2"/>
  </r>
  <r>
    <n v="545074"/>
    <n v="776"/>
    <s v="A Coruña"/>
    <s v="Rúa Fuente Álamo, 15, 15010 A Coruña"/>
    <d v="2022-11-07T00:00:00"/>
    <d v="2022-12-02T00:00:00"/>
    <n v="25"/>
    <x v="0"/>
    <x v="0"/>
  </r>
  <r>
    <n v="545504"/>
    <n v="35981"/>
    <s v="Elda"/>
    <s v="Av. de Madrid, 3, 03610 Elda, Alicante, España"/>
    <d v="2022-12-08T00:00:00"/>
    <d v="2022-12-02T00:00:00"/>
    <n v="-6"/>
    <x v="0"/>
    <x v="0"/>
  </r>
  <r>
    <n v="545530"/>
    <n v="77937"/>
    <s v="Taranto"/>
    <s v="Via Lago Trasimeno, 2, 74121 Taranto TA, Italia"/>
    <d v="2022-12-08T00:00:00"/>
    <d v="2022-12-02T00:00:00"/>
    <n v="-6"/>
    <x v="0"/>
    <x v="1"/>
  </r>
  <r>
    <n v="545550"/>
    <n v="186"/>
    <s v="Conflans-Sainte-Honorine"/>
    <s v="18 Pl. de la Liberté, 78700 Conflans-Sainte-Honorine, France"/>
    <d v="2022-08-15T00:00:00"/>
    <d v="2022-12-02T00:00:00"/>
    <n v="109"/>
    <x v="1"/>
    <x v="2"/>
  </r>
  <r>
    <n v="550304"/>
    <n v="1835"/>
    <s v="Αθήνα"/>
    <s v="Παναγιώτου Αναγνωστοπούλου 41, Αθήνα 106 73, Ελλάδα"/>
    <d v="2022-09-13T00:00:00"/>
    <d v="2022-12-02T00:00:00"/>
    <n v="80"/>
    <x v="1"/>
    <x v="2"/>
  </r>
  <r>
    <n v="553017"/>
    <n v="2138"/>
    <s v="Jaén"/>
    <s v="C. San Francisco Javier, 23006 Jaén, España"/>
    <d v="2022-11-22T00:00:00"/>
    <d v="2022-12-02T00:00:00"/>
    <n v="10"/>
    <x v="0"/>
    <x v="0"/>
  </r>
  <r>
    <n v="553044"/>
    <n v="1523"/>
    <s v="Barcelona"/>
    <s v="C/ d'Aragó, 458, 08013 Barcelona, España"/>
    <d v="2022-11-19T00:00:00"/>
    <d v="2022-12-02T00:00:00"/>
    <n v="13"/>
    <x v="0"/>
    <x v="2"/>
  </r>
  <r>
    <n v="553051"/>
    <n v="3664"/>
    <s v="Móstoles"/>
    <s v="C. Río Tormes, 17, 28935 Móstoles, Madrid, España"/>
    <d v="2022-01-22T00:00:00"/>
    <d v="2022-12-02T00:00:00"/>
    <n v="314"/>
    <x v="1"/>
    <x v="0"/>
  </r>
  <r>
    <n v="553054"/>
    <n v="190"/>
    <s v="Madrid"/>
    <s v="C. de Gabriel Lobo, 18, 28002 Madrid, España"/>
    <d v="2022-03-20T00:00:00"/>
    <d v="2022-12-02T00:00:00"/>
    <n v="257"/>
    <x v="1"/>
    <x v="0"/>
  </r>
  <r>
    <n v="553064"/>
    <n v="50"/>
    <s v="Barcelona"/>
    <s v="Carrer de Vilamarí, 26, 08015 Barcelona, España"/>
    <d v="2022-10-18T00:00:00"/>
    <d v="2022-12-02T00:00:00"/>
    <n v="45"/>
    <x v="1"/>
    <x v="2"/>
  </r>
  <r>
    <n v="553066"/>
    <n v="82"/>
    <s v="Madrid"/>
    <s v="C. de Sierra Toledana, 19, 28038 Madrid, España"/>
    <d v="2022-11-27T00:00:00"/>
    <d v="2022-12-02T00:00:00"/>
    <n v="5"/>
    <x v="0"/>
    <x v="0"/>
  </r>
  <r>
    <n v="553071"/>
    <n v="328"/>
    <s v="Roma"/>
    <s v="Via Luigi Bodio, 49, 00191 Roma RM, Italia"/>
    <d v="2022-08-09T00:00:00"/>
    <d v="2022-12-02T00:00:00"/>
    <n v="115"/>
    <x v="1"/>
    <x v="0"/>
  </r>
  <r>
    <n v="554304"/>
    <n v="782"/>
    <s v="Masquefa"/>
    <s v="Carrer Serralet, 92, 08783 Masquefa, Barcelona, España"/>
    <d v="2022-09-09T00:00:00"/>
    <d v="2022-12-02T00:00:00"/>
    <n v="84"/>
    <x v="1"/>
    <x v="0"/>
  </r>
  <r>
    <n v="554304"/>
    <n v="4992"/>
    <s v="Chiesa"/>
    <s v="Via Guglielmo Marconi, 11, 25080 Chiesa BS, Italia"/>
    <d v="2022-09-09T00:00:00"/>
    <d v="2022-12-02T00:00:00"/>
    <n v="84"/>
    <x v="1"/>
    <x v="0"/>
  </r>
  <r>
    <n v="554305"/>
    <n v="5615"/>
    <s v="Seveso"/>
    <s v="Corso Giuseppe Garibaldi, 35, 20822 Seveso MB, Italia"/>
    <d v="2022-11-02T00:00:00"/>
    <d v="2022-12-02T00:00:00"/>
    <n v="30"/>
    <x v="1"/>
    <x v="2"/>
  </r>
  <r>
    <n v="554505"/>
    <n v="2394"/>
    <s v="Huesca"/>
    <s v="C. Mesnaderos, 8, 22003 Huesca"/>
    <d v="2022-11-29T00:00:00"/>
    <d v="2022-12-02T00:00:00"/>
    <n v="3"/>
    <x v="0"/>
    <x v="2"/>
  </r>
  <r>
    <n v="554630"/>
    <n v="537"/>
    <s v="Badajoz"/>
    <s v="Av. de Cristobal Colón, 18, 06005 Badajoz, España"/>
    <d v="2022-11-16T00:00:00"/>
    <d v="2022-12-02T00:00:00"/>
    <n v="16"/>
    <x v="0"/>
    <x v="2"/>
  </r>
  <r>
    <n v="555505"/>
    <n v="1806"/>
    <s v="Vincennes"/>
    <s v="34 Av. Franklin Roosevelt, 94300 Vincennes, France"/>
    <d v="2022-11-26T00:00:00"/>
    <d v="2022-12-02T00:00:00"/>
    <n v="6"/>
    <x v="0"/>
    <x v="2"/>
  </r>
  <r>
    <n v="555550"/>
    <n v="128"/>
    <s v="Paris"/>
    <s v="4 Rue Poirier de Narçay, 75014 Paris, France"/>
    <d v="2022-11-20T00:00:00"/>
    <d v="2022-12-02T00:00:00"/>
    <n v="12"/>
    <x v="0"/>
    <x v="0"/>
  </r>
  <r>
    <n v="556450"/>
    <n v="24950"/>
    <s v="Torino"/>
    <s v="Via Candido Viberti, 31, 10141 Torino TO, Italia"/>
    <d v="2022-11-07T00:00:00"/>
    <d v="2022-12-02T00:00:00"/>
    <n v="25"/>
    <x v="0"/>
    <x v="2"/>
  </r>
  <r>
    <n v="556506"/>
    <n v="1689"/>
    <s v="Marbella"/>
    <s v="C. Jacinto Benavente, 23, 29601 Marbella, Málaga, España"/>
    <d v="2022-05-27T00:00:00"/>
    <d v="2022-12-02T00:00:00"/>
    <n v="189"/>
    <x v="1"/>
    <x v="1"/>
  </r>
  <r>
    <n v="563006"/>
    <n v="2665"/>
    <s v="Verona"/>
    <s v="Via Tolosetto Farinati degli Uberti, 9b, 37126 Verona VR, Italia"/>
    <d v="2022-09-26T00:00:00"/>
    <d v="2022-12-02T00:00:00"/>
    <n v="67"/>
    <x v="1"/>
    <x v="2"/>
  </r>
  <r>
    <n v="563014"/>
    <n v="3381"/>
    <s v="Novara"/>
    <s v="Via Giancarlo Maggi, 2, 28100 Novara NO, Italia"/>
    <d v="2022-01-09T00:00:00"/>
    <d v="2022-12-02T00:00:00"/>
    <n v="327"/>
    <x v="1"/>
    <x v="0"/>
  </r>
  <r>
    <n v="564304"/>
    <n v="7720"/>
    <s v="Schiavonea"/>
    <s v="Via dei Gladioli, 12, 87064 Schiavonea CS, Italia"/>
    <d v="2022-05-21T00:00:00"/>
    <d v="2022-12-02T00:00:00"/>
    <n v="195"/>
    <x v="1"/>
    <x v="0"/>
  </r>
  <r>
    <n v="565501"/>
    <n v="4016"/>
    <s v="Napoli"/>
    <s v="Via Maurizio De Vito Piscicelli, 3, 80128 Napoli NA, Italia"/>
    <d v="2022-03-26T00:00:00"/>
    <d v="2022-12-02T00:00:00"/>
    <n v="251"/>
    <x v="1"/>
    <x v="1"/>
  </r>
  <r>
    <n v="567304"/>
    <n v="7811"/>
    <s v="Casamassima"/>
    <s v="Via Pietà, 79D, 70010 Casamassima BA, Italia"/>
    <d v="2022-05-19T00:00:00"/>
    <d v="2022-12-02T00:00:00"/>
    <n v="197"/>
    <x v="1"/>
    <x v="2"/>
  </r>
  <r>
    <n v="571530"/>
    <n v="57"/>
    <s v="Paris"/>
    <s v="75 Rue Claude Decaen, 75012 Paris, France"/>
    <d v="2022-10-02T00:00:00"/>
    <d v="2022-12-02T00:00:00"/>
    <n v="61"/>
    <x v="1"/>
    <x v="1"/>
  </r>
  <r>
    <n v="573000"/>
    <n v="3933"/>
    <s v="Firenze"/>
    <s v="Borgo Ognissanti, 106R, 50123 Firenze FI, Italia"/>
    <d v="2022-03-06T00:00:00"/>
    <d v="2022-12-02T00:00:00"/>
    <n v="271"/>
    <x v="1"/>
    <x v="0"/>
  </r>
  <r>
    <n v="573014"/>
    <n v="7956"/>
    <s v="Zaragoza"/>
    <s v="Calle Tomas Breton, 40, 50005 Zaragoza, España"/>
    <d v="2022-09-03T00:00:00"/>
    <d v="2022-12-02T00:00:00"/>
    <n v="90"/>
    <x v="1"/>
    <x v="1"/>
  </r>
  <r>
    <n v="575304"/>
    <n v="39"/>
    <s v="Paris"/>
    <s v="5 Rue de La Jonquière, 75017 Paris, France"/>
    <d v="2022-10-31T00:00:00"/>
    <d v="2022-12-02T00:00:00"/>
    <n v="32"/>
    <x v="1"/>
    <x v="2"/>
  </r>
  <r>
    <n v="1050430"/>
    <n v="266"/>
    <s v="Milano"/>
    <s v="Via Alessandro Tadino, 29, 20124 Milano MI, Italia"/>
    <d v="2022-05-24T00:00:00"/>
    <d v="2022-12-02T00:00:00"/>
    <n v="192"/>
    <x v="1"/>
    <x v="1"/>
  </r>
  <r>
    <n v="1305030"/>
    <n v="6732"/>
    <s v="Alhama de Murcia"/>
    <s v="C. Alfonso X el Sabio, 9, 30840 Alhama de Murcia, Murcia, España"/>
    <d v="2022-02-01T00:00:00"/>
    <d v="2022-12-02T00:00:00"/>
    <n v="304"/>
    <x v="1"/>
    <x v="1"/>
  </r>
  <r>
    <n v="1450307"/>
    <n v="7057"/>
    <s v="Jerez de la Frontera"/>
    <s v="Av. los Frutos, 3, 11406 Jerez de la Frontera, Cádiz, España"/>
    <d v="2022-04-05T00:00:00"/>
    <d v="2022-12-02T00:00:00"/>
    <n v="241"/>
    <x v="1"/>
    <x v="2"/>
  </r>
  <r>
    <n v="1613030"/>
    <n v="23654"/>
    <s v="Merano"/>
    <s v="Via Otto Huber, 10, 39012 Merano BZ, Italia"/>
    <d v="2022-11-11T00:00:00"/>
    <d v="2022-12-02T00:00:00"/>
    <n v="21"/>
    <x v="0"/>
    <x v="2"/>
  </r>
  <r>
    <n v="1650550"/>
    <n v="18161"/>
    <s v="San Severo"/>
    <s v="Via Torquato Tasso, 25/27, 71016 San Severo FG, Italia"/>
    <d v="2022-10-22T00:00:00"/>
    <d v="2022-12-02T00:00:00"/>
    <n v="41"/>
    <x v="1"/>
    <x v="1"/>
  </r>
  <r>
    <n v="3030501"/>
    <n v="81"/>
    <s v="Barcelona"/>
    <s v="Carrer de Manuel de Falla, 13, 08034 Barcelona, España"/>
    <d v="2022-04-18T00:00:00"/>
    <d v="2022-12-02T00:00:00"/>
    <n v="228"/>
    <x v="1"/>
    <x v="1"/>
  </r>
  <r>
    <n v="5003057"/>
    <n v="4503"/>
    <s v="Hostalric"/>
    <s v="Carrer Poeta Ruyra, 18, 17450 Hostalric, Girona, España"/>
    <d v="2022-08-14T00:00:00"/>
    <d v="2022-12-02T00:00:00"/>
    <n v="110"/>
    <x v="1"/>
    <x v="0"/>
  </r>
  <r>
    <n v="5004150"/>
    <n v="51"/>
    <s v="Paris"/>
    <s v="216 Rue de la Croix Nivert, 75015 Paris, France"/>
    <d v="2022-11-05T00:00:00"/>
    <d v="2022-12-02T00:00:00"/>
    <n v="27"/>
    <x v="0"/>
    <x v="0"/>
  </r>
  <r>
    <n v="5004430"/>
    <n v="201"/>
    <s v="Paris"/>
    <s v="58 Rue St Sabin, 75011 Paris, France"/>
    <d v="2022-07-13T00:00:00"/>
    <d v="2022-12-02T00:00:00"/>
    <n v="142"/>
    <x v="1"/>
    <x v="1"/>
  </r>
  <r>
    <n v="5004450"/>
    <n v="5927"/>
    <s v="Portici"/>
    <s v="Via Emanuele Gianturco, 34, 80055 Portici NA, Italia"/>
    <d v="2022-05-02T00:00:00"/>
    <d v="2022-12-02T00:00:00"/>
    <n v="214"/>
    <x v="1"/>
    <x v="2"/>
  </r>
  <r>
    <n v="5004506"/>
    <n v="2227"/>
    <s v="Cagliari"/>
    <s v="Via Giovanni Battista Tuveri, 16, 09129 Cagliari CA, Italia"/>
    <d v="2022-10-18T00:00:00"/>
    <d v="2022-12-02T00:00:00"/>
    <n v="45"/>
    <x v="1"/>
    <x v="0"/>
  </r>
  <r>
    <n v="5005430"/>
    <n v="2473"/>
    <s v="Terrassa"/>
    <s v="Carrer de Sierra Nevada, 11, 08227 Terrassa, Barcelona, España"/>
    <d v="2022-11-10T00:00:00"/>
    <d v="2022-12-02T00:00:00"/>
    <n v="22"/>
    <x v="0"/>
    <x v="0"/>
  </r>
  <r>
    <n v="5005450"/>
    <n v="7118"/>
    <s v="Milano"/>
    <s v="Via Asiago, 59, 20128 Milano MI, Italia"/>
    <d v="2022-09-08T00:00:00"/>
    <d v="2022-12-02T00:00:00"/>
    <n v="85"/>
    <x v="1"/>
    <x v="2"/>
  </r>
  <r>
    <n v="5005750"/>
    <n v="21"/>
    <s v="Toulouse"/>
    <s v="101 Rue Bonnat, 31400 Toulouse, France"/>
    <d v="2022-10-02T00:00:00"/>
    <d v="2022-12-02T00:00:00"/>
    <n v="61"/>
    <x v="1"/>
    <x v="1"/>
  </r>
  <r>
    <n v="5010430"/>
    <n v="2381"/>
    <s v="Coria"/>
    <s v="C. Viriato, 13, 10800 Coria, Cáceres, España"/>
    <d v="2022-12-06T00:00:00"/>
    <d v="2022-12-02T00:00:00"/>
    <n v="-4"/>
    <x v="0"/>
    <x v="1"/>
  </r>
  <r>
    <n v="5011050"/>
    <n v="2270"/>
    <s v="Paris"/>
    <s v="75 Av. Ledru Rollin, 75012 Paris, France"/>
    <d v="2022-09-26T00:00:00"/>
    <d v="2022-12-02T00:00:00"/>
    <n v="67"/>
    <x v="1"/>
    <x v="2"/>
  </r>
  <r>
    <n v="5011504"/>
    <n v="903"/>
    <s v="Boadilla del Monte"/>
    <s v="Av. Infante Don Luis, 15, 28660 Boadilla del Monte, Madrid, España"/>
    <d v="2022-11-25T00:00:00"/>
    <d v="2022-12-02T00:00:00"/>
    <n v="7"/>
    <x v="0"/>
    <x v="0"/>
  </r>
  <r>
    <n v="5013047"/>
    <n v="310"/>
    <s v="Greater Manchester"/>
    <s v="201 Eccles Old Rd, Salford M6 8HA, UK"/>
    <d v="2022-10-06T00:00:00"/>
    <d v="2022-12-02T00:00:00"/>
    <n v="57"/>
    <x v="1"/>
    <x v="0"/>
  </r>
  <r>
    <n v="5013050"/>
    <n v="382"/>
    <s v="Paris"/>
    <s v="29 Bd Pereire, 75017 Paris, France"/>
    <d v="2022-09-03T00:00:00"/>
    <d v="2022-12-02T00:00:00"/>
    <n v="90"/>
    <x v="1"/>
    <x v="2"/>
  </r>
  <r>
    <n v="5014550"/>
    <n v="7999"/>
    <s v="Madrid"/>
    <s v="Av. Juan XXIII, 10, 28224 Madrid, España"/>
    <d v="2022-09-13T00:00:00"/>
    <d v="2022-12-02T00:00:00"/>
    <n v="80"/>
    <x v="1"/>
    <x v="1"/>
  </r>
  <r>
    <n v="5015050"/>
    <n v="9303"/>
    <s v="Catania"/>
    <s v="Via Grotte Bianche, 113a, 95100 Catania CT, Italia"/>
    <d v="2022-11-06T00:00:00"/>
    <d v="2022-12-02T00:00:00"/>
    <n v="26"/>
    <x v="0"/>
    <x v="1"/>
  </r>
  <r>
    <n v="5015504"/>
    <n v="2"/>
    <s v="Paris"/>
    <s v="34 Rue Montcalm, 75018 Paris, France"/>
    <d v="2022-09-18T00:00:00"/>
    <d v="2022-12-02T00:00:00"/>
    <n v="75"/>
    <x v="1"/>
    <x v="2"/>
  </r>
  <r>
    <n v="5015550"/>
    <n v="76"/>
    <s v="Lisboa"/>
    <s v="Azinhaga da Torre do Fato 7, 1600-451 Lisboa, Portugal"/>
    <d v="2022-11-06T00:00:00"/>
    <d v="2022-12-02T00:00:00"/>
    <n v="26"/>
    <x v="0"/>
    <x v="1"/>
  </r>
  <r>
    <n v="5017730"/>
    <n v="0"/>
    <s v="Bezons"/>
    <s v="2 All. de la Fontaine 95870 Bezons, France"/>
    <d v="2022-10-19T00:00:00"/>
    <d v="2022-12-02T00:00:00"/>
    <n v="44"/>
    <x v="1"/>
    <x v="2"/>
  </r>
  <r>
    <n v="5030144"/>
    <n v="102"/>
    <s v="Martorell"/>
    <s v="Av. Dr. Francesc Massana, 17, 08760 Martorell, Barcelona, España"/>
    <d v="2022-04-17T00:00:00"/>
    <d v="2022-12-02T00:00:00"/>
    <n v="229"/>
    <x v="1"/>
    <x v="1"/>
  </r>
  <r>
    <n v="5030144"/>
    <n v="27"/>
    <s v="Wien"/>
    <s v="Alserbachstraße 5/29, 1090 Wien, Österreich"/>
    <d v="2022-04-17T00:00:00"/>
    <d v="2022-12-02T00:00:00"/>
    <n v="229"/>
    <x v="1"/>
    <x v="1"/>
  </r>
  <r>
    <n v="5030154"/>
    <n v="61"/>
    <s v="Baabe"/>
    <s v="Dorfstraße 1-2, 18586 Baabe, Deutschland"/>
    <d v="2022-10-22T00:00:00"/>
    <d v="2022-12-02T00:00:00"/>
    <n v="41"/>
    <x v="1"/>
    <x v="0"/>
  </r>
  <r>
    <n v="5030170"/>
    <n v="452"/>
    <s v="Gallarate"/>
    <s v="Via Egidio Checchi, 27, 21013 Gallarate VA, Italia"/>
    <d v="2022-04-20T00:00:00"/>
    <d v="2022-12-02T00:00:00"/>
    <n v="226"/>
    <x v="1"/>
    <x v="1"/>
  </r>
  <r>
    <n v="5030400"/>
    <n v="51"/>
    <s v="Hamburg"/>
    <s v="Am Schilfpark 24, 21029 Hamburg, Deutschland"/>
    <d v="2022-09-23T00:00:00"/>
    <d v="2022-12-02T00:00:00"/>
    <n v="70"/>
    <x v="1"/>
    <x v="1"/>
  </r>
  <r>
    <n v="5030404"/>
    <n v="46"/>
    <s v="Frankfurt am Main"/>
    <s v="Borsigallee 26, 60388 Frankfurt am Main, Deutschland"/>
    <d v="2022-10-09T00:00:00"/>
    <d v="2022-12-02T00:00:00"/>
    <n v="54"/>
    <x v="1"/>
    <x v="1"/>
  </r>
  <r>
    <n v="5030414"/>
    <n v="89"/>
    <s v="Latina"/>
    <s v="Via Sabaudia, 85, 04100 Latina LT, Italia"/>
    <d v="2022-10-23T00:00:00"/>
    <d v="2022-12-02T00:00:00"/>
    <n v="40"/>
    <x v="1"/>
    <x v="2"/>
  </r>
  <r>
    <n v="5030430"/>
    <n v="27186"/>
    <s v="Altavilla Vicentina"/>
    <s v="Via Sovizzo, 92, 36077 Altavilla Vicentina VI, Italia"/>
    <d v="2022-11-02T00:00:00"/>
    <d v="2022-12-02T00:00:00"/>
    <n v="30"/>
    <x v="1"/>
    <x v="0"/>
  </r>
  <r>
    <n v="5030444"/>
    <n v="71"/>
    <s v="Glasgow"/>
    <s v="419 Shields Road, Glasgow, G41 1NY"/>
    <d v="2022-11-13T00:00:00"/>
    <d v="2022-12-02T00:00:00"/>
    <n v="19"/>
    <x v="0"/>
    <x v="0"/>
  </r>
  <r>
    <n v="5030444"/>
    <n v="11"/>
    <s v="Rivoli"/>
    <s v="Corso Francia, 224C, 10098 Rivoli TO, Italia"/>
    <d v="2022-11-13T00:00:00"/>
    <d v="2022-12-02T00:00:00"/>
    <n v="19"/>
    <x v="1"/>
    <x v="0"/>
  </r>
  <r>
    <n v="5030454"/>
    <n v="27"/>
    <s v="Roma"/>
    <s v="Via dell'Aeroporto, 2a, 00175 Roma RM, Italia"/>
    <d v="2022-12-02T00:00:00"/>
    <d v="2022-12-02T00:00:00"/>
    <n v="0"/>
    <x v="1"/>
    <x v="2"/>
  </r>
  <r>
    <n v="5030454"/>
    <n v="0"/>
    <s v="Alcochete"/>
    <s v="R. Carlos Manuel Rodrigues Francisco 11, 2890-096 Alcochete, Portugal"/>
    <d v="2022-12-02T00:00:00"/>
    <d v="2022-12-02T00:00:00"/>
    <n v="0"/>
    <x v="1"/>
    <x v="2"/>
  </r>
  <r>
    <n v="5030504"/>
    <n v="440"/>
    <s v="Olesa de Montserrat"/>
    <s v="Carrer de Josep Anselm Clavé, 50, 08640 Olesa de Montserrat, Barcelona, España"/>
    <d v="2022-10-23T00:00:00"/>
    <d v="2022-12-02T00:00:00"/>
    <n v="40"/>
    <x v="1"/>
    <x v="1"/>
  </r>
  <r>
    <n v="5030507"/>
    <n v="105"/>
    <s v="Vilnius"/>
    <s v="Ateities g. 11, Vilnius 08304, Lithuania"/>
    <d v="2022-10-24T00:00:00"/>
    <d v="2022-12-02T00:00:00"/>
    <n v="39"/>
    <x v="1"/>
    <x v="0"/>
  </r>
  <r>
    <n v="5030515"/>
    <n v="51"/>
    <s v="Barcelona"/>
    <s v="C. del Consell de Cent, 218, 08011 Barcelona, España"/>
    <d v="2022-10-08T00:00:00"/>
    <d v="2022-12-02T00:00:00"/>
    <n v="55"/>
    <x v="1"/>
    <x v="2"/>
  </r>
  <r>
    <n v="5030540"/>
    <n v="5"/>
    <s v="Roma"/>
    <s v="Via Jacopo Melani, 22, 00124 Roma RM, Italia"/>
    <d v="2022-11-08T00:00:00"/>
    <d v="2022-12-02T00:00:00"/>
    <n v="24"/>
    <x v="1"/>
    <x v="1"/>
  </r>
  <r>
    <n v="5030544"/>
    <n v="30"/>
    <s v="West Midlands"/>
    <s v="2a Bell Ln, Birmingham B31 1JZ, UK"/>
    <d v="2022-12-08T00:00:00"/>
    <d v="2022-12-02T00:00:00"/>
    <n v="-6"/>
    <x v="1"/>
    <x v="1"/>
  </r>
  <r>
    <n v="5030545"/>
    <n v="61"/>
    <s v="Greater London"/>
    <s v="18 Soho Square, London W1D 3QH, UK"/>
    <d v="2022-10-21T00:00:00"/>
    <d v="2022-12-02T00:00:00"/>
    <n v="42"/>
    <x v="1"/>
    <x v="0"/>
  </r>
  <r>
    <n v="5030547"/>
    <n v="31"/>
    <s v="Partick"/>
    <s v="within ClipJoint hairdressers, 8 Peel St, Partick, Glasgow G11 5LL, UK"/>
    <d v="2022-12-03T00:00:00"/>
    <d v="2022-12-02T00:00:00"/>
    <n v="-1"/>
    <x v="1"/>
    <x v="1"/>
  </r>
  <r>
    <n v="5030550"/>
    <n v="89"/>
    <s v="Terrassa"/>
    <s v="Rambla de Francesc Macià, 61, 08226 Terrassa, Barcelona, España"/>
    <d v="2022-10-26T00:00:00"/>
    <d v="2022-12-02T00:00:00"/>
    <n v="37"/>
    <x v="1"/>
    <x v="0"/>
  </r>
  <r>
    <n v="5030555"/>
    <n v="37"/>
    <s v="Greater Manchester"/>
    <s v="Unit P17, Gorton Retail Market, Manchester M18 8LD, UK"/>
    <d v="2022-10-15T00:00:00"/>
    <d v="2022-12-02T00:00:00"/>
    <n v="48"/>
    <x v="1"/>
    <x v="1"/>
  </r>
  <r>
    <n v="5030556"/>
    <n v="85"/>
    <s v="Brindisi"/>
    <s v="Viale Francia, 33, 72100 Brindisi BR, Italia"/>
    <d v="2022-11-05T00:00:00"/>
    <d v="2022-12-02T00:00:00"/>
    <n v="27"/>
    <x v="0"/>
    <x v="2"/>
  </r>
  <r>
    <n v="5030577"/>
    <n v="115"/>
    <s v="Liège"/>
    <s v="Rue de l'Etuve 17, 4000 Liège, Belgique"/>
    <d v="2022-10-11T00:00:00"/>
    <d v="2022-12-02T00:00:00"/>
    <n v="52"/>
    <x v="1"/>
    <x v="0"/>
  </r>
  <r>
    <n v="5030604"/>
    <n v="4"/>
    <s v="Paris"/>
    <s v="58 Rue de Bourgogne, 75007 Paris, France"/>
    <d v="2022-10-21T00:00:00"/>
    <d v="2022-12-02T00:00:00"/>
    <n v="42"/>
    <x v="1"/>
    <x v="0"/>
  </r>
  <r>
    <n v="5030617"/>
    <n v="36"/>
    <s v="Oberhausen"/>
    <s v="Steinbrinkstraße 200, 46145 Oberhausen, Deutschland"/>
    <d v="2022-10-18T00:00:00"/>
    <d v="2022-12-02T00:00:00"/>
    <n v="45"/>
    <x v="1"/>
    <x v="0"/>
  </r>
  <r>
    <n v="5030641"/>
    <n v="6"/>
    <s v="Opfikon"/>
    <s v="8152 Opfikon, Schweiz"/>
    <d v="2022-10-05T00:00:00"/>
    <d v="2022-12-02T00:00:00"/>
    <n v="58"/>
    <x v="1"/>
    <x v="0"/>
  </r>
  <r>
    <n v="5030644"/>
    <n v="1156"/>
    <s v="Taranto"/>
    <s v="Corso Piemonte, 63, 74121 Taranto TA, Italia"/>
    <d v="2022-10-21T00:00:00"/>
    <d v="2022-12-02T00:00:00"/>
    <n v="42"/>
    <x v="1"/>
    <x v="1"/>
  </r>
  <r>
    <n v="5030646"/>
    <n v="91"/>
    <s v="Uznach"/>
    <s v="Rickenstrasse 11, 8730 Uznach, Schweiz"/>
    <d v="2022-10-09T00:00:00"/>
    <d v="2022-12-02T00:00:00"/>
    <n v="54"/>
    <x v="1"/>
    <x v="0"/>
  </r>
  <r>
    <n v="5030655"/>
    <n v="31"/>
    <s v="Zürich"/>
    <s v="Marchwartstrasse 44, 8038 Zürich, Schweiz"/>
    <d v="2022-10-31T00:00:00"/>
    <d v="2022-12-02T00:00:00"/>
    <n v="32"/>
    <x v="1"/>
    <x v="1"/>
  </r>
  <r>
    <n v="5030740"/>
    <n v="7"/>
    <s v="Brétigny-sur-Orge"/>
    <s v="16 Rue du Général Leclerc, 91220 Brétigny-sur-Orge, France"/>
    <d v="2022-11-15T00:00:00"/>
    <d v="2022-12-02T00:00:00"/>
    <n v="17"/>
    <x v="1"/>
    <x v="0"/>
  </r>
  <r>
    <n v="5030744"/>
    <n v="47"/>
    <s v="Castelfranco Veneto"/>
    <s v="Piazza della Serenissima, 20, 31033 Castelfranco Veneto TV, Italia"/>
    <d v="2022-11-15T00:00:00"/>
    <d v="2022-12-02T00:00:00"/>
    <n v="17"/>
    <x v="0"/>
    <x v="1"/>
  </r>
  <r>
    <n v="5030756"/>
    <n v="0"/>
    <s v="Taverny"/>
    <s v="257 Rue de Paris, 95150 Taverny, France"/>
    <d v="2022-10-06T00:00:00"/>
    <d v="2022-12-02T00:00:00"/>
    <n v="57"/>
    <x v="1"/>
    <x v="2"/>
  </r>
  <r>
    <n v="5040504"/>
    <n v="118"/>
    <s v="Dun-le-Palestel"/>
    <s v="36 Grande Rue, 23800 Dun-le-Palestel, France"/>
    <d v="2022-10-26T00:00:00"/>
    <d v="2022-12-02T00:00:00"/>
    <n v="37"/>
    <x v="1"/>
    <x v="2"/>
  </r>
  <r>
    <n v="5043050"/>
    <n v="540"/>
    <s v="Πειραιάς"/>
    <s v="Πραξιτέλους 35, Πειραιάς 185 32, Ελλάδα"/>
    <d v="2022-12-06T00:00:00"/>
    <d v="2022-12-02T00:00:00"/>
    <n v="-4"/>
    <x v="0"/>
    <x v="0"/>
  </r>
  <r>
    <n v="5044030"/>
    <n v="226"/>
    <s v="Amsterdam"/>
    <s v="Roelof Hartstraat 17, 1071 VG Amsterdam, Netherlands"/>
    <d v="2022-10-25T00:00:00"/>
    <d v="2022-12-02T00:00:00"/>
    <n v="38"/>
    <x v="1"/>
    <x v="1"/>
  </r>
  <r>
    <n v="5044450"/>
    <n v="18"/>
    <s v="Berlin"/>
    <s v="Sonnenallee 206, 12059 Berlin, Deutschland"/>
    <d v="2022-09-17T00:00:00"/>
    <d v="2022-12-02T00:00:00"/>
    <n v="76"/>
    <x v="1"/>
    <x v="0"/>
  </r>
  <r>
    <n v="5044450"/>
    <n v="662"/>
    <s v="Πέραμα"/>
    <s v="25ης Μαρτίου 12, Πέραμα 188 63, Ελλάδα"/>
    <d v="2022-09-17T00:00:00"/>
    <d v="2022-12-02T00:00:00"/>
    <n v="76"/>
    <x v="1"/>
    <x v="0"/>
  </r>
  <r>
    <n v="5044506"/>
    <n v="0"/>
    <s v="Roma"/>
    <s v="Via Luigi Rizzo, 52, 00136 Roma RM, Italia"/>
    <d v="2022-10-19T00:00:00"/>
    <d v="2022-12-02T00:00:00"/>
    <n v="44"/>
    <x v="1"/>
    <x v="1"/>
  </r>
  <r>
    <n v="5045046"/>
    <n v="354"/>
    <s v="Málaga"/>
    <s v="C. Betsaida, 2, 29006 Málaga, España"/>
    <d v="2022-10-05T00:00:00"/>
    <d v="2022-12-02T00:00:00"/>
    <n v="58"/>
    <x v="1"/>
    <x v="0"/>
  </r>
  <r>
    <n v="5045070"/>
    <n v="118"/>
    <s v="La Garenne-Colombes"/>
    <s v="7 All. Denis Papin, 92250 La Garenne-Colombes, France"/>
    <d v="2022-09-12T00:00:00"/>
    <d v="2022-12-02T00:00:00"/>
    <n v="81"/>
    <x v="1"/>
    <x v="0"/>
  </r>
  <r>
    <n v="5045304"/>
    <n v="21"/>
    <s v="Greater London"/>
    <s v="73 Caledonian Rd, London N1 9BT, UK"/>
    <d v="2022-10-06T00:00:00"/>
    <d v="2022-12-02T00:00:00"/>
    <n v="57"/>
    <x v="1"/>
    <x v="0"/>
  </r>
  <r>
    <n v="5045307"/>
    <n v="1295"/>
    <s v="Bollullos de la Mitación"/>
    <s v="C. Larga, 74, 41110 Bollullos de la Mitación, Sevilla, España"/>
    <d v="2022-09-12T00:00:00"/>
    <d v="2022-12-02T00:00:00"/>
    <n v="81"/>
    <x v="1"/>
    <x v="1"/>
  </r>
  <r>
    <n v="5045530"/>
    <n v="433"/>
    <s v="Cittanova"/>
    <s v="Via Grimaldi, 8, 89022 Cittanova RC, Italia"/>
    <d v="2022-10-21T00:00:00"/>
    <d v="2022-12-02T00:00:00"/>
    <n v="42"/>
    <x v="1"/>
    <x v="1"/>
  </r>
  <r>
    <n v="5046501"/>
    <n v="64"/>
    <s v="Sarzana"/>
    <s v="Via Lancillotto Cattani, 1, 19038 Sarzana SP, Italia"/>
    <d v="2022-12-03T00:00:00"/>
    <d v="2022-12-02T00:00:00"/>
    <n v="-1"/>
    <x v="0"/>
    <x v="0"/>
  </r>
  <r>
    <n v="5047301"/>
    <n v="2"/>
    <s v="Milano"/>
    <s v="Via Ajaccio, 4, 20133 Milano MI, Italia"/>
    <d v="2022-11-19T00:00:00"/>
    <d v="2022-12-02T00:00:00"/>
    <n v="13"/>
    <x v="1"/>
    <x v="0"/>
  </r>
  <r>
    <n v="5047430"/>
    <n v="181"/>
    <s v="San Marcellino"/>
    <s v="Via Giacomo Leopardi, 8, 81030 San Marcellino CE, Italia"/>
    <d v="2022-10-29T00:00:00"/>
    <d v="2022-12-02T00:00:00"/>
    <n v="34"/>
    <x v="1"/>
    <x v="1"/>
  </r>
  <r>
    <n v="5050077"/>
    <n v="1144"/>
    <s v="Pula"/>
    <s v="Via Nora, 114, 09010 Pula CA, Italia"/>
    <d v="2022-09-18T00:00:00"/>
    <d v="2022-12-02T00:00:00"/>
    <n v="75"/>
    <x v="1"/>
    <x v="2"/>
  </r>
  <r>
    <n v="5050145"/>
    <n v="1402"/>
    <s v="Alzira"/>
    <s v="Carrer del Prior Morera, 5, 46600 Alzira, Valencia, España"/>
    <d v="2022-09-25T00:00:00"/>
    <d v="2022-12-02T00:00:00"/>
    <n v="68"/>
    <x v="1"/>
    <x v="0"/>
  </r>
  <r>
    <n v="5050446"/>
    <n v="158"/>
    <s v="Livry-Gargan"/>
    <s v="5 All. des Jonquilles, 93190 Livry-Gargan, France"/>
    <d v="2022-09-06T00:00:00"/>
    <d v="2022-12-02T00:00:00"/>
    <n v="87"/>
    <x v="1"/>
    <x v="2"/>
  </r>
  <r>
    <n v="5050506"/>
    <n v="770"/>
    <s v="San Sperate"/>
    <s v="Via Bithia, 8, 09026 San Sperate SU, Italia"/>
    <d v="2022-11-03T00:00:00"/>
    <d v="2022-12-02T00:00:00"/>
    <n v="29"/>
    <x v="0"/>
    <x v="2"/>
  </r>
  <r>
    <n v="5050511"/>
    <n v="669"/>
    <s v="Sant Celoni"/>
    <s v="Carrer Sant Pere, 6, 08470 Sant Celoni, Barcelona, España"/>
    <d v="2022-09-24T00:00:00"/>
    <d v="2022-12-02T00:00:00"/>
    <n v="69"/>
    <x v="1"/>
    <x v="0"/>
  </r>
  <r>
    <n v="5050664"/>
    <n v="54"/>
    <s v="Greater London"/>
    <s v="6A Hertford St, London W1J 7RF, UK"/>
    <d v="2022-10-27T00:00:00"/>
    <d v="2022-12-02T00:00:00"/>
    <n v="36"/>
    <x v="1"/>
    <x v="2"/>
  </r>
  <r>
    <n v="5050740"/>
    <n v="1616"/>
    <s v="Αλεξάνδρεια"/>
    <s v="Νικ. Πλαστήρα 74, Αλεξάνδρεια 593 00, Ελλάδα"/>
    <d v="2022-10-12T00:00:00"/>
    <d v="2022-12-02T00:00:00"/>
    <n v="51"/>
    <x v="1"/>
    <x v="1"/>
  </r>
  <r>
    <n v="5050745"/>
    <n v="206"/>
    <s v="Paris"/>
    <s v="37 Rue du Rendez-Vous, 75012 Paris, France"/>
    <d v="2022-09-19T00:00:00"/>
    <d v="2022-12-02T00:00:00"/>
    <n v="74"/>
    <x v="1"/>
    <x v="1"/>
  </r>
  <r>
    <n v="5053010"/>
    <n v="216"/>
    <s v="Greater London"/>
    <s v="40 Liverpool St, London EC2M 7QN, UK"/>
    <d v="2022-11-02T00:00:00"/>
    <d v="2022-12-02T00:00:00"/>
    <n v="30"/>
    <x v="1"/>
    <x v="0"/>
  </r>
  <r>
    <n v="5054500"/>
    <n v="1625"/>
    <s v="Vigevano"/>
    <s v="Viale Montegrappa, 29, 27029 Vigevano PV, Italia"/>
    <d v="2022-11-06T00:00:00"/>
    <d v="2022-12-02T00:00:00"/>
    <n v="26"/>
    <x v="0"/>
    <x v="1"/>
  </r>
  <r>
    <n v="5054650"/>
    <n v="3858"/>
    <s v="Άρτεμις"/>
    <s v="Λεωφ. Βραυρώνος 186, Άρτεμις 190 16, Ελλάδα"/>
    <d v="2022-11-23T00:00:00"/>
    <d v="2022-12-02T00:00:00"/>
    <n v="9"/>
    <x v="0"/>
    <x v="1"/>
  </r>
  <r>
    <n v="5055054"/>
    <n v="544"/>
    <s v="Busca"/>
    <s v="Via Laghi di Avigliana, 6, 12022 Busca CN, Italia"/>
    <d v="2022-10-04T00:00:00"/>
    <d v="2022-12-02T00:00:00"/>
    <n v="59"/>
    <x v="1"/>
    <x v="0"/>
  </r>
  <r>
    <n v="5055060"/>
    <n v="802"/>
    <s v="Sernaglia della Battaglia"/>
    <s v="Via Emigranti, 38, 31020 Sernaglia della Battaglia TV, Italia"/>
    <d v="2022-09-23T00:00:00"/>
    <d v="2022-12-02T00:00:00"/>
    <n v="70"/>
    <x v="1"/>
    <x v="0"/>
  </r>
  <r>
    <n v="5056530"/>
    <n v="2060"/>
    <s v="Palestrina"/>
    <s v="Via Prenestina Antica, 220, 00036 Palestrina RM, Italia"/>
    <d v="2022-09-24T00:00:00"/>
    <d v="2022-12-02T00:00:00"/>
    <n v="69"/>
    <x v="1"/>
    <x v="2"/>
  </r>
  <r>
    <n v="5060150"/>
    <n v="0"/>
    <s v="Hertfordshire"/>
    <s v="The Thrive, Battlers Green Farm, Common Ln, Radlett WD7 8PH, UK"/>
    <d v="2022-12-05T00:00:00"/>
    <d v="2022-12-02T00:00:00"/>
    <n v="-3"/>
    <x v="1"/>
    <x v="0"/>
  </r>
  <r>
    <n v="5061501"/>
    <n v="4"/>
    <s v="Sheffield City Centre"/>
    <s v="113-115 Pinstone St, Sheffield City Centre, Sheffield S1 2HL, UK"/>
    <d v="2022-10-29T00:00:00"/>
    <d v="2022-12-02T00:00:00"/>
    <n v="34"/>
    <x v="1"/>
    <x v="1"/>
  </r>
  <r>
    <n v="5063014"/>
    <n v="0"/>
    <s v="Mönchengladbach"/>
    <s v="Zur Burgmühle 2, 41199 Mönchengladbach, Deutschland"/>
    <d v="2022-11-18T00:00:00"/>
    <d v="2022-12-02T00:00:00"/>
    <n v="14"/>
    <x v="1"/>
    <x v="2"/>
  </r>
  <r>
    <n v="5063044"/>
    <n v="0"/>
    <s v="València"/>
    <s v="C/ del Dr. Manuel Candela, 52, 46021 València"/>
    <d v="2022-12-03T00:00:00"/>
    <d v="2022-12-02T00:00:00"/>
    <n v="-1"/>
    <x v="1"/>
    <x v="2"/>
  </r>
  <r>
    <n v="5063045"/>
    <n v="0"/>
    <s v="Greater London"/>
    <s v="156 Essex Rd, London N1 8LY, UK"/>
    <d v="2022-10-13T00:00:00"/>
    <d v="2022-12-02T00:00:00"/>
    <n v="50"/>
    <x v="1"/>
    <x v="0"/>
  </r>
  <r>
    <n v="5063054"/>
    <n v="0"/>
    <s v="València"/>
    <s v="Carrer del Gravador Esteve, 6, 46004 València, Valencia, España"/>
    <d v="2022-11-16T00:00:00"/>
    <d v="2022-12-02T00:00:00"/>
    <n v="16"/>
    <x v="1"/>
    <x v="2"/>
  </r>
  <r>
    <n v="5063054"/>
    <n v="0"/>
    <s v="Paris"/>
    <s v="48 Bd Pasteur, 75015 Paris, France"/>
    <d v="2022-11-16T00:00:00"/>
    <d v="2022-12-02T00:00:00"/>
    <n v="16"/>
    <x v="1"/>
    <x v="2"/>
  </r>
  <r>
    <n v="5063055"/>
    <n v="0"/>
    <s v="Greater London"/>
    <s v="127 Lee Rd, Blackheath, London SE3 9DS, UK"/>
    <d v="2022-12-07T00:00:00"/>
    <d v="2022-12-02T00:00:00"/>
    <n v="-5"/>
    <x v="1"/>
    <x v="0"/>
  </r>
  <r>
    <n v="5063057"/>
    <n v="0"/>
    <s v="Zürich"/>
    <s v="Stampfenbachstrasse 151, 8006 Zürich, Schweiz"/>
    <d v="2022-11-05T00:00:00"/>
    <d v="2022-12-02T00:00:00"/>
    <n v="27"/>
    <x v="1"/>
    <x v="0"/>
  </r>
  <r>
    <n v="5063071"/>
    <n v="0"/>
    <s v="Palma"/>
    <s v="Carrer dels Paraires, 23, 07001 Palma, Illes Balears, España"/>
    <d v="2022-11-26T00:00:00"/>
    <d v="2022-12-02T00:00:00"/>
    <n v="6"/>
    <x v="1"/>
    <x v="2"/>
  </r>
  <r>
    <n v="5063076"/>
    <n v="0"/>
    <s v="Château-Chinon"/>
    <s v="22 Pl. Gudin, 58120 Château-Chinon, France"/>
    <d v="2022-11-18T00:00:00"/>
    <d v="2022-12-02T00:00:00"/>
    <n v="14"/>
    <x v="1"/>
    <x v="0"/>
  </r>
  <r>
    <n v="5064306"/>
    <n v="52"/>
    <s v="Palermo"/>
    <s v="Via Maggiore Pietro Toselli, 201, 90143 Palermo PA, Italia"/>
    <d v="2022-11-09T00:00:00"/>
    <d v="2022-12-02T00:00:00"/>
    <n v="23"/>
    <x v="0"/>
    <x v="0"/>
  </r>
  <r>
    <n v="5064450"/>
    <n v="0"/>
    <s v="Saint-Gilles"/>
    <s v="57 Rue Gambetta, 30800 Saint-Gilles, France"/>
    <d v="2022-11-17T00:00:00"/>
    <d v="2022-12-02T00:00:00"/>
    <n v="15"/>
    <x v="1"/>
    <x v="1"/>
  </r>
  <r>
    <n v="5064750"/>
    <n v="0"/>
    <s v="Paris"/>
    <s v="4 Rue du Pélican, 75001 Paris, France"/>
    <d v="2022-11-11T00:00:00"/>
    <d v="2022-12-02T00:00:00"/>
    <n v="21"/>
    <x v="1"/>
    <x v="1"/>
  </r>
  <r>
    <n v="5065045"/>
    <n v="0"/>
    <s v="Sambuceto"/>
    <s v="Viale Sandro Pertini, 66020 Sambuceto CH, Italia"/>
    <d v="2022-11-03T00:00:00"/>
    <d v="2022-12-02T00:00:00"/>
    <n v="29"/>
    <x v="1"/>
    <x v="1"/>
  </r>
  <r>
    <n v="5065045"/>
    <n v="0"/>
    <s v="Madrid"/>
    <s v="C. de Ercilla, 3, 28005 Madrid, España"/>
    <d v="2022-11-03T00:00:00"/>
    <d v="2022-12-02T00:00:00"/>
    <n v="29"/>
    <x v="1"/>
    <x v="1"/>
  </r>
  <r>
    <n v="5065047"/>
    <n v="45"/>
    <s v="València"/>
    <s v="Carrer de la Torreta de Miramar, 25, 46020 València, Valencia, España"/>
    <d v="2022-10-24T00:00:00"/>
    <d v="2022-12-02T00:00:00"/>
    <n v="39"/>
    <x v="1"/>
    <x v="2"/>
  </r>
  <r>
    <n v="5065054"/>
    <n v="0"/>
    <s v="Château-Renard"/>
    <s v="2 Pl. de la République, 45220 Château-Renard, France"/>
    <d v="2022-10-09T00:00:00"/>
    <d v="2022-12-02T00:00:00"/>
    <n v="54"/>
    <x v="1"/>
    <x v="0"/>
  </r>
  <r>
    <n v="5065055"/>
    <n v="91"/>
    <s v="Palermo"/>
    <s v="Via Mater Dolorosa, 80, 90146 Palermo PA, Italia"/>
    <d v="2022-10-19T00:00:00"/>
    <d v="2022-12-02T00:00:00"/>
    <n v="44"/>
    <x v="1"/>
    <x v="2"/>
  </r>
  <r>
    <n v="5065055"/>
    <n v="17"/>
    <s v="Brain-sur-Allonnes"/>
    <s v="2 Pl. du Commerce, 49650 Brain-sur-Allonnes, France"/>
    <d v="2022-10-19T00:00:00"/>
    <d v="2022-12-02T00:00:00"/>
    <n v="44"/>
    <x v="1"/>
    <x v="2"/>
  </r>
  <r>
    <n v="5065056"/>
    <n v="0"/>
    <s v="Alphen aan den Rijn"/>
    <s v="Lisdodde 106, 2408 LX Alphen aan den Rijn, Netherlands"/>
    <d v="2022-10-13T00:00:00"/>
    <d v="2022-12-02T00:00:00"/>
    <n v="50"/>
    <x v="1"/>
    <x v="2"/>
  </r>
  <r>
    <n v="5065065"/>
    <n v="0"/>
    <s v="Paris"/>
    <s v="25 Bd de Strasbourg, 75010 Paris, France"/>
    <d v="2022-10-17T00:00:00"/>
    <d v="2022-12-02T00:00:00"/>
    <n v="46"/>
    <x v="1"/>
    <x v="0"/>
  </r>
  <r>
    <n v="5065074"/>
    <n v="0"/>
    <s v="Quincy-sous-Sénart"/>
    <s v="19 Rue des 2 Communes, 91480 Quincy-sous-Sénart, France"/>
    <d v="2022-10-05T00:00:00"/>
    <d v="2022-12-02T00:00:00"/>
    <n v="58"/>
    <x v="1"/>
    <x v="2"/>
  </r>
  <r>
    <n v="5065306"/>
    <n v="50"/>
    <s v="Modena"/>
    <s v="Via Emilia Est, 1058, 41126 Modena MO, Italia"/>
    <d v="2022-11-01T00:00:00"/>
    <d v="2022-12-02T00:00:00"/>
    <n v="31"/>
    <x v="1"/>
    <x v="0"/>
  </r>
  <r>
    <n v="5065430"/>
    <n v="111"/>
    <s v="Duisburg"/>
    <s v="Altenbrucher Damm 15, 47249 Duisburg, Deutschland"/>
    <d v="2022-10-10T00:00:00"/>
    <d v="2022-12-02T00:00:00"/>
    <n v="53"/>
    <x v="1"/>
    <x v="1"/>
  </r>
  <r>
    <n v="5066030"/>
    <n v="0"/>
    <s v="Lamone"/>
    <s v="Via Girella 16, 6814 Lamone, Schweiz"/>
    <d v="2022-11-30T00:00:00"/>
    <d v="2022-12-02T00:00:00"/>
    <n v="2"/>
    <x v="1"/>
    <x v="0"/>
  </r>
  <r>
    <n v="5066300"/>
    <n v="0"/>
    <s v="Paris"/>
    <s v="94 Rue Myrha, 75018 Paris, France"/>
    <d v="2022-12-07T00:00:00"/>
    <d v="2022-12-02T00:00:00"/>
    <n v="-5"/>
    <x v="1"/>
    <x v="2"/>
  </r>
  <r>
    <n v="5066301"/>
    <n v="0"/>
    <s v="Karlsfeld"/>
    <s v="Münchner Str. 209, 85757 Karlsfeld, Deutschland"/>
    <d v="2022-12-07T00:00:00"/>
    <d v="2022-12-02T00:00:00"/>
    <n v="-5"/>
    <x v="1"/>
    <x v="0"/>
  </r>
  <r>
    <n v="5066304"/>
    <n v="0"/>
    <s v="Barcelona"/>
    <s v="Carrer de Sant Medir, 16, 08028 Barcelona, España"/>
    <d v="2022-11-16T00:00:00"/>
    <d v="2022-12-02T00:00:00"/>
    <n v="16"/>
    <x v="1"/>
    <x v="0"/>
  </r>
  <r>
    <n v="5066304"/>
    <n v="0"/>
    <s v="Paris"/>
    <s v="14 Rue Ferdinand Flocon, 75018 Paris, France"/>
    <d v="2022-11-16T00:00:00"/>
    <d v="2022-12-02T00:00:00"/>
    <n v="16"/>
    <x v="1"/>
    <x v="0"/>
  </r>
  <r>
    <n v="5066305"/>
    <n v="0"/>
    <s v="Calp"/>
    <s v="Av. Valencia, 13, 03710 Calp, Alicante, España"/>
    <d v="2022-11-23T00:00:00"/>
    <d v="2022-12-02T00:00:00"/>
    <n v="9"/>
    <x v="1"/>
    <x v="1"/>
  </r>
  <r>
    <n v="5066430"/>
    <n v="0"/>
    <s v="Purchena"/>
    <s v="Pl. Triana, 19, 04870 Purchena, Almería, España"/>
    <d v="2022-12-01T00:00:00"/>
    <d v="2022-12-02T00:00:00"/>
    <n v="1"/>
    <x v="1"/>
    <x v="2"/>
  </r>
  <r>
    <n v="5066450"/>
    <n v="0"/>
    <s v="Paris"/>
    <s v="9 Av. Fremiet, 75016 Paris, France"/>
    <d v="2022-11-21T00:00:00"/>
    <d v="2022-12-02T00:00:00"/>
    <n v="11"/>
    <x v="1"/>
    <x v="0"/>
  </r>
  <r>
    <n v="5066507"/>
    <n v="0"/>
    <s v="Reus"/>
    <s v="Carrer dels Recs, 21, 43201 Reus, Tarragona, España"/>
    <d v="2022-12-03T00:00:00"/>
    <d v="2022-12-02T00:00:00"/>
    <n v="-1"/>
    <x v="1"/>
    <x v="0"/>
  </r>
  <r>
    <n v="5066530"/>
    <n v="0"/>
    <s v="Berlin"/>
    <s v="Lützowstraße 50, 10785 Berlin, Deutschland"/>
    <d v="2022-12-06T00:00:00"/>
    <d v="2022-12-02T00:00:00"/>
    <n v="-4"/>
    <x v="1"/>
    <x v="2"/>
  </r>
  <r>
    <n v="5066550"/>
    <n v="0"/>
    <s v="Barcelona"/>
    <s v="Avinguda Diagonal, 359, 08037 Barcelona, España"/>
    <d v="2022-11-22T00:00:00"/>
    <d v="2022-12-02T00:00:00"/>
    <n v="10"/>
    <x v="1"/>
    <x v="2"/>
  </r>
  <r>
    <n v="5066630"/>
    <n v="0"/>
    <s v="Madrid"/>
    <s v="C. de Andrés Borrego, 5, 28004 Madrid, España"/>
    <d v="2022-12-04T00:00:00"/>
    <d v="2022-12-02T00:00:00"/>
    <n v="-2"/>
    <x v="1"/>
    <x v="0"/>
  </r>
  <r>
    <n v="5067030"/>
    <n v="0"/>
    <s v="Roma"/>
    <s v="Via di Ripetta, 34, 00186 Roma RM, Italia"/>
    <d v="2022-12-07T00:00:00"/>
    <d v="2022-12-02T00:00:00"/>
    <n v="-5"/>
    <x v="1"/>
    <x v="1"/>
  </r>
  <r>
    <n v="5067050"/>
    <n v="0"/>
    <s v="Manresa"/>
    <s v="Carrer del Pujolet, 29, 08242 Manresa, Barcelona, España"/>
    <d v="2022-11-13T00:00:00"/>
    <d v="2022-12-02T00:00:00"/>
    <n v="19"/>
    <x v="1"/>
    <x v="2"/>
  </r>
  <r>
    <n v="5067150"/>
    <n v="0"/>
    <s v="Arona"/>
    <s v="TF-28, 50, 38627 Arona, Santa Cruz de Tenerife, España"/>
    <d v="2022-12-05T00:00:00"/>
    <d v="2022-12-02T00:00:00"/>
    <n v="-3"/>
    <x v="1"/>
    <x v="0"/>
  </r>
  <r>
    <n v="5067430"/>
    <n v="0"/>
    <s v="Vilnius"/>
    <s v="Tvankstos g. 12, Vilnius 06200, Lithuania"/>
    <d v="2022-11-14T00:00:00"/>
    <d v="2022-12-02T00:00:00"/>
    <n v="18"/>
    <x v="1"/>
    <x v="2"/>
  </r>
  <r>
    <n v="5067450"/>
    <n v="0"/>
    <s v="Candiolo"/>
    <s v="Via Torino, 3, 10060 Candiolo TO, Italia"/>
    <d v="2022-11-14T00:00:00"/>
    <d v="2022-12-02T00:00:00"/>
    <n v="18"/>
    <x v="1"/>
    <x v="2"/>
  </r>
  <r>
    <n v="5067500"/>
    <n v="0"/>
    <s v="Greater London"/>
    <s v="54, 62 Uxbridge Rd, London W7 3SU, UK"/>
    <d v="2022-11-13T00:00:00"/>
    <d v="2022-12-02T00:00:00"/>
    <n v="19"/>
    <x v="1"/>
    <x v="2"/>
  </r>
  <r>
    <n v="5067501"/>
    <n v="0"/>
    <s v="Baltar"/>
    <s v="Av. Dom Manuel I 791, 4585-013 Baltar, Portugal"/>
    <d v="2022-11-19T00:00:00"/>
    <d v="2022-12-02T00:00:00"/>
    <n v="13"/>
    <x v="1"/>
    <x v="1"/>
  </r>
  <r>
    <n v="5067504"/>
    <n v="0"/>
    <s v="Milano"/>
    <s v="Piazzale Loreto, 2, 20131 Milano MI, Italia"/>
    <d v="2022-11-12T00:00:00"/>
    <d v="2022-12-02T00:00:00"/>
    <n v="20"/>
    <x v="1"/>
    <x v="2"/>
  </r>
  <r>
    <n v="5067504"/>
    <n v="0"/>
    <s v="Beaulieu"/>
    <s v="9 Av. Général Pamphile de Lacroix, 34160 Beaulieu, France"/>
    <d v="2022-11-12T00:00:00"/>
    <d v="2022-12-02T00:00:00"/>
    <n v="20"/>
    <x v="1"/>
    <x v="2"/>
  </r>
  <r>
    <n v="5067505"/>
    <n v="0"/>
    <s v="Roma"/>
    <s v="Via Prenestina, 461a, 00177 Roma RM, Italia"/>
    <d v="2022-11-27T00:00:00"/>
    <d v="2022-12-02T00:00:00"/>
    <n v="5"/>
    <x v="1"/>
    <x v="2"/>
  </r>
  <r>
    <n v="5067505"/>
    <n v="0"/>
    <s v="Caldas da Rainha"/>
    <s v="Rua Fonte do Pinheiro 53, 2500-203 Caldas da Rainha, Portugal"/>
    <d v="2022-11-27T00:00:00"/>
    <d v="2022-12-02T00:00:00"/>
    <n v="5"/>
    <x v="1"/>
    <x v="2"/>
  </r>
  <r>
    <n v="5067506"/>
    <n v="0"/>
    <s v="Bouzy"/>
    <s v="16 Rue Charles de Gaulle, 51150 Bouzy, France"/>
    <d v="2022-12-01T00:00:00"/>
    <d v="2022-12-02T00:00:00"/>
    <n v="1"/>
    <x v="1"/>
    <x v="1"/>
  </r>
  <r>
    <n v="5067507"/>
    <n v="0"/>
    <s v="Milano"/>
    <s v="Via Angelo Inganni, 2, 20147 Milano MI, Italia"/>
    <d v="2022-11-26T00:00:00"/>
    <d v="2022-12-02T00:00:00"/>
    <n v="6"/>
    <x v="1"/>
    <x v="0"/>
  </r>
  <r>
    <n v="5067530"/>
    <n v="0"/>
    <s v="Mezzolombardo"/>
    <s v="Corso del Popolo, 2, 38017 Mezzolombardo TN, Italia"/>
    <d v="2022-11-25T00:00:00"/>
    <d v="2022-12-02T00:00:00"/>
    <n v="7"/>
    <x v="1"/>
    <x v="1"/>
  </r>
  <r>
    <n v="5067550"/>
    <n v="0"/>
    <s v="Guyans-Vennes"/>
    <s v="21 Grande Rue, 25390 Guyans-Vennes, France"/>
    <d v="2022-11-29T00:00:00"/>
    <d v="2022-12-02T00:00:00"/>
    <n v="3"/>
    <x v="1"/>
    <x v="0"/>
  </r>
  <r>
    <n v="5130504"/>
    <n v="42622"/>
    <s v="Antequera"/>
    <s v="Calle Comedias, 18, 29200 Antequera, Málaga, España"/>
    <d v="2022-12-08T00:00:00"/>
    <d v="2022-12-02T00:00:00"/>
    <n v="-6"/>
    <x v="0"/>
    <x v="1"/>
  </r>
  <r>
    <n v="5145050"/>
    <n v="33968"/>
    <s v="Patti"/>
    <s v="Via Giuseppe Verdi, 3, 98066 Patti ME, Italia"/>
    <d v="2022-12-08T00:00:00"/>
    <d v="2022-12-02T00:00:00"/>
    <n v="-6"/>
    <x v="0"/>
    <x v="2"/>
  </r>
  <r>
    <n v="5150305"/>
    <n v="29554"/>
    <s v="Torrejón de Ardoz"/>
    <s v="Centro Comercial Parque Corredor, Ctra. Ajalvir Centro Comerci, s/n, 28850 Torrejón de Ardoz, Madrid"/>
    <d v="2022-11-06T00:00:00"/>
    <d v="2022-12-02T00:00:00"/>
    <n v="26"/>
    <x v="0"/>
    <x v="0"/>
  </r>
  <r>
    <n v="5150506"/>
    <n v="13266"/>
    <s v="Figline e Incisa Valdarno"/>
    <s v="Via Francesco Petrarca, 54/56, 50064 Figline e Incisa Valdarno FI, Italia"/>
    <d v="2022-05-03T00:00:00"/>
    <d v="2022-12-02T00:00:00"/>
    <n v="213"/>
    <x v="1"/>
    <x v="2"/>
  </r>
  <r>
    <n v="5300450"/>
    <n v="10758"/>
    <s v="Cuneo"/>
    <s v="Via XXXIII Reggimento Fanteria, 1, 12100 Cuneo CN, Italia"/>
    <d v="2022-05-06T00:00:00"/>
    <d v="2022-12-02T00:00:00"/>
    <n v="210"/>
    <x v="1"/>
    <x v="1"/>
  </r>
  <r>
    <n v="5303044"/>
    <n v="184"/>
    <s v="Milano"/>
    <s v="Via Francesco de Sanctis, 33, 20141 Milano MI, Italia"/>
    <d v="2022-10-16T00:00:00"/>
    <d v="2022-12-02T00:00:00"/>
    <n v="47"/>
    <x v="1"/>
    <x v="2"/>
  </r>
  <r>
    <n v="5303050"/>
    <n v="33837"/>
    <s v="Madrid"/>
    <s v="Calle de Melilla, 43, 28005 Madrid, España"/>
    <d v="2022-12-08T00:00:00"/>
    <d v="2022-12-02T00:00:00"/>
    <n v="-6"/>
    <x v="0"/>
    <x v="0"/>
  </r>
  <r>
    <n v="5303056"/>
    <n v="3858"/>
    <s v="Pomigliano d'Arco"/>
    <s v="Via Felice Terracciano, 100, 80038 Pomigliano d'Arco NA, Italia"/>
    <d v="2022-02-06T00:00:00"/>
    <d v="2022-12-02T00:00:00"/>
    <n v="299"/>
    <x v="1"/>
    <x v="1"/>
  </r>
  <r>
    <n v="5304450"/>
    <n v="8994"/>
    <s v="Roma"/>
    <s v="Via Aurelia, 430, 00165 Roma RM, Italia"/>
    <d v="2022-09-07T00:00:00"/>
    <d v="2022-12-02T00:00:00"/>
    <n v="86"/>
    <x v="1"/>
    <x v="1"/>
  </r>
  <r>
    <n v="5305040"/>
    <n v="6018"/>
    <s v="Fidenza"/>
    <s v="Via Benedetto Bacchini, 18, 43036 Fidenza PR, Italia"/>
    <d v="2022-01-21T00:00:00"/>
    <d v="2022-12-02T00:00:00"/>
    <n v="315"/>
    <x v="1"/>
    <x v="0"/>
  </r>
  <r>
    <n v="5305050"/>
    <n v="5768"/>
    <s v="Σητεία"/>
    <s v="Βιτσέντζου Κορνάρου 11, Σητεία 723 00, Ελλάδα"/>
    <d v="2022-06-16T00:00:00"/>
    <d v="2022-12-02T00:00:00"/>
    <n v="169"/>
    <x v="1"/>
    <x v="1"/>
  </r>
  <r>
    <n v="5305054"/>
    <n v="11106"/>
    <s v="Ispica"/>
    <s v="Via Giuseppe Mazzini, 39, 97014 Ispica RG, Italia"/>
    <d v="2022-09-12T00:00:00"/>
    <d v="2022-12-02T00:00:00"/>
    <n v="81"/>
    <x v="1"/>
    <x v="2"/>
  </r>
  <r>
    <n v="5305064"/>
    <n v="6144"/>
    <s v="Giugliano in Campania"/>
    <s v="Via Roma, 51, 80014 Giugliano in Campania NA, Italia"/>
    <d v="2022-09-01T00:00:00"/>
    <d v="2022-12-02T00:00:00"/>
    <n v="92"/>
    <x v="1"/>
    <x v="1"/>
  </r>
  <r>
    <n v="5305071"/>
    <n v="5043"/>
    <s v="Caserta"/>
    <s v="Via Gianfrancesco Alois, 16, 81100 Caserta CE, Italia"/>
    <d v="2022-04-01T00:00:00"/>
    <d v="2022-12-02T00:00:00"/>
    <n v="245"/>
    <x v="1"/>
    <x v="1"/>
  </r>
  <r>
    <n v="5305075"/>
    <n v="4114"/>
    <s v="Napoli"/>
    <s v="Via dell'Epomeo, 488/490, 80126 Napoli NA, Italia"/>
    <d v="2022-03-01T00:00:00"/>
    <d v="2022-12-02T00:00:00"/>
    <n v="276"/>
    <x v="1"/>
    <x v="0"/>
  </r>
  <r>
    <n v="5305304"/>
    <n v="5884"/>
    <s v="Badalona"/>
    <s v="Carrer del Canonge Baranera, 80, 08911 Badalona, Barcelona, España"/>
    <d v="2022-06-10T00:00:00"/>
    <d v="2022-12-02T00:00:00"/>
    <n v="175"/>
    <x v="1"/>
    <x v="2"/>
  </r>
  <r>
    <n v="5307030"/>
    <n v="20695"/>
    <s v="Cingoli"/>
    <s v="Via Amici della Marca, 1, 62011 Cingoli MC, Italia"/>
    <d v="2022-11-05T00:00:00"/>
    <d v="2022-12-02T00:00:00"/>
    <n v="27"/>
    <x v="0"/>
    <x v="2"/>
  </r>
  <r>
    <n v="5450050"/>
    <n v="56"/>
    <s v="Roma"/>
    <s v="Via Lombardia, 00187 Roma RM, Italia"/>
    <d v="2022-11-18T00:00:00"/>
    <d v="2022-12-02T00:00:00"/>
    <n v="14"/>
    <x v="0"/>
    <x v="0"/>
  </r>
  <r>
    <n v="5530306"/>
    <n v="4088"/>
    <s v="Savona"/>
    <s v="Via Milano, 50r, 17100 Savona SV, Italia"/>
    <d v="2022-02-19T00:00:00"/>
    <d v="2022-12-02T00:00:00"/>
    <n v="286"/>
    <x v="1"/>
    <x v="0"/>
  </r>
  <r>
    <n v="5530501"/>
    <n v="3309"/>
    <s v="Paterna"/>
    <s v="Carrer de Sant Agustí, 2, 46980 Paterna, Valencia, España"/>
    <d v="2022-09-03T00:00:00"/>
    <d v="2022-12-02T00:00:00"/>
    <n v="90"/>
    <x v="1"/>
    <x v="1"/>
  </r>
  <r>
    <n v="5530504"/>
    <n v="2967"/>
    <s v="Granada"/>
    <s v="C. Emperatriz Eugenia, 17, 18002 Granada, España"/>
    <d v="2022-11-06T00:00:00"/>
    <d v="2022-12-02T00:00:00"/>
    <n v="26"/>
    <x v="0"/>
    <x v="1"/>
  </r>
  <r>
    <n v="5655030"/>
    <n v="10472"/>
    <s v="Oviedo"/>
    <s v="Calle Carreño, 7, 33012 Oviedo, Asturias, España"/>
    <d v="2022-03-07T00:00:00"/>
    <d v="2022-12-02T00:00:00"/>
    <n v="270"/>
    <x v="1"/>
    <x v="0"/>
  </r>
  <r>
    <n v="15063030"/>
    <n v="15837"/>
    <s v="Roma"/>
    <s v="Viale Jonio, 187, 00141 Roma RM, Italia"/>
    <d v="2022-10-19T00:00:00"/>
    <d v="2022-12-02T00:00:00"/>
    <n v="44"/>
    <x v="1"/>
    <x v="2"/>
  </r>
  <r>
    <n v="50143050"/>
    <n v="3128"/>
    <s v="Torrent"/>
    <s v="Antic Carrer de Mossen Sicra, 9, 46900 Torrent, Valencia, España"/>
    <d v="2022-09-18T00:00:00"/>
    <d v="2022-12-02T00:00:00"/>
    <n v="75"/>
    <x v="1"/>
    <x v="1"/>
  </r>
  <r>
    <n v="50300304"/>
    <n v="0"/>
    <s v="Ourense"/>
    <s v="Rúa Parque de San Lázaro, 5, 32003 Ourense, España"/>
    <d v="2022-09-15T00:00:00"/>
    <d v="2022-12-02T00:00:00"/>
    <n v="78"/>
    <x v="1"/>
    <x v="2"/>
  </r>
  <r>
    <n v="50300450"/>
    <n v="2"/>
    <s v="Münster"/>
    <s v="Von-Steuben-Straße 10-12, 2. Etage, 48143 Münster, Deutschland"/>
    <d v="2022-09-16T00:00:00"/>
    <d v="2022-12-02T00:00:00"/>
    <n v="77"/>
    <x v="1"/>
    <x v="2"/>
  </r>
  <r>
    <n v="50301305"/>
    <n v="1662"/>
    <s v="Pontevedra"/>
    <s v="Rúa da Virxe do Camiño, 25, 36001 Pontevedra, España"/>
    <d v="2022-04-19T00:00:00"/>
    <d v="2022-12-02T00:00:00"/>
    <n v="227"/>
    <x v="1"/>
    <x v="2"/>
  </r>
  <r>
    <n v="50301507"/>
    <n v="850"/>
    <s v="Tournefeuille"/>
    <s v="29 Chemin St Pierre, 31170 Tournefeuille, France"/>
    <d v="2022-04-16T00:00:00"/>
    <d v="2022-12-02T00:00:00"/>
    <n v="230"/>
    <x v="1"/>
    <x v="0"/>
  </r>
  <r>
    <n v="50301730"/>
    <n v="21"/>
    <s v="Roma"/>
    <s v="Via della Stazione di Ciampino, 18, 00118 Roma RM, Italia"/>
    <d v="2022-10-21T00:00:00"/>
    <d v="2022-12-02T00:00:00"/>
    <n v="42"/>
    <x v="1"/>
    <x v="0"/>
  </r>
  <r>
    <n v="50303005"/>
    <n v="194"/>
    <s v="Amsterdam"/>
    <s v="Tweede Hugo de Grootstraat 5h, 1052 LA Amsterdam, Netherlands"/>
    <d v="2022-10-25T00:00:00"/>
    <d v="2022-12-02T00:00:00"/>
    <n v="38"/>
    <x v="1"/>
    <x v="2"/>
  </r>
  <r>
    <n v="50303016"/>
    <n v="73"/>
    <s v="Saint-Maur-des-Fossés"/>
    <s v="69 Bd de Créteil, 94100 Saint-Maur-des-Fossés, France"/>
    <d v="2022-12-02T00:00:00"/>
    <d v="2022-12-02T00:00:00"/>
    <n v="0"/>
    <x v="0"/>
    <x v="0"/>
  </r>
  <r>
    <n v="50305017"/>
    <n v="118"/>
    <s v="Fürstenwalde/Spree"/>
    <s v="Eisenbahnstraße 15, 15517 Fürstenwalde/Spree, Deutschland"/>
    <d v="2022-10-22T00:00:00"/>
    <d v="2022-12-02T00:00:00"/>
    <n v="41"/>
    <x v="1"/>
    <x v="1"/>
  </r>
  <r>
    <n v="50305047"/>
    <n v="9"/>
    <s v="València"/>
    <s v="Carrer de Dolores Marqués, 17, 46020 València, Valencia, España"/>
    <d v="2022-10-22T00:00:00"/>
    <d v="2022-12-02T00:00:00"/>
    <n v="41"/>
    <x v="1"/>
    <x v="1"/>
  </r>
  <r>
    <n v="50305150"/>
    <n v="17"/>
    <s v="Woodford Bridge"/>
    <s v="646A Chigwell Rd, Woodford Bridge, Woodford Green IG8 8AF, UK"/>
    <d v="2022-11-29T00:00:00"/>
    <d v="2022-12-02T00:00:00"/>
    <n v="3"/>
    <x v="1"/>
    <x v="1"/>
  </r>
  <r>
    <n v="50305307"/>
    <n v="1186"/>
    <s v="Givet"/>
    <s v="36 Rue Notre Dame, 08600 Givet, France"/>
    <d v="2022-07-26T00:00:00"/>
    <d v="2022-12-02T00:00:00"/>
    <n v="129"/>
    <x v="1"/>
    <x v="2"/>
  </r>
  <r>
    <n v="50305430"/>
    <n v="23"/>
    <s v="Greater London"/>
    <s v="67 Chatsworth Rd, Lower Clapton, London E5 0LH, UK"/>
    <d v="2022-10-05T00:00:00"/>
    <d v="2022-12-02T00:00:00"/>
    <n v="58"/>
    <x v="1"/>
    <x v="2"/>
  </r>
  <r>
    <n v="50305505"/>
    <n v="193"/>
    <s v="Greater London"/>
    <s v="19 Chapel Market, London N1 9EZ, UK"/>
    <d v="2022-10-24T00:00:00"/>
    <d v="2022-12-02T00:00:00"/>
    <n v="39"/>
    <x v="1"/>
    <x v="2"/>
  </r>
  <r>
    <n v="50305530"/>
    <n v="25"/>
    <s v="Bonn"/>
    <s v="Wenzelgasse 18, 53111 Bonn, Deutschland"/>
    <d v="2022-10-21T00:00:00"/>
    <d v="2022-12-02T00:00:00"/>
    <n v="42"/>
    <x v="1"/>
    <x v="1"/>
  </r>
  <r>
    <n v="50306505"/>
    <n v="88"/>
    <s v="Aix-en-Provence"/>
    <s v="90 Chem. du Pont Rout, 13090 Aix-en-Provence, France"/>
    <d v="2022-10-02T00:00:00"/>
    <d v="2022-12-02T00:00:00"/>
    <n v="61"/>
    <x v="1"/>
    <x v="1"/>
  </r>
  <r>
    <n v="50307050"/>
    <n v="1"/>
    <s v="Zürich"/>
    <s v="Schöneggstrasse 10, 8004 Zürich, Schweiz"/>
    <d v="2022-10-26T00:00:00"/>
    <d v="2022-12-02T00:00:00"/>
    <n v="37"/>
    <x v="1"/>
    <x v="1"/>
  </r>
  <r>
    <n v="50307304"/>
    <n v="74"/>
    <s v="L'Aquila"/>
    <s v="Via Fontesecco, 16, 67100 L'Aquila AQ, Italia"/>
    <d v="2022-11-10T00:00:00"/>
    <d v="2022-12-02T00:00:00"/>
    <n v="22"/>
    <x v="0"/>
    <x v="2"/>
  </r>
  <r>
    <n v="50307530"/>
    <n v="33"/>
    <s v="Hamburg"/>
    <s v="Ulmenstraße 23B, 22299 Hamburg, Deutschland"/>
    <d v="2022-11-04T00:00:00"/>
    <d v="2022-12-02T00:00:00"/>
    <n v="28"/>
    <x v="1"/>
    <x v="2"/>
  </r>
  <r>
    <n v="50307530"/>
    <n v="27"/>
    <s v="Brescia"/>
    <s v="Via Alessandro Lamarmora, 316, 25124 Brescia BS, Italia"/>
    <d v="2022-11-04T00:00:00"/>
    <d v="2022-12-02T00:00:00"/>
    <n v="28"/>
    <x v="1"/>
    <x v="2"/>
  </r>
  <r>
    <n v="50307750"/>
    <n v="489"/>
    <s v="Campobasso"/>
    <s v="Via Giambattista Vico, 37, 86100 Campobasso CB, Italia"/>
    <d v="2022-11-11T00:00:00"/>
    <d v="2022-12-02T00:00:00"/>
    <n v="21"/>
    <x v="0"/>
    <x v="2"/>
  </r>
  <r>
    <n v="50463030"/>
    <n v="3102"/>
    <s v="Trani"/>
    <s v="Via Giorgio Almirante, 25, 76125 Trani BT, Italia"/>
    <d v="2022-10-17T00:00:00"/>
    <d v="2022-12-02T00:00:00"/>
    <n v="46"/>
    <x v="1"/>
    <x v="1"/>
  </r>
  <r>
    <n v="50500505"/>
    <n v="1100"/>
    <s v="Scafati"/>
    <s v="Corso Nazionale, 231, 84018 Scafati SA, Italia"/>
    <d v="2022-11-16T00:00:00"/>
    <d v="2022-12-02T00:00:00"/>
    <n v="16"/>
    <x v="0"/>
    <x v="1"/>
  </r>
  <r>
    <n v="50501430"/>
    <n v="1092"/>
    <s v="Estepona"/>
    <s v="C. Alborán, 2, 29680 Estepona, Málaga, España"/>
    <d v="2022-11-29T00:00:00"/>
    <d v="2022-12-02T00:00:00"/>
    <n v="3"/>
    <x v="0"/>
    <x v="0"/>
  </r>
  <r>
    <n v="50501430"/>
    <n v="476"/>
    <s v="Málaga"/>
    <s v="C. Cervantes, 12, 29016 Málaga, España"/>
    <d v="2022-11-29T00:00:00"/>
    <d v="2022-12-02T00:00:00"/>
    <n v="3"/>
    <x v="0"/>
    <x v="0"/>
  </r>
  <r>
    <n v="50503054"/>
    <n v="7"/>
    <s v="Anderlecht"/>
    <s v="Chau. de Ninove 621, 1070 Anderlecht, Belgique"/>
    <d v="2022-09-24T00:00:00"/>
    <d v="2022-12-02T00:00:00"/>
    <n v="69"/>
    <x v="1"/>
    <x v="2"/>
  </r>
  <r>
    <n v="50504305"/>
    <n v="92"/>
    <s v="Évry-Courcouronnes"/>
    <s v="28 Av. du Parc aux Biches, 91000 Évry-Courcouronnes, France"/>
    <d v="2022-11-19T00:00:00"/>
    <d v="2022-12-02T00:00:00"/>
    <n v="13"/>
    <x v="0"/>
    <x v="0"/>
  </r>
  <r>
    <n v="50504550"/>
    <n v="57"/>
    <s v="Greater London"/>
    <s v="Regents Park Rd, London N3 1DE, UK"/>
    <d v="2022-11-24T00:00:00"/>
    <d v="2022-12-02T00:00:00"/>
    <n v="8"/>
    <x v="0"/>
    <x v="2"/>
  </r>
  <r>
    <n v="50505014"/>
    <n v="0"/>
    <s v="Lleida"/>
    <s v="Carrer Baró de Maials, 72, 25005 Lleida, España"/>
    <d v="2022-10-24T00:00:00"/>
    <d v="2022-12-02T00:00:00"/>
    <n v="39"/>
    <x v="1"/>
    <x v="0"/>
  </r>
  <r>
    <n v="50505041"/>
    <n v="259"/>
    <s v="Alcamo"/>
    <s v="Via Monte Bonifato, 45, 91011 Alcamo TP, Italia"/>
    <d v="2022-11-17T00:00:00"/>
    <d v="2022-12-02T00:00:00"/>
    <n v="15"/>
    <x v="0"/>
    <x v="0"/>
  </r>
  <r>
    <n v="50505060"/>
    <n v="259"/>
    <s v="Horsforth"/>
    <s v="203 Broadgate Ln, Horsforth, Leeds LS18 5BS, UK"/>
    <d v="2022-11-25T00:00:00"/>
    <d v="2022-12-02T00:00:00"/>
    <n v="7"/>
    <x v="0"/>
    <x v="0"/>
  </r>
  <r>
    <n v="50505074"/>
    <n v="0"/>
    <s v="València"/>
    <s v="Carrer de Jorge Juan, 31, 46004 València, Valencia, España"/>
    <d v="2022-10-12T00:00:00"/>
    <d v="2022-12-02T00:00:00"/>
    <n v="51"/>
    <x v="1"/>
    <x v="1"/>
  </r>
  <r>
    <n v="50506504"/>
    <n v="866"/>
    <s v="Savona"/>
    <s v="Via Santa Lucia, 1, 17100 Savona SV, Italia"/>
    <d v="2022-11-30T00:00:00"/>
    <d v="2022-12-02T00:00:00"/>
    <n v="2"/>
    <x v="0"/>
    <x v="1"/>
  </r>
  <r>
    <n v="50603050"/>
    <n v="95"/>
    <s v="Μαρούσι"/>
    <s v="Θέμιδος 1, Μαρούσι 151 24, Ελλάδα"/>
    <d v="2022-10-17T00:00:00"/>
    <d v="2022-12-02T00:00:00"/>
    <n v="46"/>
    <x v="1"/>
    <x v="2"/>
  </r>
  <r>
    <n v="50630150"/>
    <n v="0"/>
    <s v="Saint-Cloud"/>
    <s v="23 Rue du Dr Desfossez, 92210 Saint-Cloud, France"/>
    <d v="2022-10-01T00:00:00"/>
    <d v="2022-12-02T00:00:00"/>
    <n v="62"/>
    <x v="1"/>
    <x v="2"/>
  </r>
  <r>
    <n v="50630450"/>
    <n v="0"/>
    <s v="La Puebla"/>
    <s v="Rda. Albufera, 56, 07420 La Puebla, Islas Baleares, España"/>
    <d v="2022-11-18T00:00:00"/>
    <d v="2022-12-02T00:00:00"/>
    <n v="14"/>
    <x v="1"/>
    <x v="0"/>
  </r>
  <r>
    <n v="50630500"/>
    <n v="0"/>
    <s v="Stuttgart"/>
    <s v="Duisburger Str. 35, 70376 Stuttgart, Deutschland"/>
    <d v="2022-10-13T00:00:00"/>
    <d v="2022-12-02T00:00:00"/>
    <n v="50"/>
    <x v="1"/>
    <x v="0"/>
  </r>
  <r>
    <n v="50630505"/>
    <n v="0"/>
    <s v="Eemnes"/>
    <s v="Wezeboom 21, 3755 WT Eemnes, Netherlands"/>
    <d v="2022-10-02T00:00:00"/>
    <d v="2022-12-02T00:00:00"/>
    <n v="61"/>
    <x v="1"/>
    <x v="0"/>
  </r>
  <r>
    <n v="50630530"/>
    <n v="0"/>
    <s v="Edinburgh"/>
    <s v="140 Ferry Rd., Edinburgh EH6 4PQ, UK"/>
    <d v="2022-11-13T00:00:00"/>
    <d v="2022-12-02T00:00:00"/>
    <n v="19"/>
    <x v="1"/>
    <x v="2"/>
  </r>
  <r>
    <n v="50630750"/>
    <n v="0"/>
    <s v="Toulouse"/>
    <s v="14 Rue Maurice Fonvieille, 31000 Toulouse, France"/>
    <d v="2022-11-27T00:00:00"/>
    <d v="2022-12-02T00:00:00"/>
    <n v="5"/>
    <x v="1"/>
    <x v="1"/>
  </r>
  <r>
    <n v="50650030"/>
    <n v="145"/>
    <s v="Sarno"/>
    <s v="Via S. Valentino, 6, 84087 Sarno SA, Italia"/>
    <d v="2022-10-27T00:00:00"/>
    <d v="2022-12-02T00:00:00"/>
    <n v="36"/>
    <x v="1"/>
    <x v="2"/>
  </r>
  <r>
    <n v="50650307"/>
    <n v="0"/>
    <s v="Rotterdam"/>
    <s v="Emmy van Leersumhof 24a, 3059 LT Rotterdam, Netherlands"/>
    <d v="2022-11-30T00:00:00"/>
    <d v="2022-12-02T00:00:00"/>
    <n v="2"/>
    <x v="1"/>
    <x v="2"/>
  </r>
  <r>
    <n v="50650506"/>
    <n v="0"/>
    <s v="Oggiona"/>
    <s v="Via Giacomo Matteotti, 16, 21040 Oggiona VA, Italia"/>
    <d v="2022-12-07T00:00:00"/>
    <d v="2022-12-02T00:00:00"/>
    <n v="-5"/>
    <x v="1"/>
    <x v="0"/>
  </r>
  <r>
    <n v="50650550"/>
    <n v="0"/>
    <s v="Βριλήσσια"/>
    <s v="Γράμμου 24-26, Βριλήσσια 152 35, Ελλάδα"/>
    <d v="2022-10-30T00:00:00"/>
    <d v="2022-12-02T00:00:00"/>
    <n v="33"/>
    <x v="1"/>
    <x v="2"/>
  </r>
  <r>
    <n v="50650630"/>
    <n v="82"/>
    <s v="Pinerolo"/>
    <s v="Via Montebello, 19, 10064 Pinerolo TO, Italia"/>
    <d v="2022-10-22T00:00:00"/>
    <d v="2022-12-02T00:00:00"/>
    <n v="41"/>
    <x v="1"/>
    <x v="2"/>
  </r>
  <r>
    <n v="50663030"/>
    <n v="0"/>
    <s v="Greater London"/>
    <s v="224-226 York Rd, London SW11 3SD, UK"/>
    <d v="2022-12-02T00:00:00"/>
    <d v="2022-12-02T00:00:00"/>
    <n v="0"/>
    <x v="1"/>
    <x v="0"/>
  </r>
  <r>
    <n v="50675030"/>
    <n v="0"/>
    <s v="Bologna"/>
    <s v="Via San Mamolo, 3, 40136 Bologna BO, Italia"/>
    <d v="2022-11-27T00:00:00"/>
    <d v="2022-12-02T00:00:00"/>
    <n v="5"/>
    <x v="1"/>
    <x v="0"/>
  </r>
  <r>
    <n v="50675050"/>
    <n v="0"/>
    <s v="München"/>
    <s v="Hans-Mielich-Straße 35, 81543 München, Deutschland"/>
    <d v="2022-11-12T00:00:00"/>
    <d v="2022-12-02T00:00:00"/>
    <n v="20"/>
    <x v="1"/>
    <x v="1"/>
  </r>
  <r>
    <n v="53050430"/>
    <n v="25386"/>
    <s v="Roma"/>
    <s v="Via delle Quattro Fontane, 111, 00184 Roma RM, Italia"/>
    <d v="2022-11-15T00:00:00"/>
    <d v="2022-12-02T00:00:00"/>
    <n v="17"/>
    <x v="0"/>
    <x v="0"/>
  </r>
  <r>
    <n v="500303050"/>
    <n v="1666"/>
    <s v="Barcelona"/>
    <s v="Av. de la Mare de Déu de Montserrat, 170, 08041 Barcelona, España"/>
    <d v="2022-08-26T00:00:00"/>
    <d v="2022-12-02T00:00:00"/>
    <n v="98"/>
    <x v="1"/>
    <x v="0"/>
  </r>
  <r>
    <n v="503030505"/>
    <n v="1"/>
    <s v="Paris"/>
    <s v="19 Rue Francis de Croisset, 75018 Paris, France"/>
    <d v="2022-10-16T00:00:00"/>
    <d v="2022-12-02T00:00:00"/>
    <n v="47"/>
    <x v="1"/>
    <x v="2"/>
  </r>
  <r>
    <n v="503050300"/>
    <n v="9"/>
    <s v="Oberding"/>
    <s v="Dorfstraße 15, 85445 Oberding, Deutschland"/>
    <d v="2022-09-22T00:00:00"/>
    <d v="2022-12-02T00:00:00"/>
    <n v="71"/>
    <x v="1"/>
    <x v="2"/>
  </r>
  <r>
    <n v="503050550"/>
    <n v="1"/>
    <s v="Le Kremlin-Bicêtre"/>
    <s v="36 Av. de Fontainebleau, 94270 Le Kremlin-Bicêtre, France"/>
    <d v="2022-10-23T00:00:00"/>
    <d v="2022-12-02T00:00:00"/>
    <n v="40"/>
    <x v="1"/>
    <x v="2"/>
  </r>
  <r>
    <n v="505030504"/>
    <n v="2037"/>
    <s v="Barcelona"/>
    <s v="Gran Via de les Corts Catalanes, 855, 08018 Barcelona, España"/>
    <d v="2022-10-23T00:00:00"/>
    <d v="2022-12-02T00:00:00"/>
    <n v="40"/>
    <x v="1"/>
    <x v="0"/>
  </r>
  <r>
    <n v="505050630"/>
    <n v="876"/>
    <s v="Sitges"/>
    <s v="Carrer d'Angel Vidal, 29, 31, 08870 Sitges, Barcelona, España"/>
    <d v="2022-10-14T00:00:00"/>
    <d v="2022-12-02T00:00:00"/>
    <n v="49"/>
    <x v="1"/>
    <x v="0"/>
  </r>
  <r>
    <n v="506305050"/>
    <n v="40"/>
    <s v="Árvore"/>
    <s v="R. Ana Leite do Passo 93, 4480-093 Árvore, Portugal"/>
    <d v="2022-11-01T00:00:00"/>
    <d v="2022-12-02T00:00:00"/>
    <n v="31"/>
    <x v="1"/>
    <x v="1"/>
  </r>
  <r>
    <m/>
    <m/>
    <m/>
    <m/>
    <m/>
    <m/>
    <m/>
    <x v="2"/>
    <x v="3"/>
  </r>
  <r>
    <m/>
    <m/>
    <m/>
    <m/>
    <m/>
    <m/>
    <m/>
    <x v="2"/>
    <x v="3"/>
  </r>
  <r>
    <m/>
    <m/>
    <m/>
    <m/>
    <m/>
    <m/>
    <m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CDD4B-B3B3-4DA4-BB83-EF82DF7ED336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8" firstHeaderRow="1" firstDataRow="2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00651-73B7-4CE9-A3E5-CD00452BC728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7" firstHeaderRow="1" firstDataRow="1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83209-FAA4-4CEC-92B0-02BDD056518E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52"/>
  <sheetViews>
    <sheetView tabSelected="1" workbookViewId="0">
      <selection activeCell="P5" sqref="P5"/>
    </sheetView>
  </sheetViews>
  <sheetFormatPr baseColWidth="10" defaultColWidth="12.6640625" defaultRowHeight="15.75" customHeight="1" x14ac:dyDescent="0.25"/>
  <cols>
    <col min="2" max="2" width="25.44140625" customWidth="1"/>
    <col min="3" max="3" width="31.109375" customWidth="1"/>
    <col min="4" max="4" width="14.77734375" customWidth="1"/>
    <col min="5" max="5" width="14.44140625" customWidth="1"/>
    <col min="6" max="6" width="9.21875" customWidth="1"/>
    <col min="7" max="7" width="7" customWidth="1"/>
    <col min="8" max="8" width="45.5546875" hidden="1" customWidth="1"/>
    <col min="9" max="9" width="21.88671875" hidden="1" customWidth="1"/>
    <col min="10" max="10" width="24.21875" hidden="1" customWidth="1"/>
    <col min="11" max="11" width="26.5546875" hidden="1" customWidth="1"/>
    <col min="12" max="13" width="12.6640625" hidden="1" customWidth="1"/>
    <col min="14" max="14" width="36" hidden="1" customWidth="1"/>
    <col min="15" max="15" width="30.21875" hidden="1" customWidth="1"/>
    <col min="16" max="16" width="23" customWidth="1"/>
    <col min="17" max="17" width="22.88671875" customWidth="1"/>
    <col min="18" max="18" width="36.5546875" customWidth="1"/>
    <col min="19" max="19" width="23.44140625" customWidth="1"/>
    <col min="20" max="20" width="23" customWidth="1"/>
    <col min="22" max="22" width="25.77734375" customWidth="1"/>
    <col min="23" max="23" width="25" customWidth="1"/>
  </cols>
  <sheetData>
    <row r="1" spans="1:23" ht="15.75" customHeight="1" x14ac:dyDescent="0.3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 t="s">
        <v>8</v>
      </c>
      <c r="J1" s="11" t="s">
        <v>9</v>
      </c>
      <c r="K1" s="1" t="s">
        <v>10</v>
      </c>
      <c r="L1" s="2" t="s">
        <v>11</v>
      </c>
      <c r="M1" s="1" t="s">
        <v>12</v>
      </c>
      <c r="N1" s="11" t="s">
        <v>13</v>
      </c>
      <c r="O1" s="1" t="s">
        <v>14</v>
      </c>
      <c r="P1" s="1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2" t="s">
        <v>21</v>
      </c>
      <c r="W1" s="12" t="s">
        <v>22</v>
      </c>
    </row>
    <row r="2" spans="1:23" ht="15.75" customHeight="1" x14ac:dyDescent="0.3">
      <c r="A2" s="28">
        <v>506655</v>
      </c>
      <c r="B2" s="29" t="b">
        <v>1</v>
      </c>
      <c r="C2" s="30" t="s">
        <v>2064</v>
      </c>
      <c r="D2" s="30" t="s">
        <v>2065</v>
      </c>
      <c r="E2" s="31">
        <v>4045892</v>
      </c>
      <c r="F2" s="31">
        <v>-367758</v>
      </c>
      <c r="G2" s="30" t="s">
        <v>195</v>
      </c>
      <c r="H2" s="30" t="s">
        <v>2066</v>
      </c>
      <c r="I2" s="32">
        <v>44831.603792638889</v>
      </c>
      <c r="J2" s="30">
        <f>35903838983</f>
        <v>35903838983</v>
      </c>
      <c r="K2" s="28">
        <v>0</v>
      </c>
      <c r="L2" s="31">
        <v>0</v>
      </c>
      <c r="M2" s="30" t="s">
        <v>2067</v>
      </c>
      <c r="N2" s="28">
        <v>0</v>
      </c>
      <c r="O2" s="28">
        <v>3</v>
      </c>
      <c r="P2" s="30" t="s">
        <v>28</v>
      </c>
      <c r="Q2" s="29" t="b">
        <v>1</v>
      </c>
      <c r="R2" s="29" t="b">
        <v>0</v>
      </c>
      <c r="S2" s="29" t="b">
        <v>0</v>
      </c>
      <c r="T2" s="28">
        <v>0</v>
      </c>
      <c r="U2" s="29" t="b">
        <v>0</v>
      </c>
      <c r="V2" s="33">
        <v>44885</v>
      </c>
      <c r="W2" s="33">
        <v>44892</v>
      </c>
    </row>
    <row r="3" spans="1:23" ht="15.75" customHeight="1" x14ac:dyDescent="0.3">
      <c r="A3" s="28">
        <v>506655</v>
      </c>
      <c r="B3" s="29" t="b">
        <v>1</v>
      </c>
      <c r="C3" s="30" t="s">
        <v>2072</v>
      </c>
      <c r="D3" s="30" t="s">
        <v>2073</v>
      </c>
      <c r="E3" s="31">
        <v>5142353</v>
      </c>
      <c r="F3" s="31">
        <v>703687</v>
      </c>
      <c r="G3" s="30" t="s">
        <v>2074</v>
      </c>
      <c r="H3" s="30" t="s">
        <v>2075</v>
      </c>
      <c r="I3" s="32">
        <v>44831.682851585647</v>
      </c>
      <c r="J3" s="30">
        <f>5933955933535</f>
        <v>5933955933535</v>
      </c>
      <c r="K3" s="28">
        <v>0</v>
      </c>
      <c r="L3" s="31">
        <v>0</v>
      </c>
      <c r="M3" s="30"/>
      <c r="N3" s="28">
        <v>0</v>
      </c>
      <c r="O3" s="28">
        <v>1</v>
      </c>
      <c r="P3" s="30" t="s">
        <v>33</v>
      </c>
      <c r="Q3" s="29" t="b">
        <v>1</v>
      </c>
      <c r="R3" s="29" t="b">
        <v>0</v>
      </c>
      <c r="S3" s="29" t="b">
        <v>0</v>
      </c>
      <c r="T3" s="28">
        <v>0</v>
      </c>
      <c r="U3" s="29" t="b">
        <v>0</v>
      </c>
      <c r="V3" s="33">
        <v>44878</v>
      </c>
      <c r="W3" s="33">
        <v>44886</v>
      </c>
    </row>
    <row r="4" spans="1:23" ht="15.75" customHeight="1" x14ac:dyDescent="0.3">
      <c r="A4" s="28">
        <v>506655</v>
      </c>
      <c r="B4" s="29" t="b">
        <v>1</v>
      </c>
      <c r="C4" s="30" t="s">
        <v>2162</v>
      </c>
      <c r="D4" s="30" t="s">
        <v>2163</v>
      </c>
      <c r="E4" s="31">
        <v>4367622</v>
      </c>
      <c r="F4" s="31">
        <v>4430167</v>
      </c>
      <c r="G4" s="30" t="s">
        <v>1970</v>
      </c>
      <c r="H4" s="30" t="s">
        <v>1971</v>
      </c>
      <c r="I4" s="32">
        <v>44833.330470266206</v>
      </c>
      <c r="J4" s="30">
        <f>33599835308</f>
        <v>33599835308</v>
      </c>
      <c r="K4" s="28">
        <v>0</v>
      </c>
      <c r="L4" s="31">
        <v>0</v>
      </c>
      <c r="M4" s="30" t="s">
        <v>2164</v>
      </c>
      <c r="N4" s="28">
        <v>0</v>
      </c>
      <c r="O4" s="28">
        <v>0</v>
      </c>
      <c r="P4" s="30" t="s">
        <v>33</v>
      </c>
      <c r="Q4" s="29" t="b">
        <v>1</v>
      </c>
      <c r="R4" s="29" t="b">
        <v>0</v>
      </c>
      <c r="S4" s="29" t="b">
        <v>0</v>
      </c>
      <c r="T4" s="28">
        <v>0</v>
      </c>
      <c r="U4" s="29" t="b">
        <v>0</v>
      </c>
      <c r="V4" s="33">
        <v>44888</v>
      </c>
      <c r="W4" s="35">
        <v>44895</v>
      </c>
    </row>
    <row r="5" spans="1:23" ht="15.75" customHeight="1" x14ac:dyDescent="0.3">
      <c r="A5" s="28">
        <v>506655</v>
      </c>
      <c r="B5" s="29" t="b">
        <v>1</v>
      </c>
      <c r="C5" s="30" t="s">
        <v>2189</v>
      </c>
      <c r="D5" s="30" t="s">
        <v>2190</v>
      </c>
      <c r="E5" s="31">
        <v>4824496</v>
      </c>
      <c r="F5" s="31">
        <v>1636206</v>
      </c>
      <c r="G5" s="30" t="s">
        <v>1599</v>
      </c>
      <c r="H5" s="30" t="s">
        <v>2191</v>
      </c>
      <c r="I5" s="32">
        <v>44833.363711574071</v>
      </c>
      <c r="J5" s="30">
        <f>5399983850858</f>
        <v>5399983850858</v>
      </c>
      <c r="K5" s="28">
        <v>0</v>
      </c>
      <c r="L5" s="31">
        <v>0</v>
      </c>
      <c r="M5" s="30"/>
      <c r="N5" s="28">
        <v>0</v>
      </c>
      <c r="O5" s="28">
        <v>0</v>
      </c>
      <c r="P5" s="30" t="s">
        <v>33</v>
      </c>
      <c r="Q5" s="29" t="b">
        <v>0</v>
      </c>
      <c r="R5" s="29" t="b">
        <v>1</v>
      </c>
      <c r="S5" s="29" t="b">
        <v>0</v>
      </c>
      <c r="T5" s="28">
        <v>0</v>
      </c>
      <c r="U5" s="29" t="b">
        <v>0</v>
      </c>
      <c r="V5" s="35">
        <v>44900</v>
      </c>
      <c r="W5" s="33">
        <v>44891</v>
      </c>
    </row>
    <row r="6" spans="1:23" ht="15.75" customHeight="1" x14ac:dyDescent="0.3">
      <c r="A6" s="3">
        <v>530</v>
      </c>
      <c r="B6" s="4" t="b">
        <v>1</v>
      </c>
      <c r="C6" s="1" t="s">
        <v>23</v>
      </c>
      <c r="D6" s="1" t="s">
        <v>24</v>
      </c>
      <c r="E6" s="5">
        <v>4182122</v>
      </c>
      <c r="F6" s="5">
        <v>1245451</v>
      </c>
      <c r="G6" s="1" t="s">
        <v>25</v>
      </c>
      <c r="H6" s="1" t="s">
        <v>26</v>
      </c>
      <c r="I6" s="6">
        <v>41733.896206851852</v>
      </c>
      <c r="J6" s="1">
        <f>390958839938</f>
        <v>390958839938</v>
      </c>
      <c r="K6" s="3">
        <v>1571</v>
      </c>
      <c r="L6" s="5" t="s">
        <v>27</v>
      </c>
      <c r="M6" s="1">
        <v>3333333333</v>
      </c>
      <c r="N6" s="3">
        <v>9192</v>
      </c>
      <c r="O6" s="3">
        <v>8</v>
      </c>
      <c r="P6" s="1" t="s">
        <v>28</v>
      </c>
      <c r="Q6" s="4" t="b">
        <v>0</v>
      </c>
      <c r="R6" s="4" t="b">
        <v>1</v>
      </c>
      <c r="S6" s="4" t="b">
        <v>0</v>
      </c>
      <c r="T6" s="3" t="s">
        <v>29</v>
      </c>
      <c r="U6" s="4" t="b">
        <v>0</v>
      </c>
      <c r="V6" s="7">
        <v>44903</v>
      </c>
      <c r="W6" s="7">
        <v>44903</v>
      </c>
    </row>
    <row r="7" spans="1:23" ht="15.75" customHeight="1" x14ac:dyDescent="0.3">
      <c r="A7" s="3">
        <v>570</v>
      </c>
      <c r="B7" s="4" t="b">
        <v>1</v>
      </c>
      <c r="C7" s="1" t="s">
        <v>30</v>
      </c>
      <c r="D7" s="1" t="s">
        <v>31</v>
      </c>
      <c r="E7" s="5">
        <v>419151</v>
      </c>
      <c r="F7" s="5">
        <v>124633</v>
      </c>
      <c r="G7" s="1" t="s">
        <v>25</v>
      </c>
      <c r="H7" s="1" t="s">
        <v>32</v>
      </c>
      <c r="I7" s="6">
        <v>42081.554524247687</v>
      </c>
      <c r="J7" s="1">
        <f>390999059333</f>
        <v>390999059333</v>
      </c>
      <c r="K7" s="3">
        <v>445</v>
      </c>
      <c r="L7" s="5" t="s">
        <v>27</v>
      </c>
      <c r="M7" s="1">
        <v>33333</v>
      </c>
      <c r="N7" s="3">
        <v>5594</v>
      </c>
      <c r="O7" s="3">
        <v>6</v>
      </c>
      <c r="P7" s="1" t="s">
        <v>33</v>
      </c>
      <c r="Q7" s="4" t="b">
        <v>0</v>
      </c>
      <c r="R7" s="4" t="b">
        <v>0</v>
      </c>
      <c r="S7" s="4" t="b">
        <v>0</v>
      </c>
      <c r="T7" s="3" t="s">
        <v>34</v>
      </c>
      <c r="U7" s="4" t="b">
        <v>0</v>
      </c>
      <c r="V7" s="7">
        <v>44903</v>
      </c>
      <c r="W7" s="7">
        <v>44903</v>
      </c>
    </row>
    <row r="8" spans="1:23" ht="15.75" customHeight="1" x14ac:dyDescent="0.3">
      <c r="A8" s="3">
        <v>655</v>
      </c>
      <c r="B8" s="4" t="b">
        <v>1</v>
      </c>
      <c r="C8" s="1" t="s">
        <v>45</v>
      </c>
      <c r="D8" s="1" t="s">
        <v>46</v>
      </c>
      <c r="E8" s="5">
        <v>4181684</v>
      </c>
      <c r="F8" s="5">
        <v>124466</v>
      </c>
      <c r="G8" s="1" t="s">
        <v>25</v>
      </c>
      <c r="H8" s="1" t="s">
        <v>47</v>
      </c>
      <c r="I8" s="6">
        <v>42377.702130844904</v>
      </c>
      <c r="J8" s="1">
        <f>390990998380</f>
        <v>390990998380</v>
      </c>
      <c r="K8" s="3">
        <v>311</v>
      </c>
      <c r="L8" s="5" t="s">
        <v>27</v>
      </c>
      <c r="M8" s="1">
        <v>73733333</v>
      </c>
      <c r="N8" s="3">
        <v>5647</v>
      </c>
      <c r="O8" s="3">
        <v>4</v>
      </c>
      <c r="P8" s="1" t="s">
        <v>33</v>
      </c>
      <c r="Q8" s="4" t="b">
        <v>0</v>
      </c>
      <c r="R8" s="4" t="b">
        <v>0</v>
      </c>
      <c r="S8" s="4" t="b">
        <v>0</v>
      </c>
      <c r="T8" s="3" t="s">
        <v>40</v>
      </c>
      <c r="U8" s="4" t="b">
        <v>0</v>
      </c>
      <c r="V8" s="7">
        <v>44903</v>
      </c>
      <c r="W8" s="7">
        <v>44903</v>
      </c>
    </row>
    <row r="9" spans="1:23" ht="15.75" customHeight="1" x14ac:dyDescent="0.3">
      <c r="A9" s="3">
        <v>767</v>
      </c>
      <c r="B9" s="4" t="b">
        <v>1</v>
      </c>
      <c r="C9" s="1" t="s">
        <v>48</v>
      </c>
      <c r="D9" s="1" t="s">
        <v>49</v>
      </c>
      <c r="E9" s="5">
        <v>4321008</v>
      </c>
      <c r="F9" s="5">
        <v>1180361</v>
      </c>
      <c r="G9" s="1" t="s">
        <v>50</v>
      </c>
      <c r="H9" s="1" t="s">
        <v>51</v>
      </c>
      <c r="I9" s="6">
        <v>42409.669478136573</v>
      </c>
      <c r="J9" s="1">
        <f>390533985535</f>
        <v>390533985535</v>
      </c>
      <c r="K9" s="3">
        <v>298</v>
      </c>
      <c r="L9" s="5" t="s">
        <v>27</v>
      </c>
      <c r="M9" s="1">
        <v>773773333</v>
      </c>
      <c r="N9" s="3">
        <v>5003</v>
      </c>
      <c r="O9" s="3">
        <v>7</v>
      </c>
      <c r="P9" s="1" t="s">
        <v>39</v>
      </c>
      <c r="Q9" s="4" t="b">
        <v>0</v>
      </c>
      <c r="R9" s="4" t="b">
        <v>0</v>
      </c>
      <c r="S9" s="4" t="b">
        <v>0</v>
      </c>
      <c r="T9" s="3" t="s">
        <v>34</v>
      </c>
      <c r="U9" s="4" t="b">
        <v>0</v>
      </c>
      <c r="V9" s="7">
        <v>44903</v>
      </c>
      <c r="W9" s="7">
        <v>44903</v>
      </c>
    </row>
    <row r="10" spans="1:23" ht="15.75" customHeight="1" x14ac:dyDescent="0.3">
      <c r="A10" s="3">
        <v>1104</v>
      </c>
      <c r="B10" s="4" t="b">
        <v>1</v>
      </c>
      <c r="C10" s="1" t="s">
        <v>65</v>
      </c>
      <c r="D10" s="1" t="s">
        <v>66</v>
      </c>
      <c r="E10" s="5">
        <v>4039903</v>
      </c>
      <c r="F10" s="5">
        <v>86599</v>
      </c>
      <c r="G10" s="1" t="s">
        <v>67</v>
      </c>
      <c r="H10" s="1" t="s">
        <v>68</v>
      </c>
      <c r="I10" s="6">
        <v>42627.545671180553</v>
      </c>
      <c r="J10" s="1">
        <v>59503385</v>
      </c>
      <c r="K10" s="3">
        <v>0</v>
      </c>
      <c r="L10" s="5">
        <v>0</v>
      </c>
      <c r="M10" s="1">
        <v>333333737</v>
      </c>
      <c r="N10" s="3">
        <v>0</v>
      </c>
      <c r="O10" s="3">
        <v>0</v>
      </c>
      <c r="P10" s="1" t="s">
        <v>39</v>
      </c>
      <c r="Q10" s="4" t="b">
        <v>1</v>
      </c>
      <c r="R10" s="4" t="b">
        <v>0</v>
      </c>
      <c r="S10" s="4" t="b">
        <v>1</v>
      </c>
      <c r="T10" s="3">
        <v>0</v>
      </c>
      <c r="U10" s="4" t="b">
        <v>0</v>
      </c>
      <c r="V10" s="7">
        <v>44805</v>
      </c>
      <c r="W10" s="7">
        <v>44801</v>
      </c>
    </row>
    <row r="11" spans="1:23" ht="15.75" customHeight="1" x14ac:dyDescent="0.3">
      <c r="A11" s="3">
        <v>1140</v>
      </c>
      <c r="B11" s="4" t="b">
        <v>1</v>
      </c>
      <c r="C11" s="1" t="s">
        <v>69</v>
      </c>
      <c r="D11" s="1" t="s">
        <v>70</v>
      </c>
      <c r="E11" s="5">
        <v>3724719</v>
      </c>
      <c r="F11" s="5">
        <v>1522006</v>
      </c>
      <c r="G11" s="1" t="s">
        <v>71</v>
      </c>
      <c r="H11" s="1" t="s">
        <v>72</v>
      </c>
      <c r="I11" s="6">
        <v>42641.44152925926</v>
      </c>
      <c r="J11" s="1">
        <v>933538595</v>
      </c>
      <c r="K11" s="3">
        <v>5</v>
      </c>
      <c r="L11" s="5">
        <v>5</v>
      </c>
      <c r="M11" s="1"/>
      <c r="N11" s="3">
        <v>0</v>
      </c>
      <c r="O11" s="3">
        <v>1</v>
      </c>
      <c r="P11" s="1" t="s">
        <v>28</v>
      </c>
      <c r="Q11" s="4" t="b">
        <v>1</v>
      </c>
      <c r="R11" s="4" t="b">
        <v>0</v>
      </c>
      <c r="S11" s="4" t="b">
        <v>0</v>
      </c>
      <c r="T11" s="3" t="s">
        <v>73</v>
      </c>
      <c r="U11" s="4" t="b">
        <v>0</v>
      </c>
      <c r="V11" s="7">
        <v>44650</v>
      </c>
      <c r="W11" s="7">
        <v>44815</v>
      </c>
    </row>
    <row r="12" spans="1:23" ht="15.75" customHeight="1" x14ac:dyDescent="0.3">
      <c r="A12" s="3">
        <v>1445</v>
      </c>
      <c r="B12" s="4" t="b">
        <v>1</v>
      </c>
      <c r="C12" s="1" t="s">
        <v>79</v>
      </c>
      <c r="D12" s="1" t="s">
        <v>80</v>
      </c>
      <c r="E12" s="5">
        <v>4607757</v>
      </c>
      <c r="F12" s="5">
        <v>1111624</v>
      </c>
      <c r="G12" s="1" t="s">
        <v>81</v>
      </c>
      <c r="H12" s="1" t="s">
        <v>82</v>
      </c>
      <c r="I12" s="6">
        <v>42692.357358460649</v>
      </c>
      <c r="J12" s="1">
        <v>593589395</v>
      </c>
      <c r="K12" s="3">
        <v>10</v>
      </c>
      <c r="L12" s="5" t="s">
        <v>83</v>
      </c>
      <c r="M12" s="1"/>
      <c r="N12" s="3">
        <v>1</v>
      </c>
      <c r="O12" s="3">
        <v>1</v>
      </c>
      <c r="P12" s="1" t="s">
        <v>28</v>
      </c>
      <c r="Q12" s="4" t="b">
        <v>1</v>
      </c>
      <c r="R12" s="4" t="b">
        <v>0</v>
      </c>
      <c r="S12" s="4" t="b">
        <v>0</v>
      </c>
      <c r="T12" s="3">
        <v>0</v>
      </c>
      <c r="U12" s="4" t="b">
        <v>0</v>
      </c>
      <c r="V12" s="7">
        <v>44612</v>
      </c>
      <c r="W12" s="8">
        <v>44879</v>
      </c>
    </row>
    <row r="13" spans="1:23" ht="15.75" customHeight="1" x14ac:dyDescent="0.3">
      <c r="A13" s="3">
        <v>1450</v>
      </c>
      <c r="B13" s="4" t="b">
        <v>1</v>
      </c>
      <c r="C13" s="1" t="s">
        <v>107</v>
      </c>
      <c r="D13" s="1" t="s">
        <v>108</v>
      </c>
      <c r="E13" s="5">
        <v>441149</v>
      </c>
      <c r="F13" s="5">
        <v>9841499</v>
      </c>
      <c r="G13" s="1" t="s">
        <v>109</v>
      </c>
      <c r="H13" s="1" t="s">
        <v>110</v>
      </c>
      <c r="I13" s="6">
        <v>42713.455828321756</v>
      </c>
      <c r="J13" s="1" t="s">
        <v>111</v>
      </c>
      <c r="K13" s="3">
        <v>10</v>
      </c>
      <c r="L13" s="5" t="s">
        <v>112</v>
      </c>
      <c r="M13" s="1">
        <v>76673333</v>
      </c>
      <c r="N13" s="3">
        <v>1</v>
      </c>
      <c r="O13" s="3">
        <v>1</v>
      </c>
      <c r="P13" s="1" t="s">
        <v>28</v>
      </c>
      <c r="Q13" s="4" t="b">
        <v>1</v>
      </c>
      <c r="R13" s="4" t="b">
        <v>0</v>
      </c>
      <c r="S13" s="4" t="b">
        <v>0</v>
      </c>
      <c r="T13" s="3" t="s">
        <v>73</v>
      </c>
      <c r="U13" s="4" t="b">
        <v>0</v>
      </c>
      <c r="V13" s="7">
        <v>44673</v>
      </c>
      <c r="W13" s="7">
        <v>44758</v>
      </c>
    </row>
    <row r="14" spans="1:23" ht="15.75" customHeight="1" x14ac:dyDescent="0.3">
      <c r="A14" s="3">
        <v>1514</v>
      </c>
      <c r="B14" s="4" t="b">
        <v>1</v>
      </c>
      <c r="C14" s="1" t="s">
        <v>113</v>
      </c>
      <c r="D14" s="1" t="s">
        <v>114</v>
      </c>
      <c r="E14" s="5">
        <v>4489986</v>
      </c>
      <c r="F14" s="5">
        <v>8208413</v>
      </c>
      <c r="G14" s="1" t="s">
        <v>115</v>
      </c>
      <c r="H14" s="1" t="s">
        <v>116</v>
      </c>
      <c r="I14" s="6">
        <v>42717.388782604168</v>
      </c>
      <c r="J14" s="1" t="s">
        <v>117</v>
      </c>
      <c r="K14" s="3">
        <v>10</v>
      </c>
      <c r="L14" s="5" t="s">
        <v>118</v>
      </c>
      <c r="M14" s="1">
        <v>7373333</v>
      </c>
      <c r="N14" s="3">
        <v>0</v>
      </c>
      <c r="O14" s="3">
        <v>1</v>
      </c>
      <c r="P14" s="1" t="s">
        <v>28</v>
      </c>
      <c r="Q14" s="4" t="b">
        <v>1</v>
      </c>
      <c r="R14" s="4" t="b">
        <v>0</v>
      </c>
      <c r="S14" s="4" t="b">
        <v>0</v>
      </c>
      <c r="T14" s="3" t="s">
        <v>73</v>
      </c>
      <c r="U14" s="4" t="b">
        <v>0</v>
      </c>
      <c r="V14" s="7">
        <v>44611</v>
      </c>
      <c r="W14" s="7">
        <v>44624</v>
      </c>
    </row>
    <row r="15" spans="1:23" ht="15.75" customHeight="1" x14ac:dyDescent="0.3">
      <c r="A15" s="3">
        <v>1605</v>
      </c>
      <c r="B15" s="4" t="b">
        <v>1</v>
      </c>
      <c r="C15" s="1" t="s">
        <v>89</v>
      </c>
      <c r="D15" s="1" t="s">
        <v>90</v>
      </c>
      <c r="E15" s="5">
        <v>4190862</v>
      </c>
      <c r="F15" s="5">
        <v>1252019</v>
      </c>
      <c r="G15" s="1" t="s">
        <v>25</v>
      </c>
      <c r="H15" s="1" t="s">
        <v>91</v>
      </c>
      <c r="I15" s="6">
        <v>42697.476200787038</v>
      </c>
      <c r="J15" s="1">
        <f>393509030339</f>
        <v>393509030339</v>
      </c>
      <c r="K15" s="3">
        <v>68</v>
      </c>
      <c r="L15" s="5" t="s">
        <v>27</v>
      </c>
      <c r="M15" s="1">
        <v>7777333337</v>
      </c>
      <c r="N15" s="3">
        <v>4436</v>
      </c>
      <c r="O15" s="3">
        <v>3</v>
      </c>
      <c r="P15" s="1" t="s">
        <v>33</v>
      </c>
      <c r="Q15" s="4" t="b">
        <v>1</v>
      </c>
      <c r="R15" s="4" t="b">
        <v>0</v>
      </c>
      <c r="S15" s="4" t="b">
        <v>0</v>
      </c>
      <c r="T15" s="3" t="s">
        <v>73</v>
      </c>
      <c r="U15" s="4" t="b">
        <v>0</v>
      </c>
      <c r="V15" s="7">
        <v>44775</v>
      </c>
      <c r="W15" s="7">
        <v>44797</v>
      </c>
    </row>
    <row r="16" spans="1:23" ht="15.75" customHeight="1" x14ac:dyDescent="0.3">
      <c r="A16" s="3">
        <v>1701</v>
      </c>
      <c r="B16" s="4" t="b">
        <v>1</v>
      </c>
      <c r="C16" s="1" t="s">
        <v>92</v>
      </c>
      <c r="D16" s="1" t="s">
        <v>93</v>
      </c>
      <c r="E16" s="5">
        <v>4608439</v>
      </c>
      <c r="F16" s="5">
        <v>1317642</v>
      </c>
      <c r="G16" s="1" t="s">
        <v>94</v>
      </c>
      <c r="H16" s="1" t="s">
        <v>95</v>
      </c>
      <c r="I16" s="6">
        <v>42702.594415949075</v>
      </c>
      <c r="J16" s="1" t="s">
        <v>96</v>
      </c>
      <c r="K16" s="3">
        <v>10</v>
      </c>
      <c r="L16" s="5" t="s">
        <v>97</v>
      </c>
      <c r="M16" s="1">
        <v>663333373</v>
      </c>
      <c r="N16" s="3">
        <v>1</v>
      </c>
      <c r="O16" s="3">
        <v>1</v>
      </c>
      <c r="P16" s="1" t="s">
        <v>28</v>
      </c>
      <c r="Q16" s="4" t="b">
        <v>1</v>
      </c>
      <c r="R16" s="4" t="b">
        <v>0</v>
      </c>
      <c r="S16" s="4" t="b">
        <v>0</v>
      </c>
      <c r="T16" s="3" t="s">
        <v>73</v>
      </c>
      <c r="U16" s="4" t="b">
        <v>0</v>
      </c>
      <c r="V16" s="7">
        <v>44665</v>
      </c>
      <c r="W16" s="7">
        <v>44733</v>
      </c>
    </row>
    <row r="17" spans="1:23" ht="15.75" customHeight="1" x14ac:dyDescent="0.3">
      <c r="A17" s="3">
        <v>1775</v>
      </c>
      <c r="B17" s="4" t="b">
        <v>1</v>
      </c>
      <c r="C17" s="1" t="s">
        <v>98</v>
      </c>
      <c r="D17" s="1" t="s">
        <v>99</v>
      </c>
      <c r="E17" s="5">
        <v>4442072</v>
      </c>
      <c r="F17" s="5">
        <v>1222515</v>
      </c>
      <c r="G17" s="1" t="s">
        <v>100</v>
      </c>
      <c r="H17" s="1" t="s">
        <v>101</v>
      </c>
      <c r="I17" s="6">
        <v>42704.601362604168</v>
      </c>
      <c r="J17" s="1" t="s">
        <v>102</v>
      </c>
      <c r="K17" s="3">
        <v>10</v>
      </c>
      <c r="L17" s="5" t="s">
        <v>27</v>
      </c>
      <c r="M17" s="1"/>
      <c r="N17" s="3">
        <v>0</v>
      </c>
      <c r="O17" s="3">
        <v>1</v>
      </c>
      <c r="P17" s="1" t="s">
        <v>33</v>
      </c>
      <c r="Q17" s="4" t="b">
        <v>1</v>
      </c>
      <c r="R17" s="4" t="b">
        <v>0</v>
      </c>
      <c r="S17" s="4" t="b">
        <v>0</v>
      </c>
      <c r="T17" s="3" t="s">
        <v>73</v>
      </c>
      <c r="U17" s="4" t="b">
        <v>0</v>
      </c>
      <c r="V17" s="7">
        <v>44753</v>
      </c>
      <c r="W17" s="7">
        <v>44823</v>
      </c>
    </row>
    <row r="18" spans="1:23" ht="15.75" customHeight="1" x14ac:dyDescent="0.3">
      <c r="A18" s="3">
        <v>4530</v>
      </c>
      <c r="B18" s="4" t="b">
        <v>1</v>
      </c>
      <c r="C18" s="1" t="s">
        <v>41</v>
      </c>
      <c r="D18" s="1" t="s">
        <v>42</v>
      </c>
      <c r="E18" s="5">
        <v>4190835</v>
      </c>
      <c r="F18" s="5">
        <v>1247793</v>
      </c>
      <c r="G18" s="1" t="s">
        <v>25</v>
      </c>
      <c r="H18" s="1" t="s">
        <v>43</v>
      </c>
      <c r="I18" s="6">
        <v>42211.846602280093</v>
      </c>
      <c r="J18" s="1">
        <f>390990838933</f>
        <v>390990838933</v>
      </c>
      <c r="K18" s="3">
        <v>109</v>
      </c>
      <c r="L18" s="5" t="s">
        <v>27</v>
      </c>
      <c r="M18" s="1">
        <v>7333733333</v>
      </c>
      <c r="N18" s="3">
        <v>522</v>
      </c>
      <c r="O18" s="3">
        <v>2</v>
      </c>
      <c r="P18" s="1" t="s">
        <v>39</v>
      </c>
      <c r="Q18" s="4" t="b">
        <v>0</v>
      </c>
      <c r="R18" s="4" t="b">
        <v>1</v>
      </c>
      <c r="S18" s="4" t="b">
        <v>0</v>
      </c>
      <c r="T18" s="3" t="s">
        <v>44</v>
      </c>
      <c r="U18" s="4" t="b">
        <v>0</v>
      </c>
      <c r="V18" s="7">
        <v>44897</v>
      </c>
      <c r="W18" s="7">
        <v>44878</v>
      </c>
    </row>
    <row r="19" spans="1:23" ht="15.75" customHeight="1" x14ac:dyDescent="0.3">
      <c r="A19" s="3">
        <v>5047</v>
      </c>
      <c r="B19" s="4" t="b">
        <v>1</v>
      </c>
      <c r="C19" s="1" t="s">
        <v>35</v>
      </c>
      <c r="D19" s="1" t="s">
        <v>36</v>
      </c>
      <c r="E19" s="5">
        <v>4547895</v>
      </c>
      <c r="F19" s="5">
        <v>9176557</v>
      </c>
      <c r="G19" s="1" t="s">
        <v>37</v>
      </c>
      <c r="H19" s="1" t="s">
        <v>38</v>
      </c>
      <c r="I19" s="6">
        <v>42150.663543287039</v>
      </c>
      <c r="J19" s="1">
        <f>390893535033</f>
        <v>390893535033</v>
      </c>
      <c r="K19" s="3">
        <v>158</v>
      </c>
      <c r="L19" s="5" t="s">
        <v>27</v>
      </c>
      <c r="M19" s="1">
        <v>3337733766</v>
      </c>
      <c r="N19" s="3">
        <v>5739</v>
      </c>
      <c r="O19" s="3">
        <v>6</v>
      </c>
      <c r="P19" s="1" t="s">
        <v>39</v>
      </c>
      <c r="Q19" s="4" t="b">
        <v>0</v>
      </c>
      <c r="R19" s="4" t="b">
        <v>0</v>
      </c>
      <c r="S19" s="4" t="b">
        <v>0</v>
      </c>
      <c r="T19" s="3" t="s">
        <v>40</v>
      </c>
      <c r="U19" s="4" t="b">
        <v>0</v>
      </c>
      <c r="V19" s="7">
        <v>44903</v>
      </c>
      <c r="W19" s="7">
        <v>44903</v>
      </c>
    </row>
    <row r="20" spans="1:23" ht="15.75" customHeight="1" x14ac:dyDescent="0.3">
      <c r="A20" s="3">
        <v>5051</v>
      </c>
      <c r="B20" s="4" t="b">
        <v>1</v>
      </c>
      <c r="C20" s="1" t="s">
        <v>119</v>
      </c>
      <c r="D20" s="1" t="s">
        <v>120</v>
      </c>
      <c r="E20" s="5">
        <v>4145676</v>
      </c>
      <c r="F20" s="5">
        <v>1555325</v>
      </c>
      <c r="G20" s="1" t="s">
        <v>121</v>
      </c>
      <c r="H20" s="1" t="s">
        <v>122</v>
      </c>
      <c r="I20" s="6">
        <v>42723.468582754627</v>
      </c>
      <c r="J20" s="1" t="s">
        <v>123</v>
      </c>
      <c r="K20" s="3">
        <v>10</v>
      </c>
      <c r="L20" s="5" t="s">
        <v>124</v>
      </c>
      <c r="M20" s="1"/>
      <c r="N20" s="3">
        <v>0</v>
      </c>
      <c r="O20" s="3">
        <v>1</v>
      </c>
      <c r="P20" s="1" t="s">
        <v>39</v>
      </c>
      <c r="Q20" s="4" t="b">
        <v>1</v>
      </c>
      <c r="R20" s="4" t="b">
        <v>0</v>
      </c>
      <c r="S20" s="4" t="b">
        <v>0</v>
      </c>
      <c r="T20" s="3" t="s">
        <v>73</v>
      </c>
      <c r="U20" s="4" t="b">
        <v>0</v>
      </c>
      <c r="V20" s="7">
        <v>44715</v>
      </c>
      <c r="W20" s="7">
        <v>44627</v>
      </c>
    </row>
    <row r="21" spans="1:23" ht="15.75" customHeight="1" x14ac:dyDescent="0.3">
      <c r="A21" s="3">
        <v>5544</v>
      </c>
      <c r="B21" s="4" t="b">
        <v>1</v>
      </c>
      <c r="C21" s="1" t="s">
        <v>137</v>
      </c>
      <c r="D21" s="1" t="s">
        <v>138</v>
      </c>
      <c r="E21" s="5">
        <v>4571286</v>
      </c>
      <c r="F21" s="5">
        <v>8453338</v>
      </c>
      <c r="G21" s="1" t="s">
        <v>139</v>
      </c>
      <c r="H21" s="1" t="s">
        <v>140</v>
      </c>
      <c r="I21" s="6">
        <v>42738.397847291664</v>
      </c>
      <c r="J21" s="1">
        <v>388533055</v>
      </c>
      <c r="K21" s="3">
        <v>8</v>
      </c>
      <c r="L21" s="5" t="s">
        <v>136</v>
      </c>
      <c r="M21" s="1">
        <v>77673373</v>
      </c>
      <c r="N21" s="3">
        <v>212</v>
      </c>
      <c r="O21" s="3">
        <v>5</v>
      </c>
      <c r="P21" s="1" t="s">
        <v>33</v>
      </c>
      <c r="Q21" s="4" t="b">
        <v>1</v>
      </c>
      <c r="R21" s="4" t="b">
        <v>0</v>
      </c>
      <c r="S21" s="4" t="b">
        <v>0</v>
      </c>
      <c r="T21" s="3">
        <v>0</v>
      </c>
      <c r="U21" s="4" t="b">
        <v>0</v>
      </c>
      <c r="V21" s="7">
        <v>44732</v>
      </c>
      <c r="W21" s="7">
        <v>44810</v>
      </c>
    </row>
    <row r="22" spans="1:23" ht="15.75" customHeight="1" x14ac:dyDescent="0.3">
      <c r="A22" s="3">
        <v>5565</v>
      </c>
      <c r="B22" s="4" t="b">
        <v>1</v>
      </c>
      <c r="C22" s="1" t="s">
        <v>226</v>
      </c>
      <c r="D22" s="1" t="s">
        <v>227</v>
      </c>
      <c r="E22" s="5">
        <v>3797329</v>
      </c>
      <c r="F22" s="5">
        <v>2377499</v>
      </c>
      <c r="G22" s="1" t="s">
        <v>228</v>
      </c>
      <c r="H22" s="1" t="s">
        <v>229</v>
      </c>
      <c r="I22" s="6">
        <v>43087.3515162037</v>
      </c>
      <c r="J22" s="1">
        <f>308303535895</f>
        <v>308303535895</v>
      </c>
      <c r="K22" s="3">
        <v>340</v>
      </c>
      <c r="L22" s="5">
        <v>4802941</v>
      </c>
      <c r="M22" s="1">
        <v>7737</v>
      </c>
      <c r="N22" s="3">
        <v>2959</v>
      </c>
      <c r="O22" s="3">
        <v>5</v>
      </c>
      <c r="P22" s="1" t="s">
        <v>28</v>
      </c>
      <c r="Q22" s="4" t="b">
        <v>0</v>
      </c>
      <c r="R22" s="4" t="b">
        <v>0</v>
      </c>
      <c r="S22" s="4" t="b">
        <v>0</v>
      </c>
      <c r="T22" s="3" t="s">
        <v>40</v>
      </c>
      <c r="U22" s="4" t="b">
        <v>0</v>
      </c>
      <c r="V22" s="7">
        <v>44893</v>
      </c>
      <c r="W22" s="7">
        <v>44874</v>
      </c>
    </row>
    <row r="23" spans="1:23" ht="15.75" customHeight="1" x14ac:dyDescent="0.3">
      <c r="A23" s="3">
        <v>5764</v>
      </c>
      <c r="B23" s="4" t="b">
        <v>1</v>
      </c>
      <c r="C23" s="1" t="s">
        <v>150</v>
      </c>
      <c r="D23" s="1" t="s">
        <v>151</v>
      </c>
      <c r="E23" s="5">
        <v>4531785</v>
      </c>
      <c r="F23" s="5">
        <v>8417096</v>
      </c>
      <c r="G23" s="1" t="s">
        <v>152</v>
      </c>
      <c r="H23" s="1" t="s">
        <v>153</v>
      </c>
      <c r="I23" s="6">
        <v>42822.493239432872</v>
      </c>
      <c r="J23" s="1" t="s">
        <v>154</v>
      </c>
      <c r="K23" s="3">
        <v>10</v>
      </c>
      <c r="L23" s="5" t="s">
        <v>112</v>
      </c>
      <c r="M23" s="1"/>
      <c r="N23" s="3">
        <v>0</v>
      </c>
      <c r="O23" s="3">
        <v>1</v>
      </c>
      <c r="P23" s="1" t="s">
        <v>28</v>
      </c>
      <c r="Q23" s="4" t="b">
        <v>1</v>
      </c>
      <c r="R23" s="4" t="b">
        <v>0</v>
      </c>
      <c r="S23" s="4" t="b">
        <v>0</v>
      </c>
      <c r="T23" s="3" t="s">
        <v>73</v>
      </c>
      <c r="U23" s="4" t="b">
        <v>0</v>
      </c>
      <c r="V23" s="7">
        <v>44632</v>
      </c>
      <c r="W23" s="7">
        <v>44592</v>
      </c>
    </row>
    <row r="24" spans="1:23" ht="15.75" customHeight="1" x14ac:dyDescent="0.3">
      <c r="A24" s="3">
        <v>6456</v>
      </c>
      <c r="B24" s="4" t="b">
        <v>1</v>
      </c>
      <c r="C24" s="1" t="s">
        <v>199</v>
      </c>
      <c r="D24" s="1" t="s">
        <v>200</v>
      </c>
      <c r="E24" s="5">
        <v>4043087</v>
      </c>
      <c r="F24" s="5">
        <v>-368385</v>
      </c>
      <c r="G24" s="1" t="s">
        <v>195</v>
      </c>
      <c r="H24" s="1" t="s">
        <v>201</v>
      </c>
      <c r="I24" s="6">
        <v>43044.451517939815</v>
      </c>
      <c r="J24" s="1">
        <f>35938330550</f>
        <v>35938330550</v>
      </c>
      <c r="K24" s="3">
        <v>12</v>
      </c>
      <c r="L24" s="5" t="s">
        <v>130</v>
      </c>
      <c r="M24" s="1" t="s">
        <v>202</v>
      </c>
      <c r="N24" s="3">
        <v>42</v>
      </c>
      <c r="O24" s="3">
        <v>2</v>
      </c>
      <c r="P24" s="1" t="s">
        <v>33</v>
      </c>
      <c r="Q24" s="4" t="b">
        <v>0</v>
      </c>
      <c r="R24" s="4" t="b">
        <v>1</v>
      </c>
      <c r="S24" s="4" t="b">
        <v>0</v>
      </c>
      <c r="T24" s="3" t="s">
        <v>73</v>
      </c>
      <c r="U24" s="4" t="b">
        <v>0</v>
      </c>
      <c r="V24" s="7">
        <v>44573</v>
      </c>
      <c r="W24" s="7">
        <v>44681</v>
      </c>
    </row>
    <row r="25" spans="1:23" ht="15.75" customHeight="1" x14ac:dyDescent="0.3">
      <c r="A25" s="3">
        <v>6617</v>
      </c>
      <c r="B25" s="4" t="b">
        <v>1</v>
      </c>
      <c r="C25" s="1" t="s">
        <v>193</v>
      </c>
      <c r="D25" s="1" t="s">
        <v>194</v>
      </c>
      <c r="E25" s="5">
        <v>4043933</v>
      </c>
      <c r="F25" s="5">
        <v>-36529</v>
      </c>
      <c r="G25" s="1" t="s">
        <v>195</v>
      </c>
      <c r="H25" s="1" t="s">
        <v>196</v>
      </c>
      <c r="I25" s="6">
        <v>43044.434298032407</v>
      </c>
      <c r="J25" s="1">
        <f>35939803895</f>
        <v>35939803895</v>
      </c>
      <c r="K25" s="3">
        <v>6</v>
      </c>
      <c r="L25" s="5">
        <v>5</v>
      </c>
      <c r="M25" s="1" t="s">
        <v>197</v>
      </c>
      <c r="N25" s="3">
        <v>48</v>
      </c>
      <c r="O25" s="3">
        <v>1</v>
      </c>
      <c r="P25" s="1" t="s">
        <v>28</v>
      </c>
      <c r="Q25" s="4" t="b">
        <v>0</v>
      </c>
      <c r="R25" s="4" t="b">
        <v>1</v>
      </c>
      <c r="S25" s="4" t="b">
        <v>1</v>
      </c>
      <c r="T25" s="3" t="s">
        <v>198</v>
      </c>
      <c r="U25" s="4" t="b">
        <v>0</v>
      </c>
      <c r="V25" s="7">
        <v>44734</v>
      </c>
      <c r="W25" s="7">
        <v>44660</v>
      </c>
    </row>
    <row r="26" spans="1:23" ht="15.75" customHeight="1" x14ac:dyDescent="0.3">
      <c r="A26" s="3">
        <v>7146</v>
      </c>
      <c r="B26" s="4" t="b">
        <v>1</v>
      </c>
      <c r="C26" s="1" t="s">
        <v>203</v>
      </c>
      <c r="D26" s="1" t="s">
        <v>204</v>
      </c>
      <c r="E26" s="5">
        <v>4211205</v>
      </c>
      <c r="F26" s="5">
        <v>-831079</v>
      </c>
      <c r="G26" s="1" t="s">
        <v>205</v>
      </c>
      <c r="H26" s="1" t="s">
        <v>206</v>
      </c>
      <c r="I26" s="6">
        <v>43044.484133935184</v>
      </c>
      <c r="J26" s="1">
        <f>35989995885</f>
        <v>35989995885</v>
      </c>
      <c r="K26" s="3">
        <v>6</v>
      </c>
      <c r="L26" s="5">
        <v>5</v>
      </c>
      <c r="M26" s="1" t="s">
        <v>207</v>
      </c>
      <c r="N26" s="3">
        <v>1607</v>
      </c>
      <c r="O26" s="3">
        <v>2</v>
      </c>
      <c r="P26" s="1" t="s">
        <v>33</v>
      </c>
      <c r="Q26" s="4" t="b">
        <v>0</v>
      </c>
      <c r="R26" s="4" t="b">
        <v>1</v>
      </c>
      <c r="S26" s="4" t="b">
        <v>0</v>
      </c>
      <c r="T26" s="3" t="s">
        <v>198</v>
      </c>
      <c r="U26" s="4" t="b">
        <v>0</v>
      </c>
      <c r="V26" s="7">
        <v>44758</v>
      </c>
      <c r="W26" s="7">
        <v>44726</v>
      </c>
    </row>
    <row r="27" spans="1:23" ht="14.4" x14ac:dyDescent="0.3">
      <c r="A27" s="3">
        <v>7605</v>
      </c>
      <c r="B27" s="4" t="b">
        <v>1</v>
      </c>
      <c r="C27" s="1" t="s">
        <v>208</v>
      </c>
      <c r="D27" s="1" t="s">
        <v>209</v>
      </c>
      <c r="E27" s="5">
        <v>3863183</v>
      </c>
      <c r="F27" s="5">
        <v>-86516</v>
      </c>
      <c r="G27" s="1" t="s">
        <v>210</v>
      </c>
      <c r="H27" s="1" t="s">
        <v>211</v>
      </c>
      <c r="I27" s="6">
        <v>43044.503892384259</v>
      </c>
      <c r="J27" s="1">
        <f>35999353300</f>
        <v>35999353300</v>
      </c>
      <c r="K27" s="3">
        <v>8</v>
      </c>
      <c r="L27" s="5">
        <v>5</v>
      </c>
      <c r="M27" s="1" t="s">
        <v>212</v>
      </c>
      <c r="N27" s="3">
        <v>3099</v>
      </c>
      <c r="O27" s="3">
        <v>0</v>
      </c>
      <c r="P27" s="1" t="s">
        <v>39</v>
      </c>
      <c r="Q27" s="4" t="b">
        <v>1</v>
      </c>
      <c r="R27" s="4" t="b">
        <v>0</v>
      </c>
      <c r="S27" s="4" t="b">
        <v>0</v>
      </c>
      <c r="T27" s="3" t="s">
        <v>213</v>
      </c>
      <c r="U27" s="4" t="b">
        <v>0</v>
      </c>
      <c r="V27" s="7">
        <v>44625</v>
      </c>
      <c r="W27" s="7">
        <v>44622</v>
      </c>
    </row>
    <row r="28" spans="1:23" ht="14.4" x14ac:dyDescent="0.3">
      <c r="A28" s="3">
        <v>7757</v>
      </c>
      <c r="B28" s="4" t="b">
        <v>1</v>
      </c>
      <c r="C28" s="1" t="s">
        <v>214</v>
      </c>
      <c r="D28" s="1" t="s">
        <v>215</v>
      </c>
      <c r="E28" s="5">
        <v>4139459</v>
      </c>
      <c r="F28" s="5">
        <v>2166228</v>
      </c>
      <c r="G28" s="1" t="s">
        <v>182</v>
      </c>
      <c r="H28" s="1" t="s">
        <v>216</v>
      </c>
      <c r="I28" s="6">
        <v>43044.507124340278</v>
      </c>
      <c r="J28" s="1">
        <f>35938355353</f>
        <v>35938355353</v>
      </c>
      <c r="K28" s="3">
        <v>7</v>
      </c>
      <c r="L28" s="5">
        <v>4</v>
      </c>
      <c r="M28" s="1" t="s">
        <v>217</v>
      </c>
      <c r="N28" s="3">
        <v>28</v>
      </c>
      <c r="O28" s="3">
        <v>8</v>
      </c>
      <c r="P28" s="1" t="s">
        <v>39</v>
      </c>
      <c r="Q28" s="4" t="b">
        <v>1</v>
      </c>
      <c r="R28" s="4" t="b">
        <v>0</v>
      </c>
      <c r="S28" s="4" t="b">
        <v>0</v>
      </c>
      <c r="T28" s="3">
        <v>0</v>
      </c>
      <c r="U28" s="4" t="b">
        <v>0</v>
      </c>
      <c r="V28" s="7">
        <v>44586</v>
      </c>
      <c r="W28" s="7">
        <v>44690</v>
      </c>
    </row>
    <row r="29" spans="1:23" ht="14.4" x14ac:dyDescent="0.3">
      <c r="A29" s="3">
        <v>10545</v>
      </c>
      <c r="B29" s="4" t="b">
        <v>1</v>
      </c>
      <c r="C29" s="1" t="s">
        <v>234</v>
      </c>
      <c r="D29" s="1" t="s">
        <v>235</v>
      </c>
      <c r="E29" s="5">
        <v>419256</v>
      </c>
      <c r="F29" s="5">
        <v>1309947</v>
      </c>
      <c r="G29" s="1" t="s">
        <v>236</v>
      </c>
      <c r="H29" s="1" t="s">
        <v>237</v>
      </c>
      <c r="I29" s="6">
        <v>43251.573738865744</v>
      </c>
      <c r="J29" s="1">
        <f>39033585893</f>
        <v>39033585893</v>
      </c>
      <c r="K29" s="3">
        <v>112</v>
      </c>
      <c r="L29" s="5">
        <v>4901786</v>
      </c>
      <c r="M29" s="1">
        <v>3376733333</v>
      </c>
      <c r="N29" s="3">
        <v>2257</v>
      </c>
      <c r="O29" s="3">
        <v>2</v>
      </c>
      <c r="P29" s="1" t="s">
        <v>39</v>
      </c>
      <c r="Q29" s="4" t="b">
        <v>0</v>
      </c>
      <c r="R29" s="4" t="b">
        <v>0</v>
      </c>
      <c r="S29" s="4" t="b">
        <v>0</v>
      </c>
      <c r="T29" s="3" t="s">
        <v>40</v>
      </c>
      <c r="U29" s="4" t="b">
        <v>0</v>
      </c>
      <c r="V29" s="7">
        <v>44903</v>
      </c>
      <c r="W29" s="7">
        <v>44903</v>
      </c>
    </row>
    <row r="30" spans="1:23" ht="14.4" x14ac:dyDescent="0.3">
      <c r="A30" s="3">
        <v>11061</v>
      </c>
      <c r="B30" s="4" t="b">
        <v>1</v>
      </c>
      <c r="C30" s="1" t="s">
        <v>242</v>
      </c>
      <c r="D30" s="1" t="s">
        <v>243</v>
      </c>
      <c r="E30" s="5">
        <v>3588829</v>
      </c>
      <c r="F30" s="5">
        <v>-53107</v>
      </c>
      <c r="G30" s="1" t="s">
        <v>244</v>
      </c>
      <c r="H30" s="1" t="s">
        <v>245</v>
      </c>
      <c r="I30" s="6">
        <v>43439.848901261576</v>
      </c>
      <c r="J30" s="1">
        <f>35959938588</f>
        <v>35959938588</v>
      </c>
      <c r="K30" s="3">
        <v>8</v>
      </c>
      <c r="L30" s="5" t="s">
        <v>184</v>
      </c>
      <c r="M30" s="1" t="s">
        <v>246</v>
      </c>
      <c r="N30" s="3">
        <v>911</v>
      </c>
      <c r="O30" s="3">
        <v>4</v>
      </c>
      <c r="P30" s="1" t="s">
        <v>33</v>
      </c>
      <c r="Q30" s="4" t="b">
        <v>0</v>
      </c>
      <c r="R30" s="4" t="b">
        <v>1</v>
      </c>
      <c r="S30" s="4" t="b">
        <v>0</v>
      </c>
      <c r="T30" s="3" t="s">
        <v>186</v>
      </c>
      <c r="U30" s="4" t="b">
        <v>0</v>
      </c>
      <c r="V30" s="7">
        <v>44811</v>
      </c>
      <c r="W30" s="7">
        <v>44852</v>
      </c>
    </row>
    <row r="31" spans="1:23" ht="14.4" x14ac:dyDescent="0.3">
      <c r="A31" s="3">
        <v>13055</v>
      </c>
      <c r="B31" s="4" t="b">
        <v>1</v>
      </c>
      <c r="C31" s="1" t="s">
        <v>84</v>
      </c>
      <c r="D31" s="1" t="s">
        <v>85</v>
      </c>
      <c r="E31" s="5">
        <v>4469604</v>
      </c>
      <c r="F31" s="5">
        <v>1063838</v>
      </c>
      <c r="G31" s="1" t="s">
        <v>86</v>
      </c>
      <c r="H31" s="1" t="s">
        <v>87</v>
      </c>
      <c r="I31" s="6">
        <v>42694.773241157411</v>
      </c>
      <c r="J31" s="1" t="s">
        <v>88</v>
      </c>
      <c r="K31" s="3">
        <v>10</v>
      </c>
      <c r="L31" s="5" t="s">
        <v>27</v>
      </c>
      <c r="M31" s="1"/>
      <c r="N31" s="3">
        <v>0</v>
      </c>
      <c r="O31" s="3">
        <v>1</v>
      </c>
      <c r="P31" s="1" t="s">
        <v>39</v>
      </c>
      <c r="Q31" s="4" t="b">
        <v>1</v>
      </c>
      <c r="R31" s="4" t="b">
        <v>0</v>
      </c>
      <c r="S31" s="4" t="b">
        <v>0</v>
      </c>
      <c r="T31" s="3" t="s">
        <v>73</v>
      </c>
      <c r="U31" s="4" t="b">
        <v>0</v>
      </c>
      <c r="V31" s="7">
        <v>44692</v>
      </c>
      <c r="W31" s="7">
        <v>44687</v>
      </c>
    </row>
    <row r="32" spans="1:23" ht="14.4" x14ac:dyDescent="0.3">
      <c r="A32" s="3">
        <v>14044</v>
      </c>
      <c r="B32" s="4" t="b">
        <v>1</v>
      </c>
      <c r="C32" s="1" t="s">
        <v>368</v>
      </c>
      <c r="D32" s="1" t="s">
        <v>369</v>
      </c>
      <c r="E32" s="5">
        <v>4886785</v>
      </c>
      <c r="F32" s="5">
        <v>2203882</v>
      </c>
      <c r="G32" s="1" t="s">
        <v>370</v>
      </c>
      <c r="H32" s="1" t="s">
        <v>371</v>
      </c>
      <c r="I32" s="6">
        <v>43871.609057245369</v>
      </c>
      <c r="J32" s="1">
        <f>33995339893</f>
        <v>33995339893</v>
      </c>
      <c r="K32" s="3">
        <v>28</v>
      </c>
      <c r="L32" s="5">
        <v>4414286</v>
      </c>
      <c r="M32" s="1"/>
      <c r="N32" s="3">
        <v>99</v>
      </c>
      <c r="O32" s="3">
        <v>3</v>
      </c>
      <c r="P32" s="1" t="s">
        <v>33</v>
      </c>
      <c r="Q32" s="4" t="b">
        <v>0</v>
      </c>
      <c r="R32" s="4" t="b">
        <v>0</v>
      </c>
      <c r="S32" s="4" t="b">
        <v>0</v>
      </c>
      <c r="T32" s="3" t="s">
        <v>358</v>
      </c>
      <c r="U32" s="4" t="b">
        <v>0</v>
      </c>
      <c r="V32" s="7">
        <v>44824</v>
      </c>
      <c r="W32" s="7">
        <v>44562</v>
      </c>
    </row>
    <row r="33" spans="1:23" ht="14.4" x14ac:dyDescent="0.3">
      <c r="A33" s="3">
        <v>14155</v>
      </c>
      <c r="B33" s="4" t="b">
        <v>1</v>
      </c>
      <c r="C33" s="1" t="s">
        <v>372</v>
      </c>
      <c r="D33" s="1" t="s">
        <v>373</v>
      </c>
      <c r="E33" s="5">
        <v>4545104</v>
      </c>
      <c r="F33" s="5">
        <v>9204822</v>
      </c>
      <c r="G33" s="1" t="s">
        <v>37</v>
      </c>
      <c r="H33" s="1" t="s">
        <v>374</v>
      </c>
      <c r="I33" s="6">
        <v>43875.598828055554</v>
      </c>
      <c r="J33" s="1">
        <f>393888835053</f>
        <v>393888835053</v>
      </c>
      <c r="K33" s="3">
        <v>15</v>
      </c>
      <c r="L33" s="5">
        <v>4866667</v>
      </c>
      <c r="M33" s="1">
        <v>63363767</v>
      </c>
      <c r="N33" s="3">
        <v>654</v>
      </c>
      <c r="O33" s="3">
        <v>2</v>
      </c>
      <c r="P33" s="1" t="s">
        <v>28</v>
      </c>
      <c r="Q33" s="4" t="b">
        <v>0</v>
      </c>
      <c r="R33" s="4" t="b">
        <v>1</v>
      </c>
      <c r="S33" s="4" t="b">
        <v>0</v>
      </c>
      <c r="T33" s="3" t="s">
        <v>375</v>
      </c>
      <c r="U33" s="4" t="b">
        <v>0</v>
      </c>
      <c r="V33" s="7">
        <v>44901</v>
      </c>
      <c r="W33" s="7">
        <v>44780</v>
      </c>
    </row>
    <row r="34" spans="1:23" ht="14.4" x14ac:dyDescent="0.3">
      <c r="A34" s="3">
        <v>14405</v>
      </c>
      <c r="B34" s="4" t="b">
        <v>1</v>
      </c>
      <c r="C34" s="1" t="s">
        <v>278</v>
      </c>
      <c r="D34" s="1" t="s">
        <v>279</v>
      </c>
      <c r="E34" s="5">
        <v>4060812</v>
      </c>
      <c r="F34" s="5">
        <v>1498022</v>
      </c>
      <c r="G34" s="1" t="s">
        <v>280</v>
      </c>
      <c r="H34" s="1" t="s">
        <v>281</v>
      </c>
      <c r="I34" s="6">
        <v>43658.466324525463</v>
      </c>
      <c r="J34" s="1">
        <f>390888355053</f>
        <v>390888355053</v>
      </c>
      <c r="K34" s="3">
        <v>58</v>
      </c>
      <c r="L34" s="5">
        <v>487931</v>
      </c>
      <c r="M34" s="1">
        <v>363633</v>
      </c>
      <c r="N34" s="3">
        <v>1109</v>
      </c>
      <c r="O34" s="3">
        <v>3</v>
      </c>
      <c r="P34" s="1" t="s">
        <v>39</v>
      </c>
      <c r="Q34" s="4" t="b">
        <v>0</v>
      </c>
      <c r="R34" s="4" t="b">
        <v>1</v>
      </c>
      <c r="S34" s="4" t="b">
        <v>0</v>
      </c>
      <c r="T34" s="3" t="s">
        <v>282</v>
      </c>
      <c r="U34" s="4" t="b">
        <v>0</v>
      </c>
      <c r="V34" s="8">
        <v>44860</v>
      </c>
      <c r="W34" s="8">
        <v>44856</v>
      </c>
    </row>
    <row r="35" spans="1:23" ht="14.4" x14ac:dyDescent="0.3">
      <c r="A35" s="3">
        <v>14441</v>
      </c>
      <c r="B35" s="4" t="b">
        <v>1</v>
      </c>
      <c r="C35" s="1" t="s">
        <v>386</v>
      </c>
      <c r="D35" s="1" t="s">
        <v>387</v>
      </c>
      <c r="E35" s="5">
        <v>4574282</v>
      </c>
      <c r="F35" s="5">
        <v>4850731</v>
      </c>
      <c r="G35" s="1" t="s">
        <v>383</v>
      </c>
      <c r="H35" s="1" t="s">
        <v>388</v>
      </c>
      <c r="I35" s="6">
        <v>43882.499267812498</v>
      </c>
      <c r="J35" s="1">
        <f>33533990938</f>
        <v>33533990938</v>
      </c>
      <c r="K35" s="3">
        <v>667</v>
      </c>
      <c r="L35" s="5">
        <v>4456372</v>
      </c>
      <c r="M35" s="1"/>
      <c r="N35" s="3">
        <v>1552</v>
      </c>
      <c r="O35" s="3">
        <v>1</v>
      </c>
      <c r="P35" s="1" t="s">
        <v>33</v>
      </c>
      <c r="Q35" s="4" t="b">
        <v>0</v>
      </c>
      <c r="R35" s="4" t="b">
        <v>1</v>
      </c>
      <c r="S35" s="4" t="b">
        <v>1</v>
      </c>
      <c r="T35" s="3" t="s">
        <v>389</v>
      </c>
      <c r="U35" s="4" t="b">
        <v>0</v>
      </c>
      <c r="V35" s="7">
        <v>44766</v>
      </c>
      <c r="W35" s="7">
        <v>44698</v>
      </c>
    </row>
    <row r="36" spans="1:23" ht="14.4" x14ac:dyDescent="0.3">
      <c r="A36" s="3">
        <v>14504</v>
      </c>
      <c r="B36" s="4" t="b">
        <v>1</v>
      </c>
      <c r="C36" s="1" t="s">
        <v>103</v>
      </c>
      <c r="D36" s="1" t="s">
        <v>104</v>
      </c>
      <c r="E36" s="5">
        <v>4544161</v>
      </c>
      <c r="F36" s="5">
        <v>1099473</v>
      </c>
      <c r="G36" s="1" t="s">
        <v>76</v>
      </c>
      <c r="H36" s="1" t="s">
        <v>105</v>
      </c>
      <c r="I36" s="6">
        <v>42710.392697962961</v>
      </c>
      <c r="J36" s="1" t="s">
        <v>106</v>
      </c>
      <c r="K36" s="3">
        <v>10</v>
      </c>
      <c r="L36" s="5" t="s">
        <v>27</v>
      </c>
      <c r="M36" s="1"/>
      <c r="N36" s="3">
        <v>0</v>
      </c>
      <c r="O36" s="3">
        <v>1</v>
      </c>
      <c r="P36" s="1" t="s">
        <v>39</v>
      </c>
      <c r="Q36" s="4" t="b">
        <v>1</v>
      </c>
      <c r="R36" s="4" t="b">
        <v>0</v>
      </c>
      <c r="S36" s="4" t="b">
        <v>0</v>
      </c>
      <c r="T36" s="3" t="s">
        <v>73</v>
      </c>
      <c r="U36" s="4" t="b">
        <v>0</v>
      </c>
      <c r="V36" s="7">
        <v>44842</v>
      </c>
      <c r="W36" s="7">
        <v>44803</v>
      </c>
    </row>
    <row r="37" spans="1:23" ht="14.4" x14ac:dyDescent="0.3">
      <c r="A37" s="3">
        <v>14515</v>
      </c>
      <c r="B37" s="4" t="b">
        <v>1</v>
      </c>
      <c r="C37" s="1" t="s">
        <v>298</v>
      </c>
      <c r="D37" s="1" t="s">
        <v>299</v>
      </c>
      <c r="E37" s="5">
        <v>4254408</v>
      </c>
      <c r="F37" s="5">
        <v>1388436</v>
      </c>
      <c r="G37" s="1" t="s">
        <v>300</v>
      </c>
      <c r="H37" s="1" t="s">
        <v>301</v>
      </c>
      <c r="I37" s="6">
        <v>43748.550009861108</v>
      </c>
      <c r="J37" s="1">
        <f>393838909853</f>
        <v>393838909853</v>
      </c>
      <c r="K37" s="3">
        <v>15</v>
      </c>
      <c r="L37" s="5">
        <v>5</v>
      </c>
      <c r="M37" s="1">
        <v>73733677</v>
      </c>
      <c r="N37" s="3">
        <v>674</v>
      </c>
      <c r="O37" s="3">
        <v>2</v>
      </c>
      <c r="P37" s="1" t="s">
        <v>33</v>
      </c>
      <c r="Q37" s="4" t="b">
        <v>0</v>
      </c>
      <c r="R37" s="4" t="b">
        <v>1</v>
      </c>
      <c r="S37" s="4" t="b">
        <v>0</v>
      </c>
      <c r="T37" s="3" t="s">
        <v>302</v>
      </c>
      <c r="U37" s="4" t="b">
        <v>0</v>
      </c>
      <c r="V37" s="7">
        <v>44574</v>
      </c>
      <c r="W37" s="8">
        <v>44850</v>
      </c>
    </row>
    <row r="38" spans="1:23" ht="14.4" x14ac:dyDescent="0.3">
      <c r="A38" s="3">
        <v>15441</v>
      </c>
      <c r="B38" s="4" t="b">
        <v>1</v>
      </c>
      <c r="C38" s="1" t="s">
        <v>410</v>
      </c>
      <c r="D38" s="1" t="s">
        <v>411</v>
      </c>
      <c r="E38" s="5">
        <v>4509355</v>
      </c>
      <c r="F38" s="5">
        <v>1149137</v>
      </c>
      <c r="G38" s="1" t="s">
        <v>412</v>
      </c>
      <c r="H38" s="1" t="s">
        <v>413</v>
      </c>
      <c r="I38" s="6">
        <v>43959.316311782408</v>
      </c>
      <c r="J38" s="1">
        <f>393535803858</f>
        <v>393535803858</v>
      </c>
      <c r="K38" s="3">
        <v>6</v>
      </c>
      <c r="L38" s="5">
        <v>5</v>
      </c>
      <c r="M38" s="1">
        <v>733763377</v>
      </c>
      <c r="N38" s="3">
        <v>1393</v>
      </c>
      <c r="O38" s="3">
        <v>5</v>
      </c>
      <c r="P38" s="1" t="s">
        <v>33</v>
      </c>
      <c r="Q38" s="4" t="b">
        <v>0</v>
      </c>
      <c r="R38" s="4" t="b">
        <v>0</v>
      </c>
      <c r="S38" s="4" t="b">
        <v>0</v>
      </c>
      <c r="T38" s="3" t="s">
        <v>414</v>
      </c>
      <c r="U38" s="4" t="b">
        <v>0</v>
      </c>
      <c r="V38" s="7">
        <v>44898</v>
      </c>
      <c r="W38" s="7">
        <v>44879</v>
      </c>
    </row>
    <row r="39" spans="1:23" ht="14.4" x14ac:dyDescent="0.3">
      <c r="A39" s="3">
        <v>15446</v>
      </c>
      <c r="B39" s="4" t="b">
        <v>1</v>
      </c>
      <c r="C39" s="1" t="s">
        <v>401</v>
      </c>
      <c r="D39" s="1" t="s">
        <v>402</v>
      </c>
      <c r="E39" s="5">
        <v>4510016</v>
      </c>
      <c r="F39" s="5">
        <v>7763387</v>
      </c>
      <c r="G39" s="1" t="s">
        <v>403</v>
      </c>
      <c r="H39" s="1" t="s">
        <v>404</v>
      </c>
      <c r="I39" s="6">
        <v>43955.300994976853</v>
      </c>
      <c r="J39" s="1">
        <f>390338885883</f>
        <v>390338885883</v>
      </c>
      <c r="K39" s="3">
        <v>129</v>
      </c>
      <c r="L39" s="5">
        <v>496124</v>
      </c>
      <c r="M39" s="1">
        <v>77733333</v>
      </c>
      <c r="N39" s="3">
        <v>1586</v>
      </c>
      <c r="O39" s="3">
        <v>3</v>
      </c>
      <c r="P39" s="1" t="s">
        <v>33</v>
      </c>
      <c r="Q39" s="4" t="b">
        <v>0</v>
      </c>
      <c r="R39" s="4" t="b">
        <v>1</v>
      </c>
      <c r="S39" s="4" t="b">
        <v>0</v>
      </c>
      <c r="T39" s="3" t="s">
        <v>405</v>
      </c>
      <c r="U39" s="4" t="b">
        <v>0</v>
      </c>
      <c r="V39" s="7">
        <v>44820</v>
      </c>
      <c r="W39" s="7">
        <v>44861</v>
      </c>
    </row>
    <row r="40" spans="1:23" ht="14.4" x14ac:dyDescent="0.3">
      <c r="A40" s="3">
        <v>15447</v>
      </c>
      <c r="B40" s="4" t="b">
        <v>1</v>
      </c>
      <c r="C40" s="1" t="s">
        <v>415</v>
      </c>
      <c r="D40" s="1" t="s">
        <v>416</v>
      </c>
      <c r="E40" s="5">
        <v>3948436</v>
      </c>
      <c r="F40" s="5">
        <v>-38438</v>
      </c>
      <c r="G40" s="1" t="s">
        <v>417</v>
      </c>
      <c r="H40" s="1" t="s">
        <v>418</v>
      </c>
      <c r="I40" s="6">
        <v>43959.454128460646</v>
      </c>
      <c r="J40" s="1">
        <f>35998359909</f>
        <v>35998359909</v>
      </c>
      <c r="K40" s="3">
        <v>117</v>
      </c>
      <c r="L40" s="5">
        <v>4982906</v>
      </c>
      <c r="M40" s="1" t="s">
        <v>419</v>
      </c>
      <c r="N40" s="3">
        <v>1311</v>
      </c>
      <c r="O40" s="3">
        <v>3</v>
      </c>
      <c r="P40" s="1" t="s">
        <v>28</v>
      </c>
      <c r="Q40" s="4" t="b">
        <v>0</v>
      </c>
      <c r="R40" s="4" t="b">
        <v>1</v>
      </c>
      <c r="S40" s="4" t="b">
        <v>0</v>
      </c>
      <c r="T40" s="3" t="s">
        <v>420</v>
      </c>
      <c r="U40" s="4" t="b">
        <v>0</v>
      </c>
      <c r="V40" s="7">
        <v>44808</v>
      </c>
      <c r="W40" s="7">
        <v>44849</v>
      </c>
    </row>
    <row r="41" spans="1:23" ht="14.4" x14ac:dyDescent="0.3">
      <c r="A41" s="3">
        <v>15556</v>
      </c>
      <c r="B41" s="4" t="b">
        <v>1</v>
      </c>
      <c r="C41" s="1" t="s">
        <v>421</v>
      </c>
      <c r="D41" s="1" t="s">
        <v>422</v>
      </c>
      <c r="E41" s="5">
        <v>4376298</v>
      </c>
      <c r="F41" s="5">
        <v>1123998</v>
      </c>
      <c r="G41" s="1" t="s">
        <v>423</v>
      </c>
      <c r="H41" s="1" t="s">
        <v>424</v>
      </c>
      <c r="I41" s="6">
        <v>43964.33760003472</v>
      </c>
      <c r="J41" s="1">
        <f>390558993358</f>
        <v>390558993358</v>
      </c>
      <c r="K41" s="3">
        <v>169</v>
      </c>
      <c r="L41" s="5">
        <v>4976048</v>
      </c>
      <c r="M41" s="1">
        <v>6736363336</v>
      </c>
      <c r="N41" s="3">
        <v>1563</v>
      </c>
      <c r="O41" s="3">
        <v>5</v>
      </c>
      <c r="P41" s="1" t="s">
        <v>28</v>
      </c>
      <c r="Q41" s="4" t="b">
        <v>0</v>
      </c>
      <c r="R41" s="4" t="b">
        <v>0</v>
      </c>
      <c r="S41" s="4" t="b">
        <v>0</v>
      </c>
      <c r="T41" s="3" t="s">
        <v>34</v>
      </c>
      <c r="U41" s="4" t="b">
        <v>0</v>
      </c>
      <c r="V41" s="7">
        <v>44726</v>
      </c>
      <c r="W41" s="7">
        <v>44589</v>
      </c>
    </row>
    <row r="42" spans="1:23" ht="14.4" x14ac:dyDescent="0.3">
      <c r="A42" s="3">
        <v>16040</v>
      </c>
      <c r="B42" s="4" t="b">
        <v>1</v>
      </c>
      <c r="C42" s="1" t="s">
        <v>319</v>
      </c>
      <c r="D42" s="1" t="s">
        <v>320</v>
      </c>
      <c r="E42" s="5">
        <v>3870841</v>
      </c>
      <c r="F42" s="5">
        <v>-913911</v>
      </c>
      <c r="G42" s="1" t="s">
        <v>321</v>
      </c>
      <c r="H42" s="1" t="s">
        <v>322</v>
      </c>
      <c r="I42" s="6">
        <v>43797.646244895834</v>
      </c>
      <c r="J42" s="1">
        <f>393539359550</f>
        <v>393539359550</v>
      </c>
      <c r="K42" s="3">
        <v>1</v>
      </c>
      <c r="L42" s="5">
        <v>5</v>
      </c>
      <c r="M42" s="1">
        <v>777777773</v>
      </c>
      <c r="N42" s="3">
        <v>572</v>
      </c>
      <c r="O42" s="3">
        <v>10</v>
      </c>
      <c r="P42" s="1" t="s">
        <v>39</v>
      </c>
      <c r="Q42" s="4" t="b">
        <v>0</v>
      </c>
      <c r="R42" s="4" t="b">
        <v>0</v>
      </c>
      <c r="S42" s="4" t="b">
        <v>0</v>
      </c>
      <c r="T42" s="3" t="s">
        <v>323</v>
      </c>
      <c r="U42" s="4" t="b">
        <v>0</v>
      </c>
      <c r="V42" s="7">
        <v>44626</v>
      </c>
      <c r="W42" s="7">
        <v>44715</v>
      </c>
    </row>
    <row r="43" spans="1:23" ht="14.4" x14ac:dyDescent="0.3">
      <c r="A43" s="3">
        <v>16041</v>
      </c>
      <c r="B43" s="4" t="b">
        <v>0</v>
      </c>
      <c r="C43" s="1" t="s">
        <v>324</v>
      </c>
      <c r="D43" s="1" t="s">
        <v>325</v>
      </c>
      <c r="E43" s="5">
        <v>4509363</v>
      </c>
      <c r="F43" s="5">
        <v>7682917</v>
      </c>
      <c r="G43" s="1" t="s">
        <v>326</v>
      </c>
      <c r="H43" s="1" t="s">
        <v>327</v>
      </c>
      <c r="I43" s="6">
        <v>43797.662163993053</v>
      </c>
      <c r="J43" s="1">
        <f>390330808880</f>
        <v>390330808880</v>
      </c>
      <c r="K43" s="3">
        <v>86</v>
      </c>
      <c r="L43" s="5">
        <v>4953488</v>
      </c>
      <c r="M43" s="1">
        <v>7737773333</v>
      </c>
      <c r="N43" s="3">
        <v>2169</v>
      </c>
      <c r="O43" s="3">
        <v>7</v>
      </c>
      <c r="P43" s="1" t="s">
        <v>39</v>
      </c>
      <c r="Q43" s="4" t="b">
        <v>0</v>
      </c>
      <c r="R43" s="4" t="b">
        <v>0</v>
      </c>
      <c r="S43" s="4" t="b">
        <v>0</v>
      </c>
      <c r="T43" s="3" t="s">
        <v>40</v>
      </c>
      <c r="U43" s="4" t="b">
        <v>0</v>
      </c>
      <c r="V43" s="7">
        <v>44903</v>
      </c>
      <c r="W43" s="7">
        <v>44903</v>
      </c>
    </row>
    <row r="44" spans="1:23" ht="14.4" x14ac:dyDescent="0.3">
      <c r="A44" s="3">
        <v>16064</v>
      </c>
      <c r="B44" s="4" t="b">
        <v>1</v>
      </c>
      <c r="C44" s="1" t="s">
        <v>328</v>
      </c>
      <c r="D44" s="1" t="s">
        <v>329</v>
      </c>
      <c r="E44" s="5">
        <v>4428205</v>
      </c>
      <c r="F44" s="5">
        <v>1111254</v>
      </c>
      <c r="G44" s="1" t="s">
        <v>330</v>
      </c>
      <c r="H44" s="1" t="s">
        <v>331</v>
      </c>
      <c r="I44" s="6">
        <v>43798.633686631947</v>
      </c>
      <c r="J44" s="1">
        <f>390530893535</f>
        <v>390530893535</v>
      </c>
      <c r="K44" s="3">
        <v>56</v>
      </c>
      <c r="L44" s="5">
        <v>4982143</v>
      </c>
      <c r="M44" s="1">
        <v>7337373337</v>
      </c>
      <c r="N44" s="3">
        <v>2572</v>
      </c>
      <c r="O44" s="3">
        <v>2</v>
      </c>
      <c r="P44" s="1" t="s">
        <v>28</v>
      </c>
      <c r="Q44" s="4" t="b">
        <v>0</v>
      </c>
      <c r="R44" s="4" t="b">
        <v>0</v>
      </c>
      <c r="S44" s="4" t="b">
        <v>0</v>
      </c>
      <c r="T44" s="3" t="s">
        <v>40</v>
      </c>
      <c r="U44" s="4" t="b">
        <v>0</v>
      </c>
      <c r="V44" s="7">
        <v>44900</v>
      </c>
      <c r="W44" s="7">
        <v>44881</v>
      </c>
    </row>
    <row r="45" spans="1:23" ht="14.4" x14ac:dyDescent="0.3">
      <c r="A45" s="3">
        <v>16144</v>
      </c>
      <c r="B45" s="4" t="b">
        <v>1</v>
      </c>
      <c r="C45" s="1" t="s">
        <v>332</v>
      </c>
      <c r="D45" s="1" t="s">
        <v>333</v>
      </c>
      <c r="E45" s="5">
        <v>4082648</v>
      </c>
      <c r="F45" s="5">
        <v>1432747</v>
      </c>
      <c r="G45" s="1" t="s">
        <v>334</v>
      </c>
      <c r="H45" s="1" t="s">
        <v>335</v>
      </c>
      <c r="I45" s="6">
        <v>43811.584703078704</v>
      </c>
      <c r="J45" s="1">
        <f>393393388355</f>
        <v>393393388355</v>
      </c>
      <c r="K45" s="3">
        <v>9</v>
      </c>
      <c r="L45" s="5">
        <v>4555556</v>
      </c>
      <c r="M45" s="1">
        <v>767333333</v>
      </c>
      <c r="N45" s="3">
        <v>615</v>
      </c>
      <c r="O45" s="3">
        <v>3</v>
      </c>
      <c r="P45" s="1" t="s">
        <v>39</v>
      </c>
      <c r="Q45" s="4" t="b">
        <v>0</v>
      </c>
      <c r="R45" s="4" t="b">
        <v>1</v>
      </c>
      <c r="S45" s="4" t="b">
        <v>0</v>
      </c>
      <c r="T45" s="3" t="s">
        <v>336</v>
      </c>
      <c r="U45" s="4" t="b">
        <v>0</v>
      </c>
      <c r="V45" s="7">
        <v>44616</v>
      </c>
      <c r="W45" s="7">
        <v>44805</v>
      </c>
    </row>
    <row r="46" spans="1:23" ht="14.4" x14ac:dyDescent="0.3">
      <c r="A46" s="3">
        <v>16740</v>
      </c>
      <c r="B46" s="4" t="b">
        <v>1</v>
      </c>
      <c r="C46" s="1" t="s">
        <v>355</v>
      </c>
      <c r="D46" s="1" t="s">
        <v>356</v>
      </c>
      <c r="E46" s="5">
        <v>4479952</v>
      </c>
      <c r="F46" s="5">
        <v>1033777</v>
      </c>
      <c r="G46" s="1" t="s">
        <v>285</v>
      </c>
      <c r="H46" s="1" t="s">
        <v>357</v>
      </c>
      <c r="I46" s="6">
        <v>43845.625199097223</v>
      </c>
      <c r="J46" s="1">
        <f>393353858393</f>
        <v>393353858393</v>
      </c>
      <c r="K46" s="3">
        <v>11</v>
      </c>
      <c r="L46" s="5">
        <v>5</v>
      </c>
      <c r="M46" s="1">
        <v>763733737</v>
      </c>
      <c r="N46" s="3">
        <v>574</v>
      </c>
      <c r="O46" s="3">
        <v>2</v>
      </c>
      <c r="P46" s="1" t="s">
        <v>28</v>
      </c>
      <c r="Q46" s="4" t="b">
        <v>0</v>
      </c>
      <c r="R46" s="4" t="b">
        <v>0</v>
      </c>
      <c r="S46" s="4" t="b">
        <v>0</v>
      </c>
      <c r="T46" s="3" t="s">
        <v>358</v>
      </c>
      <c r="U46" s="4" t="b">
        <v>0</v>
      </c>
      <c r="V46" s="7">
        <v>44566</v>
      </c>
      <c r="W46" s="7">
        <v>44698</v>
      </c>
    </row>
    <row r="47" spans="1:23" ht="14.4" x14ac:dyDescent="0.3">
      <c r="A47" s="3">
        <v>16765</v>
      </c>
      <c r="B47" s="4" t="b">
        <v>1</v>
      </c>
      <c r="C47" s="1" t="s">
        <v>359</v>
      </c>
      <c r="D47" s="1" t="s">
        <v>360</v>
      </c>
      <c r="E47" s="5">
        <v>3799969</v>
      </c>
      <c r="F47" s="5">
        <v>2372138</v>
      </c>
      <c r="G47" s="1" t="s">
        <v>54</v>
      </c>
      <c r="H47" s="1" t="s">
        <v>361</v>
      </c>
      <c r="I47" s="6">
        <v>43846.610043032408</v>
      </c>
      <c r="J47" s="1">
        <f>308383093898</f>
        <v>308383093898</v>
      </c>
      <c r="K47" s="3">
        <v>112</v>
      </c>
      <c r="L47" s="5">
        <v>4892857</v>
      </c>
      <c r="M47" s="1">
        <v>73777333</v>
      </c>
      <c r="N47" s="3">
        <v>1905</v>
      </c>
      <c r="O47" s="3">
        <v>2</v>
      </c>
      <c r="P47" s="1" t="s">
        <v>33</v>
      </c>
      <c r="Q47" s="4" t="b">
        <v>0</v>
      </c>
      <c r="R47" s="4" t="b">
        <v>1</v>
      </c>
      <c r="S47" s="4" t="b">
        <v>0</v>
      </c>
      <c r="T47" s="3" t="s">
        <v>362</v>
      </c>
      <c r="U47" s="4" t="b">
        <v>0</v>
      </c>
      <c r="V47" s="7">
        <v>44716</v>
      </c>
      <c r="W47" s="7">
        <v>44608</v>
      </c>
    </row>
    <row r="48" spans="1:23" ht="14.4" x14ac:dyDescent="0.3">
      <c r="A48" s="3">
        <v>17665</v>
      </c>
      <c r="B48" s="4" t="b">
        <v>1</v>
      </c>
      <c r="C48" s="1" t="s">
        <v>363</v>
      </c>
      <c r="D48" s="1" t="s">
        <v>364</v>
      </c>
      <c r="E48" s="5">
        <v>4887668</v>
      </c>
      <c r="F48" s="5">
        <v>2344594</v>
      </c>
      <c r="G48" s="1" t="s">
        <v>365</v>
      </c>
      <c r="H48" s="1" t="s">
        <v>366</v>
      </c>
      <c r="I48" s="6">
        <v>43861.67529540509</v>
      </c>
      <c r="J48" s="1">
        <f>33935355099</f>
        <v>33935355099</v>
      </c>
      <c r="K48" s="3">
        <v>11</v>
      </c>
      <c r="L48" s="5">
        <v>4945455</v>
      </c>
      <c r="M48" s="1"/>
      <c r="N48" s="3">
        <v>59</v>
      </c>
      <c r="O48" s="3">
        <v>1</v>
      </c>
      <c r="P48" s="1" t="s">
        <v>33</v>
      </c>
      <c r="Q48" s="4" t="b">
        <v>0</v>
      </c>
      <c r="R48" s="4" t="b">
        <v>1</v>
      </c>
      <c r="S48" s="4" t="b">
        <v>0</v>
      </c>
      <c r="T48" s="3" t="s">
        <v>367</v>
      </c>
      <c r="U48" s="4" t="b">
        <v>0</v>
      </c>
      <c r="V48" s="7">
        <v>44807</v>
      </c>
      <c r="W48" s="7">
        <v>44588</v>
      </c>
    </row>
    <row r="49" spans="1:23" ht="14.4" x14ac:dyDescent="0.3">
      <c r="A49" s="3">
        <v>40430</v>
      </c>
      <c r="B49" s="4" t="b">
        <v>1</v>
      </c>
      <c r="C49" s="1" t="s">
        <v>218</v>
      </c>
      <c r="D49" s="1" t="s">
        <v>219</v>
      </c>
      <c r="E49" s="5">
        <v>4550654</v>
      </c>
      <c r="F49" s="5">
        <v>121461</v>
      </c>
      <c r="G49" s="1" t="s">
        <v>220</v>
      </c>
      <c r="H49" s="1" t="s">
        <v>221</v>
      </c>
      <c r="I49" s="6">
        <v>43068.730313194443</v>
      </c>
      <c r="J49" s="1">
        <f>393333559508</f>
        <v>393333559508</v>
      </c>
      <c r="K49" s="3">
        <v>8</v>
      </c>
      <c r="L49" s="5">
        <v>5</v>
      </c>
      <c r="M49" s="1">
        <v>7333373</v>
      </c>
      <c r="N49" s="3">
        <v>1086</v>
      </c>
      <c r="O49" s="3">
        <v>4</v>
      </c>
      <c r="P49" s="1" t="s">
        <v>33</v>
      </c>
      <c r="Q49" s="4" t="b">
        <v>0</v>
      </c>
      <c r="R49" s="4" t="b">
        <v>0</v>
      </c>
      <c r="S49" s="4" t="b">
        <v>0</v>
      </c>
      <c r="T49" s="3" t="s">
        <v>73</v>
      </c>
      <c r="U49" s="4" t="b">
        <v>1</v>
      </c>
      <c r="V49" s="7">
        <v>44800</v>
      </c>
      <c r="W49" s="7">
        <v>44797</v>
      </c>
    </row>
    <row r="50" spans="1:23" ht="14.4" x14ac:dyDescent="0.3">
      <c r="A50" s="3">
        <v>41504</v>
      </c>
      <c r="B50" s="4" t="b">
        <v>1</v>
      </c>
      <c r="C50" s="1" t="s">
        <v>222</v>
      </c>
      <c r="D50" s="1" t="s">
        <v>223</v>
      </c>
      <c r="E50" s="5">
        <v>4192635</v>
      </c>
      <c r="F50" s="5">
        <v>1251359</v>
      </c>
      <c r="G50" s="1" t="s">
        <v>25</v>
      </c>
      <c r="H50" s="1" t="s">
        <v>224</v>
      </c>
      <c r="I50" s="6">
        <v>43075.385467650463</v>
      </c>
      <c r="J50" s="1">
        <f>39098553855</f>
        <v>39098553855</v>
      </c>
      <c r="K50" s="3">
        <v>31</v>
      </c>
      <c r="L50" s="5">
        <v>4903226</v>
      </c>
      <c r="M50" s="1">
        <v>7336733333</v>
      </c>
      <c r="N50" s="3">
        <v>1923</v>
      </c>
      <c r="O50" s="3">
        <v>5</v>
      </c>
      <c r="P50" s="1" t="s">
        <v>28</v>
      </c>
      <c r="Q50" s="4" t="b">
        <v>0</v>
      </c>
      <c r="R50" s="4" t="b">
        <v>1</v>
      </c>
      <c r="S50" s="4" t="b">
        <v>0</v>
      </c>
      <c r="T50" s="3" t="s">
        <v>225</v>
      </c>
      <c r="U50" s="4" t="b">
        <v>0</v>
      </c>
      <c r="V50" s="7">
        <v>44740</v>
      </c>
      <c r="W50" s="8">
        <v>44864</v>
      </c>
    </row>
    <row r="51" spans="1:23" ht="14.4" x14ac:dyDescent="0.3">
      <c r="A51" s="3">
        <v>50016</v>
      </c>
      <c r="B51" s="4" t="b">
        <v>1</v>
      </c>
      <c r="C51" s="1" t="s">
        <v>430</v>
      </c>
      <c r="D51" s="1" t="s">
        <v>431</v>
      </c>
      <c r="E51" s="5">
        <v>4117261</v>
      </c>
      <c r="F51" s="5">
        <v>-863468</v>
      </c>
      <c r="G51" s="1" t="s">
        <v>432</v>
      </c>
      <c r="H51" s="1" t="s">
        <v>433</v>
      </c>
      <c r="I51" s="6">
        <v>43972.616025138886</v>
      </c>
      <c r="J51" s="1">
        <f>353995398535</f>
        <v>353995398535</v>
      </c>
      <c r="K51" s="3">
        <v>169</v>
      </c>
      <c r="L51" s="5">
        <v>4994048</v>
      </c>
      <c r="M51" s="1">
        <v>7373333</v>
      </c>
      <c r="N51" s="3">
        <v>2624</v>
      </c>
      <c r="O51" s="3">
        <v>5</v>
      </c>
      <c r="P51" s="1" t="s">
        <v>28</v>
      </c>
      <c r="Q51" s="4" t="b">
        <v>0</v>
      </c>
      <c r="R51" s="4" t="b">
        <v>0</v>
      </c>
      <c r="S51" s="4" t="b">
        <v>0</v>
      </c>
      <c r="T51" s="3" t="s">
        <v>34</v>
      </c>
      <c r="U51" s="4" t="b">
        <v>0</v>
      </c>
      <c r="V51" s="7">
        <v>44623</v>
      </c>
      <c r="W51" s="7">
        <v>44741</v>
      </c>
    </row>
    <row r="52" spans="1:23" ht="14.4" x14ac:dyDescent="0.3">
      <c r="A52" s="3">
        <v>50057</v>
      </c>
      <c r="B52" s="4" t="b">
        <v>1</v>
      </c>
      <c r="C52" s="1" t="s">
        <v>434</v>
      </c>
      <c r="D52" s="1" t="s">
        <v>435</v>
      </c>
      <c r="E52" s="5">
        <v>3689164</v>
      </c>
      <c r="F52" s="5">
        <v>1507257</v>
      </c>
      <c r="G52" s="1" t="s">
        <v>436</v>
      </c>
      <c r="H52" s="1" t="s">
        <v>437</v>
      </c>
      <c r="I52" s="6">
        <v>43976.578690451388</v>
      </c>
      <c r="J52" s="1">
        <f>393895553989</f>
        <v>393895553989</v>
      </c>
      <c r="K52" s="3">
        <v>6</v>
      </c>
      <c r="L52" s="5">
        <v>5</v>
      </c>
      <c r="M52" s="1">
        <v>736373377</v>
      </c>
      <c r="N52" s="3">
        <v>2080</v>
      </c>
      <c r="O52" s="3">
        <v>6</v>
      </c>
      <c r="P52" s="1" t="s">
        <v>39</v>
      </c>
      <c r="Q52" s="4" t="b">
        <v>0</v>
      </c>
      <c r="R52" s="4" t="b">
        <v>1</v>
      </c>
      <c r="S52" s="4" t="b">
        <v>0</v>
      </c>
      <c r="T52" s="3" t="s">
        <v>198</v>
      </c>
      <c r="U52" s="4" t="b">
        <v>0</v>
      </c>
      <c r="V52" s="7">
        <v>44664</v>
      </c>
      <c r="W52" s="8">
        <v>44877</v>
      </c>
    </row>
    <row r="53" spans="1:23" ht="14.4" x14ac:dyDescent="0.3">
      <c r="A53" s="3">
        <v>50440</v>
      </c>
      <c r="B53" s="4" t="b">
        <v>1</v>
      </c>
      <c r="C53" s="1" t="s">
        <v>445</v>
      </c>
      <c r="D53" s="1" t="s">
        <v>446</v>
      </c>
      <c r="E53" s="5">
        <v>4506111</v>
      </c>
      <c r="F53" s="5">
        <v>9258989</v>
      </c>
      <c r="G53" s="1" t="s">
        <v>447</v>
      </c>
      <c r="H53" s="1" t="s">
        <v>448</v>
      </c>
      <c r="I53" s="6">
        <v>44021.189386226855</v>
      </c>
      <c r="J53" s="1">
        <f>390385090339</f>
        <v>390385090339</v>
      </c>
      <c r="K53" s="3">
        <v>49</v>
      </c>
      <c r="L53" s="5">
        <v>4897959</v>
      </c>
      <c r="M53" s="1">
        <v>776373777</v>
      </c>
      <c r="N53" s="3">
        <v>525</v>
      </c>
      <c r="O53" s="3">
        <v>1</v>
      </c>
      <c r="P53" s="1" t="s">
        <v>39</v>
      </c>
      <c r="Q53" s="4" t="b">
        <v>0</v>
      </c>
      <c r="R53" s="4" t="b">
        <v>0</v>
      </c>
      <c r="S53" s="4" t="b">
        <v>0</v>
      </c>
      <c r="T53" s="3" t="s">
        <v>287</v>
      </c>
      <c r="U53" s="4" t="b">
        <v>0</v>
      </c>
      <c r="V53" s="7">
        <v>44575</v>
      </c>
      <c r="W53" s="7">
        <v>44729</v>
      </c>
    </row>
    <row r="54" spans="1:23" ht="14.4" x14ac:dyDescent="0.3">
      <c r="A54" s="3">
        <v>50445</v>
      </c>
      <c r="B54" s="4" t="b">
        <v>1</v>
      </c>
      <c r="C54" s="1" t="s">
        <v>171</v>
      </c>
      <c r="D54" s="1" t="s">
        <v>172</v>
      </c>
      <c r="E54" s="5">
        <v>4185401</v>
      </c>
      <c r="F54" s="5">
        <v>1255824</v>
      </c>
      <c r="G54" s="1" t="s">
        <v>25</v>
      </c>
      <c r="H54" s="1" t="s">
        <v>173</v>
      </c>
      <c r="I54" s="6">
        <v>42948.387530254629</v>
      </c>
      <c r="J54" s="1">
        <f>39093583583</f>
        <v>39093583583</v>
      </c>
      <c r="K54" s="3">
        <v>19</v>
      </c>
      <c r="L54" s="5" t="s">
        <v>112</v>
      </c>
      <c r="M54" s="1">
        <v>773363333</v>
      </c>
      <c r="N54" s="3">
        <v>1087</v>
      </c>
      <c r="O54" s="3">
        <v>6</v>
      </c>
      <c r="P54" s="1" t="s">
        <v>28</v>
      </c>
      <c r="Q54" s="4" t="b">
        <v>0</v>
      </c>
      <c r="R54" s="4" t="b">
        <v>0</v>
      </c>
      <c r="S54" s="4" t="b">
        <v>0</v>
      </c>
      <c r="T54" s="3" t="s">
        <v>174</v>
      </c>
      <c r="U54" s="4" t="b">
        <v>0</v>
      </c>
      <c r="V54" s="7">
        <v>44809</v>
      </c>
      <c r="W54" s="7">
        <v>44850</v>
      </c>
    </row>
    <row r="55" spans="1:23" ht="14.4" x14ac:dyDescent="0.3">
      <c r="A55" s="3">
        <v>50457</v>
      </c>
      <c r="B55" s="4" t="b">
        <v>1</v>
      </c>
      <c r="C55" s="1" t="s">
        <v>390</v>
      </c>
      <c r="D55" s="1" t="s">
        <v>391</v>
      </c>
      <c r="E55" s="5">
        <v>41388</v>
      </c>
      <c r="F55" s="5">
        <v>2044978</v>
      </c>
      <c r="G55" s="1" t="s">
        <v>473</v>
      </c>
      <c r="H55" s="1" t="s">
        <v>474</v>
      </c>
      <c r="I55" s="6">
        <v>44041.30502190972</v>
      </c>
      <c r="J55" s="1">
        <f>35950335509</f>
        <v>35950335509</v>
      </c>
      <c r="K55" s="3">
        <v>87</v>
      </c>
      <c r="L55" s="5">
        <v>5</v>
      </c>
      <c r="M55" s="1" t="s">
        <v>475</v>
      </c>
      <c r="N55" s="3">
        <v>1773</v>
      </c>
      <c r="O55" s="3">
        <v>4</v>
      </c>
      <c r="P55" s="1" t="s">
        <v>39</v>
      </c>
      <c r="Q55" s="4" t="b">
        <v>0</v>
      </c>
      <c r="R55" s="4" t="b">
        <v>1</v>
      </c>
      <c r="S55" s="4" t="b">
        <v>0</v>
      </c>
      <c r="T55" s="3" t="s">
        <v>476</v>
      </c>
      <c r="U55" s="4" t="b">
        <v>0</v>
      </c>
      <c r="V55" s="7">
        <v>44596</v>
      </c>
      <c r="W55" s="7">
        <v>44720</v>
      </c>
    </row>
    <row r="56" spans="1:23" ht="14.4" x14ac:dyDescent="0.3">
      <c r="A56" s="3">
        <v>50505</v>
      </c>
      <c r="B56" s="4" t="b">
        <v>1</v>
      </c>
      <c r="C56" s="1" t="s">
        <v>442</v>
      </c>
      <c r="D56" s="1" t="s">
        <v>443</v>
      </c>
      <c r="E56" s="5">
        <v>4549243</v>
      </c>
      <c r="F56" s="5">
        <v>9151506</v>
      </c>
      <c r="G56" s="1" t="s">
        <v>37</v>
      </c>
      <c r="H56" s="1" t="s">
        <v>444</v>
      </c>
      <c r="I56" s="6">
        <v>44004.417064085646</v>
      </c>
      <c r="J56" s="1">
        <f>390885393353</f>
        <v>390885393353</v>
      </c>
      <c r="K56" s="3">
        <v>1851</v>
      </c>
      <c r="L56" s="5">
        <v>4851432</v>
      </c>
      <c r="M56" s="1">
        <v>7337333763</v>
      </c>
      <c r="N56" s="3">
        <v>21403</v>
      </c>
      <c r="O56" s="3">
        <v>6</v>
      </c>
      <c r="P56" s="1" t="s">
        <v>28</v>
      </c>
      <c r="Q56" s="4" t="b">
        <v>0</v>
      </c>
      <c r="R56" s="4" t="b">
        <v>0</v>
      </c>
      <c r="S56" s="4" t="b">
        <v>0</v>
      </c>
      <c r="T56" s="3" t="s">
        <v>170</v>
      </c>
      <c r="U56" s="4" t="b">
        <v>0</v>
      </c>
      <c r="V56" s="7">
        <v>44903</v>
      </c>
      <c r="W56" s="7">
        <v>44903</v>
      </c>
    </row>
    <row r="57" spans="1:23" ht="14.4" x14ac:dyDescent="0.3">
      <c r="A57" s="3">
        <v>50506</v>
      </c>
      <c r="B57" s="4" t="b">
        <v>1</v>
      </c>
      <c r="C57" s="1" t="s">
        <v>481</v>
      </c>
      <c r="D57" s="1" t="s">
        <v>482</v>
      </c>
      <c r="E57" s="5">
        <v>450848</v>
      </c>
      <c r="F57" s="5">
        <v>7400956</v>
      </c>
      <c r="G57" s="1" t="s">
        <v>483</v>
      </c>
      <c r="H57" s="1" t="s">
        <v>484</v>
      </c>
      <c r="I57" s="6">
        <v>44043.663327905095</v>
      </c>
      <c r="J57" s="1">
        <f>393383303090</f>
        <v>393383303090</v>
      </c>
      <c r="K57" s="3">
        <v>31</v>
      </c>
      <c r="L57" s="5">
        <v>4903226</v>
      </c>
      <c r="M57" s="1">
        <v>737333333</v>
      </c>
      <c r="N57" s="3">
        <v>1150</v>
      </c>
      <c r="O57" s="3">
        <v>7</v>
      </c>
      <c r="P57" s="1" t="s">
        <v>28</v>
      </c>
      <c r="Q57" s="4" t="b">
        <v>0</v>
      </c>
      <c r="R57" s="4" t="b">
        <v>0</v>
      </c>
      <c r="S57" s="4" t="b">
        <v>0</v>
      </c>
      <c r="T57" s="3" t="s">
        <v>149</v>
      </c>
      <c r="U57" s="4" t="b">
        <v>0</v>
      </c>
      <c r="V57" s="7">
        <v>44782</v>
      </c>
      <c r="W57" s="7">
        <v>44801</v>
      </c>
    </row>
    <row r="58" spans="1:23" ht="14.4" x14ac:dyDescent="0.3">
      <c r="A58" s="3">
        <v>50541</v>
      </c>
      <c r="B58" s="4" t="b">
        <v>1</v>
      </c>
      <c r="C58" s="1" t="s">
        <v>485</v>
      </c>
      <c r="D58" s="1" t="s">
        <v>486</v>
      </c>
      <c r="E58" s="5">
        <v>4351769</v>
      </c>
      <c r="F58" s="5">
        <v>1032284</v>
      </c>
      <c r="G58" s="1" t="s">
        <v>157</v>
      </c>
      <c r="H58" s="1" t="s">
        <v>487</v>
      </c>
      <c r="I58" s="6">
        <v>44047.531055659725</v>
      </c>
      <c r="J58" s="1">
        <f>390589538353</f>
        <v>390589538353</v>
      </c>
      <c r="K58" s="3">
        <v>21</v>
      </c>
      <c r="L58" s="5">
        <v>4904762</v>
      </c>
      <c r="M58" s="1">
        <v>733373373</v>
      </c>
      <c r="N58" s="3">
        <v>507</v>
      </c>
      <c r="O58" s="3">
        <v>2</v>
      </c>
      <c r="P58" s="1" t="s">
        <v>39</v>
      </c>
      <c r="Q58" s="4" t="b">
        <v>0</v>
      </c>
      <c r="R58" s="4" t="b">
        <v>1</v>
      </c>
      <c r="S58" s="4" t="b">
        <v>0</v>
      </c>
      <c r="T58" s="3" t="s">
        <v>488</v>
      </c>
      <c r="U58" s="4" t="b">
        <v>0</v>
      </c>
      <c r="V58" s="7">
        <v>44803</v>
      </c>
      <c r="W58" s="8">
        <v>44851</v>
      </c>
    </row>
    <row r="59" spans="1:23" ht="14.4" x14ac:dyDescent="0.3">
      <c r="A59" s="3">
        <v>50547</v>
      </c>
      <c r="B59" s="4" t="b">
        <v>1</v>
      </c>
      <c r="C59" s="1" t="s">
        <v>489</v>
      </c>
      <c r="D59" s="1" t="s">
        <v>490</v>
      </c>
      <c r="E59" s="5">
        <v>4571261</v>
      </c>
      <c r="F59" s="5">
        <v>1261553</v>
      </c>
      <c r="G59" s="1" t="s">
        <v>491</v>
      </c>
      <c r="H59" s="1" t="s">
        <v>492</v>
      </c>
      <c r="I59" s="6">
        <v>44047.632267002315</v>
      </c>
      <c r="J59" s="1">
        <f>390583388035</f>
        <v>390583388035</v>
      </c>
      <c r="K59" s="3">
        <v>3</v>
      </c>
      <c r="L59" s="5">
        <v>5</v>
      </c>
      <c r="M59" s="1">
        <v>7333333373</v>
      </c>
      <c r="N59" s="3">
        <v>610</v>
      </c>
      <c r="O59" s="3">
        <v>2</v>
      </c>
      <c r="P59" s="1" t="s">
        <v>33</v>
      </c>
      <c r="Q59" s="4" t="b">
        <v>0</v>
      </c>
      <c r="R59" s="4" t="b">
        <v>1</v>
      </c>
      <c r="S59" s="4" t="b">
        <v>0</v>
      </c>
      <c r="T59" s="3" t="s">
        <v>354</v>
      </c>
      <c r="U59" s="4" t="b">
        <v>0</v>
      </c>
      <c r="V59" s="7">
        <v>44680</v>
      </c>
      <c r="W59" s="7">
        <v>44873</v>
      </c>
    </row>
    <row r="60" spans="1:23" ht="14.4" x14ac:dyDescent="0.3">
      <c r="A60" s="3">
        <v>50644</v>
      </c>
      <c r="B60" s="4" t="b">
        <v>1</v>
      </c>
      <c r="C60" s="1" t="s">
        <v>410</v>
      </c>
      <c r="D60" s="1" t="s">
        <v>411</v>
      </c>
      <c r="E60" s="5">
        <v>4377349</v>
      </c>
      <c r="F60" s="5">
        <v>1129595</v>
      </c>
      <c r="G60" s="1" t="s">
        <v>423</v>
      </c>
      <c r="H60" s="1" t="s">
        <v>468</v>
      </c>
      <c r="I60" s="6">
        <v>44033.382031377318</v>
      </c>
      <c r="J60" s="1">
        <f>39055905099</f>
        <v>39055905099</v>
      </c>
      <c r="K60" s="3">
        <v>166</v>
      </c>
      <c r="L60" s="5">
        <v>4861446</v>
      </c>
      <c r="M60" s="1">
        <v>6637333337</v>
      </c>
      <c r="N60" s="3">
        <v>4453</v>
      </c>
      <c r="O60" s="3">
        <v>5</v>
      </c>
      <c r="P60" s="1" t="s">
        <v>39</v>
      </c>
      <c r="Q60" s="4" t="b">
        <v>0</v>
      </c>
      <c r="R60" s="4" t="b">
        <v>0</v>
      </c>
      <c r="S60" s="4" t="b">
        <v>0</v>
      </c>
      <c r="T60" s="3" t="s">
        <v>40</v>
      </c>
      <c r="U60" s="4" t="b">
        <v>0</v>
      </c>
      <c r="V60" s="7">
        <v>44887</v>
      </c>
      <c r="W60" s="7">
        <v>44868</v>
      </c>
    </row>
    <row r="61" spans="1:23" ht="14.4" x14ac:dyDescent="0.3">
      <c r="A61" s="3">
        <v>51040</v>
      </c>
      <c r="B61" s="4" t="b">
        <v>1</v>
      </c>
      <c r="C61" s="1" t="s">
        <v>503</v>
      </c>
      <c r="D61" s="1" t="s">
        <v>504</v>
      </c>
      <c r="E61" s="5">
        <v>3690912</v>
      </c>
      <c r="F61" s="5">
        <v>1513532</v>
      </c>
      <c r="G61" s="1" t="s">
        <v>505</v>
      </c>
      <c r="H61" s="1" t="s">
        <v>506</v>
      </c>
      <c r="I61" s="6">
        <v>44050.59238707176</v>
      </c>
      <c r="J61" s="1">
        <f>393393393888</f>
        <v>393393393888</v>
      </c>
      <c r="K61" s="3">
        <v>99</v>
      </c>
      <c r="L61" s="5">
        <v>5</v>
      </c>
      <c r="M61" s="1">
        <v>6333377</v>
      </c>
      <c r="N61" s="3">
        <v>657</v>
      </c>
      <c r="O61" s="3">
        <v>2</v>
      </c>
      <c r="P61" s="1" t="s">
        <v>28</v>
      </c>
      <c r="Q61" s="4" t="b">
        <v>0</v>
      </c>
      <c r="R61" s="4" t="b">
        <v>1</v>
      </c>
      <c r="S61" s="4" t="b">
        <v>1</v>
      </c>
      <c r="T61" s="3" t="s">
        <v>507</v>
      </c>
      <c r="U61" s="4" t="b">
        <v>0</v>
      </c>
      <c r="V61" s="7">
        <v>44667</v>
      </c>
      <c r="W61" s="7">
        <v>44867</v>
      </c>
    </row>
    <row r="62" spans="1:23" ht="14.4" x14ac:dyDescent="0.3">
      <c r="A62" s="3">
        <v>51055</v>
      </c>
      <c r="B62" s="4" t="b">
        <v>1</v>
      </c>
      <c r="C62" s="1" t="s">
        <v>517</v>
      </c>
      <c r="D62" s="1" t="s">
        <v>518</v>
      </c>
      <c r="E62" s="5">
        <v>4393373</v>
      </c>
      <c r="F62" s="5">
        <v>1090736</v>
      </c>
      <c r="G62" s="1" t="s">
        <v>519</v>
      </c>
      <c r="H62" s="1" t="s">
        <v>520</v>
      </c>
      <c r="I62" s="6">
        <v>44057.519885636575</v>
      </c>
      <c r="J62" s="1">
        <f>390533599989</f>
        <v>390533599989</v>
      </c>
      <c r="K62" s="3">
        <v>127</v>
      </c>
      <c r="L62" s="5">
        <v>4968504</v>
      </c>
      <c r="M62" s="1">
        <v>6333373</v>
      </c>
      <c r="N62" s="3">
        <v>607</v>
      </c>
      <c r="O62" s="3">
        <v>3</v>
      </c>
      <c r="P62" s="1" t="s">
        <v>33</v>
      </c>
      <c r="Q62" s="4" t="b">
        <v>0</v>
      </c>
      <c r="R62" s="4" t="b">
        <v>1</v>
      </c>
      <c r="S62" s="4" t="b">
        <v>0</v>
      </c>
      <c r="T62" s="3" t="s">
        <v>521</v>
      </c>
      <c r="U62" s="4" t="b">
        <v>0</v>
      </c>
      <c r="V62" s="8">
        <v>44886</v>
      </c>
      <c r="W62" s="7">
        <v>44734</v>
      </c>
    </row>
    <row r="63" spans="1:23" ht="14.4" x14ac:dyDescent="0.3">
      <c r="A63" s="3">
        <v>51056</v>
      </c>
      <c r="B63" s="4" t="b">
        <v>1</v>
      </c>
      <c r="C63" s="1" t="s">
        <v>493</v>
      </c>
      <c r="D63" s="1" t="s">
        <v>494</v>
      </c>
      <c r="E63" s="5">
        <v>3788401</v>
      </c>
      <c r="F63" s="5">
        <v>-478053</v>
      </c>
      <c r="G63" s="1" t="s">
        <v>495</v>
      </c>
      <c r="H63" s="1" t="s">
        <v>496</v>
      </c>
      <c r="I63" s="6">
        <v>44049.508557245368</v>
      </c>
      <c r="J63" s="1">
        <f>35953530305</f>
        <v>35953530305</v>
      </c>
      <c r="K63" s="3">
        <v>26</v>
      </c>
      <c r="L63" s="5">
        <v>4961538</v>
      </c>
      <c r="M63" s="1" t="s">
        <v>497</v>
      </c>
      <c r="N63" s="3">
        <v>1602</v>
      </c>
      <c r="O63" s="3">
        <v>6</v>
      </c>
      <c r="P63" s="1" t="s">
        <v>28</v>
      </c>
      <c r="Q63" s="4" t="b">
        <v>0</v>
      </c>
      <c r="R63" s="4" t="b">
        <v>1</v>
      </c>
      <c r="S63" s="4" t="b">
        <v>0</v>
      </c>
      <c r="T63" s="3" t="s">
        <v>498</v>
      </c>
      <c r="U63" s="4" t="b">
        <v>0</v>
      </c>
      <c r="V63" s="7">
        <v>44819</v>
      </c>
      <c r="W63" s="7">
        <v>44860</v>
      </c>
    </row>
    <row r="64" spans="1:23" ht="14.4" x14ac:dyDescent="0.3">
      <c r="A64" s="3">
        <v>51067</v>
      </c>
      <c r="B64" s="4" t="b">
        <v>1</v>
      </c>
      <c r="C64" s="1" t="s">
        <v>508</v>
      </c>
      <c r="D64" s="1" t="s">
        <v>509</v>
      </c>
      <c r="E64" s="5">
        <v>4389044</v>
      </c>
      <c r="F64" s="5">
        <v>1023095</v>
      </c>
      <c r="G64" s="1" t="s">
        <v>510</v>
      </c>
      <c r="H64" s="1" t="s">
        <v>511</v>
      </c>
      <c r="I64" s="6">
        <v>44053.449165613427</v>
      </c>
      <c r="J64" s="1">
        <f>39058599333</f>
        <v>39058599333</v>
      </c>
      <c r="K64" s="3">
        <v>36</v>
      </c>
      <c r="L64" s="5">
        <v>4666667</v>
      </c>
      <c r="M64" s="1">
        <v>763633363</v>
      </c>
      <c r="N64" s="3">
        <v>1544</v>
      </c>
      <c r="O64" s="3">
        <v>5</v>
      </c>
      <c r="P64" s="1" t="s">
        <v>39</v>
      </c>
      <c r="Q64" s="4" t="b">
        <v>0</v>
      </c>
      <c r="R64" s="4" t="b">
        <v>0</v>
      </c>
      <c r="S64" s="4" t="b">
        <v>0</v>
      </c>
      <c r="T64" s="3" t="s">
        <v>512</v>
      </c>
      <c r="U64" s="4" t="b">
        <v>0</v>
      </c>
      <c r="V64" s="7">
        <v>44650</v>
      </c>
      <c r="W64" s="8">
        <v>44852</v>
      </c>
    </row>
    <row r="65" spans="1:23" ht="14.4" x14ac:dyDescent="0.3">
      <c r="A65" s="3">
        <v>51400</v>
      </c>
      <c r="B65" s="4" t="b">
        <v>1</v>
      </c>
      <c r="C65" s="1" t="s">
        <v>552</v>
      </c>
      <c r="D65" s="1" t="s">
        <v>553</v>
      </c>
      <c r="E65" s="5">
        <v>379542</v>
      </c>
      <c r="F65" s="5">
        <v>2363978</v>
      </c>
      <c r="G65" s="1" t="s">
        <v>554</v>
      </c>
      <c r="H65" s="1" t="s">
        <v>555</v>
      </c>
      <c r="I65" s="6">
        <v>44078.426458333335</v>
      </c>
      <c r="J65" s="1">
        <f>308383033300</f>
        <v>308383033300</v>
      </c>
      <c r="K65" s="3">
        <v>14</v>
      </c>
      <c r="L65" s="5">
        <v>4928571</v>
      </c>
      <c r="M65" s="1">
        <v>63733333</v>
      </c>
      <c r="N65" s="3">
        <v>1874</v>
      </c>
      <c r="O65" s="3">
        <v>5</v>
      </c>
      <c r="P65" s="1" t="s">
        <v>33</v>
      </c>
      <c r="Q65" s="4" t="b">
        <v>0</v>
      </c>
      <c r="R65" s="4" t="b">
        <v>0</v>
      </c>
      <c r="S65" s="4" t="b">
        <v>0</v>
      </c>
      <c r="T65" s="3" t="s">
        <v>174</v>
      </c>
      <c r="U65" s="4" t="b">
        <v>1</v>
      </c>
      <c r="V65" s="7">
        <v>44792</v>
      </c>
      <c r="W65" s="7">
        <v>44757</v>
      </c>
    </row>
    <row r="66" spans="1:23" ht="14.4" x14ac:dyDescent="0.3">
      <c r="A66" s="3">
        <v>51441</v>
      </c>
      <c r="B66" s="4" t="b">
        <v>1</v>
      </c>
      <c r="C66" s="1" t="s">
        <v>561</v>
      </c>
      <c r="D66" s="1" t="s">
        <v>562</v>
      </c>
      <c r="E66" s="5">
        <v>4204394</v>
      </c>
      <c r="F66" s="5">
        <v>1473303</v>
      </c>
      <c r="G66" s="1" t="s">
        <v>563</v>
      </c>
      <c r="H66" s="1" t="s">
        <v>564</v>
      </c>
      <c r="I66" s="6">
        <v>44082.534321898151</v>
      </c>
      <c r="J66" s="1">
        <f>393338885309</f>
        <v>393338885309</v>
      </c>
      <c r="K66" s="3">
        <v>3</v>
      </c>
      <c r="L66" s="5">
        <v>5</v>
      </c>
      <c r="M66" s="1">
        <v>337733673</v>
      </c>
      <c r="N66" s="3">
        <v>301</v>
      </c>
      <c r="O66" s="3">
        <v>2</v>
      </c>
      <c r="P66" s="1" t="s">
        <v>33</v>
      </c>
      <c r="Q66" s="4" t="b">
        <v>1</v>
      </c>
      <c r="R66" s="4" t="b">
        <v>0</v>
      </c>
      <c r="S66" s="4" t="b">
        <v>0</v>
      </c>
      <c r="T66" s="3">
        <v>0</v>
      </c>
      <c r="U66" s="4" t="b">
        <v>0</v>
      </c>
      <c r="V66" s="7">
        <v>44778</v>
      </c>
      <c r="W66" s="7">
        <v>44714</v>
      </c>
    </row>
    <row r="67" spans="1:23" ht="14.4" x14ac:dyDescent="0.3">
      <c r="A67" s="3">
        <v>51466</v>
      </c>
      <c r="B67" s="4" t="b">
        <v>1</v>
      </c>
      <c r="C67" s="1" t="s">
        <v>581</v>
      </c>
      <c r="D67" s="1" t="s">
        <v>582</v>
      </c>
      <c r="E67" s="5">
        <v>3957671</v>
      </c>
      <c r="F67" s="5">
        <v>2652017</v>
      </c>
      <c r="G67" s="1" t="s">
        <v>534</v>
      </c>
      <c r="H67" s="1" t="s">
        <v>583</v>
      </c>
      <c r="I67" s="6">
        <v>44112.354638159719</v>
      </c>
      <c r="J67" s="1">
        <f>35933998985</f>
        <v>35933998985</v>
      </c>
      <c r="K67" s="3">
        <v>28</v>
      </c>
      <c r="L67" s="5">
        <v>4928571</v>
      </c>
      <c r="M67" s="1" t="s">
        <v>584</v>
      </c>
      <c r="N67" s="3">
        <v>933</v>
      </c>
      <c r="O67" s="3">
        <v>2</v>
      </c>
      <c r="P67" s="1" t="s">
        <v>39</v>
      </c>
      <c r="Q67" s="4" t="b">
        <v>0</v>
      </c>
      <c r="R67" s="4" t="b">
        <v>1</v>
      </c>
      <c r="S67" s="4" t="b">
        <v>0</v>
      </c>
      <c r="T67" s="3" t="s">
        <v>585</v>
      </c>
      <c r="U67" s="4" t="b">
        <v>0</v>
      </c>
      <c r="V67" s="7">
        <v>44782</v>
      </c>
      <c r="W67" s="7">
        <v>44825</v>
      </c>
    </row>
    <row r="68" spans="1:23" ht="14.4" x14ac:dyDescent="0.3">
      <c r="A68" s="3">
        <v>51550</v>
      </c>
      <c r="B68" s="4" t="b">
        <v>1</v>
      </c>
      <c r="C68" s="1" t="s">
        <v>528</v>
      </c>
      <c r="D68" s="1" t="s">
        <v>529</v>
      </c>
      <c r="E68" s="5">
        <v>3765235</v>
      </c>
      <c r="F68" s="5">
        <v>1486074</v>
      </c>
      <c r="G68" s="1" t="s">
        <v>530</v>
      </c>
      <c r="H68" s="1" t="s">
        <v>531</v>
      </c>
      <c r="I68" s="6">
        <v>44067.571413611113</v>
      </c>
      <c r="J68" s="1">
        <f>393883888959</f>
        <v>393883888959</v>
      </c>
      <c r="K68" s="3">
        <v>0</v>
      </c>
      <c r="L68" s="5">
        <v>0</v>
      </c>
      <c r="M68" s="1">
        <v>33373</v>
      </c>
      <c r="N68" s="3">
        <v>438</v>
      </c>
      <c r="O68" s="3">
        <v>4</v>
      </c>
      <c r="P68" s="1" t="s">
        <v>33</v>
      </c>
      <c r="Q68" s="4" t="b">
        <v>0</v>
      </c>
      <c r="R68" s="4" t="b">
        <v>1</v>
      </c>
      <c r="S68" s="4" t="b">
        <v>0</v>
      </c>
      <c r="T68" s="3">
        <v>0</v>
      </c>
      <c r="U68" s="4" t="b">
        <v>0</v>
      </c>
      <c r="V68" s="7">
        <v>44674</v>
      </c>
      <c r="W68" s="7">
        <v>44721</v>
      </c>
    </row>
    <row r="69" spans="1:23" ht="14.4" x14ac:dyDescent="0.3">
      <c r="A69" s="3">
        <v>54146</v>
      </c>
      <c r="B69" s="4" t="b">
        <v>1</v>
      </c>
      <c r="C69" s="1" t="s">
        <v>855</v>
      </c>
      <c r="D69" s="1" t="s">
        <v>856</v>
      </c>
      <c r="E69" s="5">
        <v>4235507</v>
      </c>
      <c r="F69" s="5">
        <v>1414196</v>
      </c>
      <c r="G69" s="1" t="s">
        <v>857</v>
      </c>
      <c r="H69" s="1" t="s">
        <v>858</v>
      </c>
      <c r="I69" s="6">
        <v>44483.298579861112</v>
      </c>
      <c r="J69" s="1">
        <f>390833335955</f>
        <v>390833335955</v>
      </c>
      <c r="K69" s="3">
        <v>24</v>
      </c>
      <c r="L69" s="5">
        <v>4833333</v>
      </c>
      <c r="M69" s="1">
        <v>733673</v>
      </c>
      <c r="N69" s="3">
        <v>686</v>
      </c>
      <c r="O69" s="3">
        <v>3</v>
      </c>
      <c r="P69" s="1" t="s">
        <v>28</v>
      </c>
      <c r="Q69" s="4" t="b">
        <v>0</v>
      </c>
      <c r="R69" s="4" t="b">
        <v>0</v>
      </c>
      <c r="S69" s="4" t="b">
        <v>0</v>
      </c>
      <c r="T69" s="3" t="s">
        <v>512</v>
      </c>
      <c r="U69" s="4" t="b">
        <v>0</v>
      </c>
      <c r="V69" s="7">
        <v>44787</v>
      </c>
      <c r="W69" s="7">
        <v>44808</v>
      </c>
    </row>
    <row r="70" spans="1:23" ht="14.4" x14ac:dyDescent="0.3">
      <c r="A70" s="3">
        <v>54160</v>
      </c>
      <c r="B70" s="4" t="b">
        <v>1</v>
      </c>
      <c r="C70" s="1" t="s">
        <v>859</v>
      </c>
      <c r="D70" s="1" t="s">
        <v>860</v>
      </c>
      <c r="E70" s="5">
        <v>454417</v>
      </c>
      <c r="F70" s="5">
        <v>1076536</v>
      </c>
      <c r="G70" s="1" t="s">
        <v>861</v>
      </c>
      <c r="H70" s="1" t="s">
        <v>862</v>
      </c>
      <c r="I70" s="6">
        <v>44483.531364201386</v>
      </c>
      <c r="J70" s="1">
        <f>393508535839</f>
        <v>393508535839</v>
      </c>
      <c r="K70" s="3">
        <v>0</v>
      </c>
      <c r="L70" s="5">
        <v>0</v>
      </c>
      <c r="M70" s="1">
        <v>7773733377</v>
      </c>
      <c r="N70" s="3">
        <v>271</v>
      </c>
      <c r="O70" s="3">
        <v>1</v>
      </c>
      <c r="P70" s="1" t="s">
        <v>33</v>
      </c>
      <c r="Q70" s="4" t="b">
        <v>0</v>
      </c>
      <c r="R70" s="4" t="b">
        <v>1</v>
      </c>
      <c r="S70" s="4" t="b">
        <v>0</v>
      </c>
      <c r="T70" s="3">
        <v>0</v>
      </c>
      <c r="U70" s="4" t="b">
        <v>0</v>
      </c>
      <c r="V70" s="7">
        <v>44836</v>
      </c>
      <c r="W70" s="8">
        <v>44846</v>
      </c>
    </row>
    <row r="71" spans="1:23" ht="14.4" x14ac:dyDescent="0.3">
      <c r="A71" s="3">
        <v>54170</v>
      </c>
      <c r="B71" s="4" t="b">
        <v>1</v>
      </c>
      <c r="C71" s="1" t="s">
        <v>863</v>
      </c>
      <c r="D71" s="1" t="s">
        <v>864</v>
      </c>
      <c r="E71" s="5">
        <v>3988848</v>
      </c>
      <c r="F71" s="5">
        <v>-8178</v>
      </c>
      <c r="G71" s="1" t="s">
        <v>865</v>
      </c>
      <c r="H71" s="1" t="s">
        <v>866</v>
      </c>
      <c r="I71" s="6">
        <v>44484.365384594908</v>
      </c>
      <c r="J71" s="1">
        <f>35995533590</f>
        <v>35995533590</v>
      </c>
      <c r="K71" s="3">
        <v>59</v>
      </c>
      <c r="L71" s="5">
        <v>4983051</v>
      </c>
      <c r="M71" s="1" t="s">
        <v>867</v>
      </c>
      <c r="N71" s="3">
        <v>1289</v>
      </c>
      <c r="O71" s="3">
        <v>4</v>
      </c>
      <c r="P71" s="1" t="s">
        <v>33</v>
      </c>
      <c r="Q71" s="4" t="b">
        <v>0</v>
      </c>
      <c r="R71" s="4" t="b">
        <v>1</v>
      </c>
      <c r="S71" s="4" t="b">
        <v>1</v>
      </c>
      <c r="T71" s="3" t="s">
        <v>868</v>
      </c>
      <c r="U71" s="4" t="b">
        <v>0</v>
      </c>
      <c r="V71" s="8">
        <v>44879</v>
      </c>
      <c r="W71" s="7">
        <v>44591</v>
      </c>
    </row>
    <row r="72" spans="1:23" ht="14.4" x14ac:dyDescent="0.3">
      <c r="A72" s="3">
        <v>54176</v>
      </c>
      <c r="B72" s="4" t="b">
        <v>1</v>
      </c>
      <c r="C72" s="1" t="s">
        <v>623</v>
      </c>
      <c r="D72" s="1" t="s">
        <v>624</v>
      </c>
      <c r="E72" s="5">
        <v>3799766</v>
      </c>
      <c r="F72" s="5">
        <v>-11325</v>
      </c>
      <c r="G72" s="1" t="s">
        <v>625</v>
      </c>
      <c r="H72" s="1" t="s">
        <v>626</v>
      </c>
      <c r="I72" s="6">
        <v>44195.391859456016</v>
      </c>
      <c r="J72" s="1">
        <f>35998938098</f>
        <v>35998938098</v>
      </c>
      <c r="K72" s="3">
        <v>174</v>
      </c>
      <c r="L72" s="5">
        <v>4977011</v>
      </c>
      <c r="M72" s="1" t="s">
        <v>627</v>
      </c>
      <c r="N72" s="3">
        <v>7806</v>
      </c>
      <c r="O72" s="3">
        <v>14</v>
      </c>
      <c r="P72" s="1" t="s">
        <v>28</v>
      </c>
      <c r="Q72" s="4" t="b">
        <v>0</v>
      </c>
      <c r="R72" s="4" t="b">
        <v>1</v>
      </c>
      <c r="S72" s="4" t="b">
        <v>0</v>
      </c>
      <c r="T72" s="3" t="s">
        <v>628</v>
      </c>
      <c r="U72" s="4" t="b">
        <v>0</v>
      </c>
      <c r="V72" s="7">
        <v>44810</v>
      </c>
      <c r="W72" s="7">
        <v>44851</v>
      </c>
    </row>
    <row r="73" spans="1:23" ht="14.4" x14ac:dyDescent="0.3">
      <c r="A73" s="3">
        <v>54414</v>
      </c>
      <c r="B73" s="4" t="b">
        <v>1</v>
      </c>
      <c r="C73" s="1" t="s">
        <v>884</v>
      </c>
      <c r="D73" s="1" t="s">
        <v>885</v>
      </c>
      <c r="E73" s="5">
        <v>413745</v>
      </c>
      <c r="F73" s="5">
        <v>2158109</v>
      </c>
      <c r="G73" s="1" t="s">
        <v>182</v>
      </c>
      <c r="H73" s="1" t="s">
        <v>886</v>
      </c>
      <c r="I73" s="6">
        <v>44497.327975023145</v>
      </c>
      <c r="J73" s="6"/>
      <c r="K73" s="3">
        <v>9</v>
      </c>
      <c r="L73" s="5">
        <v>5</v>
      </c>
      <c r="M73" s="1" t="s">
        <v>887</v>
      </c>
      <c r="N73" s="3">
        <v>49</v>
      </c>
      <c r="O73" s="3">
        <v>2</v>
      </c>
      <c r="P73" s="1" t="s">
        <v>39</v>
      </c>
      <c r="Q73" s="4" t="b">
        <v>0</v>
      </c>
      <c r="R73" s="4" t="b">
        <v>1</v>
      </c>
      <c r="S73" s="4" t="b">
        <v>0</v>
      </c>
      <c r="T73" s="3" t="s">
        <v>576</v>
      </c>
      <c r="U73" s="4" t="b">
        <v>0</v>
      </c>
      <c r="V73" s="7">
        <v>44816</v>
      </c>
      <c r="W73" s="7">
        <v>44804</v>
      </c>
    </row>
    <row r="74" spans="1:23" ht="14.4" x14ac:dyDescent="0.3">
      <c r="A74" s="3">
        <v>54460</v>
      </c>
      <c r="B74" s="4" t="b">
        <v>1</v>
      </c>
      <c r="C74" s="1" t="s">
        <v>888</v>
      </c>
      <c r="D74" s="1" t="s">
        <v>889</v>
      </c>
      <c r="E74" s="5">
        <v>4257421</v>
      </c>
      <c r="F74" s="5">
        <v>-54594</v>
      </c>
      <c r="G74" s="1" t="s">
        <v>890</v>
      </c>
      <c r="H74" s="1" t="s">
        <v>891</v>
      </c>
      <c r="I74" s="6">
        <v>44497.642636400466</v>
      </c>
      <c r="J74" s="1">
        <f>35935093938</f>
        <v>35935093938</v>
      </c>
      <c r="K74" s="3">
        <v>97</v>
      </c>
      <c r="L74" s="5">
        <v>4989691</v>
      </c>
      <c r="M74" s="1" t="s">
        <v>892</v>
      </c>
      <c r="N74" s="3">
        <v>1427</v>
      </c>
      <c r="O74" s="3">
        <v>3</v>
      </c>
      <c r="P74" s="1" t="s">
        <v>33</v>
      </c>
      <c r="Q74" s="4" t="b">
        <v>0</v>
      </c>
      <c r="R74" s="4" t="b">
        <v>1</v>
      </c>
      <c r="S74" s="4" t="b">
        <v>0</v>
      </c>
      <c r="T74" s="3" t="s">
        <v>405</v>
      </c>
      <c r="U74" s="4" t="b">
        <v>0</v>
      </c>
      <c r="V74" s="7">
        <v>44694</v>
      </c>
      <c r="W74" s="8">
        <v>44887</v>
      </c>
    </row>
    <row r="75" spans="1:23" ht="14.4" x14ac:dyDescent="0.3">
      <c r="A75" s="3">
        <v>54465</v>
      </c>
      <c r="B75" s="4" t="b">
        <v>1</v>
      </c>
      <c r="C75" s="1" t="s">
        <v>910</v>
      </c>
      <c r="D75" s="1" t="s">
        <v>911</v>
      </c>
      <c r="E75" s="5">
        <v>4496247</v>
      </c>
      <c r="F75" s="5">
        <v>1025767</v>
      </c>
      <c r="G75" s="1" t="s">
        <v>912</v>
      </c>
      <c r="H75" s="1" t="s">
        <v>913</v>
      </c>
      <c r="I75" s="6">
        <v>44518.702068900464</v>
      </c>
      <c r="J75" s="1">
        <f>393393503953</f>
        <v>393393503953</v>
      </c>
      <c r="K75" s="3">
        <v>4</v>
      </c>
      <c r="L75" s="5">
        <v>5</v>
      </c>
      <c r="M75" s="1">
        <v>737333736</v>
      </c>
      <c r="N75" s="3">
        <v>526</v>
      </c>
      <c r="O75" s="3">
        <v>2</v>
      </c>
      <c r="P75" s="1" t="s">
        <v>28</v>
      </c>
      <c r="Q75" s="4" t="b">
        <v>0</v>
      </c>
      <c r="R75" s="4" t="b">
        <v>0</v>
      </c>
      <c r="S75" s="4" t="b">
        <v>0</v>
      </c>
      <c r="T75" s="3" t="s">
        <v>764</v>
      </c>
      <c r="U75" s="4" t="b">
        <v>0</v>
      </c>
      <c r="V75" s="8">
        <v>44886</v>
      </c>
      <c r="W75" s="7">
        <v>44801</v>
      </c>
    </row>
    <row r="76" spans="1:23" ht="14.4" x14ac:dyDescent="0.3">
      <c r="A76" s="3">
        <v>54470</v>
      </c>
      <c r="B76" s="4" t="b">
        <v>1</v>
      </c>
      <c r="C76" s="1" t="s">
        <v>629</v>
      </c>
      <c r="D76" s="1" t="s">
        <v>630</v>
      </c>
      <c r="E76" s="5">
        <v>3892632</v>
      </c>
      <c r="F76" s="5">
        <v>1658158</v>
      </c>
      <c r="G76" s="1" t="s">
        <v>631</v>
      </c>
      <c r="H76" s="1" t="s">
        <v>632</v>
      </c>
      <c r="I76" s="6">
        <v>44195.502200219904</v>
      </c>
      <c r="J76" s="1">
        <f>390993355389</f>
        <v>390993355389</v>
      </c>
      <c r="K76" s="3">
        <v>65</v>
      </c>
      <c r="L76" s="5">
        <v>4953846</v>
      </c>
      <c r="M76" s="1">
        <v>7636333773</v>
      </c>
      <c r="N76" s="3">
        <v>1416</v>
      </c>
      <c r="O76" s="3">
        <v>6</v>
      </c>
      <c r="P76" s="1" t="s">
        <v>28</v>
      </c>
      <c r="Q76" s="4" t="b">
        <v>0</v>
      </c>
      <c r="R76" s="4" t="b">
        <v>1</v>
      </c>
      <c r="S76" s="4" t="b">
        <v>0</v>
      </c>
      <c r="T76" s="3" t="s">
        <v>633</v>
      </c>
      <c r="U76" s="4" t="b">
        <v>1</v>
      </c>
      <c r="V76" s="7">
        <v>44903</v>
      </c>
      <c r="W76" s="7">
        <v>44903</v>
      </c>
    </row>
    <row r="77" spans="1:23" ht="14.4" x14ac:dyDescent="0.3">
      <c r="A77" s="3">
        <v>54504</v>
      </c>
      <c r="B77" s="4" t="b">
        <v>1</v>
      </c>
      <c r="C77" s="1" t="s">
        <v>924</v>
      </c>
      <c r="D77" s="1" t="s">
        <v>925</v>
      </c>
      <c r="E77" s="5">
        <v>370837</v>
      </c>
      <c r="F77" s="5">
        <v>1528249</v>
      </c>
      <c r="G77" s="1" t="s">
        <v>926</v>
      </c>
      <c r="H77" s="1" t="s">
        <v>927</v>
      </c>
      <c r="I77" s="6">
        <v>44519.604411666667</v>
      </c>
      <c r="J77" s="1">
        <f>393509885399</f>
        <v>393509885399</v>
      </c>
      <c r="K77" s="3">
        <v>15</v>
      </c>
      <c r="L77" s="5">
        <v>4866667</v>
      </c>
      <c r="M77" s="1">
        <v>763733373</v>
      </c>
      <c r="N77" s="3">
        <v>575</v>
      </c>
      <c r="O77" s="3">
        <v>6</v>
      </c>
      <c r="P77" s="1" t="s">
        <v>28</v>
      </c>
      <c r="Q77" s="4" t="b">
        <v>0</v>
      </c>
      <c r="R77" s="4" t="b">
        <v>1</v>
      </c>
      <c r="S77" s="4" t="b">
        <v>0</v>
      </c>
      <c r="T77" s="3" t="s">
        <v>375</v>
      </c>
      <c r="U77" s="4" t="b">
        <v>0</v>
      </c>
      <c r="V77" s="7">
        <v>44792</v>
      </c>
      <c r="W77" s="7">
        <v>44798</v>
      </c>
    </row>
    <row r="78" spans="1:23" ht="14.4" x14ac:dyDescent="0.3">
      <c r="A78" s="3">
        <v>54505</v>
      </c>
      <c r="B78" s="4" t="b">
        <v>1</v>
      </c>
      <c r="C78" s="1" t="s">
        <v>155</v>
      </c>
      <c r="D78" s="1" t="s">
        <v>156</v>
      </c>
      <c r="E78" s="5">
        <v>4354971</v>
      </c>
      <c r="F78" s="5">
        <v>1031836</v>
      </c>
      <c r="G78" s="1" t="s">
        <v>157</v>
      </c>
      <c r="H78" s="1" t="s">
        <v>158</v>
      </c>
      <c r="I78" s="6">
        <v>42830.602102337965</v>
      </c>
      <c r="J78" s="1">
        <f>393393585333</f>
        <v>393393585333</v>
      </c>
      <c r="K78" s="3">
        <v>12</v>
      </c>
      <c r="L78" s="5" t="s">
        <v>112</v>
      </c>
      <c r="M78" s="1">
        <v>733763373</v>
      </c>
      <c r="N78" s="3">
        <v>251</v>
      </c>
      <c r="O78" s="3">
        <v>4</v>
      </c>
      <c r="P78" s="1" t="s">
        <v>28</v>
      </c>
      <c r="Q78" s="4" t="b">
        <v>0</v>
      </c>
      <c r="R78" s="4" t="b">
        <v>1</v>
      </c>
      <c r="S78" s="4" t="b">
        <v>0</v>
      </c>
      <c r="T78" s="3" t="s">
        <v>159</v>
      </c>
      <c r="U78" s="4" t="b">
        <v>1</v>
      </c>
      <c r="V78" s="7">
        <v>44793</v>
      </c>
      <c r="W78" s="7">
        <v>44868</v>
      </c>
    </row>
    <row r="79" spans="1:23" ht="14.4" x14ac:dyDescent="0.3">
      <c r="A79" s="3">
        <v>54506</v>
      </c>
      <c r="B79" s="4" t="b">
        <v>1</v>
      </c>
      <c r="C79" s="1" t="s">
        <v>928</v>
      </c>
      <c r="D79" s="1" t="s">
        <v>929</v>
      </c>
      <c r="E79" s="5">
        <v>4189473</v>
      </c>
      <c r="F79" s="5">
        <v>1256212</v>
      </c>
      <c r="G79" s="1" t="s">
        <v>25</v>
      </c>
      <c r="H79" s="1" t="s">
        <v>930</v>
      </c>
      <c r="I79" s="6">
        <v>44519.62888935185</v>
      </c>
      <c r="J79" s="1">
        <f>393889588853</f>
        <v>393889588853</v>
      </c>
      <c r="K79" s="3">
        <v>33</v>
      </c>
      <c r="L79" s="5">
        <v>4878788</v>
      </c>
      <c r="M79" s="1">
        <v>773373333</v>
      </c>
      <c r="N79" s="3">
        <v>4672</v>
      </c>
      <c r="O79" s="3">
        <v>10</v>
      </c>
      <c r="P79" s="1" t="s">
        <v>33</v>
      </c>
      <c r="Q79" s="4" t="b">
        <v>0</v>
      </c>
      <c r="R79" s="4" t="b">
        <v>1</v>
      </c>
      <c r="S79" s="4" t="b">
        <v>0</v>
      </c>
      <c r="T79" s="3" t="s">
        <v>931</v>
      </c>
      <c r="U79" s="4" t="b">
        <v>0</v>
      </c>
      <c r="V79" s="7">
        <v>44896</v>
      </c>
      <c r="W79" s="7">
        <v>44877</v>
      </c>
    </row>
    <row r="80" spans="1:23" ht="14.4" x14ac:dyDescent="0.3">
      <c r="A80" s="3">
        <v>54544</v>
      </c>
      <c r="B80" s="4" t="b">
        <v>1</v>
      </c>
      <c r="C80" s="1" t="s">
        <v>874</v>
      </c>
      <c r="D80" s="1" t="s">
        <v>875</v>
      </c>
      <c r="E80" s="5">
        <v>406694</v>
      </c>
      <c r="F80" s="5">
        <v>2291712</v>
      </c>
      <c r="G80" s="1" t="s">
        <v>58</v>
      </c>
      <c r="H80" s="1" t="s">
        <v>876</v>
      </c>
      <c r="I80" s="6">
        <v>44488.61577369213</v>
      </c>
      <c r="J80" s="1">
        <f>308330383303</f>
        <v>308330383303</v>
      </c>
      <c r="K80" s="3">
        <v>0</v>
      </c>
      <c r="L80" s="5">
        <v>0</v>
      </c>
      <c r="M80" s="1">
        <v>37337637</v>
      </c>
      <c r="N80" s="3">
        <v>1304</v>
      </c>
      <c r="O80" s="3">
        <v>4</v>
      </c>
      <c r="P80" s="1" t="s">
        <v>39</v>
      </c>
      <c r="Q80" s="4" t="b">
        <v>1</v>
      </c>
      <c r="R80" s="4" t="b">
        <v>0</v>
      </c>
      <c r="S80" s="4" t="b">
        <v>0</v>
      </c>
      <c r="T80" s="3">
        <v>0</v>
      </c>
      <c r="U80" s="4" t="b">
        <v>0</v>
      </c>
      <c r="V80" s="7">
        <v>44778</v>
      </c>
      <c r="W80" s="8">
        <v>44856</v>
      </c>
    </row>
    <row r="81" spans="1:23" ht="14.4" x14ac:dyDescent="0.3">
      <c r="A81" s="3">
        <v>54544</v>
      </c>
      <c r="B81" s="4" t="b">
        <v>1</v>
      </c>
      <c r="C81" s="1" t="s">
        <v>937</v>
      </c>
      <c r="D81" s="1" t="s">
        <v>938</v>
      </c>
      <c r="E81" s="5">
        <v>3898324</v>
      </c>
      <c r="F81" s="5">
        <v>1300852</v>
      </c>
      <c r="G81" s="1" t="s">
        <v>939</v>
      </c>
      <c r="H81" s="1" t="s">
        <v>940</v>
      </c>
      <c r="I81" s="6">
        <v>44524.388621527774</v>
      </c>
      <c r="J81" s="1">
        <f>35955385538</f>
        <v>35955385538</v>
      </c>
      <c r="K81" s="3">
        <v>36</v>
      </c>
      <c r="L81" s="5">
        <v>4944444</v>
      </c>
      <c r="M81" s="1" t="s">
        <v>941</v>
      </c>
      <c r="N81" s="3">
        <v>803</v>
      </c>
      <c r="O81" s="3">
        <v>1</v>
      </c>
      <c r="P81" s="1" t="s">
        <v>39</v>
      </c>
      <c r="Q81" s="4" t="b">
        <v>0</v>
      </c>
      <c r="R81" s="4" t="b">
        <v>1</v>
      </c>
      <c r="S81" s="4" t="b">
        <v>0</v>
      </c>
      <c r="T81" s="3" t="s">
        <v>271</v>
      </c>
      <c r="U81" s="4" t="b">
        <v>0</v>
      </c>
      <c r="V81" s="7">
        <v>44839</v>
      </c>
      <c r="W81" s="7">
        <v>44826</v>
      </c>
    </row>
    <row r="82" spans="1:23" ht="14.4" x14ac:dyDescent="0.3">
      <c r="A82" s="3">
        <v>54550</v>
      </c>
      <c r="B82" s="4" t="b">
        <v>1</v>
      </c>
      <c r="C82" s="1" t="s">
        <v>141</v>
      </c>
      <c r="D82" s="1" t="s">
        <v>142</v>
      </c>
      <c r="E82" s="5">
        <v>4085068</v>
      </c>
      <c r="F82" s="5">
        <v>142343</v>
      </c>
      <c r="G82" s="1" t="s">
        <v>143</v>
      </c>
      <c r="H82" s="1" t="s">
        <v>144</v>
      </c>
      <c r="I82" s="6">
        <v>42766.733672488423</v>
      </c>
      <c r="J82" s="1">
        <f>390835593988</f>
        <v>390835593988</v>
      </c>
      <c r="K82" s="3">
        <v>46</v>
      </c>
      <c r="L82" s="5" t="s">
        <v>136</v>
      </c>
      <c r="M82" s="1">
        <v>3376333676</v>
      </c>
      <c r="N82" s="3">
        <v>2316</v>
      </c>
      <c r="O82" s="3">
        <v>4</v>
      </c>
      <c r="P82" s="1" t="s">
        <v>33</v>
      </c>
      <c r="Q82" s="4" t="b">
        <v>0</v>
      </c>
      <c r="R82" s="4" t="b">
        <v>1</v>
      </c>
      <c r="S82" s="4" t="b">
        <v>0</v>
      </c>
      <c r="T82" s="3" t="s">
        <v>145</v>
      </c>
      <c r="U82" s="4" t="b">
        <v>0</v>
      </c>
      <c r="V82" s="7">
        <v>44903</v>
      </c>
      <c r="W82" s="7">
        <v>44903</v>
      </c>
    </row>
    <row r="83" spans="1:23" ht="14.4" x14ac:dyDescent="0.3">
      <c r="A83" s="3">
        <v>54561</v>
      </c>
      <c r="B83" s="4" t="b">
        <v>1</v>
      </c>
      <c r="C83" s="1" t="s">
        <v>640</v>
      </c>
      <c r="D83" s="1" t="s">
        <v>641</v>
      </c>
      <c r="E83" s="5">
        <v>3778438</v>
      </c>
      <c r="F83" s="5">
        <v>1483857</v>
      </c>
      <c r="G83" s="1" t="s">
        <v>642</v>
      </c>
      <c r="H83" s="1" t="s">
        <v>643</v>
      </c>
      <c r="I83" s="6">
        <v>44210.479039444443</v>
      </c>
      <c r="J83" s="1">
        <f>393888003938</f>
        <v>393888003938</v>
      </c>
      <c r="K83" s="3">
        <v>53</v>
      </c>
      <c r="L83" s="5">
        <v>4962264</v>
      </c>
      <c r="M83" s="1">
        <v>73</v>
      </c>
      <c r="N83" s="3">
        <v>644</v>
      </c>
      <c r="O83" s="3">
        <v>5</v>
      </c>
      <c r="P83" s="1" t="s">
        <v>28</v>
      </c>
      <c r="Q83" s="4" t="b">
        <v>0</v>
      </c>
      <c r="R83" s="4" t="b">
        <v>0</v>
      </c>
      <c r="S83" s="4" t="b">
        <v>0</v>
      </c>
      <c r="T83" s="3" t="s">
        <v>380</v>
      </c>
      <c r="U83" s="4" t="b">
        <v>0</v>
      </c>
      <c r="V83" s="7">
        <v>44790</v>
      </c>
      <c r="W83" s="7">
        <v>44821</v>
      </c>
    </row>
    <row r="84" spans="1:23" ht="14.4" x14ac:dyDescent="0.3">
      <c r="A84" s="3">
        <v>54574</v>
      </c>
      <c r="B84" s="4" t="b">
        <v>1</v>
      </c>
      <c r="C84" s="1" t="s">
        <v>932</v>
      </c>
      <c r="D84" s="1" t="s">
        <v>933</v>
      </c>
      <c r="E84" s="5">
        <v>2848545</v>
      </c>
      <c r="F84" s="5">
        <v>-16319</v>
      </c>
      <c r="G84" s="1" t="s">
        <v>934</v>
      </c>
      <c r="H84" s="1" t="s">
        <v>935</v>
      </c>
      <c r="I84" s="6">
        <v>44523.634841168983</v>
      </c>
      <c r="J84" s="1">
        <f>35988593333</f>
        <v>35988593333</v>
      </c>
      <c r="K84" s="3">
        <v>34</v>
      </c>
      <c r="L84" s="5">
        <v>5</v>
      </c>
      <c r="M84" s="1" t="s">
        <v>936</v>
      </c>
      <c r="N84" s="3">
        <v>718</v>
      </c>
      <c r="O84" s="3">
        <v>2</v>
      </c>
      <c r="P84" s="1" t="s">
        <v>28</v>
      </c>
      <c r="Q84" s="4" t="b">
        <v>0</v>
      </c>
      <c r="R84" s="4" t="b">
        <v>1</v>
      </c>
      <c r="S84" s="4" t="b">
        <v>0</v>
      </c>
      <c r="T84" s="3" t="s">
        <v>516</v>
      </c>
      <c r="U84" s="4" t="b">
        <v>0</v>
      </c>
      <c r="V84" s="7">
        <v>44897</v>
      </c>
      <c r="W84" s="7">
        <v>44674</v>
      </c>
    </row>
    <row r="85" spans="1:23" ht="14.4" x14ac:dyDescent="0.3">
      <c r="A85" s="3">
        <v>54756</v>
      </c>
      <c r="B85" s="4" t="b">
        <v>1</v>
      </c>
      <c r="C85" s="1" t="s">
        <v>897</v>
      </c>
      <c r="D85" s="1" t="s">
        <v>898</v>
      </c>
      <c r="E85" s="5">
        <v>4086971</v>
      </c>
      <c r="F85" s="5">
        <v>1423503</v>
      </c>
      <c r="G85" s="1" t="s">
        <v>143</v>
      </c>
      <c r="H85" s="1" t="s">
        <v>899</v>
      </c>
      <c r="I85" s="6">
        <v>44512.551371400463</v>
      </c>
      <c r="J85" s="1">
        <f>393503035833</f>
        <v>393503035833</v>
      </c>
      <c r="K85" s="3">
        <v>46</v>
      </c>
      <c r="L85" s="5">
        <v>5</v>
      </c>
      <c r="M85" s="1">
        <v>6733763336</v>
      </c>
      <c r="N85" s="3">
        <v>375</v>
      </c>
      <c r="O85" s="3">
        <v>2</v>
      </c>
      <c r="P85" s="1" t="s">
        <v>28</v>
      </c>
      <c r="Q85" s="4" t="b">
        <v>0</v>
      </c>
      <c r="R85" s="4" t="b">
        <v>1</v>
      </c>
      <c r="S85" s="4" t="b">
        <v>1</v>
      </c>
      <c r="T85" s="3" t="s">
        <v>900</v>
      </c>
      <c r="U85" s="4" t="b">
        <v>0</v>
      </c>
      <c r="V85" s="7">
        <v>44811</v>
      </c>
      <c r="W85" s="7">
        <v>44838</v>
      </c>
    </row>
    <row r="86" spans="1:23" ht="14.4" x14ac:dyDescent="0.3">
      <c r="A86" s="3">
        <v>55016</v>
      </c>
      <c r="B86" s="4" t="b">
        <v>1</v>
      </c>
      <c r="C86" s="1" t="s">
        <v>942</v>
      </c>
      <c r="D86" s="1" t="s">
        <v>943</v>
      </c>
      <c r="E86" s="5">
        <v>4548006</v>
      </c>
      <c r="F86" s="5">
        <v>920442</v>
      </c>
      <c r="G86" s="1" t="s">
        <v>37</v>
      </c>
      <c r="H86" s="1" t="s">
        <v>944</v>
      </c>
      <c r="I86" s="6">
        <v>44524.66512445602</v>
      </c>
      <c r="J86" s="1">
        <f>390859585550</f>
        <v>390859585550</v>
      </c>
      <c r="K86" s="3">
        <v>28</v>
      </c>
      <c r="L86" s="5" t="s">
        <v>184</v>
      </c>
      <c r="M86" s="1">
        <v>73333737</v>
      </c>
      <c r="N86" s="3">
        <v>1417</v>
      </c>
      <c r="O86" s="3">
        <v>6</v>
      </c>
      <c r="P86" s="1" t="s">
        <v>33</v>
      </c>
      <c r="Q86" s="4" t="b">
        <v>0</v>
      </c>
      <c r="R86" s="4" t="b">
        <v>0</v>
      </c>
      <c r="S86" s="4" t="b">
        <v>0</v>
      </c>
      <c r="T86" s="3" t="s">
        <v>266</v>
      </c>
      <c r="U86" s="4" t="b">
        <v>0</v>
      </c>
      <c r="V86" s="7">
        <v>44872</v>
      </c>
      <c r="W86" s="7">
        <v>44835</v>
      </c>
    </row>
    <row r="87" spans="1:23" ht="14.4" x14ac:dyDescent="0.3">
      <c r="A87" s="3">
        <v>55017</v>
      </c>
      <c r="B87" s="4" t="b">
        <v>1</v>
      </c>
      <c r="C87" s="1" t="s">
        <v>945</v>
      </c>
      <c r="D87" s="1" t="s">
        <v>946</v>
      </c>
      <c r="E87" s="5">
        <v>408998</v>
      </c>
      <c r="F87" s="5">
        <v>1427077</v>
      </c>
      <c r="G87" s="1" t="s">
        <v>947</v>
      </c>
      <c r="H87" s="1" t="s">
        <v>948</v>
      </c>
      <c r="I87" s="6">
        <v>44524.67582232639</v>
      </c>
      <c r="J87" s="6"/>
      <c r="K87" s="3">
        <v>20</v>
      </c>
      <c r="L87" s="5">
        <v>5</v>
      </c>
      <c r="M87" s="1">
        <v>37373333</v>
      </c>
      <c r="N87" s="3">
        <v>3463</v>
      </c>
      <c r="O87" s="3">
        <v>8</v>
      </c>
      <c r="P87" s="1" t="s">
        <v>28</v>
      </c>
      <c r="Q87" s="4" t="b">
        <v>0</v>
      </c>
      <c r="R87" s="4" t="b">
        <v>1</v>
      </c>
      <c r="S87" s="4" t="b">
        <v>0</v>
      </c>
      <c r="T87" s="3" t="s">
        <v>949</v>
      </c>
      <c r="U87" s="4" t="b">
        <v>0</v>
      </c>
      <c r="V87" s="7">
        <v>44814</v>
      </c>
      <c r="W87" s="7">
        <v>44855</v>
      </c>
    </row>
    <row r="88" spans="1:23" ht="14.4" x14ac:dyDescent="0.3">
      <c r="A88" s="3">
        <v>55150</v>
      </c>
      <c r="B88" s="4" t="b">
        <v>1</v>
      </c>
      <c r="C88" s="1" t="s">
        <v>125</v>
      </c>
      <c r="D88" s="1" t="s">
        <v>126</v>
      </c>
      <c r="E88" s="5">
        <v>436116</v>
      </c>
      <c r="F88" s="5">
        <v>1351958</v>
      </c>
      <c r="G88" s="1" t="s">
        <v>127</v>
      </c>
      <c r="H88" s="1" t="s">
        <v>128</v>
      </c>
      <c r="I88" s="6">
        <v>42733.59837994213</v>
      </c>
      <c r="J88" s="1" t="s">
        <v>129</v>
      </c>
      <c r="K88" s="3">
        <v>10</v>
      </c>
      <c r="L88" s="5" t="s">
        <v>130</v>
      </c>
      <c r="M88" s="1"/>
      <c r="N88" s="3">
        <v>0</v>
      </c>
      <c r="O88" s="3">
        <v>1</v>
      </c>
      <c r="P88" s="1" t="s">
        <v>33</v>
      </c>
      <c r="Q88" s="4" t="b">
        <v>1</v>
      </c>
      <c r="R88" s="4" t="b">
        <v>0</v>
      </c>
      <c r="S88" s="4" t="b">
        <v>0</v>
      </c>
      <c r="T88" s="3" t="s">
        <v>73</v>
      </c>
      <c r="U88" s="4" t="b">
        <v>0</v>
      </c>
      <c r="V88" s="7">
        <v>44626</v>
      </c>
      <c r="W88" s="7">
        <v>44626</v>
      </c>
    </row>
    <row r="89" spans="1:23" ht="14.4" x14ac:dyDescent="0.3">
      <c r="A89" s="3">
        <v>55405</v>
      </c>
      <c r="B89" s="4" t="b">
        <v>1</v>
      </c>
      <c r="C89" s="1" t="s">
        <v>967</v>
      </c>
      <c r="D89" s="1" t="s">
        <v>968</v>
      </c>
      <c r="E89" s="5">
        <v>4043596</v>
      </c>
      <c r="F89" s="5">
        <v>-367791</v>
      </c>
      <c r="G89" s="1" t="s">
        <v>195</v>
      </c>
      <c r="H89" s="1" t="s">
        <v>969</v>
      </c>
      <c r="I89" s="6">
        <v>44547.51356684028</v>
      </c>
      <c r="J89" s="1">
        <f>35983855959</f>
        <v>35983855959</v>
      </c>
      <c r="K89" s="3">
        <v>33</v>
      </c>
      <c r="L89" s="5">
        <v>4818182</v>
      </c>
      <c r="M89" s="1" t="s">
        <v>970</v>
      </c>
      <c r="N89" s="3">
        <v>676</v>
      </c>
      <c r="O89" s="3">
        <v>5</v>
      </c>
      <c r="P89" s="1" t="s">
        <v>33</v>
      </c>
      <c r="Q89" s="4" t="b">
        <v>0</v>
      </c>
      <c r="R89" s="4" t="b">
        <v>1</v>
      </c>
      <c r="S89" s="4" t="b">
        <v>0</v>
      </c>
      <c r="T89" s="3" t="s">
        <v>971</v>
      </c>
      <c r="U89" s="4" t="b">
        <v>0</v>
      </c>
      <c r="V89" s="8">
        <v>44877</v>
      </c>
      <c r="W89" s="7">
        <v>44809</v>
      </c>
    </row>
    <row r="90" spans="1:23" ht="14.4" x14ac:dyDescent="0.3">
      <c r="A90" s="3">
        <v>55405</v>
      </c>
      <c r="B90" s="4" t="b">
        <v>1</v>
      </c>
      <c r="C90" s="1" t="s">
        <v>1104</v>
      </c>
      <c r="D90" s="1" t="s">
        <v>1105</v>
      </c>
      <c r="E90" s="5">
        <v>408466</v>
      </c>
      <c r="F90" s="5">
        <v>1419883</v>
      </c>
      <c r="G90" s="1" t="s">
        <v>143</v>
      </c>
      <c r="H90" s="1" t="s">
        <v>1106</v>
      </c>
      <c r="I90" s="6">
        <v>44578.959741388891</v>
      </c>
      <c r="J90" s="1">
        <f>393333333395</f>
        <v>393333333395</v>
      </c>
      <c r="K90" s="3">
        <v>32</v>
      </c>
      <c r="L90" s="5">
        <v>484375</v>
      </c>
      <c r="M90" s="1">
        <v>7337373333</v>
      </c>
      <c r="N90" s="3">
        <v>1677</v>
      </c>
      <c r="O90" s="3">
        <v>7</v>
      </c>
      <c r="P90" s="1" t="s">
        <v>33</v>
      </c>
      <c r="Q90" s="4" t="b">
        <v>0</v>
      </c>
      <c r="R90" s="4" t="b">
        <v>1</v>
      </c>
      <c r="S90" s="4" t="b">
        <v>0</v>
      </c>
      <c r="T90" s="3" t="s">
        <v>1107</v>
      </c>
      <c r="U90" s="4" t="b">
        <v>0</v>
      </c>
      <c r="V90" s="8">
        <v>44858</v>
      </c>
      <c r="W90" s="7">
        <v>44641</v>
      </c>
    </row>
    <row r="91" spans="1:23" ht="14.4" x14ac:dyDescent="0.3">
      <c r="A91" s="3">
        <v>55407</v>
      </c>
      <c r="B91" s="4" t="b">
        <v>1</v>
      </c>
      <c r="C91" s="1" t="s">
        <v>961</v>
      </c>
      <c r="D91" s="1" t="s">
        <v>962</v>
      </c>
      <c r="E91" s="5">
        <v>4336145</v>
      </c>
      <c r="F91" s="5">
        <v>-842201</v>
      </c>
      <c r="G91" s="1" t="s">
        <v>963</v>
      </c>
      <c r="H91" s="1" t="s">
        <v>964</v>
      </c>
      <c r="I91" s="6">
        <v>44547.486321006945</v>
      </c>
      <c r="J91" s="1">
        <f>35930093955</f>
        <v>35930093955</v>
      </c>
      <c r="K91" s="3">
        <v>53</v>
      </c>
      <c r="L91" s="5">
        <v>4811321</v>
      </c>
      <c r="M91" s="1" t="s">
        <v>965</v>
      </c>
      <c r="N91" s="3">
        <v>2116</v>
      </c>
      <c r="O91" s="3">
        <v>4</v>
      </c>
      <c r="P91" s="1" t="s">
        <v>33</v>
      </c>
      <c r="Q91" s="4" t="b">
        <v>0</v>
      </c>
      <c r="R91" s="4" t="b">
        <v>1</v>
      </c>
      <c r="S91" s="4" t="b">
        <v>0</v>
      </c>
      <c r="T91" s="3" t="s">
        <v>966</v>
      </c>
      <c r="U91" s="4" t="b">
        <v>0</v>
      </c>
      <c r="V91" s="7">
        <v>44806</v>
      </c>
      <c r="W91" s="8">
        <v>44886</v>
      </c>
    </row>
    <row r="92" spans="1:23" ht="14.4" x14ac:dyDescent="0.3">
      <c r="A92" s="3">
        <v>55410</v>
      </c>
      <c r="B92" s="4" t="b">
        <v>1</v>
      </c>
      <c r="C92" s="1" t="s">
        <v>972</v>
      </c>
      <c r="D92" s="1" t="s">
        <v>973</v>
      </c>
      <c r="E92" s="5">
        <v>4043177</v>
      </c>
      <c r="F92" s="5">
        <v>-368585</v>
      </c>
      <c r="G92" s="1" t="s">
        <v>195</v>
      </c>
      <c r="H92" s="1" t="s">
        <v>974</v>
      </c>
      <c r="I92" s="6">
        <v>44547.532428113424</v>
      </c>
      <c r="J92" s="1">
        <f>35930888589</f>
        <v>35930888589</v>
      </c>
      <c r="K92" s="3">
        <v>38</v>
      </c>
      <c r="L92" s="5">
        <v>5</v>
      </c>
      <c r="M92" s="1" t="s">
        <v>975</v>
      </c>
      <c r="N92" s="3">
        <v>172</v>
      </c>
      <c r="O92" s="3">
        <v>3</v>
      </c>
      <c r="P92" s="1" t="s">
        <v>28</v>
      </c>
      <c r="Q92" s="4" t="b">
        <v>0</v>
      </c>
      <c r="R92" s="4" t="b">
        <v>1</v>
      </c>
      <c r="S92" s="4" t="b">
        <v>0</v>
      </c>
      <c r="T92" s="3" t="s">
        <v>976</v>
      </c>
      <c r="U92" s="4" t="b">
        <v>0</v>
      </c>
      <c r="V92" s="7">
        <v>44815</v>
      </c>
      <c r="W92" s="8">
        <v>44879</v>
      </c>
    </row>
    <row r="93" spans="1:23" ht="14.4" x14ac:dyDescent="0.3">
      <c r="A93" s="3">
        <v>55416</v>
      </c>
      <c r="B93" s="4" t="b">
        <v>1</v>
      </c>
      <c r="C93" s="1" t="s">
        <v>977</v>
      </c>
      <c r="D93" s="1" t="s">
        <v>978</v>
      </c>
      <c r="E93" s="5">
        <v>433572</v>
      </c>
      <c r="F93" s="5">
        <v>-831806</v>
      </c>
      <c r="G93" s="1" t="s">
        <v>979</v>
      </c>
      <c r="H93" s="1" t="s">
        <v>980</v>
      </c>
      <c r="I93" s="6">
        <v>44547.802127002316</v>
      </c>
      <c r="J93" s="1">
        <f>35905058099</f>
        <v>35905058099</v>
      </c>
      <c r="K93" s="3">
        <v>0</v>
      </c>
      <c r="L93" s="5">
        <v>0</v>
      </c>
      <c r="M93" s="1" t="s">
        <v>981</v>
      </c>
      <c r="N93" s="3">
        <v>183</v>
      </c>
      <c r="O93" s="3">
        <v>4</v>
      </c>
      <c r="P93" s="1" t="s">
        <v>28</v>
      </c>
      <c r="Q93" s="4" t="b">
        <v>0</v>
      </c>
      <c r="R93" s="4" t="b">
        <v>1</v>
      </c>
      <c r="S93" s="4" t="b">
        <v>0</v>
      </c>
      <c r="T93" s="3">
        <v>0</v>
      </c>
      <c r="U93" s="4" t="b">
        <v>0</v>
      </c>
      <c r="V93" s="7">
        <v>44792</v>
      </c>
      <c r="W93" s="8">
        <v>44861</v>
      </c>
    </row>
    <row r="94" spans="1:23" ht="14.4" x14ac:dyDescent="0.3">
      <c r="A94" s="3">
        <v>55444</v>
      </c>
      <c r="B94" s="4" t="b">
        <v>1</v>
      </c>
      <c r="C94" s="1" t="s">
        <v>1021</v>
      </c>
      <c r="D94" s="1" t="s">
        <v>1022</v>
      </c>
      <c r="E94" s="5">
        <v>4046456</v>
      </c>
      <c r="F94" s="5">
        <v>-363502</v>
      </c>
      <c r="G94" s="1" t="s">
        <v>195</v>
      </c>
      <c r="H94" s="1" t="s">
        <v>1023</v>
      </c>
      <c r="I94" s="6">
        <v>44552.497425196758</v>
      </c>
      <c r="J94" s="1">
        <f>35938838339</f>
        <v>35938838339</v>
      </c>
      <c r="K94" s="3">
        <v>14</v>
      </c>
      <c r="L94" s="5">
        <v>4928571</v>
      </c>
      <c r="M94" s="1" t="s">
        <v>1024</v>
      </c>
      <c r="N94" s="3">
        <v>1187</v>
      </c>
      <c r="O94" s="3">
        <v>5</v>
      </c>
      <c r="P94" s="1" t="s">
        <v>28</v>
      </c>
      <c r="Q94" s="4" t="b">
        <v>0</v>
      </c>
      <c r="R94" s="4" t="b">
        <v>1</v>
      </c>
      <c r="S94" s="4" t="b">
        <v>0</v>
      </c>
      <c r="T94" s="3" t="s">
        <v>1025</v>
      </c>
      <c r="U94" s="4" t="b">
        <v>0</v>
      </c>
      <c r="V94" s="7">
        <v>44841</v>
      </c>
      <c r="W94" s="8">
        <v>44893</v>
      </c>
    </row>
    <row r="95" spans="1:23" ht="14.4" x14ac:dyDescent="0.3">
      <c r="A95" s="3">
        <v>55447</v>
      </c>
      <c r="B95" s="4" t="b">
        <v>1</v>
      </c>
      <c r="C95" s="1" t="s">
        <v>602</v>
      </c>
      <c r="D95" s="1" t="s">
        <v>603</v>
      </c>
      <c r="E95" s="5">
        <v>4035749</v>
      </c>
      <c r="F95" s="5">
        <v>1817937</v>
      </c>
      <c r="G95" s="1" t="s">
        <v>604</v>
      </c>
      <c r="H95" s="1" t="s">
        <v>605</v>
      </c>
      <c r="I95" s="6">
        <v>44165.690511238427</v>
      </c>
      <c r="J95" s="1">
        <f>393805953550</f>
        <v>393805953550</v>
      </c>
      <c r="K95" s="3">
        <v>88</v>
      </c>
      <c r="L95" s="5">
        <v>4795455</v>
      </c>
      <c r="M95" s="1">
        <v>677373733</v>
      </c>
      <c r="N95" s="3">
        <v>1430</v>
      </c>
      <c r="O95" s="3">
        <v>6</v>
      </c>
      <c r="P95" s="1" t="s">
        <v>28</v>
      </c>
      <c r="Q95" s="4" t="b">
        <v>0</v>
      </c>
      <c r="R95" s="4" t="b">
        <v>1</v>
      </c>
      <c r="S95" s="4" t="b">
        <v>0</v>
      </c>
      <c r="T95" s="3" t="s">
        <v>606</v>
      </c>
      <c r="U95" s="4" t="b">
        <v>0</v>
      </c>
      <c r="V95" s="8">
        <v>44875</v>
      </c>
      <c r="W95" s="7">
        <v>44710</v>
      </c>
    </row>
    <row r="96" spans="1:23" ht="14.4" x14ac:dyDescent="0.3">
      <c r="A96" s="3">
        <v>55455</v>
      </c>
      <c r="B96" s="4" t="b">
        <v>1</v>
      </c>
      <c r="C96" s="1" t="s">
        <v>1026</v>
      </c>
      <c r="D96" s="1" t="s">
        <v>1027</v>
      </c>
      <c r="E96" s="5">
        <v>4134802</v>
      </c>
      <c r="F96" s="5">
        <v>2108329</v>
      </c>
      <c r="G96" s="1" t="s">
        <v>1028</v>
      </c>
      <c r="H96" s="1" t="s">
        <v>1029</v>
      </c>
      <c r="I96" s="6">
        <v>44553.483594050929</v>
      </c>
      <c r="J96" s="1">
        <f>35950958555</f>
        <v>35950958555</v>
      </c>
      <c r="K96" s="3">
        <v>9</v>
      </c>
      <c r="L96" s="5">
        <v>5</v>
      </c>
      <c r="M96" s="1" t="s">
        <v>1030</v>
      </c>
      <c r="N96" s="3">
        <v>2163</v>
      </c>
      <c r="O96" s="3">
        <v>1</v>
      </c>
      <c r="P96" s="1" t="s">
        <v>33</v>
      </c>
      <c r="Q96" s="4" t="b">
        <v>0</v>
      </c>
      <c r="R96" s="4" t="b">
        <v>1</v>
      </c>
      <c r="S96" s="4" t="b">
        <v>0</v>
      </c>
      <c r="T96" s="3" t="s">
        <v>576</v>
      </c>
      <c r="U96" s="4" t="b">
        <v>0</v>
      </c>
      <c r="V96" s="7">
        <v>44717</v>
      </c>
      <c r="W96" s="7">
        <v>44903</v>
      </c>
    </row>
    <row r="97" spans="1:23" ht="14.4" x14ac:dyDescent="0.3">
      <c r="A97" s="3">
        <v>55457</v>
      </c>
      <c r="B97" s="4" t="b">
        <v>1</v>
      </c>
      <c r="C97" s="1" t="s">
        <v>1116</v>
      </c>
      <c r="D97" s="1" t="s">
        <v>1117</v>
      </c>
      <c r="E97" s="5">
        <v>3947118</v>
      </c>
      <c r="F97" s="5">
        <v>-38758</v>
      </c>
      <c r="G97" s="1" t="s">
        <v>417</v>
      </c>
      <c r="H97" s="1" t="s">
        <v>1118</v>
      </c>
      <c r="I97" s="6">
        <v>44585.389996168982</v>
      </c>
      <c r="J97" s="1">
        <f>35980589893</f>
        <v>35980589893</v>
      </c>
      <c r="K97" s="3">
        <v>3</v>
      </c>
      <c r="L97" s="5">
        <v>3666667</v>
      </c>
      <c r="M97" s="1" t="s">
        <v>1119</v>
      </c>
      <c r="N97" s="3">
        <v>448</v>
      </c>
      <c r="O97" s="3">
        <v>3</v>
      </c>
      <c r="P97" s="1" t="s">
        <v>33</v>
      </c>
      <c r="Q97" s="4" t="b">
        <v>0</v>
      </c>
      <c r="R97" s="4" t="b">
        <v>1</v>
      </c>
      <c r="S97" s="4" t="b">
        <v>0</v>
      </c>
      <c r="T97" s="3" t="s">
        <v>1120</v>
      </c>
      <c r="U97" s="4" t="b">
        <v>0</v>
      </c>
      <c r="V97" s="7">
        <v>44833</v>
      </c>
      <c r="W97" s="7">
        <v>44664</v>
      </c>
    </row>
    <row r="98" spans="1:23" ht="14.4" x14ac:dyDescent="0.3">
      <c r="A98" s="3">
        <v>55461</v>
      </c>
      <c r="B98" s="4" t="b">
        <v>1</v>
      </c>
      <c r="C98" s="1" t="s">
        <v>994</v>
      </c>
      <c r="D98" s="1" t="s">
        <v>995</v>
      </c>
      <c r="E98" s="5">
        <v>4041133</v>
      </c>
      <c r="F98" s="5">
        <v>-370779</v>
      </c>
      <c r="G98" s="1" t="s">
        <v>195</v>
      </c>
      <c r="H98" s="1" t="s">
        <v>996</v>
      </c>
      <c r="I98" s="6">
        <v>44551.678216053238</v>
      </c>
      <c r="J98" s="1">
        <f>35935838933</f>
        <v>35935838933</v>
      </c>
      <c r="K98" s="3">
        <v>12</v>
      </c>
      <c r="L98" s="5">
        <v>5</v>
      </c>
      <c r="M98" s="1" t="s">
        <v>997</v>
      </c>
      <c r="N98" s="3">
        <v>420</v>
      </c>
      <c r="O98" s="3">
        <v>2</v>
      </c>
      <c r="P98" s="1" t="s">
        <v>28</v>
      </c>
      <c r="Q98" s="4" t="b">
        <v>0</v>
      </c>
      <c r="R98" s="4" t="b">
        <v>1</v>
      </c>
      <c r="S98" s="4" t="b">
        <v>0</v>
      </c>
      <c r="T98" s="3" t="s">
        <v>998</v>
      </c>
      <c r="U98" s="4" t="b">
        <v>0</v>
      </c>
      <c r="V98" s="7">
        <v>44834</v>
      </c>
      <c r="W98" s="8">
        <v>44883</v>
      </c>
    </row>
    <row r="99" spans="1:23" ht="14.4" x14ac:dyDescent="0.3">
      <c r="A99" s="3">
        <v>55464</v>
      </c>
      <c r="B99" s="4" t="b">
        <v>1</v>
      </c>
      <c r="C99" s="1" t="s">
        <v>597</v>
      </c>
      <c r="D99" s="1" t="s">
        <v>598</v>
      </c>
      <c r="E99" s="5">
        <v>4045578</v>
      </c>
      <c r="F99" s="5">
        <v>-37141</v>
      </c>
      <c r="G99" s="1" t="s">
        <v>195</v>
      </c>
      <c r="H99" s="1" t="s">
        <v>599</v>
      </c>
      <c r="I99" s="6">
        <v>44162.676756226851</v>
      </c>
      <c r="J99" s="1">
        <f>35933808850</f>
        <v>35933808850</v>
      </c>
      <c r="K99" s="3">
        <v>143</v>
      </c>
      <c r="L99" s="5">
        <v>5</v>
      </c>
      <c r="M99" s="1" t="s">
        <v>600</v>
      </c>
      <c r="N99" s="3">
        <v>349</v>
      </c>
      <c r="O99" s="3">
        <v>5</v>
      </c>
      <c r="P99" s="1" t="s">
        <v>28</v>
      </c>
      <c r="Q99" s="4" t="b">
        <v>0</v>
      </c>
      <c r="R99" s="4" t="b">
        <v>1</v>
      </c>
      <c r="S99" s="4" t="b">
        <v>0</v>
      </c>
      <c r="T99" s="3" t="s">
        <v>601</v>
      </c>
      <c r="U99" s="4" t="b">
        <v>0</v>
      </c>
      <c r="V99" s="7">
        <v>44737</v>
      </c>
      <c r="W99" s="7">
        <v>44770</v>
      </c>
    </row>
    <row r="100" spans="1:23" ht="14.4" x14ac:dyDescent="0.3">
      <c r="A100" s="3">
        <v>55464</v>
      </c>
      <c r="B100" s="4" t="b">
        <v>1</v>
      </c>
      <c r="C100" s="1" t="s">
        <v>999</v>
      </c>
      <c r="D100" s="1" t="s">
        <v>1000</v>
      </c>
      <c r="E100" s="5">
        <v>4246631</v>
      </c>
      <c r="F100" s="5">
        <v>-245769</v>
      </c>
      <c r="G100" s="1" t="s">
        <v>1001</v>
      </c>
      <c r="H100" s="1" t="s">
        <v>1002</v>
      </c>
      <c r="I100" s="6">
        <v>44551.699117997683</v>
      </c>
      <c r="J100" s="1">
        <f>35953030333</f>
        <v>35953030333</v>
      </c>
      <c r="K100" s="3">
        <v>13</v>
      </c>
      <c r="L100" s="5">
        <v>4538462</v>
      </c>
      <c r="M100" s="1" t="s">
        <v>1003</v>
      </c>
      <c r="N100" s="3">
        <v>358</v>
      </c>
      <c r="O100" s="3">
        <v>1</v>
      </c>
      <c r="P100" s="1" t="s">
        <v>33</v>
      </c>
      <c r="Q100" s="4" t="b">
        <v>0</v>
      </c>
      <c r="R100" s="4" t="b">
        <v>1</v>
      </c>
      <c r="S100" s="4" t="b">
        <v>0</v>
      </c>
      <c r="T100" s="3" t="s">
        <v>1004</v>
      </c>
      <c r="U100" s="4" t="b">
        <v>0</v>
      </c>
      <c r="V100" s="7">
        <v>44810</v>
      </c>
      <c r="W100" s="7">
        <v>44782</v>
      </c>
    </row>
    <row r="101" spans="1:23" ht="14.4" x14ac:dyDescent="0.3">
      <c r="A101" s="3">
        <v>55465</v>
      </c>
      <c r="B101" s="4" t="b">
        <v>1</v>
      </c>
      <c r="C101" s="1" t="s">
        <v>1011</v>
      </c>
      <c r="D101" s="1" t="s">
        <v>1012</v>
      </c>
      <c r="E101" s="5">
        <v>4139501</v>
      </c>
      <c r="F101" s="5">
        <v>2163668</v>
      </c>
      <c r="G101" s="1" t="s">
        <v>182</v>
      </c>
      <c r="H101" s="1" t="s">
        <v>1013</v>
      </c>
      <c r="I101" s="6">
        <v>44552.347199201387</v>
      </c>
      <c r="J101" s="1">
        <f>35985089393</f>
        <v>35985089393</v>
      </c>
      <c r="K101" s="3">
        <v>3</v>
      </c>
      <c r="L101" s="5">
        <v>5</v>
      </c>
      <c r="M101" s="1" t="s">
        <v>1014</v>
      </c>
      <c r="N101" s="3">
        <v>220</v>
      </c>
      <c r="O101" s="3">
        <v>3</v>
      </c>
      <c r="P101" s="1" t="s">
        <v>33</v>
      </c>
      <c r="Q101" s="4" t="b">
        <v>0</v>
      </c>
      <c r="R101" s="4" t="b">
        <v>1</v>
      </c>
      <c r="S101" s="4" t="b">
        <v>0</v>
      </c>
      <c r="T101" s="3" t="s">
        <v>354</v>
      </c>
      <c r="U101" s="4" t="b">
        <v>0</v>
      </c>
      <c r="V101" s="7">
        <v>44872</v>
      </c>
      <c r="W101" s="7">
        <v>44810</v>
      </c>
    </row>
    <row r="102" spans="1:23" ht="14.4" x14ac:dyDescent="0.3">
      <c r="A102" s="3">
        <v>55470</v>
      </c>
      <c r="B102" s="4" t="b">
        <v>0</v>
      </c>
      <c r="C102" s="1" t="s">
        <v>1015</v>
      </c>
      <c r="D102" s="1" t="s">
        <v>1016</v>
      </c>
      <c r="E102" s="5">
        <v>4185473</v>
      </c>
      <c r="F102" s="5">
        <v>2820684</v>
      </c>
      <c r="G102" s="1" t="s">
        <v>1017</v>
      </c>
      <c r="H102" s="1" t="s">
        <v>1018</v>
      </c>
      <c r="I102" s="6">
        <v>44552.355572488428</v>
      </c>
      <c r="J102" s="1">
        <f>35989385895</f>
        <v>35989385895</v>
      </c>
      <c r="K102" s="3">
        <v>160</v>
      </c>
      <c r="L102" s="5" t="s">
        <v>124</v>
      </c>
      <c r="M102" s="1" t="s">
        <v>1019</v>
      </c>
      <c r="N102" s="3">
        <v>894</v>
      </c>
      <c r="O102" s="3">
        <v>10</v>
      </c>
      <c r="P102" s="1" t="s">
        <v>33</v>
      </c>
      <c r="Q102" s="4" t="b">
        <v>0</v>
      </c>
      <c r="R102" s="4" t="b">
        <v>1</v>
      </c>
      <c r="S102" s="4" t="b">
        <v>0</v>
      </c>
      <c r="T102" s="3" t="s">
        <v>1020</v>
      </c>
      <c r="U102" s="4" t="b">
        <v>0</v>
      </c>
      <c r="V102" s="8">
        <v>44863</v>
      </c>
      <c r="W102" s="8">
        <v>44876</v>
      </c>
    </row>
    <row r="103" spans="1:23" ht="14.4" x14ac:dyDescent="0.3">
      <c r="A103" s="3">
        <v>55505</v>
      </c>
      <c r="B103" s="4" t="b">
        <v>1</v>
      </c>
      <c r="C103" s="1" t="s">
        <v>442</v>
      </c>
      <c r="D103" s="1" t="s">
        <v>443</v>
      </c>
      <c r="E103" s="5">
        <v>4504071</v>
      </c>
      <c r="F103" s="5">
        <v>7670351</v>
      </c>
      <c r="G103" s="1" t="s">
        <v>326</v>
      </c>
      <c r="H103" s="1" t="s">
        <v>590</v>
      </c>
      <c r="I103" s="6">
        <v>44152.370517175928</v>
      </c>
      <c r="J103" s="1">
        <f>3903338893595</f>
        <v>3903338893595</v>
      </c>
      <c r="K103" s="3">
        <v>2</v>
      </c>
      <c r="L103" s="5" t="s">
        <v>130</v>
      </c>
      <c r="M103" s="1">
        <v>637333336</v>
      </c>
      <c r="N103" s="3">
        <v>1095</v>
      </c>
      <c r="O103" s="3">
        <v>4</v>
      </c>
      <c r="P103" s="1" t="s">
        <v>33</v>
      </c>
      <c r="Q103" s="4" t="b">
        <v>0</v>
      </c>
      <c r="R103" s="4" t="b">
        <v>0</v>
      </c>
      <c r="S103" s="4" t="b">
        <v>0</v>
      </c>
      <c r="T103" s="3" t="s">
        <v>591</v>
      </c>
      <c r="U103" s="4" t="b">
        <v>0</v>
      </c>
      <c r="V103" s="7">
        <v>44685</v>
      </c>
      <c r="W103" s="7">
        <v>44607</v>
      </c>
    </row>
    <row r="104" spans="1:23" ht="14.4" x14ac:dyDescent="0.3">
      <c r="A104" s="3">
        <v>55506</v>
      </c>
      <c r="B104" s="4" t="b">
        <v>1</v>
      </c>
      <c r="C104" s="1" t="s">
        <v>131</v>
      </c>
      <c r="D104" s="1" t="s">
        <v>132</v>
      </c>
      <c r="E104" s="5">
        <v>4308651</v>
      </c>
      <c r="F104" s="5">
        <v>1248108</v>
      </c>
      <c r="G104" s="1" t="s">
        <v>133</v>
      </c>
      <c r="H104" s="1" t="s">
        <v>134</v>
      </c>
      <c r="I104" s="6">
        <v>42737.371854895835</v>
      </c>
      <c r="J104" s="1" t="s">
        <v>135</v>
      </c>
      <c r="K104" s="3">
        <v>10</v>
      </c>
      <c r="L104" s="5" t="s">
        <v>136</v>
      </c>
      <c r="M104" s="1"/>
      <c r="N104" s="3">
        <v>0</v>
      </c>
      <c r="O104" s="3">
        <v>1</v>
      </c>
      <c r="P104" s="1" t="s">
        <v>39</v>
      </c>
      <c r="Q104" s="4" t="b">
        <v>1</v>
      </c>
      <c r="R104" s="4" t="b">
        <v>0</v>
      </c>
      <c r="S104" s="4" t="b">
        <v>0</v>
      </c>
      <c r="T104" s="3">
        <v>0</v>
      </c>
      <c r="U104" s="4" t="b">
        <v>0</v>
      </c>
      <c r="V104" s="7">
        <v>44728</v>
      </c>
      <c r="W104" s="7">
        <v>44650</v>
      </c>
    </row>
    <row r="105" spans="1:23" ht="14.4" x14ac:dyDescent="0.3">
      <c r="A105" s="3">
        <v>55545</v>
      </c>
      <c r="B105" s="4" t="b">
        <v>1</v>
      </c>
      <c r="C105" s="1" t="s">
        <v>950</v>
      </c>
      <c r="D105" s="1" t="s">
        <v>951</v>
      </c>
      <c r="E105" s="5">
        <v>415863</v>
      </c>
      <c r="F105" s="5">
        <v>2240244</v>
      </c>
      <c r="G105" s="1" t="s">
        <v>952</v>
      </c>
      <c r="H105" s="1" t="s">
        <v>953</v>
      </c>
      <c r="I105" s="6">
        <v>44540.376504328706</v>
      </c>
      <c r="J105" s="1">
        <f>35989553098</f>
        <v>35989553098</v>
      </c>
      <c r="K105" s="3">
        <v>47</v>
      </c>
      <c r="L105" s="5">
        <v>487234</v>
      </c>
      <c r="M105" s="1" t="s">
        <v>954</v>
      </c>
      <c r="N105" s="3">
        <v>305</v>
      </c>
      <c r="O105" s="3">
        <v>1</v>
      </c>
      <c r="P105" s="1" t="s">
        <v>28</v>
      </c>
      <c r="Q105" s="4" t="b">
        <v>0</v>
      </c>
      <c r="R105" s="4" t="b">
        <v>1</v>
      </c>
      <c r="S105" s="4" t="b">
        <v>0</v>
      </c>
      <c r="T105" s="3" t="s">
        <v>955</v>
      </c>
      <c r="U105" s="4" t="b">
        <v>0</v>
      </c>
      <c r="V105" s="8">
        <v>44890</v>
      </c>
      <c r="W105" s="7">
        <v>44896</v>
      </c>
    </row>
    <row r="106" spans="1:23" ht="14.4" x14ac:dyDescent="0.3">
      <c r="A106" s="3">
        <v>55555</v>
      </c>
      <c r="B106" s="4" t="b">
        <v>1</v>
      </c>
      <c r="C106" s="1" t="s">
        <v>592</v>
      </c>
      <c r="D106" s="1" t="s">
        <v>593</v>
      </c>
      <c r="E106" s="5">
        <v>4611888</v>
      </c>
      <c r="F106" s="5">
        <v>829333</v>
      </c>
      <c r="G106" s="1" t="s">
        <v>594</v>
      </c>
      <c r="H106" s="1" t="s">
        <v>595</v>
      </c>
      <c r="I106" s="6">
        <v>44153.571976493055</v>
      </c>
      <c r="J106" s="1">
        <f>393598339380</f>
        <v>393598339380</v>
      </c>
      <c r="K106" s="3">
        <v>347</v>
      </c>
      <c r="L106" s="5">
        <v>4962536</v>
      </c>
      <c r="M106" s="1">
        <v>37333373</v>
      </c>
      <c r="N106" s="3">
        <v>1619</v>
      </c>
      <c r="O106" s="3">
        <v>9</v>
      </c>
      <c r="P106" s="1" t="s">
        <v>28</v>
      </c>
      <c r="Q106" s="4" t="b">
        <v>0</v>
      </c>
      <c r="R106" s="4" t="b">
        <v>1</v>
      </c>
      <c r="S106" s="4" t="b">
        <v>0</v>
      </c>
      <c r="T106" s="3" t="s">
        <v>596</v>
      </c>
      <c r="U106" s="4" t="b">
        <v>0</v>
      </c>
      <c r="V106" s="7">
        <v>44818</v>
      </c>
      <c r="W106" s="7">
        <v>44859</v>
      </c>
    </row>
    <row r="107" spans="1:23" ht="14.4" x14ac:dyDescent="0.3">
      <c r="A107" s="3">
        <v>55617</v>
      </c>
      <c r="B107" s="4" t="b">
        <v>1</v>
      </c>
      <c r="C107" s="1" t="s">
        <v>1068</v>
      </c>
      <c r="D107" s="1" t="s">
        <v>1069</v>
      </c>
      <c r="E107" s="5">
        <v>4046905</v>
      </c>
      <c r="F107" s="5">
        <v>-366369</v>
      </c>
      <c r="G107" s="1" t="s">
        <v>195</v>
      </c>
      <c r="H107" s="1" t="s">
        <v>1070</v>
      </c>
      <c r="I107" s="6">
        <v>44565.511343240738</v>
      </c>
      <c r="J107" s="1">
        <f>35930935535</f>
        <v>35930935535</v>
      </c>
      <c r="K107" s="3">
        <v>10</v>
      </c>
      <c r="L107" s="5">
        <v>5</v>
      </c>
      <c r="M107" s="1" t="s">
        <v>1071</v>
      </c>
      <c r="N107" s="3">
        <v>538</v>
      </c>
      <c r="O107" s="3">
        <v>3</v>
      </c>
      <c r="P107" s="1" t="s">
        <v>39</v>
      </c>
      <c r="Q107" s="4" t="b">
        <v>0</v>
      </c>
      <c r="R107" s="4" t="b">
        <v>1</v>
      </c>
      <c r="S107" s="4" t="b">
        <v>0</v>
      </c>
      <c r="T107" s="3" t="s">
        <v>1072</v>
      </c>
      <c r="U107" s="4" t="b">
        <v>0</v>
      </c>
      <c r="V107" s="7">
        <v>44683</v>
      </c>
      <c r="W107" s="7">
        <v>44627</v>
      </c>
    </row>
    <row r="108" spans="1:23" ht="14.4" x14ac:dyDescent="0.3">
      <c r="A108" s="3">
        <v>55630</v>
      </c>
      <c r="B108" s="4" t="b">
        <v>1</v>
      </c>
      <c r="C108" s="1" t="s">
        <v>160</v>
      </c>
      <c r="D108" s="1" t="s">
        <v>161</v>
      </c>
      <c r="E108" s="5">
        <v>4147819</v>
      </c>
      <c r="F108" s="5">
        <v>2082685</v>
      </c>
      <c r="G108" s="1" t="s">
        <v>162</v>
      </c>
      <c r="H108" s="1" t="s">
        <v>163</v>
      </c>
      <c r="I108" s="6">
        <v>42855.793288171299</v>
      </c>
      <c r="J108" s="1">
        <f>35939355339</f>
        <v>35939355339</v>
      </c>
      <c r="K108" s="3">
        <v>17</v>
      </c>
      <c r="L108" s="5" t="s">
        <v>112</v>
      </c>
      <c r="M108" s="1" t="s">
        <v>164</v>
      </c>
      <c r="N108" s="3">
        <v>7712</v>
      </c>
      <c r="O108" s="3">
        <v>5</v>
      </c>
      <c r="P108" s="1" t="s">
        <v>39</v>
      </c>
      <c r="Q108" s="4" t="b">
        <v>0</v>
      </c>
      <c r="R108" s="4" t="b">
        <v>1</v>
      </c>
      <c r="S108" s="4" t="b">
        <v>0</v>
      </c>
      <c r="T108" s="3" t="s">
        <v>165</v>
      </c>
      <c r="U108" s="4" t="b">
        <v>0</v>
      </c>
      <c r="V108" s="7">
        <v>44663</v>
      </c>
      <c r="W108" s="7">
        <v>44762</v>
      </c>
    </row>
    <row r="109" spans="1:23" ht="14.4" x14ac:dyDescent="0.3">
      <c r="A109" s="3">
        <v>55644</v>
      </c>
      <c r="B109" s="4" t="b">
        <v>1</v>
      </c>
      <c r="C109" s="1" t="s">
        <v>615</v>
      </c>
      <c r="D109" s="1" t="s">
        <v>616</v>
      </c>
      <c r="E109" s="5">
        <v>4458057</v>
      </c>
      <c r="F109" s="5">
        <v>1082579</v>
      </c>
      <c r="G109" s="1" t="s">
        <v>617</v>
      </c>
      <c r="H109" s="1" t="s">
        <v>618</v>
      </c>
      <c r="I109" s="6">
        <v>44181.651470509256</v>
      </c>
      <c r="J109" s="1">
        <f>39059558835</f>
        <v>39059558835</v>
      </c>
      <c r="K109" s="3">
        <v>9</v>
      </c>
      <c r="L109" s="5">
        <v>5</v>
      </c>
      <c r="M109" s="1">
        <v>73363763</v>
      </c>
      <c r="N109" s="3">
        <v>689</v>
      </c>
      <c r="O109" s="3">
        <v>5</v>
      </c>
      <c r="P109" s="1" t="s">
        <v>39</v>
      </c>
      <c r="Q109" s="4" t="b">
        <v>0</v>
      </c>
      <c r="R109" s="4" t="b">
        <v>1</v>
      </c>
      <c r="S109" s="4" t="b">
        <v>0</v>
      </c>
      <c r="T109" s="3" t="s">
        <v>576</v>
      </c>
      <c r="U109" s="4" t="b">
        <v>0</v>
      </c>
      <c r="V109" s="7">
        <v>44631</v>
      </c>
      <c r="W109" s="8">
        <v>44849</v>
      </c>
    </row>
    <row r="110" spans="1:23" ht="14.4" x14ac:dyDescent="0.3">
      <c r="A110" s="3">
        <v>55646</v>
      </c>
      <c r="B110" s="4" t="b">
        <v>1</v>
      </c>
      <c r="C110" s="1" t="s">
        <v>1078</v>
      </c>
      <c r="D110" s="1" t="s">
        <v>1079</v>
      </c>
      <c r="E110" s="5">
        <v>4045444</v>
      </c>
      <c r="F110" s="5">
        <v>-367847</v>
      </c>
      <c r="G110" s="1" t="s">
        <v>195</v>
      </c>
      <c r="H110" s="1" t="s">
        <v>1080</v>
      </c>
      <c r="I110" s="6">
        <v>44566.648382013889</v>
      </c>
      <c r="J110" s="1">
        <f>35953393355</f>
        <v>35953393355</v>
      </c>
      <c r="K110" s="3">
        <v>8</v>
      </c>
      <c r="L110" s="5">
        <v>4875</v>
      </c>
      <c r="M110" s="1" t="s">
        <v>1081</v>
      </c>
      <c r="N110" s="3">
        <v>162</v>
      </c>
      <c r="O110" s="3">
        <v>1</v>
      </c>
      <c r="P110" s="1" t="s">
        <v>39</v>
      </c>
      <c r="Q110" s="4" t="b">
        <v>0</v>
      </c>
      <c r="R110" s="4" t="b">
        <v>1</v>
      </c>
      <c r="S110" s="4" t="b">
        <v>0</v>
      </c>
      <c r="T110" s="3" t="s">
        <v>345</v>
      </c>
      <c r="U110" s="4" t="b">
        <v>0</v>
      </c>
      <c r="V110" s="7">
        <v>44628</v>
      </c>
      <c r="W110" s="7">
        <v>44810</v>
      </c>
    </row>
    <row r="111" spans="1:23" ht="14.4" x14ac:dyDescent="0.3">
      <c r="A111" s="3">
        <v>55664</v>
      </c>
      <c r="B111" s="4" t="b">
        <v>1</v>
      </c>
      <c r="C111" s="1" t="s">
        <v>1091</v>
      </c>
      <c r="D111" s="1" t="s">
        <v>1092</v>
      </c>
      <c r="E111" s="5">
        <v>413744</v>
      </c>
      <c r="F111" s="5">
        <v>2147192</v>
      </c>
      <c r="G111" s="1" t="s">
        <v>182</v>
      </c>
      <c r="H111" s="1" t="s">
        <v>1093</v>
      </c>
      <c r="I111" s="6">
        <v>44568.548103460649</v>
      </c>
      <c r="J111" s="1">
        <f>35988355883</f>
        <v>35988355883</v>
      </c>
      <c r="K111" s="3">
        <v>2</v>
      </c>
      <c r="L111" s="5">
        <v>5</v>
      </c>
      <c r="M111" s="1" t="s">
        <v>1094</v>
      </c>
      <c r="N111" s="3">
        <v>28</v>
      </c>
      <c r="O111" s="3">
        <v>1</v>
      </c>
      <c r="P111" s="1" t="s">
        <v>39</v>
      </c>
      <c r="Q111" s="4" t="b">
        <v>0</v>
      </c>
      <c r="R111" s="4" t="b">
        <v>1</v>
      </c>
      <c r="S111" s="4" t="b">
        <v>0</v>
      </c>
      <c r="T111" s="3" t="s">
        <v>993</v>
      </c>
      <c r="U111" s="4" t="b">
        <v>0</v>
      </c>
      <c r="V111" s="8">
        <v>44847</v>
      </c>
      <c r="W111" s="7">
        <v>44802</v>
      </c>
    </row>
    <row r="112" spans="1:23" ht="14.4" x14ac:dyDescent="0.3">
      <c r="A112" s="3">
        <v>55665</v>
      </c>
      <c r="B112" s="4" t="b">
        <v>1</v>
      </c>
      <c r="C112" s="1" t="s">
        <v>1082</v>
      </c>
      <c r="D112" s="1" t="s">
        <v>1083</v>
      </c>
      <c r="E112" s="5">
        <v>4140121</v>
      </c>
      <c r="F112" s="5">
        <v>2183311</v>
      </c>
      <c r="G112" s="1" t="s">
        <v>182</v>
      </c>
      <c r="H112" s="1" t="s">
        <v>1084</v>
      </c>
      <c r="I112" s="6">
        <v>44568.467151423611</v>
      </c>
      <c r="J112" s="1">
        <f>35933885003</f>
        <v>35933885003</v>
      </c>
      <c r="K112" s="3">
        <v>53</v>
      </c>
      <c r="L112" s="5">
        <v>4981132</v>
      </c>
      <c r="M112" s="1" t="s">
        <v>1085</v>
      </c>
      <c r="N112" s="3">
        <v>407</v>
      </c>
      <c r="O112" s="3">
        <v>1</v>
      </c>
      <c r="P112" s="1" t="s">
        <v>39</v>
      </c>
      <c r="Q112" s="4" t="b">
        <v>0</v>
      </c>
      <c r="R112" s="4" t="b">
        <v>1</v>
      </c>
      <c r="S112" s="4" t="b">
        <v>0</v>
      </c>
      <c r="T112" s="3" t="s">
        <v>1086</v>
      </c>
      <c r="U112" s="4" t="b">
        <v>0</v>
      </c>
      <c r="V112" s="7">
        <v>44632</v>
      </c>
      <c r="W112" s="7">
        <v>44752</v>
      </c>
    </row>
    <row r="113" spans="1:23" ht="14.4" x14ac:dyDescent="0.3">
      <c r="A113" s="3">
        <v>55666</v>
      </c>
      <c r="B113" s="4" t="b">
        <v>1</v>
      </c>
      <c r="C113" s="1" t="s">
        <v>1087</v>
      </c>
      <c r="D113" s="1" t="s">
        <v>1088</v>
      </c>
      <c r="E113" s="5">
        <v>4091589</v>
      </c>
      <c r="F113" s="5">
        <v>1478702</v>
      </c>
      <c r="G113" s="1" t="s">
        <v>1089</v>
      </c>
      <c r="H113" s="1" t="s">
        <v>1090</v>
      </c>
      <c r="I113" s="6">
        <v>44568.525047627314</v>
      </c>
      <c r="J113" s="1">
        <f>393393855505</f>
        <v>393393855505</v>
      </c>
      <c r="K113" s="3">
        <v>0</v>
      </c>
      <c r="L113" s="5">
        <v>0</v>
      </c>
      <c r="M113" s="1"/>
      <c r="N113" s="3">
        <v>392</v>
      </c>
      <c r="O113" s="3">
        <v>2</v>
      </c>
      <c r="P113" s="1" t="s">
        <v>33</v>
      </c>
      <c r="Q113" s="4" t="b">
        <v>0</v>
      </c>
      <c r="R113" s="4" t="b">
        <v>0</v>
      </c>
      <c r="S113" s="4" t="b">
        <v>0</v>
      </c>
      <c r="T113" s="3">
        <v>0</v>
      </c>
      <c r="U113" s="4" t="b">
        <v>0</v>
      </c>
      <c r="V113" s="7">
        <v>44827</v>
      </c>
      <c r="W113" s="7">
        <v>44890</v>
      </c>
    </row>
    <row r="114" spans="1:23" ht="14.4" x14ac:dyDescent="0.3">
      <c r="A114" s="3">
        <v>55754</v>
      </c>
      <c r="B114" s="4" t="b">
        <v>1</v>
      </c>
      <c r="C114" s="1" t="s">
        <v>1095</v>
      </c>
      <c r="D114" s="1" t="s">
        <v>1096</v>
      </c>
      <c r="E114" s="5">
        <v>451384</v>
      </c>
      <c r="F114" s="5">
        <v>7772754</v>
      </c>
      <c r="G114" s="1" t="s">
        <v>1097</v>
      </c>
      <c r="H114" s="1" t="s">
        <v>1098</v>
      </c>
      <c r="I114" s="6">
        <v>44573.38691277778</v>
      </c>
      <c r="J114" s="1">
        <f>390338000999</f>
        <v>390338000999</v>
      </c>
      <c r="K114" s="3">
        <v>33</v>
      </c>
      <c r="L114" s="5">
        <v>496875</v>
      </c>
      <c r="M114" s="1">
        <v>73333333</v>
      </c>
      <c r="N114" s="3">
        <v>1028</v>
      </c>
      <c r="O114" s="3">
        <v>4</v>
      </c>
      <c r="P114" s="1" t="s">
        <v>39</v>
      </c>
      <c r="Q114" s="4" t="b">
        <v>0</v>
      </c>
      <c r="R114" s="4" t="b">
        <v>0</v>
      </c>
      <c r="S114" s="4" t="b">
        <v>0</v>
      </c>
      <c r="T114" s="3" t="s">
        <v>287</v>
      </c>
      <c r="U114" s="4" t="b">
        <v>0</v>
      </c>
      <c r="V114" s="7">
        <v>44842</v>
      </c>
      <c r="W114" s="7">
        <v>44756</v>
      </c>
    </row>
    <row r="115" spans="1:23" ht="14.4" x14ac:dyDescent="0.3">
      <c r="A115" s="3">
        <v>55767</v>
      </c>
      <c r="B115" s="4" t="b">
        <v>1</v>
      </c>
      <c r="C115" s="1" t="s">
        <v>1099</v>
      </c>
      <c r="D115" s="1" t="s">
        <v>1100</v>
      </c>
      <c r="E115" s="5">
        <v>4280884</v>
      </c>
      <c r="F115" s="5">
        <v>-16585</v>
      </c>
      <c r="G115" s="1" t="s">
        <v>524</v>
      </c>
      <c r="H115" s="1" t="s">
        <v>1101</v>
      </c>
      <c r="I115" s="6">
        <v>44575.347383125001</v>
      </c>
      <c r="J115" s="1">
        <f>35999339999</f>
        <v>35999339999</v>
      </c>
      <c r="K115" s="3">
        <v>29</v>
      </c>
      <c r="L115" s="5">
        <v>5</v>
      </c>
      <c r="M115" s="1" t="s">
        <v>1102</v>
      </c>
      <c r="N115" s="3">
        <v>132</v>
      </c>
      <c r="O115" s="3">
        <v>1</v>
      </c>
      <c r="P115" s="1" t="s">
        <v>39</v>
      </c>
      <c r="Q115" s="4" t="b">
        <v>0</v>
      </c>
      <c r="R115" s="4" t="b">
        <v>1</v>
      </c>
      <c r="S115" s="4" t="b">
        <v>0</v>
      </c>
      <c r="T115" s="3" t="s">
        <v>1103</v>
      </c>
      <c r="U115" s="4" t="b">
        <v>1</v>
      </c>
      <c r="V115" s="7">
        <v>44818</v>
      </c>
      <c r="W115" s="7">
        <v>44796</v>
      </c>
    </row>
    <row r="116" spans="1:23" ht="14.4" x14ac:dyDescent="0.3">
      <c r="A116" s="3">
        <v>56005</v>
      </c>
      <c r="B116" s="4" t="b">
        <v>1</v>
      </c>
      <c r="C116" s="1" t="s">
        <v>752</v>
      </c>
      <c r="D116" s="1" t="s">
        <v>753</v>
      </c>
      <c r="E116" s="5">
        <v>4044975</v>
      </c>
      <c r="F116" s="5">
        <v>-367863</v>
      </c>
      <c r="G116" s="1" t="s">
        <v>195</v>
      </c>
      <c r="H116" s="1" t="s">
        <v>754</v>
      </c>
      <c r="I116" s="6">
        <v>44315.633886365744</v>
      </c>
      <c r="J116" s="1">
        <f>35959593533</f>
        <v>35959593533</v>
      </c>
      <c r="K116" s="3">
        <v>86</v>
      </c>
      <c r="L116" s="5">
        <v>4848837</v>
      </c>
      <c r="M116" s="1" t="s">
        <v>755</v>
      </c>
      <c r="N116" s="3">
        <v>2744</v>
      </c>
      <c r="O116" s="3">
        <v>5</v>
      </c>
      <c r="P116" s="1" t="s">
        <v>33</v>
      </c>
      <c r="Q116" s="4" t="b">
        <v>0</v>
      </c>
      <c r="R116" s="4" t="b">
        <v>1</v>
      </c>
      <c r="S116" s="4" t="b">
        <v>0</v>
      </c>
      <c r="T116" s="3" t="s">
        <v>756</v>
      </c>
      <c r="U116" s="4" t="b">
        <v>1</v>
      </c>
      <c r="V116" s="7">
        <v>44665</v>
      </c>
      <c r="W116" s="7">
        <v>44817</v>
      </c>
    </row>
    <row r="117" spans="1:23" ht="14.4" x14ac:dyDescent="0.3">
      <c r="A117" s="3">
        <v>56115</v>
      </c>
      <c r="B117" s="4" t="b">
        <v>1</v>
      </c>
      <c r="C117" s="1" t="s">
        <v>757</v>
      </c>
      <c r="D117" s="1" t="s">
        <v>758</v>
      </c>
      <c r="E117" s="5">
        <v>4069741</v>
      </c>
      <c r="F117" s="5">
        <v>144836</v>
      </c>
      <c r="G117" s="1" t="s">
        <v>759</v>
      </c>
      <c r="H117" s="1" t="s">
        <v>760</v>
      </c>
      <c r="I117" s="6">
        <v>44327.407015671299</v>
      </c>
      <c r="J117" s="1">
        <f>393335559339</f>
        <v>393335559339</v>
      </c>
      <c r="K117" s="3">
        <v>1</v>
      </c>
      <c r="L117" s="5">
        <v>5</v>
      </c>
      <c r="M117" s="1">
        <v>77333337</v>
      </c>
      <c r="N117" s="3">
        <v>229</v>
      </c>
      <c r="O117" s="3">
        <v>3</v>
      </c>
      <c r="P117" s="1" t="s">
        <v>33</v>
      </c>
      <c r="Q117" s="4" t="b">
        <v>0</v>
      </c>
      <c r="R117" s="4" t="b">
        <v>0</v>
      </c>
      <c r="S117" s="4" t="b">
        <v>0</v>
      </c>
      <c r="T117" s="3" t="s">
        <v>323</v>
      </c>
      <c r="U117" s="4" t="b">
        <v>0</v>
      </c>
      <c r="V117" s="7">
        <v>44630</v>
      </c>
      <c r="W117" s="7">
        <v>44659</v>
      </c>
    </row>
    <row r="118" spans="1:23" ht="14.4" x14ac:dyDescent="0.3">
      <c r="A118" s="3">
        <v>56555</v>
      </c>
      <c r="B118" s="4" t="b">
        <v>1</v>
      </c>
      <c r="C118" s="1" t="s">
        <v>794</v>
      </c>
      <c r="D118" s="1" t="s">
        <v>795</v>
      </c>
      <c r="E118" s="5">
        <v>4543839</v>
      </c>
      <c r="F118" s="5">
        <v>1103317</v>
      </c>
      <c r="G118" s="1" t="s">
        <v>76</v>
      </c>
      <c r="H118" s="1" t="s">
        <v>796</v>
      </c>
      <c r="I118" s="6">
        <v>44399.319136574071</v>
      </c>
      <c r="J118" s="1">
        <f>390558839383</f>
        <v>390558839383</v>
      </c>
      <c r="K118" s="3">
        <v>5</v>
      </c>
      <c r="L118" s="5">
        <v>5</v>
      </c>
      <c r="M118" s="1">
        <v>737333373</v>
      </c>
      <c r="N118" s="3">
        <v>637</v>
      </c>
      <c r="O118" s="3">
        <v>2</v>
      </c>
      <c r="P118" s="1" t="s">
        <v>28</v>
      </c>
      <c r="Q118" s="4" t="b">
        <v>0</v>
      </c>
      <c r="R118" s="4" t="b">
        <v>0</v>
      </c>
      <c r="S118" s="4" t="b">
        <v>0</v>
      </c>
      <c r="T118" s="3" t="s">
        <v>689</v>
      </c>
      <c r="U118" s="4" t="b">
        <v>0</v>
      </c>
      <c r="V118" s="7">
        <v>44843</v>
      </c>
      <c r="W118" s="7">
        <v>44770</v>
      </c>
    </row>
    <row r="119" spans="1:23" ht="14.4" x14ac:dyDescent="0.3">
      <c r="A119" s="3">
        <v>56556</v>
      </c>
      <c r="B119" s="4" t="b">
        <v>1</v>
      </c>
      <c r="C119" s="1" t="s">
        <v>770</v>
      </c>
      <c r="D119" s="1" t="s">
        <v>771</v>
      </c>
      <c r="E119" s="5">
        <v>4401091</v>
      </c>
      <c r="F119" s="5">
        <v>1263999</v>
      </c>
      <c r="G119" s="1" t="s">
        <v>772</v>
      </c>
      <c r="H119" s="1" t="s">
        <v>773</v>
      </c>
      <c r="I119" s="6">
        <v>44343.594457893516</v>
      </c>
      <c r="J119" s="1">
        <f>393339558388</f>
        <v>393339558388</v>
      </c>
      <c r="K119" s="3">
        <v>21</v>
      </c>
      <c r="L119" s="5">
        <v>5</v>
      </c>
      <c r="M119" s="1">
        <v>373373333</v>
      </c>
      <c r="N119" s="3">
        <v>759</v>
      </c>
      <c r="O119" s="3">
        <v>4</v>
      </c>
      <c r="P119" s="1" t="s">
        <v>33</v>
      </c>
      <c r="Q119" s="4" t="b">
        <v>0</v>
      </c>
      <c r="R119" s="4" t="b">
        <v>1</v>
      </c>
      <c r="S119" s="4" t="b">
        <v>1</v>
      </c>
      <c r="T119" s="3" t="s">
        <v>774</v>
      </c>
      <c r="U119" s="4" t="b">
        <v>0</v>
      </c>
      <c r="V119" s="7">
        <v>44899</v>
      </c>
      <c r="W119" s="7">
        <v>44675</v>
      </c>
    </row>
    <row r="120" spans="1:23" ht="14.4" x14ac:dyDescent="0.3">
      <c r="A120" s="3">
        <v>56750</v>
      </c>
      <c r="B120" s="4" t="b">
        <v>1</v>
      </c>
      <c r="C120" s="1" t="s">
        <v>146</v>
      </c>
      <c r="D120" s="1" t="s">
        <v>147</v>
      </c>
      <c r="E120" s="5">
        <v>4549089</v>
      </c>
      <c r="F120" s="5">
        <v>916397</v>
      </c>
      <c r="G120" s="1" t="s">
        <v>37</v>
      </c>
      <c r="H120" s="1" t="s">
        <v>148</v>
      </c>
      <c r="I120" s="6">
        <v>42807.369057534721</v>
      </c>
      <c r="J120" s="1">
        <f>390883359588</f>
        <v>390883359588</v>
      </c>
      <c r="K120" s="3">
        <v>30</v>
      </c>
      <c r="L120" s="5" t="s">
        <v>124</v>
      </c>
      <c r="M120" s="1">
        <v>7737733767</v>
      </c>
      <c r="N120" s="3">
        <v>2032</v>
      </c>
      <c r="O120" s="3">
        <v>3</v>
      </c>
      <c r="P120" s="1" t="s">
        <v>39</v>
      </c>
      <c r="Q120" s="4" t="b">
        <v>0</v>
      </c>
      <c r="R120" s="4" t="b">
        <v>0</v>
      </c>
      <c r="S120" s="4" t="b">
        <v>0</v>
      </c>
      <c r="T120" s="3" t="s">
        <v>149</v>
      </c>
      <c r="U120" s="4" t="b">
        <v>0</v>
      </c>
      <c r="V120" s="7">
        <v>44600</v>
      </c>
      <c r="W120" s="7">
        <v>44741</v>
      </c>
    </row>
    <row r="121" spans="1:23" ht="14.4" x14ac:dyDescent="0.3">
      <c r="A121" s="3">
        <v>57004</v>
      </c>
      <c r="B121" s="4" t="b">
        <v>1</v>
      </c>
      <c r="C121" s="1" t="s">
        <v>797</v>
      </c>
      <c r="D121" s="1" t="s">
        <v>798</v>
      </c>
      <c r="E121" s="5">
        <v>4577418</v>
      </c>
      <c r="F121" s="5">
        <v>4826077</v>
      </c>
      <c r="G121" s="1" t="s">
        <v>383</v>
      </c>
      <c r="H121" s="1" t="s">
        <v>799</v>
      </c>
      <c r="I121" s="6">
        <v>44399.520200949075</v>
      </c>
      <c r="J121" s="1">
        <f>33935338500</f>
        <v>33935338500</v>
      </c>
      <c r="K121" s="3">
        <v>6</v>
      </c>
      <c r="L121" s="5">
        <v>4666667</v>
      </c>
      <c r="M121" s="1" t="s">
        <v>800</v>
      </c>
      <c r="N121" s="3">
        <v>42</v>
      </c>
      <c r="O121" s="3">
        <v>2</v>
      </c>
      <c r="P121" s="1" t="s">
        <v>28</v>
      </c>
      <c r="Q121" s="4" t="b">
        <v>0</v>
      </c>
      <c r="R121" s="4" t="b">
        <v>1</v>
      </c>
      <c r="S121" s="4" t="b">
        <v>0</v>
      </c>
      <c r="T121" s="3" t="s">
        <v>801</v>
      </c>
      <c r="U121" s="4" t="b">
        <v>0</v>
      </c>
      <c r="V121" s="7">
        <v>44799</v>
      </c>
      <c r="W121" s="8">
        <v>44845</v>
      </c>
    </row>
    <row r="122" spans="1:23" ht="14.4" x14ac:dyDescent="0.3">
      <c r="A122" s="3">
        <v>57044</v>
      </c>
      <c r="B122" s="4" t="b">
        <v>1</v>
      </c>
      <c r="C122" s="1" t="s">
        <v>802</v>
      </c>
      <c r="D122" s="1" t="s">
        <v>803</v>
      </c>
      <c r="E122" s="5">
        <v>4087227</v>
      </c>
      <c r="F122" s="5">
        <v>1443177</v>
      </c>
      <c r="G122" s="1" t="s">
        <v>804</v>
      </c>
      <c r="H122" s="1" t="s">
        <v>805</v>
      </c>
      <c r="I122" s="6">
        <v>44404.569941250003</v>
      </c>
      <c r="J122" s="1">
        <f>390838993585</f>
        <v>390838993585</v>
      </c>
      <c r="K122" s="3">
        <v>5</v>
      </c>
      <c r="L122" s="5">
        <v>5</v>
      </c>
      <c r="M122" s="1">
        <v>777733333</v>
      </c>
      <c r="N122" s="3">
        <v>815</v>
      </c>
      <c r="O122" s="3">
        <v>4</v>
      </c>
      <c r="P122" s="1" t="s">
        <v>28</v>
      </c>
      <c r="Q122" s="4" t="b">
        <v>0</v>
      </c>
      <c r="R122" s="4" t="b">
        <v>0</v>
      </c>
      <c r="S122" s="4" t="b">
        <v>0</v>
      </c>
      <c r="T122" s="3" t="s">
        <v>689</v>
      </c>
      <c r="U122" s="4" t="b">
        <v>0</v>
      </c>
      <c r="V122" s="7">
        <v>44634</v>
      </c>
      <c r="W122" s="7">
        <v>44584</v>
      </c>
    </row>
    <row r="123" spans="1:23" ht="14.4" x14ac:dyDescent="0.3">
      <c r="A123" s="3">
        <v>57065</v>
      </c>
      <c r="B123" s="4" t="b">
        <v>1</v>
      </c>
      <c r="C123" s="1" t="s">
        <v>806</v>
      </c>
      <c r="D123" s="1" t="s">
        <v>807</v>
      </c>
      <c r="E123" s="5">
        <v>4463927</v>
      </c>
      <c r="F123" s="5">
        <v>7498464</v>
      </c>
      <c r="G123" s="1" t="s">
        <v>808</v>
      </c>
      <c r="H123" s="1" t="s">
        <v>809</v>
      </c>
      <c r="I123" s="6">
        <v>44405.595007951386</v>
      </c>
      <c r="J123" s="1">
        <f>390335833330</f>
        <v>390335833330</v>
      </c>
      <c r="K123" s="3">
        <v>3</v>
      </c>
      <c r="L123" s="5">
        <v>5</v>
      </c>
      <c r="M123" s="1">
        <v>736333333</v>
      </c>
      <c r="N123" s="3">
        <v>921</v>
      </c>
      <c r="O123" s="3">
        <v>4</v>
      </c>
      <c r="P123" s="1" t="s">
        <v>28</v>
      </c>
      <c r="Q123" s="4" t="b">
        <v>0</v>
      </c>
      <c r="R123" s="4" t="b">
        <v>1</v>
      </c>
      <c r="S123" s="4" t="b">
        <v>0</v>
      </c>
      <c r="T123" s="3" t="s">
        <v>354</v>
      </c>
      <c r="U123" s="4" t="b">
        <v>0</v>
      </c>
      <c r="V123" s="7">
        <v>44669</v>
      </c>
      <c r="W123" s="7">
        <v>44596</v>
      </c>
    </row>
    <row r="124" spans="1:23" ht="14.4" x14ac:dyDescent="0.3">
      <c r="A124" s="3">
        <v>57141</v>
      </c>
      <c r="B124" s="4" t="b">
        <v>0</v>
      </c>
      <c r="C124" s="1" t="s">
        <v>810</v>
      </c>
      <c r="D124" s="1" t="s">
        <v>811</v>
      </c>
      <c r="E124" s="5">
        <v>4860825</v>
      </c>
      <c r="F124" s="5">
        <v>2968942</v>
      </c>
      <c r="G124" s="1" t="s">
        <v>812</v>
      </c>
      <c r="H124" s="1" t="s">
        <v>813</v>
      </c>
      <c r="I124" s="6">
        <v>44410.618146967594</v>
      </c>
      <c r="J124" s="1">
        <f>33988983833</f>
        <v>33988983833</v>
      </c>
      <c r="K124" s="3">
        <v>40</v>
      </c>
      <c r="L124" s="5" t="s">
        <v>814</v>
      </c>
      <c r="M124" s="1"/>
      <c r="N124" s="3">
        <v>204</v>
      </c>
      <c r="O124" s="3">
        <v>1</v>
      </c>
      <c r="P124" s="1" t="s">
        <v>28</v>
      </c>
      <c r="Q124" s="4" t="b">
        <v>0</v>
      </c>
      <c r="R124" s="4" t="b">
        <v>1</v>
      </c>
      <c r="S124" s="4" t="b">
        <v>0</v>
      </c>
      <c r="T124" s="3" t="s">
        <v>815</v>
      </c>
      <c r="U124" s="4" t="b">
        <v>0</v>
      </c>
      <c r="V124" s="7">
        <v>44769</v>
      </c>
      <c r="W124" s="7">
        <v>44769</v>
      </c>
    </row>
    <row r="125" spans="1:23" ht="14.4" x14ac:dyDescent="0.3">
      <c r="A125" s="3">
        <v>57444</v>
      </c>
      <c r="B125" s="4" t="b">
        <v>1</v>
      </c>
      <c r="C125" s="1" t="s">
        <v>836</v>
      </c>
      <c r="D125" s="1" t="s">
        <v>837</v>
      </c>
      <c r="E125" s="5">
        <v>4871309</v>
      </c>
      <c r="F125" s="5">
        <v>1901065</v>
      </c>
      <c r="G125" s="1" t="s">
        <v>838</v>
      </c>
      <c r="H125" s="1" t="s">
        <v>839</v>
      </c>
      <c r="I125" s="6">
        <v>44468.438864953707</v>
      </c>
      <c r="J125" s="1">
        <f>33980350903</f>
        <v>33980350903</v>
      </c>
      <c r="K125" s="3">
        <v>13</v>
      </c>
      <c r="L125" s="5">
        <v>5</v>
      </c>
      <c r="M125" s="1" t="s">
        <v>840</v>
      </c>
      <c r="N125" s="3">
        <v>233</v>
      </c>
      <c r="O125" s="3">
        <v>1</v>
      </c>
      <c r="P125" s="1" t="s">
        <v>39</v>
      </c>
      <c r="Q125" s="4" t="b">
        <v>0</v>
      </c>
      <c r="R125" s="4" t="b">
        <v>1</v>
      </c>
      <c r="S125" s="4" t="b">
        <v>0</v>
      </c>
      <c r="T125" s="3" t="s">
        <v>292</v>
      </c>
      <c r="U125" s="4" t="b">
        <v>0</v>
      </c>
      <c r="V125" s="7">
        <v>44762</v>
      </c>
      <c r="W125" s="7">
        <v>44808</v>
      </c>
    </row>
    <row r="126" spans="1:23" ht="14.4" x14ac:dyDescent="0.3">
      <c r="A126" s="3">
        <v>57504</v>
      </c>
      <c r="B126" s="4" t="b">
        <v>1</v>
      </c>
      <c r="C126" s="1" t="s">
        <v>841</v>
      </c>
      <c r="D126" s="1" t="s">
        <v>842</v>
      </c>
      <c r="E126" s="5">
        <v>4554101</v>
      </c>
      <c r="F126" s="5">
        <v>1159252</v>
      </c>
      <c r="G126" s="1" t="s">
        <v>843</v>
      </c>
      <c r="H126" s="1" t="s">
        <v>844</v>
      </c>
      <c r="I126" s="6">
        <v>44470.532834895836</v>
      </c>
      <c r="J126" s="1">
        <f>393589395853</f>
        <v>393589395853</v>
      </c>
      <c r="K126" s="3">
        <v>5</v>
      </c>
      <c r="L126" s="5">
        <v>5</v>
      </c>
      <c r="M126" s="1">
        <v>7776733333</v>
      </c>
      <c r="N126" s="3">
        <v>206</v>
      </c>
      <c r="O126" s="3">
        <v>2</v>
      </c>
      <c r="P126" s="1" t="s">
        <v>39</v>
      </c>
      <c r="Q126" s="4" t="b">
        <v>0</v>
      </c>
      <c r="R126" s="4" t="b">
        <v>0</v>
      </c>
      <c r="S126" s="4" t="b">
        <v>0</v>
      </c>
      <c r="T126" s="3" t="s">
        <v>689</v>
      </c>
      <c r="U126" s="4" t="b">
        <v>0</v>
      </c>
      <c r="V126" s="7">
        <v>44831</v>
      </c>
      <c r="W126" s="7">
        <v>44711</v>
      </c>
    </row>
    <row r="127" spans="1:23" ht="14.4" x14ac:dyDescent="0.3">
      <c r="A127" s="3">
        <v>57544</v>
      </c>
      <c r="B127" s="4" t="b">
        <v>1</v>
      </c>
      <c r="C127" s="1" t="s">
        <v>845</v>
      </c>
      <c r="D127" s="1" t="s">
        <v>846</v>
      </c>
      <c r="E127" s="5">
        <v>4058511</v>
      </c>
      <c r="F127" s="5">
        <v>9001444</v>
      </c>
      <c r="G127" s="1" t="s">
        <v>847</v>
      </c>
      <c r="H127" s="1" t="s">
        <v>848</v>
      </c>
      <c r="I127" s="6">
        <v>44475.580895960651</v>
      </c>
      <c r="J127" s="1">
        <f>393508999398</f>
        <v>393508999398</v>
      </c>
      <c r="K127" s="3">
        <v>63</v>
      </c>
      <c r="L127" s="5">
        <v>4857143</v>
      </c>
      <c r="M127" s="1">
        <v>733333733</v>
      </c>
      <c r="N127" s="3">
        <v>398</v>
      </c>
      <c r="O127" s="3">
        <v>2</v>
      </c>
      <c r="P127" s="1" t="s">
        <v>33</v>
      </c>
      <c r="Q127" s="4" t="b">
        <v>0</v>
      </c>
      <c r="R127" s="4" t="b">
        <v>1</v>
      </c>
      <c r="S127" s="4" t="b">
        <v>0</v>
      </c>
      <c r="T127" s="3" t="s">
        <v>849</v>
      </c>
      <c r="U127" s="4" t="b">
        <v>0</v>
      </c>
      <c r="V127" s="7">
        <v>44818</v>
      </c>
      <c r="W127" s="7">
        <v>44792</v>
      </c>
    </row>
    <row r="128" spans="1:23" ht="14.4" x14ac:dyDescent="0.3">
      <c r="A128" s="3">
        <v>57615</v>
      </c>
      <c r="B128" s="4" t="b">
        <v>1</v>
      </c>
      <c r="C128" s="1" t="s">
        <v>833</v>
      </c>
      <c r="D128" s="1" t="s">
        <v>834</v>
      </c>
      <c r="E128" s="5">
        <v>4189514</v>
      </c>
      <c r="F128" s="5">
        <v>1245047</v>
      </c>
      <c r="G128" s="1" t="s">
        <v>25</v>
      </c>
      <c r="H128" s="1" t="s">
        <v>835</v>
      </c>
      <c r="I128" s="6">
        <v>44455.364795451387</v>
      </c>
      <c r="J128" s="1">
        <f>393335933998</f>
        <v>393335933998</v>
      </c>
      <c r="K128" s="3">
        <v>23</v>
      </c>
      <c r="L128" s="5">
        <v>4956522</v>
      </c>
      <c r="M128" s="1">
        <v>7733333</v>
      </c>
      <c r="N128" s="3">
        <v>429</v>
      </c>
      <c r="O128" s="3">
        <v>5</v>
      </c>
      <c r="P128" s="1" t="s">
        <v>28</v>
      </c>
      <c r="Q128" s="4" t="b">
        <v>0</v>
      </c>
      <c r="R128" s="4" t="b">
        <v>1</v>
      </c>
      <c r="S128" s="4" t="b">
        <v>0</v>
      </c>
      <c r="T128" s="3">
        <v>38</v>
      </c>
      <c r="U128" s="4" t="b">
        <v>0</v>
      </c>
      <c r="V128" s="8">
        <v>44860</v>
      </c>
      <c r="W128" s="7">
        <v>44825</v>
      </c>
    </row>
    <row r="129" spans="1:23" ht="14.4" x14ac:dyDescent="0.3">
      <c r="A129" s="3">
        <v>103050</v>
      </c>
      <c r="B129" s="4" t="b">
        <v>1</v>
      </c>
      <c r="C129" s="1" t="s">
        <v>61</v>
      </c>
      <c r="D129" s="1" t="s">
        <v>62</v>
      </c>
      <c r="E129" s="5">
        <v>4545627</v>
      </c>
      <c r="F129" s="5">
        <v>9208721</v>
      </c>
      <c r="G129" s="1" t="s">
        <v>37</v>
      </c>
      <c r="H129" s="1" t="s">
        <v>63</v>
      </c>
      <c r="I129" s="6">
        <v>42572.318450960651</v>
      </c>
      <c r="J129" s="1">
        <f>390835985888</f>
        <v>390835985888</v>
      </c>
      <c r="K129" s="3">
        <v>545</v>
      </c>
      <c r="L129" s="5" t="s">
        <v>27</v>
      </c>
      <c r="M129" s="1">
        <v>733333763</v>
      </c>
      <c r="N129" s="3">
        <v>5967</v>
      </c>
      <c r="O129" s="3">
        <v>7</v>
      </c>
      <c r="P129" s="1" t="s">
        <v>39</v>
      </c>
      <c r="Q129" s="4" t="b">
        <v>0</v>
      </c>
      <c r="R129" s="4" t="b">
        <v>1</v>
      </c>
      <c r="S129" s="4" t="b">
        <v>0</v>
      </c>
      <c r="T129" s="3" t="s">
        <v>64</v>
      </c>
      <c r="U129" s="4" t="b">
        <v>0</v>
      </c>
      <c r="V129" s="7">
        <v>44903</v>
      </c>
      <c r="W129" s="7">
        <v>44903</v>
      </c>
    </row>
    <row r="130" spans="1:23" ht="14.4" x14ac:dyDescent="0.3">
      <c r="A130" s="3">
        <v>105505</v>
      </c>
      <c r="B130" s="4" t="b">
        <v>1</v>
      </c>
      <c r="C130" s="1" t="s">
        <v>230</v>
      </c>
      <c r="D130" s="1" t="s">
        <v>231</v>
      </c>
      <c r="E130" s="5">
        <v>380728</v>
      </c>
      <c r="F130" s="5">
        <v>238125</v>
      </c>
      <c r="G130" s="1" t="s">
        <v>232</v>
      </c>
      <c r="H130" s="1" t="s">
        <v>233</v>
      </c>
      <c r="I130" s="6">
        <v>43243.562772118057</v>
      </c>
      <c r="J130" s="1">
        <f>308308033000</f>
        <v>308308033000</v>
      </c>
      <c r="K130" s="3">
        <v>0</v>
      </c>
      <c r="L130" s="5">
        <v>0</v>
      </c>
      <c r="M130" s="1">
        <v>3736363</v>
      </c>
      <c r="N130" s="3">
        <v>0</v>
      </c>
      <c r="O130" s="3">
        <v>0</v>
      </c>
      <c r="P130" s="1" t="s">
        <v>28</v>
      </c>
      <c r="Q130" s="4" t="b">
        <v>1</v>
      </c>
      <c r="R130" s="4" t="b">
        <v>0</v>
      </c>
      <c r="S130" s="4" t="b">
        <v>0</v>
      </c>
      <c r="T130" s="3">
        <v>0</v>
      </c>
      <c r="U130" s="4" t="b">
        <v>0</v>
      </c>
      <c r="V130" s="7">
        <v>44688</v>
      </c>
      <c r="W130" s="7">
        <v>44669</v>
      </c>
    </row>
    <row r="131" spans="1:23" ht="14.4" x14ac:dyDescent="0.3">
      <c r="A131" s="3">
        <v>115045</v>
      </c>
      <c r="B131" s="4" t="b">
        <v>1</v>
      </c>
      <c r="C131" s="1" t="s">
        <v>247</v>
      </c>
      <c r="D131" s="1" t="s">
        <v>248</v>
      </c>
      <c r="E131" s="5">
        <v>3834642</v>
      </c>
      <c r="F131" s="5">
        <v>-48698</v>
      </c>
      <c r="G131" s="1" t="s">
        <v>249</v>
      </c>
      <c r="H131" s="1" t="s">
        <v>250</v>
      </c>
      <c r="I131" s="6">
        <v>43439.851371400466</v>
      </c>
      <c r="J131" s="1">
        <f>35995353800</f>
        <v>35995353800</v>
      </c>
      <c r="K131" s="3">
        <v>33</v>
      </c>
      <c r="L131" s="5">
        <v>5</v>
      </c>
      <c r="M131" s="1" t="s">
        <v>251</v>
      </c>
      <c r="N131" s="3">
        <v>544</v>
      </c>
      <c r="O131" s="3">
        <v>3</v>
      </c>
      <c r="P131" s="1" t="s">
        <v>39</v>
      </c>
      <c r="Q131" s="4" t="b">
        <v>0</v>
      </c>
      <c r="R131" s="4" t="b">
        <v>1</v>
      </c>
      <c r="S131" s="4" t="b">
        <v>0</v>
      </c>
      <c r="T131" s="3" t="s">
        <v>252</v>
      </c>
      <c r="U131" s="4" t="b">
        <v>0</v>
      </c>
      <c r="V131" s="7">
        <v>44830</v>
      </c>
      <c r="W131" s="7">
        <v>44595</v>
      </c>
    </row>
    <row r="132" spans="1:23" ht="14.4" x14ac:dyDescent="0.3">
      <c r="A132" s="3">
        <v>130515</v>
      </c>
      <c r="B132" s="4" t="b">
        <v>1</v>
      </c>
      <c r="C132" s="1" t="s">
        <v>309</v>
      </c>
      <c r="D132" s="1" t="s">
        <v>310</v>
      </c>
      <c r="E132" s="5">
        <v>4370715</v>
      </c>
      <c r="F132" s="5">
        <v>1038213</v>
      </c>
      <c r="G132" s="1" t="s">
        <v>311</v>
      </c>
      <c r="H132" s="1" t="s">
        <v>312</v>
      </c>
      <c r="I132" s="6">
        <v>43775.809203958335</v>
      </c>
      <c r="J132" s="1">
        <f>39050503888</f>
        <v>39050503888</v>
      </c>
      <c r="K132" s="3">
        <v>101</v>
      </c>
      <c r="L132" s="5">
        <v>4920792</v>
      </c>
      <c r="M132" s="1">
        <v>37333337</v>
      </c>
      <c r="N132" s="3">
        <v>1547</v>
      </c>
      <c r="O132" s="3">
        <v>4</v>
      </c>
      <c r="P132" s="1" t="s">
        <v>33</v>
      </c>
      <c r="Q132" s="4" t="b">
        <v>0</v>
      </c>
      <c r="R132" s="4" t="b">
        <v>0</v>
      </c>
      <c r="S132" s="4" t="b">
        <v>0</v>
      </c>
      <c r="T132" s="3" t="s">
        <v>40</v>
      </c>
      <c r="U132" s="4" t="b">
        <v>0</v>
      </c>
      <c r="V132" s="7">
        <v>44819</v>
      </c>
      <c r="W132" s="7">
        <v>44841</v>
      </c>
    </row>
    <row r="133" spans="1:23" ht="14.4" x14ac:dyDescent="0.3">
      <c r="A133" s="3">
        <v>143001</v>
      </c>
      <c r="B133" s="4" t="b">
        <v>1</v>
      </c>
      <c r="C133" s="1" t="s">
        <v>283</v>
      </c>
      <c r="D133" s="1" t="s">
        <v>284</v>
      </c>
      <c r="E133" s="5">
        <v>4477196</v>
      </c>
      <c r="F133" s="5">
        <v>1028606</v>
      </c>
      <c r="G133" s="1" t="s">
        <v>285</v>
      </c>
      <c r="H133" s="1" t="s">
        <v>286</v>
      </c>
      <c r="I133" s="6">
        <v>43677.66129408565</v>
      </c>
      <c r="J133" s="1">
        <f>393893590353</f>
        <v>393893590353</v>
      </c>
      <c r="K133" s="3">
        <v>36</v>
      </c>
      <c r="L133" s="5">
        <v>4916667</v>
      </c>
      <c r="M133" s="1">
        <v>337733736</v>
      </c>
      <c r="N133" s="3">
        <v>855</v>
      </c>
      <c r="O133" s="3">
        <v>7</v>
      </c>
      <c r="P133" s="1" t="s">
        <v>33</v>
      </c>
      <c r="Q133" s="4" t="b">
        <v>0</v>
      </c>
      <c r="R133" s="4" t="b">
        <v>0</v>
      </c>
      <c r="S133" s="4" t="b">
        <v>0</v>
      </c>
      <c r="T133" s="3" t="s">
        <v>287</v>
      </c>
      <c r="U133" s="4" t="b">
        <v>0</v>
      </c>
      <c r="V133" s="7">
        <v>44831</v>
      </c>
      <c r="W133" s="7">
        <v>44571</v>
      </c>
    </row>
    <row r="134" spans="1:23" ht="14.4" x14ac:dyDescent="0.3">
      <c r="A134" s="3">
        <v>144305</v>
      </c>
      <c r="B134" s="4" t="b">
        <v>1</v>
      </c>
      <c r="C134" s="1" t="s">
        <v>293</v>
      </c>
      <c r="D134" s="1" t="s">
        <v>294</v>
      </c>
      <c r="E134" s="5">
        <v>4555045</v>
      </c>
      <c r="F134" s="5">
        <v>1022359</v>
      </c>
      <c r="G134" s="1" t="s">
        <v>295</v>
      </c>
      <c r="H134" s="1" t="s">
        <v>296</v>
      </c>
      <c r="I134" s="6">
        <v>43738.659591307871</v>
      </c>
      <c r="J134" s="1">
        <f>39030308355</f>
        <v>39030308355</v>
      </c>
      <c r="K134" s="3">
        <v>66</v>
      </c>
      <c r="L134" s="5">
        <v>4924242</v>
      </c>
      <c r="M134" s="1">
        <v>7333673377</v>
      </c>
      <c r="N134" s="3">
        <v>1545</v>
      </c>
      <c r="O134" s="3">
        <v>2</v>
      </c>
      <c r="P134" s="1" t="s">
        <v>28</v>
      </c>
      <c r="Q134" s="4" t="b">
        <v>0</v>
      </c>
      <c r="R134" s="4" t="b">
        <v>1</v>
      </c>
      <c r="S134" s="4" t="b">
        <v>0</v>
      </c>
      <c r="T134" s="3" t="s">
        <v>297</v>
      </c>
      <c r="U134" s="4" t="b">
        <v>0</v>
      </c>
      <c r="V134" s="7">
        <v>44764</v>
      </c>
      <c r="W134" s="7">
        <v>44668</v>
      </c>
    </row>
    <row r="135" spans="1:23" ht="14.4" x14ac:dyDescent="0.3">
      <c r="A135" s="3">
        <v>144550</v>
      </c>
      <c r="B135" s="4" t="b">
        <v>1</v>
      </c>
      <c r="C135" s="1" t="s">
        <v>288</v>
      </c>
      <c r="D135" s="1" t="s">
        <v>289</v>
      </c>
      <c r="E135" s="5">
        <v>4042919</v>
      </c>
      <c r="F135" s="5">
        <v>-367662</v>
      </c>
      <c r="G135" s="1" t="s">
        <v>195</v>
      </c>
      <c r="H135" s="1" t="s">
        <v>290</v>
      </c>
      <c r="I135" s="6">
        <v>43734.579267905094</v>
      </c>
      <c r="J135" s="1">
        <f>35998059833</f>
        <v>35998059833</v>
      </c>
      <c r="K135" s="3">
        <v>13</v>
      </c>
      <c r="L135" s="5">
        <v>5</v>
      </c>
      <c r="M135" s="1" t="s">
        <v>291</v>
      </c>
      <c r="N135" s="3">
        <v>159</v>
      </c>
      <c r="O135" s="3">
        <v>3</v>
      </c>
      <c r="P135" s="1" t="s">
        <v>39</v>
      </c>
      <c r="Q135" s="4" t="b">
        <v>0</v>
      </c>
      <c r="R135" s="4" t="b">
        <v>1</v>
      </c>
      <c r="S135" s="4" t="b">
        <v>0</v>
      </c>
      <c r="T135" s="3" t="s">
        <v>292</v>
      </c>
      <c r="U135" s="4" t="b">
        <v>0</v>
      </c>
      <c r="V135" s="7">
        <v>44842</v>
      </c>
      <c r="W135" s="7">
        <v>44594</v>
      </c>
    </row>
    <row r="136" spans="1:23" ht="14.4" x14ac:dyDescent="0.3">
      <c r="A136" s="3">
        <v>145004</v>
      </c>
      <c r="B136" s="4" t="b">
        <v>0</v>
      </c>
      <c r="C136" s="1" t="s">
        <v>267</v>
      </c>
      <c r="D136" s="1" t="s">
        <v>268</v>
      </c>
      <c r="E136" s="5">
        <v>3816891</v>
      </c>
      <c r="F136" s="5">
        <v>1565407</v>
      </c>
      <c r="G136" s="1" t="s">
        <v>269</v>
      </c>
      <c r="H136" s="1" t="s">
        <v>270</v>
      </c>
      <c r="I136" s="6">
        <v>43640.41117295139</v>
      </c>
      <c r="J136" s="1">
        <f>393833038585</f>
        <v>393833038585</v>
      </c>
      <c r="K136" s="3">
        <v>33</v>
      </c>
      <c r="L136" s="5">
        <v>4969697</v>
      </c>
      <c r="M136" s="1">
        <v>773333</v>
      </c>
      <c r="N136" s="3">
        <v>2356</v>
      </c>
      <c r="O136" s="3">
        <v>3</v>
      </c>
      <c r="P136" s="1" t="s">
        <v>39</v>
      </c>
      <c r="Q136" s="4" t="b">
        <v>0</v>
      </c>
      <c r="R136" s="4" t="b">
        <v>1</v>
      </c>
      <c r="S136" s="4" t="b">
        <v>1</v>
      </c>
      <c r="T136" s="3" t="s">
        <v>271</v>
      </c>
      <c r="U136" s="4" t="b">
        <v>0</v>
      </c>
      <c r="V136" s="7">
        <v>44892</v>
      </c>
      <c r="W136" s="7">
        <v>44873</v>
      </c>
    </row>
    <row r="137" spans="1:23" ht="14.4" x14ac:dyDescent="0.3">
      <c r="A137" s="3">
        <v>145004</v>
      </c>
      <c r="B137" s="4" t="b">
        <v>0</v>
      </c>
      <c r="C137" s="1" t="s">
        <v>376</v>
      </c>
      <c r="D137" s="1" t="s">
        <v>377</v>
      </c>
      <c r="E137" s="5">
        <v>4131169</v>
      </c>
      <c r="F137" s="5">
        <v>1627683</v>
      </c>
      <c r="G137" s="1" t="s">
        <v>378</v>
      </c>
      <c r="H137" s="1" t="s">
        <v>379</v>
      </c>
      <c r="I137" s="6">
        <v>43879.671690208335</v>
      </c>
      <c r="J137" s="1">
        <f>393888393333</f>
        <v>393888393333</v>
      </c>
      <c r="K137" s="3">
        <v>40</v>
      </c>
      <c r="L137" s="5">
        <v>4975</v>
      </c>
      <c r="M137" s="1">
        <v>6633333733</v>
      </c>
      <c r="N137" s="3">
        <v>1223</v>
      </c>
      <c r="O137" s="3">
        <v>5</v>
      </c>
      <c r="P137" s="1" t="s">
        <v>39</v>
      </c>
      <c r="Q137" s="4" t="b">
        <v>0</v>
      </c>
      <c r="R137" s="4" t="b">
        <v>0</v>
      </c>
      <c r="S137" s="4" t="b">
        <v>0</v>
      </c>
      <c r="T137" s="3" t="s">
        <v>380</v>
      </c>
      <c r="U137" s="4" t="b">
        <v>0</v>
      </c>
      <c r="V137" s="7">
        <v>44813</v>
      </c>
      <c r="W137" s="7">
        <v>44854</v>
      </c>
    </row>
    <row r="138" spans="1:23" ht="14.4" x14ac:dyDescent="0.3">
      <c r="A138" s="3">
        <v>145056</v>
      </c>
      <c r="B138" s="4" t="b">
        <v>1</v>
      </c>
      <c r="C138" s="1" t="s">
        <v>381</v>
      </c>
      <c r="D138" s="1" t="s">
        <v>382</v>
      </c>
      <c r="E138" s="5">
        <v>4576625</v>
      </c>
      <c r="F138" s="5">
        <v>485571</v>
      </c>
      <c r="G138" s="1" t="s">
        <v>383</v>
      </c>
      <c r="H138" s="1" t="s">
        <v>384</v>
      </c>
      <c r="I138" s="6">
        <v>43879.979758680558</v>
      </c>
      <c r="J138" s="1">
        <f>33589558335</f>
        <v>33589558335</v>
      </c>
      <c r="K138" s="3">
        <v>557</v>
      </c>
      <c r="L138" s="5">
        <v>4737522</v>
      </c>
      <c r="M138" s="1"/>
      <c r="N138" s="3">
        <v>2351</v>
      </c>
      <c r="O138" s="3">
        <v>3</v>
      </c>
      <c r="P138" s="1" t="s">
        <v>33</v>
      </c>
      <c r="Q138" s="4" t="b">
        <v>0</v>
      </c>
      <c r="R138" s="4" t="b">
        <v>0</v>
      </c>
      <c r="S138" s="4" t="b">
        <v>1</v>
      </c>
      <c r="T138" s="3" t="s">
        <v>385</v>
      </c>
      <c r="U138" s="4" t="b">
        <v>0</v>
      </c>
      <c r="V138" s="7">
        <v>44825</v>
      </c>
      <c r="W138" s="7">
        <v>44686</v>
      </c>
    </row>
    <row r="139" spans="1:23" ht="14.4" x14ac:dyDescent="0.3">
      <c r="A139" s="3">
        <v>145307</v>
      </c>
      <c r="B139" s="4" t="b">
        <v>0</v>
      </c>
      <c r="C139" s="1" t="s">
        <v>303</v>
      </c>
      <c r="D139" s="1" t="s">
        <v>304</v>
      </c>
      <c r="E139" s="5">
        <v>4167008</v>
      </c>
      <c r="F139" s="5">
        <v>2261058</v>
      </c>
      <c r="G139" s="1" t="s">
        <v>305</v>
      </c>
      <c r="H139" s="1" t="s">
        <v>306</v>
      </c>
      <c r="I139" s="6">
        <v>43756.447786481483</v>
      </c>
      <c r="J139" s="1">
        <f>35938533053</f>
        <v>35938533053</v>
      </c>
      <c r="K139" s="3">
        <v>41</v>
      </c>
      <c r="L139" s="5">
        <v>4829268</v>
      </c>
      <c r="M139" s="1" t="s">
        <v>307</v>
      </c>
      <c r="N139" s="3">
        <v>1959</v>
      </c>
      <c r="O139" s="3">
        <v>4</v>
      </c>
      <c r="P139" s="1" t="s">
        <v>28</v>
      </c>
      <c r="Q139" s="4" t="b">
        <v>1</v>
      </c>
      <c r="R139" s="4" t="b">
        <v>0</v>
      </c>
      <c r="S139" s="4" t="b">
        <v>0</v>
      </c>
      <c r="T139" s="3" t="s">
        <v>308</v>
      </c>
      <c r="U139" s="4" t="b">
        <v>0</v>
      </c>
      <c r="V139" s="7">
        <v>44867</v>
      </c>
      <c r="W139" s="7">
        <v>44796</v>
      </c>
    </row>
    <row r="140" spans="1:23" ht="14.4" x14ac:dyDescent="0.3">
      <c r="A140" s="3">
        <v>150514</v>
      </c>
      <c r="B140" s="4" t="b">
        <v>1</v>
      </c>
      <c r="C140" s="1" t="s">
        <v>253</v>
      </c>
      <c r="D140" s="1" t="s">
        <v>254</v>
      </c>
      <c r="E140" s="5">
        <v>4548791</v>
      </c>
      <c r="F140" s="5">
        <v>9227804</v>
      </c>
      <c r="G140" s="1" t="s">
        <v>37</v>
      </c>
      <c r="H140" s="1" t="s">
        <v>255</v>
      </c>
      <c r="I140" s="6">
        <v>43523.730902233794</v>
      </c>
      <c r="J140" s="6"/>
      <c r="K140" s="3">
        <v>12</v>
      </c>
      <c r="L140" s="5" t="s">
        <v>130</v>
      </c>
      <c r="M140" s="1">
        <v>333333</v>
      </c>
      <c r="N140" s="3">
        <v>1949</v>
      </c>
      <c r="O140" s="3">
        <v>44</v>
      </c>
      <c r="P140" s="1" t="s">
        <v>39</v>
      </c>
      <c r="Q140" s="4" t="b">
        <v>0</v>
      </c>
      <c r="R140" s="4" t="b">
        <v>0</v>
      </c>
      <c r="S140" s="4" t="b">
        <v>0</v>
      </c>
      <c r="T140" s="3">
        <v>0</v>
      </c>
      <c r="U140" s="4" t="b">
        <v>0</v>
      </c>
      <c r="V140" s="7">
        <v>44692</v>
      </c>
      <c r="W140" s="7">
        <v>44566</v>
      </c>
    </row>
    <row r="141" spans="1:23" ht="14.4" x14ac:dyDescent="0.3">
      <c r="A141" s="3">
        <v>150530</v>
      </c>
      <c r="B141" s="4" t="b">
        <v>1</v>
      </c>
      <c r="C141" s="1" t="s">
        <v>74</v>
      </c>
      <c r="D141" s="1" t="s">
        <v>75</v>
      </c>
      <c r="E141" s="5">
        <v>4544665</v>
      </c>
      <c r="F141" s="5">
        <v>1095958</v>
      </c>
      <c r="G141" s="1" t="s">
        <v>76</v>
      </c>
      <c r="H141" s="1" t="s">
        <v>77</v>
      </c>
      <c r="I141" s="6">
        <v>42664.418291111113</v>
      </c>
      <c r="J141" s="1">
        <f>393983583853</f>
        <v>393983583853</v>
      </c>
      <c r="K141" s="3">
        <v>27</v>
      </c>
      <c r="L141" s="5" t="s">
        <v>27</v>
      </c>
      <c r="M141" s="1">
        <v>376763373</v>
      </c>
      <c r="N141" s="3">
        <v>771</v>
      </c>
      <c r="O141" s="3">
        <v>2</v>
      </c>
      <c r="P141" s="1" t="s">
        <v>28</v>
      </c>
      <c r="Q141" s="4" t="b">
        <v>0</v>
      </c>
      <c r="R141" s="4" t="b">
        <v>1</v>
      </c>
      <c r="S141" s="4" t="b">
        <v>0</v>
      </c>
      <c r="T141" s="3" t="s">
        <v>78</v>
      </c>
      <c r="U141" s="4" t="b">
        <v>0</v>
      </c>
      <c r="V141" s="8">
        <v>44893</v>
      </c>
      <c r="W141" s="7">
        <v>44734</v>
      </c>
    </row>
    <row r="142" spans="1:23" ht="14.4" x14ac:dyDescent="0.3">
      <c r="A142" s="3">
        <v>150571</v>
      </c>
      <c r="B142" s="4" t="b">
        <v>1</v>
      </c>
      <c r="C142" s="1" t="s">
        <v>256</v>
      </c>
      <c r="D142" s="1" t="s">
        <v>257</v>
      </c>
      <c r="E142" s="5">
        <v>4362768</v>
      </c>
      <c r="F142" s="5">
        <v>-73375</v>
      </c>
      <c r="G142" s="1" t="s">
        <v>258</v>
      </c>
      <c r="H142" s="1" t="s">
        <v>259</v>
      </c>
      <c r="I142" s="6">
        <v>43528.45764479167</v>
      </c>
      <c r="J142" s="1">
        <f>35988335988</f>
        <v>35988335988</v>
      </c>
      <c r="K142" s="3">
        <v>23</v>
      </c>
      <c r="L142" s="5">
        <v>5</v>
      </c>
      <c r="M142" s="1" t="s">
        <v>260</v>
      </c>
      <c r="N142" s="3">
        <v>2728</v>
      </c>
      <c r="O142" s="3">
        <v>7</v>
      </c>
      <c r="P142" s="1" t="s">
        <v>39</v>
      </c>
      <c r="Q142" s="4" t="b">
        <v>0</v>
      </c>
      <c r="R142" s="4" t="b">
        <v>1</v>
      </c>
      <c r="S142" s="4" t="b">
        <v>1</v>
      </c>
      <c r="T142" s="3" t="s">
        <v>261</v>
      </c>
      <c r="U142" s="4" t="b">
        <v>0</v>
      </c>
      <c r="V142" s="7">
        <v>44903</v>
      </c>
      <c r="W142" s="7">
        <v>44903</v>
      </c>
    </row>
    <row r="143" spans="1:23" ht="14.4" x14ac:dyDescent="0.3">
      <c r="A143" s="3">
        <v>154550</v>
      </c>
      <c r="B143" s="4" t="b">
        <v>1</v>
      </c>
      <c r="C143" s="1" t="s">
        <v>396</v>
      </c>
      <c r="D143" s="1" t="s">
        <v>397</v>
      </c>
      <c r="E143" s="5">
        <v>3972843</v>
      </c>
      <c r="F143" s="5">
        <v>-27121</v>
      </c>
      <c r="G143" s="1" t="s">
        <v>398</v>
      </c>
      <c r="H143" s="1" t="s">
        <v>399</v>
      </c>
      <c r="I143" s="6">
        <v>43928.470049421296</v>
      </c>
      <c r="J143" s="1">
        <f>35933359939</f>
        <v>35933359939</v>
      </c>
      <c r="K143" s="3">
        <v>3</v>
      </c>
      <c r="L143" s="5">
        <v>5</v>
      </c>
      <c r="M143" s="1" t="s">
        <v>400</v>
      </c>
      <c r="N143" s="3">
        <v>969</v>
      </c>
      <c r="O143" s="3">
        <v>3</v>
      </c>
      <c r="P143" s="1" t="s">
        <v>28</v>
      </c>
      <c r="Q143" s="4" t="b">
        <v>0</v>
      </c>
      <c r="R143" s="4" t="b">
        <v>1</v>
      </c>
      <c r="S143" s="4" t="b">
        <v>0</v>
      </c>
      <c r="T143" s="3" t="s">
        <v>354</v>
      </c>
      <c r="U143" s="4" t="b">
        <v>0</v>
      </c>
      <c r="V143" s="7">
        <v>44700</v>
      </c>
      <c r="W143" s="7">
        <v>44580</v>
      </c>
    </row>
    <row r="144" spans="1:23" ht="14.4" x14ac:dyDescent="0.3">
      <c r="A144" s="3">
        <v>154630</v>
      </c>
      <c r="B144" s="4" t="b">
        <v>0</v>
      </c>
      <c r="C144" s="1" t="s">
        <v>406</v>
      </c>
      <c r="D144" s="1" t="s">
        <v>407</v>
      </c>
      <c r="E144" s="5">
        <v>3925298</v>
      </c>
      <c r="F144" s="5">
        <v>9171306</v>
      </c>
      <c r="G144" s="1" t="s">
        <v>408</v>
      </c>
      <c r="H144" s="1" t="s">
        <v>409</v>
      </c>
      <c r="I144" s="6">
        <v>43957.323116134263</v>
      </c>
      <c r="J144" s="1">
        <f>39030850939</f>
        <v>39030850939</v>
      </c>
      <c r="K144" s="3">
        <v>16</v>
      </c>
      <c r="L144" s="5">
        <v>5</v>
      </c>
      <c r="M144" s="1">
        <v>333333733</v>
      </c>
      <c r="N144" s="3">
        <v>3959</v>
      </c>
      <c r="O144" s="3">
        <v>4</v>
      </c>
      <c r="P144" s="1" t="s">
        <v>33</v>
      </c>
      <c r="Q144" s="4" t="b">
        <v>0</v>
      </c>
      <c r="R144" s="4" t="b">
        <v>0</v>
      </c>
      <c r="S144" s="4" t="b">
        <v>0</v>
      </c>
      <c r="T144" s="3" t="s">
        <v>266</v>
      </c>
      <c r="U144" s="4" t="b">
        <v>0</v>
      </c>
      <c r="V144" s="7">
        <v>44806</v>
      </c>
      <c r="W144" s="7">
        <v>44847</v>
      </c>
    </row>
    <row r="145" spans="1:23" ht="14.4" x14ac:dyDescent="0.3">
      <c r="A145" s="3">
        <v>155505</v>
      </c>
      <c r="B145" s="4" t="b">
        <v>1</v>
      </c>
      <c r="C145" s="1" t="s">
        <v>425</v>
      </c>
      <c r="D145" s="1" t="s">
        <v>426</v>
      </c>
      <c r="E145" s="5">
        <v>4145917</v>
      </c>
      <c r="F145" s="5">
        <v>1265837</v>
      </c>
      <c r="G145" s="1" t="s">
        <v>427</v>
      </c>
      <c r="H145" s="1" t="s">
        <v>428</v>
      </c>
      <c r="I145" s="6">
        <v>43964.624730601849</v>
      </c>
      <c r="J145" s="1">
        <f>39099805953</f>
        <v>39099805953</v>
      </c>
      <c r="K145" s="3">
        <v>106</v>
      </c>
      <c r="L145" s="5">
        <v>4962264</v>
      </c>
      <c r="M145" s="1">
        <v>7377333333</v>
      </c>
      <c r="N145" s="3">
        <v>3295</v>
      </c>
      <c r="O145" s="3">
        <v>9</v>
      </c>
      <c r="P145" s="1" t="s">
        <v>39</v>
      </c>
      <c r="Q145" s="4" t="b">
        <v>0</v>
      </c>
      <c r="R145" s="4" t="b">
        <v>1</v>
      </c>
      <c r="S145" s="4" t="b">
        <v>0</v>
      </c>
      <c r="T145" s="3" t="s">
        <v>429</v>
      </c>
      <c r="U145" s="4" t="b">
        <v>0</v>
      </c>
      <c r="V145" s="7">
        <v>44903</v>
      </c>
      <c r="W145" s="7">
        <v>44903</v>
      </c>
    </row>
    <row r="146" spans="1:23" ht="14.4" x14ac:dyDescent="0.3">
      <c r="A146" s="3">
        <v>155550</v>
      </c>
      <c r="B146" s="4" t="b">
        <v>1</v>
      </c>
      <c r="C146" s="1" t="s">
        <v>390</v>
      </c>
      <c r="D146" s="1" t="s">
        <v>391</v>
      </c>
      <c r="E146" s="5">
        <v>436983</v>
      </c>
      <c r="F146" s="5">
        <v>7271331</v>
      </c>
      <c r="G146" s="1" t="s">
        <v>392</v>
      </c>
      <c r="H146" s="1" t="s">
        <v>393</v>
      </c>
      <c r="I146" s="6">
        <v>43889.434461527781</v>
      </c>
      <c r="J146" s="1">
        <f>33593853309</f>
        <v>33593853309</v>
      </c>
      <c r="K146" s="3">
        <v>324</v>
      </c>
      <c r="L146" s="5">
        <v>4854938</v>
      </c>
      <c r="M146" s="1" t="s">
        <v>394</v>
      </c>
      <c r="N146" s="3">
        <v>6443</v>
      </c>
      <c r="O146" s="3">
        <v>4</v>
      </c>
      <c r="P146" s="1" t="s">
        <v>39</v>
      </c>
      <c r="Q146" s="4" t="b">
        <v>0</v>
      </c>
      <c r="R146" s="4" t="b">
        <v>1</v>
      </c>
      <c r="S146" s="4" t="b">
        <v>0</v>
      </c>
      <c r="T146" s="3" t="s">
        <v>395</v>
      </c>
      <c r="U146" s="4" t="b">
        <v>0</v>
      </c>
      <c r="V146" s="7">
        <v>44652</v>
      </c>
      <c r="W146" s="8">
        <v>44891</v>
      </c>
    </row>
    <row r="147" spans="1:23" ht="14.4" x14ac:dyDescent="0.3">
      <c r="A147" s="3">
        <v>161430</v>
      </c>
      <c r="B147" s="4" t="b">
        <v>0</v>
      </c>
      <c r="C147" s="1" t="s">
        <v>337</v>
      </c>
      <c r="D147" s="1" t="s">
        <v>338</v>
      </c>
      <c r="E147" s="5">
        <v>4001386</v>
      </c>
      <c r="F147" s="5">
        <v>1815762</v>
      </c>
      <c r="G147" s="1" t="s">
        <v>339</v>
      </c>
      <c r="H147" s="1" t="s">
        <v>340</v>
      </c>
      <c r="I147" s="6">
        <v>43811.597939259256</v>
      </c>
      <c r="J147" s="1">
        <f>390833503998</f>
        <v>390833503998</v>
      </c>
      <c r="K147" s="3">
        <v>6</v>
      </c>
      <c r="L147" s="5">
        <v>5</v>
      </c>
      <c r="M147" s="1">
        <v>733</v>
      </c>
      <c r="N147" s="3">
        <v>829</v>
      </c>
      <c r="O147" s="3">
        <v>4</v>
      </c>
      <c r="P147" s="1" t="s">
        <v>33</v>
      </c>
      <c r="Q147" s="4" t="b">
        <v>0</v>
      </c>
      <c r="R147" s="4" t="b">
        <v>1</v>
      </c>
      <c r="S147" s="4" t="b">
        <v>0</v>
      </c>
      <c r="T147" s="3" t="s">
        <v>198</v>
      </c>
      <c r="U147" s="4" t="b">
        <v>0</v>
      </c>
      <c r="V147" s="7">
        <v>44817</v>
      </c>
      <c r="W147" s="7">
        <v>44858</v>
      </c>
    </row>
    <row r="148" spans="1:23" ht="14.4" x14ac:dyDescent="0.3">
      <c r="A148" s="3">
        <v>165074</v>
      </c>
      <c r="B148" s="4" t="b">
        <v>1</v>
      </c>
      <c r="C148" s="1" t="s">
        <v>346</v>
      </c>
      <c r="D148" s="1" t="s">
        <v>347</v>
      </c>
      <c r="E148" s="5">
        <v>442268</v>
      </c>
      <c r="F148" s="5">
        <v>8417544</v>
      </c>
      <c r="G148" s="1" t="s">
        <v>348</v>
      </c>
      <c r="H148" s="1" t="s">
        <v>349</v>
      </c>
      <c r="I148" s="6">
        <v>43819.642237430555</v>
      </c>
      <c r="J148" s="1">
        <f>39039355393</f>
        <v>39039355393</v>
      </c>
      <c r="K148" s="3">
        <v>0</v>
      </c>
      <c r="L148" s="5">
        <v>0</v>
      </c>
      <c r="M148" s="1">
        <v>337633377</v>
      </c>
      <c r="N148" s="3">
        <v>52</v>
      </c>
      <c r="O148" s="3">
        <v>6</v>
      </c>
      <c r="P148" s="1" t="s">
        <v>28</v>
      </c>
      <c r="Q148" s="4" t="b">
        <v>0</v>
      </c>
      <c r="R148" s="4" t="b">
        <v>0</v>
      </c>
      <c r="S148" s="4" t="b">
        <v>0</v>
      </c>
      <c r="T148" s="3">
        <v>0</v>
      </c>
      <c r="U148" s="4" t="b">
        <v>0</v>
      </c>
      <c r="V148" s="7">
        <v>44718</v>
      </c>
      <c r="W148" s="7">
        <v>44590</v>
      </c>
    </row>
    <row r="149" spans="1:23" ht="14.4" x14ac:dyDescent="0.3">
      <c r="A149" s="3">
        <v>306507</v>
      </c>
      <c r="B149" s="4" t="b">
        <v>1</v>
      </c>
      <c r="C149" s="1" t="s">
        <v>187</v>
      </c>
      <c r="D149" s="1" t="s">
        <v>188</v>
      </c>
      <c r="E149" s="5">
        <v>4336049</v>
      </c>
      <c r="F149" s="5">
        <v>-842322</v>
      </c>
      <c r="G149" s="1" t="s">
        <v>189</v>
      </c>
      <c r="H149" s="1" t="s">
        <v>190</v>
      </c>
      <c r="I149" s="6">
        <v>43044.360289583332</v>
      </c>
      <c r="J149" s="1">
        <f>35883998539</f>
        <v>35883998539</v>
      </c>
      <c r="K149" s="3">
        <v>1</v>
      </c>
      <c r="L149" s="5">
        <v>5</v>
      </c>
      <c r="M149" s="1" t="s">
        <v>191</v>
      </c>
      <c r="N149" s="3">
        <v>17</v>
      </c>
      <c r="O149" s="3">
        <v>5</v>
      </c>
      <c r="P149" s="1" t="s">
        <v>28</v>
      </c>
      <c r="Q149" s="4" t="b">
        <v>0</v>
      </c>
      <c r="R149" s="4" t="b">
        <v>1</v>
      </c>
      <c r="S149" s="4" t="b">
        <v>0</v>
      </c>
      <c r="T149" s="3" t="s">
        <v>192</v>
      </c>
      <c r="U149" s="4" t="b">
        <v>0</v>
      </c>
      <c r="V149" s="8">
        <v>44894</v>
      </c>
      <c r="W149" s="8">
        <v>44884</v>
      </c>
    </row>
    <row r="150" spans="1:23" ht="14.4" x14ac:dyDescent="0.3">
      <c r="A150" s="3">
        <v>430450</v>
      </c>
      <c r="B150" s="4" t="b">
        <v>1</v>
      </c>
      <c r="C150" s="1" t="s">
        <v>175</v>
      </c>
      <c r="D150" s="1" t="s">
        <v>176</v>
      </c>
      <c r="E150" s="5">
        <v>4483153</v>
      </c>
      <c r="F150" s="5">
        <v>1162167</v>
      </c>
      <c r="G150" s="1" t="s">
        <v>177</v>
      </c>
      <c r="H150" s="1" t="s">
        <v>178</v>
      </c>
      <c r="I150" s="6">
        <v>43042.503839583333</v>
      </c>
      <c r="J150" s="1">
        <f>393995393558</f>
        <v>393995393558</v>
      </c>
      <c r="K150" s="3">
        <v>45</v>
      </c>
      <c r="L150" s="5" t="s">
        <v>112</v>
      </c>
      <c r="M150" s="1">
        <v>7333736</v>
      </c>
      <c r="N150" s="3">
        <v>2333</v>
      </c>
      <c r="O150" s="3">
        <v>5</v>
      </c>
      <c r="P150" s="1" t="s">
        <v>28</v>
      </c>
      <c r="Q150" s="4" t="b">
        <v>0</v>
      </c>
      <c r="R150" s="4" t="b">
        <v>1</v>
      </c>
      <c r="S150" s="4" t="b">
        <v>0</v>
      </c>
      <c r="T150" s="3" t="s">
        <v>179</v>
      </c>
      <c r="U150" s="4" t="b">
        <v>0</v>
      </c>
      <c r="V150" s="7">
        <v>44894</v>
      </c>
      <c r="W150" s="7">
        <v>44875</v>
      </c>
    </row>
    <row r="151" spans="1:23" ht="14.4" x14ac:dyDescent="0.3">
      <c r="A151" s="3">
        <v>500141</v>
      </c>
      <c r="B151" s="4" t="b">
        <v>1</v>
      </c>
      <c r="C151" s="1" t="s">
        <v>1125</v>
      </c>
      <c r="D151" s="1" t="s">
        <v>1126</v>
      </c>
      <c r="E151" s="5">
        <v>4545667</v>
      </c>
      <c r="F151" s="5">
        <v>9169827</v>
      </c>
      <c r="G151" s="1" t="s">
        <v>37</v>
      </c>
      <c r="H151" s="1" t="s">
        <v>1127</v>
      </c>
      <c r="I151" s="6">
        <v>44596.339655312499</v>
      </c>
      <c r="J151" s="1">
        <f>39088383339</f>
        <v>39088383339</v>
      </c>
      <c r="K151" s="3">
        <v>62</v>
      </c>
      <c r="L151" s="5">
        <v>4919355</v>
      </c>
      <c r="M151" s="1">
        <v>77733763</v>
      </c>
      <c r="N151" s="3">
        <v>744</v>
      </c>
      <c r="O151" s="3">
        <v>6</v>
      </c>
      <c r="P151" s="1" t="s">
        <v>28</v>
      </c>
      <c r="Q151" s="4" t="b">
        <v>0</v>
      </c>
      <c r="R151" s="4" t="b">
        <v>0</v>
      </c>
      <c r="S151" s="4" t="b">
        <v>0</v>
      </c>
      <c r="T151" s="3" t="s">
        <v>380</v>
      </c>
      <c r="U151" s="4" t="b">
        <v>0</v>
      </c>
      <c r="V151" s="7">
        <v>44693</v>
      </c>
      <c r="W151" s="8">
        <v>44862</v>
      </c>
    </row>
    <row r="152" spans="1:23" ht="14.4" x14ac:dyDescent="0.3">
      <c r="A152" s="3">
        <v>500401</v>
      </c>
      <c r="B152" s="4" t="b">
        <v>1</v>
      </c>
      <c r="C152" s="1" t="s">
        <v>1149</v>
      </c>
      <c r="D152" s="1" t="s">
        <v>1150</v>
      </c>
      <c r="E152" s="5">
        <v>3690735</v>
      </c>
      <c r="F152" s="5">
        <v>1513753</v>
      </c>
      <c r="G152" s="1" t="s">
        <v>505</v>
      </c>
      <c r="H152" s="1" t="s">
        <v>1151</v>
      </c>
      <c r="I152" s="6">
        <v>44608.629065844907</v>
      </c>
      <c r="J152" s="1">
        <f>393533330939</f>
        <v>393533330939</v>
      </c>
      <c r="K152" s="3">
        <v>2</v>
      </c>
      <c r="L152" s="5">
        <v>5</v>
      </c>
      <c r="M152" s="1">
        <v>7333373</v>
      </c>
      <c r="N152" s="3">
        <v>147</v>
      </c>
      <c r="O152" s="3">
        <v>2</v>
      </c>
      <c r="P152" s="1" t="s">
        <v>28</v>
      </c>
      <c r="Q152" s="4" t="b">
        <v>0</v>
      </c>
      <c r="R152" s="4" t="b">
        <v>1</v>
      </c>
      <c r="S152" s="4" t="b">
        <v>0</v>
      </c>
      <c r="T152" s="3" t="s">
        <v>993</v>
      </c>
      <c r="U152" s="4" t="b">
        <v>0</v>
      </c>
      <c r="V152" s="7">
        <v>44762</v>
      </c>
      <c r="W152" s="7">
        <v>44646</v>
      </c>
    </row>
    <row r="153" spans="1:23" ht="14.4" x14ac:dyDescent="0.3">
      <c r="A153" s="3">
        <v>500430</v>
      </c>
      <c r="B153" s="4" t="b">
        <v>1</v>
      </c>
      <c r="C153" s="1" t="s">
        <v>438</v>
      </c>
      <c r="D153" s="1" t="s">
        <v>439</v>
      </c>
      <c r="E153" s="5">
        <v>3811029</v>
      </c>
      <c r="F153" s="5">
        <v>1564611</v>
      </c>
      <c r="G153" s="1" t="s">
        <v>269</v>
      </c>
      <c r="H153" s="1" t="s">
        <v>440</v>
      </c>
      <c r="I153" s="6">
        <v>43977.648974953707</v>
      </c>
      <c r="J153" s="1">
        <f>390995898558</f>
        <v>390995898558</v>
      </c>
      <c r="K153" s="3">
        <v>1179</v>
      </c>
      <c r="L153" s="5">
        <v>4865988</v>
      </c>
      <c r="M153" s="1">
        <v>736333337</v>
      </c>
      <c r="N153" s="3">
        <v>8270</v>
      </c>
      <c r="O153" s="3">
        <v>10</v>
      </c>
      <c r="P153" s="1" t="s">
        <v>33</v>
      </c>
      <c r="Q153" s="4" t="b">
        <v>0</v>
      </c>
      <c r="R153" s="4" t="b">
        <v>1</v>
      </c>
      <c r="S153" s="4" t="b">
        <v>0</v>
      </c>
      <c r="T153" s="3" t="s">
        <v>441</v>
      </c>
      <c r="U153" s="4" t="b">
        <v>0</v>
      </c>
      <c r="V153" s="7">
        <v>44903</v>
      </c>
      <c r="W153" s="7">
        <v>44903</v>
      </c>
    </row>
    <row r="154" spans="1:23" ht="14.4" x14ac:dyDescent="0.3">
      <c r="A154" s="3">
        <v>500444</v>
      </c>
      <c r="B154" s="4" t="b">
        <v>1</v>
      </c>
      <c r="C154" s="1" t="s">
        <v>1196</v>
      </c>
      <c r="D154" s="1" t="s">
        <v>1197</v>
      </c>
      <c r="E154" s="5">
        <v>404027</v>
      </c>
      <c r="F154" s="5">
        <v>17637</v>
      </c>
      <c r="G154" s="1" t="s">
        <v>1198</v>
      </c>
      <c r="H154" s="1" t="s">
        <v>1199</v>
      </c>
      <c r="I154" s="6">
        <v>44630.430172546294</v>
      </c>
      <c r="J154" s="1">
        <f>393338938389</f>
        <v>393338938389</v>
      </c>
      <c r="K154" s="3">
        <v>3</v>
      </c>
      <c r="L154" s="5">
        <v>5</v>
      </c>
      <c r="M154" s="1">
        <v>733773</v>
      </c>
      <c r="N154" s="3">
        <v>1444</v>
      </c>
      <c r="O154" s="3">
        <v>6</v>
      </c>
      <c r="P154" s="1" t="s">
        <v>28</v>
      </c>
      <c r="Q154" s="4" t="b">
        <v>0</v>
      </c>
      <c r="R154" s="4" t="b">
        <v>1</v>
      </c>
      <c r="S154" s="4" t="b">
        <v>0</v>
      </c>
      <c r="T154" s="3" t="s">
        <v>354</v>
      </c>
      <c r="U154" s="4" t="b">
        <v>0</v>
      </c>
      <c r="V154" s="8">
        <v>44876</v>
      </c>
      <c r="W154" s="7">
        <v>44833</v>
      </c>
    </row>
    <row r="155" spans="1:23" ht="14.4" x14ac:dyDescent="0.3">
      <c r="A155" s="3">
        <v>500447</v>
      </c>
      <c r="B155" s="4" t="b">
        <v>0</v>
      </c>
      <c r="C155" s="1" t="s">
        <v>1193</v>
      </c>
      <c r="D155" s="1" t="s">
        <v>1194</v>
      </c>
      <c r="E155" s="5">
        <v>4545658</v>
      </c>
      <c r="F155" s="5">
        <v>9187281</v>
      </c>
      <c r="G155" s="1" t="s">
        <v>37</v>
      </c>
      <c r="H155" s="1" t="s">
        <v>1195</v>
      </c>
      <c r="I155" s="6">
        <v>44630.428993969908</v>
      </c>
      <c r="J155" s="1">
        <f>393393389833</f>
        <v>393393389833</v>
      </c>
      <c r="K155" s="3">
        <v>0</v>
      </c>
      <c r="L155" s="5">
        <v>0</v>
      </c>
      <c r="M155" s="1">
        <v>773763</v>
      </c>
      <c r="N155" s="3">
        <v>267</v>
      </c>
      <c r="O155" s="3">
        <v>1</v>
      </c>
      <c r="P155" s="1" t="s">
        <v>33</v>
      </c>
      <c r="Q155" s="4" t="b">
        <v>0</v>
      </c>
      <c r="R155" s="4" t="b">
        <v>0</v>
      </c>
      <c r="S155" s="4" t="b">
        <v>0</v>
      </c>
      <c r="T155" s="3">
        <v>0</v>
      </c>
      <c r="U155" s="4" t="b">
        <v>0</v>
      </c>
      <c r="V155" s="7">
        <v>44809</v>
      </c>
      <c r="W155" s="7">
        <v>44840</v>
      </c>
    </row>
    <row r="156" spans="1:23" ht="14.4" x14ac:dyDescent="0.3">
      <c r="A156" s="3">
        <v>500450</v>
      </c>
      <c r="B156" s="4" t="b">
        <v>1</v>
      </c>
      <c r="C156" s="1" t="s">
        <v>166</v>
      </c>
      <c r="D156" s="1" t="s">
        <v>167</v>
      </c>
      <c r="E156" s="5">
        <v>44478</v>
      </c>
      <c r="F156" s="5">
        <v>1127737</v>
      </c>
      <c r="G156" s="1" t="s">
        <v>168</v>
      </c>
      <c r="H156" s="1" t="s">
        <v>169</v>
      </c>
      <c r="I156" s="6">
        <v>42914.588075497682</v>
      </c>
      <c r="J156" s="1">
        <f>390539338988</f>
        <v>390539338988</v>
      </c>
      <c r="K156" s="3">
        <v>250</v>
      </c>
      <c r="L156" s="5" t="s">
        <v>112</v>
      </c>
      <c r="M156" s="1">
        <v>73373337</v>
      </c>
      <c r="N156" s="3">
        <v>1073</v>
      </c>
      <c r="O156" s="3">
        <v>4</v>
      </c>
      <c r="P156" s="1" t="s">
        <v>28</v>
      </c>
      <c r="Q156" s="4" t="b">
        <v>0</v>
      </c>
      <c r="R156" s="4" t="b">
        <v>0</v>
      </c>
      <c r="S156" s="4" t="b">
        <v>1</v>
      </c>
      <c r="T156" s="3" t="s">
        <v>170</v>
      </c>
      <c r="U156" s="4" t="b">
        <v>0</v>
      </c>
      <c r="V156" s="7">
        <v>44903</v>
      </c>
      <c r="W156" s="7">
        <v>44903</v>
      </c>
    </row>
    <row r="157" spans="1:23" ht="14.4" x14ac:dyDescent="0.3">
      <c r="A157" s="3">
        <v>500457</v>
      </c>
      <c r="B157" s="4" t="b">
        <v>1</v>
      </c>
      <c r="C157" s="1" t="s">
        <v>1160</v>
      </c>
      <c r="D157" s="1" t="s">
        <v>1161</v>
      </c>
      <c r="E157" s="5">
        <v>460516</v>
      </c>
      <c r="F157" s="5">
        <v>1112188</v>
      </c>
      <c r="G157" s="1" t="s">
        <v>81</v>
      </c>
      <c r="H157" s="1" t="s">
        <v>1162</v>
      </c>
      <c r="I157" s="6">
        <v>44613.545974050925</v>
      </c>
      <c r="J157" s="1">
        <f>393999033985</f>
        <v>393999033985</v>
      </c>
      <c r="K157" s="3">
        <v>12</v>
      </c>
      <c r="L157" s="5">
        <v>5</v>
      </c>
      <c r="M157" s="1">
        <v>737363333</v>
      </c>
      <c r="N157" s="3">
        <v>617</v>
      </c>
      <c r="O157" s="3">
        <v>4</v>
      </c>
      <c r="P157" s="1" t="s">
        <v>33</v>
      </c>
      <c r="Q157" s="4" t="b">
        <v>0</v>
      </c>
      <c r="R157" s="4" t="b">
        <v>1</v>
      </c>
      <c r="S157" s="4" t="b">
        <v>0</v>
      </c>
      <c r="T157" s="3" t="s">
        <v>998</v>
      </c>
      <c r="U157" s="4" t="b">
        <v>0</v>
      </c>
      <c r="V157" s="8">
        <v>44846</v>
      </c>
      <c r="W157" s="7">
        <v>44686</v>
      </c>
    </row>
    <row r="158" spans="1:23" ht="14.4" x14ac:dyDescent="0.3">
      <c r="A158" s="3">
        <v>500510</v>
      </c>
      <c r="B158" s="4" t="b">
        <v>1</v>
      </c>
      <c r="C158" s="1" t="s">
        <v>1128</v>
      </c>
      <c r="D158" s="1" t="s">
        <v>1129</v>
      </c>
      <c r="E158" s="5">
        <v>4038098</v>
      </c>
      <c r="F158" s="5">
        <v>-366301</v>
      </c>
      <c r="G158" s="1" t="s">
        <v>195</v>
      </c>
      <c r="H158" s="1" t="s">
        <v>1130</v>
      </c>
      <c r="I158" s="6">
        <v>44601.482862164354</v>
      </c>
      <c r="J158" s="1">
        <f>35959383339</f>
        <v>35959383339</v>
      </c>
      <c r="K158" s="3">
        <v>10</v>
      </c>
      <c r="L158" s="5" t="s">
        <v>124</v>
      </c>
      <c r="M158" s="1" t="s">
        <v>1131</v>
      </c>
      <c r="N158" s="3">
        <v>92</v>
      </c>
      <c r="O158" s="3">
        <v>1</v>
      </c>
      <c r="P158" s="1" t="s">
        <v>28</v>
      </c>
      <c r="Q158" s="4" t="b">
        <v>0</v>
      </c>
      <c r="R158" s="4" t="b">
        <v>1</v>
      </c>
      <c r="S158" s="4" t="b">
        <v>0</v>
      </c>
      <c r="T158" s="3" t="s">
        <v>1132</v>
      </c>
      <c r="U158" s="4" t="b">
        <v>0</v>
      </c>
      <c r="V158" s="7">
        <v>44735</v>
      </c>
      <c r="W158" s="8">
        <v>44860</v>
      </c>
    </row>
    <row r="159" spans="1:23" ht="14.4" x14ac:dyDescent="0.3">
      <c r="A159" s="3">
        <v>500515</v>
      </c>
      <c r="B159" s="4" t="b">
        <v>1</v>
      </c>
      <c r="C159" s="1" t="s">
        <v>1133</v>
      </c>
      <c r="D159" s="1" t="s">
        <v>1134</v>
      </c>
      <c r="E159" s="5">
        <v>3809577</v>
      </c>
      <c r="F159" s="5">
        <v>-116602</v>
      </c>
      <c r="G159" s="1" t="s">
        <v>1135</v>
      </c>
      <c r="H159" s="1" t="s">
        <v>1136</v>
      </c>
      <c r="I159" s="6">
        <v>44601.50738383102</v>
      </c>
      <c r="J159" s="1">
        <f>35988388550</f>
        <v>35988388550</v>
      </c>
      <c r="K159" s="3">
        <v>8</v>
      </c>
      <c r="L159" s="5">
        <v>5</v>
      </c>
      <c r="M159" s="1" t="s">
        <v>1137</v>
      </c>
      <c r="N159" s="3">
        <v>3958</v>
      </c>
      <c r="O159" s="3">
        <v>2</v>
      </c>
      <c r="P159" s="1" t="s">
        <v>39</v>
      </c>
      <c r="Q159" s="4" t="b">
        <v>0</v>
      </c>
      <c r="R159" s="4" t="b">
        <v>1</v>
      </c>
      <c r="S159" s="4" t="b">
        <v>0</v>
      </c>
      <c r="T159" s="3" t="s">
        <v>213</v>
      </c>
      <c r="U159" s="4" t="b">
        <v>0</v>
      </c>
      <c r="V159" s="7">
        <v>44636</v>
      </c>
      <c r="W159" s="7">
        <v>44699</v>
      </c>
    </row>
    <row r="160" spans="1:23" ht="14.4" x14ac:dyDescent="0.3">
      <c r="A160" s="3">
        <v>500547</v>
      </c>
      <c r="B160" s="4" t="b">
        <v>1</v>
      </c>
      <c r="C160" s="1" t="s">
        <v>1208</v>
      </c>
      <c r="D160" s="1" t="s">
        <v>1209</v>
      </c>
      <c r="E160" s="5">
        <v>4094934</v>
      </c>
      <c r="F160" s="5">
        <v>-562901</v>
      </c>
      <c r="G160" s="1" t="s">
        <v>1210</v>
      </c>
      <c r="H160" s="1" t="s">
        <v>1211</v>
      </c>
      <c r="I160" s="6">
        <v>44634.477246249997</v>
      </c>
      <c r="J160" s="1">
        <f>35983000393</f>
        <v>35983000393</v>
      </c>
      <c r="K160" s="3">
        <v>3</v>
      </c>
      <c r="L160" s="5">
        <v>5</v>
      </c>
      <c r="M160" s="1" t="s">
        <v>1212</v>
      </c>
      <c r="N160" s="3">
        <v>528</v>
      </c>
      <c r="O160" s="3">
        <v>2</v>
      </c>
      <c r="P160" s="1" t="s">
        <v>39</v>
      </c>
      <c r="Q160" s="4" t="b">
        <v>0</v>
      </c>
      <c r="R160" s="4" t="b">
        <v>1</v>
      </c>
      <c r="S160" s="4" t="b">
        <v>0</v>
      </c>
      <c r="T160" s="3" t="s">
        <v>354</v>
      </c>
      <c r="U160" s="4" t="b">
        <v>0</v>
      </c>
      <c r="V160" s="8">
        <v>44854</v>
      </c>
      <c r="W160" s="8">
        <v>44856</v>
      </c>
    </row>
    <row r="161" spans="1:23" ht="14.4" x14ac:dyDescent="0.3">
      <c r="A161" s="3">
        <v>500554</v>
      </c>
      <c r="B161" s="4" t="b">
        <v>0</v>
      </c>
      <c r="C161" s="1" t="s">
        <v>1200</v>
      </c>
      <c r="D161" s="1" t="s">
        <v>1201</v>
      </c>
      <c r="E161" s="5">
        <v>3718782</v>
      </c>
      <c r="F161" s="5">
        <v>-57863</v>
      </c>
      <c r="G161" s="1" t="s">
        <v>1202</v>
      </c>
      <c r="H161" s="1" t="s">
        <v>1203</v>
      </c>
      <c r="I161" s="6">
        <v>44631.590566388892</v>
      </c>
      <c r="J161" s="1">
        <f>35955593399</f>
        <v>35955593399</v>
      </c>
      <c r="K161" s="3">
        <v>13</v>
      </c>
      <c r="L161" s="5">
        <v>5</v>
      </c>
      <c r="M161" s="1" t="s">
        <v>1204</v>
      </c>
      <c r="N161" s="3">
        <v>673</v>
      </c>
      <c r="O161" s="3">
        <v>3</v>
      </c>
      <c r="P161" s="1" t="s">
        <v>39</v>
      </c>
      <c r="Q161" s="4" t="b">
        <v>0</v>
      </c>
      <c r="R161" s="4" t="b">
        <v>1</v>
      </c>
      <c r="S161" s="4" t="b">
        <v>0</v>
      </c>
      <c r="T161" s="3" t="s">
        <v>998</v>
      </c>
      <c r="U161" s="4" t="b">
        <v>0</v>
      </c>
      <c r="V161" s="8">
        <v>44888</v>
      </c>
      <c r="W161" s="7">
        <v>44826</v>
      </c>
    </row>
    <row r="162" spans="1:23" ht="14.4" x14ac:dyDescent="0.3">
      <c r="A162" s="3">
        <v>500571</v>
      </c>
      <c r="B162" s="4" t="b">
        <v>1</v>
      </c>
      <c r="C162" s="1" t="s">
        <v>1138</v>
      </c>
      <c r="D162" s="1" t="s">
        <v>1139</v>
      </c>
      <c r="E162" s="5">
        <v>4036874</v>
      </c>
      <c r="F162" s="5">
        <v>-3485</v>
      </c>
      <c r="G162" s="1" t="s">
        <v>1140</v>
      </c>
      <c r="H162" s="1" t="s">
        <v>1141</v>
      </c>
      <c r="I162" s="6">
        <v>44603.431399652778</v>
      </c>
      <c r="J162" s="1">
        <f>35989933935</f>
        <v>35989933935</v>
      </c>
      <c r="K162" s="3">
        <v>16</v>
      </c>
      <c r="L162" s="5">
        <v>5</v>
      </c>
      <c r="M162" s="1" t="s">
        <v>1142</v>
      </c>
      <c r="N162" s="3">
        <v>1447</v>
      </c>
      <c r="O162" s="3">
        <v>6</v>
      </c>
      <c r="P162" s="1" t="s">
        <v>33</v>
      </c>
      <c r="Q162" s="4" t="b">
        <v>0</v>
      </c>
      <c r="R162" s="4" t="b">
        <v>1</v>
      </c>
      <c r="S162" s="4" t="b">
        <v>0</v>
      </c>
      <c r="T162" s="3" t="s">
        <v>1036</v>
      </c>
      <c r="U162" s="4" t="b">
        <v>0</v>
      </c>
      <c r="V162" s="8">
        <v>44819</v>
      </c>
      <c r="W162" s="7">
        <v>44698</v>
      </c>
    </row>
    <row r="163" spans="1:23" ht="14.4" x14ac:dyDescent="0.3">
      <c r="A163" s="3">
        <v>500646</v>
      </c>
      <c r="B163" s="4" t="b">
        <v>1</v>
      </c>
      <c r="C163" s="1" t="s">
        <v>1178</v>
      </c>
      <c r="D163" s="1" t="s">
        <v>1179</v>
      </c>
      <c r="E163" s="5">
        <v>454773</v>
      </c>
      <c r="F163" s="5">
        <v>9203002</v>
      </c>
      <c r="G163" s="1" t="s">
        <v>37</v>
      </c>
      <c r="H163" s="1" t="s">
        <v>1180</v>
      </c>
      <c r="I163" s="6">
        <v>44621.376322870368</v>
      </c>
      <c r="J163" s="1">
        <f>390839985355</f>
        <v>390839985355</v>
      </c>
      <c r="K163" s="3">
        <v>1</v>
      </c>
      <c r="L163" s="5">
        <v>5</v>
      </c>
      <c r="M163" s="1">
        <v>767</v>
      </c>
      <c r="N163" s="3">
        <v>243</v>
      </c>
      <c r="O163" s="3">
        <v>1</v>
      </c>
      <c r="P163" s="1" t="s">
        <v>33</v>
      </c>
      <c r="Q163" s="4" t="b">
        <v>0</v>
      </c>
      <c r="R163" s="4" t="b">
        <v>1</v>
      </c>
      <c r="S163" s="4" t="b">
        <v>0</v>
      </c>
      <c r="T163" s="3" t="s">
        <v>192</v>
      </c>
      <c r="U163" s="4" t="b">
        <v>0</v>
      </c>
      <c r="V163" s="7">
        <v>44824</v>
      </c>
      <c r="W163" s="8">
        <v>44845</v>
      </c>
    </row>
    <row r="164" spans="1:23" ht="14.4" x14ac:dyDescent="0.3">
      <c r="A164" s="3">
        <v>500655</v>
      </c>
      <c r="B164" s="4" t="b">
        <v>1</v>
      </c>
      <c r="C164" s="1" t="s">
        <v>1181</v>
      </c>
      <c r="D164" s="1" t="s">
        <v>1182</v>
      </c>
      <c r="E164" s="5">
        <v>3793667</v>
      </c>
      <c r="F164" s="5">
        <v>2292424</v>
      </c>
      <c r="G164" s="1" t="s">
        <v>1183</v>
      </c>
      <c r="H164" s="1" t="s">
        <v>1184</v>
      </c>
      <c r="I164" s="6">
        <v>44621.430007592593</v>
      </c>
      <c r="J164" s="1">
        <f>308353305998</f>
        <v>308353305998</v>
      </c>
      <c r="K164" s="3">
        <v>4</v>
      </c>
      <c r="L164" s="5">
        <v>5</v>
      </c>
      <c r="M164" s="1">
        <v>33733663</v>
      </c>
      <c r="N164" s="3">
        <v>691</v>
      </c>
      <c r="O164" s="3">
        <v>5</v>
      </c>
      <c r="P164" s="1" t="s">
        <v>28</v>
      </c>
      <c r="Q164" s="4" t="b">
        <v>0</v>
      </c>
      <c r="R164" s="4" t="b">
        <v>1</v>
      </c>
      <c r="S164" s="4" t="b">
        <v>0</v>
      </c>
      <c r="T164" s="3" t="s">
        <v>611</v>
      </c>
      <c r="U164" s="4" t="b">
        <v>0</v>
      </c>
      <c r="V164" s="8">
        <v>44882</v>
      </c>
      <c r="W164" s="8">
        <v>44853</v>
      </c>
    </row>
    <row r="165" spans="1:23" ht="14.4" x14ac:dyDescent="0.3">
      <c r="A165" s="3">
        <v>500667</v>
      </c>
      <c r="B165" s="4" t="b">
        <v>1</v>
      </c>
      <c r="C165" s="1" t="s">
        <v>1174</v>
      </c>
      <c r="D165" s="1" t="s">
        <v>1175</v>
      </c>
      <c r="E165" s="5">
        <v>4476163</v>
      </c>
      <c r="F165" s="5">
        <v>1077453</v>
      </c>
      <c r="G165" s="1" t="s">
        <v>1176</v>
      </c>
      <c r="H165" s="1" t="s">
        <v>1177</v>
      </c>
      <c r="I165" s="6">
        <v>44620.626280937497</v>
      </c>
      <c r="J165" s="1">
        <f>393985853383</f>
        <v>393985853383</v>
      </c>
      <c r="K165" s="3">
        <v>0</v>
      </c>
      <c r="L165" s="5">
        <v>0</v>
      </c>
      <c r="M165" s="1">
        <v>773733</v>
      </c>
      <c r="N165" s="3">
        <v>153</v>
      </c>
      <c r="O165" s="3">
        <v>4</v>
      </c>
      <c r="P165" s="1" t="s">
        <v>28</v>
      </c>
      <c r="Q165" s="4" t="b">
        <v>0</v>
      </c>
      <c r="R165" s="4" t="b">
        <v>1</v>
      </c>
      <c r="S165" s="4" t="b">
        <v>0</v>
      </c>
      <c r="T165" s="3">
        <v>0</v>
      </c>
      <c r="U165" s="4" t="b">
        <v>0</v>
      </c>
      <c r="V165" s="7">
        <v>44811</v>
      </c>
      <c r="W165" s="7">
        <v>44778</v>
      </c>
    </row>
    <row r="166" spans="1:23" ht="14.4" x14ac:dyDescent="0.3">
      <c r="A166" s="3">
        <v>501004</v>
      </c>
      <c r="B166" s="4" t="b">
        <v>1</v>
      </c>
      <c r="C166" s="1" t="s">
        <v>1218</v>
      </c>
      <c r="D166" s="1" t="s">
        <v>1219</v>
      </c>
      <c r="E166" s="5">
        <v>386776</v>
      </c>
      <c r="F166" s="5">
        <v>-91616</v>
      </c>
      <c r="G166" s="1" t="s">
        <v>1220</v>
      </c>
      <c r="H166" s="1" t="s">
        <v>1221</v>
      </c>
      <c r="I166" s="6">
        <v>44636.575173969904</v>
      </c>
      <c r="J166" s="1">
        <f>353833935533</f>
        <v>353833935533</v>
      </c>
      <c r="K166" s="3">
        <v>34</v>
      </c>
      <c r="L166" s="5">
        <v>5</v>
      </c>
      <c r="M166" s="1">
        <v>3373333</v>
      </c>
      <c r="N166" s="3">
        <v>526</v>
      </c>
      <c r="O166" s="3">
        <v>6</v>
      </c>
      <c r="P166" s="1" t="s">
        <v>28</v>
      </c>
      <c r="Q166" s="4" t="b">
        <v>0</v>
      </c>
      <c r="R166" s="4" t="b">
        <v>1</v>
      </c>
      <c r="S166" s="4" t="b">
        <v>0</v>
      </c>
      <c r="T166" s="3" t="s">
        <v>516</v>
      </c>
      <c r="U166" s="4" t="b">
        <v>0</v>
      </c>
      <c r="V166" s="7">
        <v>44871</v>
      </c>
      <c r="W166" s="7">
        <v>44867</v>
      </c>
    </row>
    <row r="167" spans="1:23" ht="14.4" x14ac:dyDescent="0.3">
      <c r="A167" s="3">
        <v>501160</v>
      </c>
      <c r="B167" s="4" t="b">
        <v>1</v>
      </c>
      <c r="C167" s="1" t="s">
        <v>1238</v>
      </c>
      <c r="D167" s="1" t="s">
        <v>1239</v>
      </c>
      <c r="E167" s="5">
        <v>4183753</v>
      </c>
      <c r="F167" s="5">
        <v>1288039</v>
      </c>
      <c r="G167" s="1" t="s">
        <v>1240</v>
      </c>
      <c r="H167" s="1" t="s">
        <v>1241</v>
      </c>
      <c r="I167" s="6">
        <v>44643.445429687497</v>
      </c>
      <c r="J167" s="1">
        <f>390983300953</f>
        <v>390983300953</v>
      </c>
      <c r="K167" s="3">
        <v>1</v>
      </c>
      <c r="L167" s="5">
        <v>5</v>
      </c>
      <c r="M167" s="1">
        <v>6633773337</v>
      </c>
      <c r="N167" s="3">
        <v>573</v>
      </c>
      <c r="O167" s="3">
        <v>8</v>
      </c>
      <c r="P167" s="1" t="s">
        <v>33</v>
      </c>
      <c r="Q167" s="4" t="b">
        <v>0</v>
      </c>
      <c r="R167" s="4" t="b">
        <v>0</v>
      </c>
      <c r="S167" s="4" t="b">
        <v>0</v>
      </c>
      <c r="T167" s="3" t="s">
        <v>323</v>
      </c>
      <c r="U167" s="4" t="b">
        <v>0</v>
      </c>
      <c r="V167" s="8">
        <v>44859</v>
      </c>
      <c r="W167" s="7">
        <v>44821</v>
      </c>
    </row>
    <row r="168" spans="1:23" ht="14.4" x14ac:dyDescent="0.3">
      <c r="A168" s="3">
        <v>501416</v>
      </c>
      <c r="B168" s="4" t="b">
        <v>1</v>
      </c>
      <c r="C168" s="1" t="s">
        <v>1256</v>
      </c>
      <c r="D168" s="1" t="s">
        <v>1257</v>
      </c>
      <c r="E168" s="5">
        <v>3922945</v>
      </c>
      <c r="F168" s="5">
        <v>9122144</v>
      </c>
      <c r="G168" s="1" t="s">
        <v>895</v>
      </c>
      <c r="H168" s="1" t="s">
        <v>1258</v>
      </c>
      <c r="I168" s="6">
        <v>44652.668494305559</v>
      </c>
      <c r="J168" s="1">
        <f>393995395953</f>
        <v>393995395953</v>
      </c>
      <c r="K168" s="3">
        <v>15</v>
      </c>
      <c r="L168" s="5">
        <v>5</v>
      </c>
      <c r="M168" s="1">
        <v>7633333737</v>
      </c>
      <c r="N168" s="3">
        <v>378</v>
      </c>
      <c r="O168" s="3">
        <v>3</v>
      </c>
      <c r="P168" s="1" t="s">
        <v>33</v>
      </c>
      <c r="Q168" s="4" t="b">
        <v>0</v>
      </c>
      <c r="R168" s="4" t="b">
        <v>1</v>
      </c>
      <c r="S168" s="4" t="b">
        <v>1</v>
      </c>
      <c r="T168" s="3" t="s">
        <v>302</v>
      </c>
      <c r="U168" s="4" t="b">
        <v>0</v>
      </c>
      <c r="V168" s="7">
        <v>44826</v>
      </c>
      <c r="W168" s="8">
        <v>44863</v>
      </c>
    </row>
    <row r="169" spans="1:23" ht="14.4" x14ac:dyDescent="0.3">
      <c r="A169" s="3">
        <v>501447</v>
      </c>
      <c r="B169" s="4" t="b">
        <v>1</v>
      </c>
      <c r="C169" s="1" t="s">
        <v>1264</v>
      </c>
      <c r="D169" s="1" t="s">
        <v>1265</v>
      </c>
      <c r="E169" s="5">
        <v>2839735</v>
      </c>
      <c r="F169" s="5">
        <v>-165537</v>
      </c>
      <c r="G169" s="1" t="s">
        <v>1266</v>
      </c>
      <c r="H169" s="1" t="s">
        <v>1267</v>
      </c>
      <c r="I169" s="6">
        <v>44656.317566597223</v>
      </c>
      <c r="J169" s="1">
        <f>35988385899</f>
        <v>35988385899</v>
      </c>
      <c r="K169" s="3">
        <v>33</v>
      </c>
      <c r="L169" s="5">
        <v>4969697</v>
      </c>
      <c r="M169" s="1" t="s">
        <v>1268</v>
      </c>
      <c r="N169" s="3">
        <v>327</v>
      </c>
      <c r="O169" s="3">
        <v>2</v>
      </c>
      <c r="P169" s="1" t="s">
        <v>33</v>
      </c>
      <c r="Q169" s="4" t="b">
        <v>0</v>
      </c>
      <c r="R169" s="4" t="b">
        <v>1</v>
      </c>
      <c r="S169" s="4" t="b">
        <v>0</v>
      </c>
      <c r="T169" s="3" t="s">
        <v>271</v>
      </c>
      <c r="U169" s="4" t="b">
        <v>0</v>
      </c>
      <c r="V169" s="7">
        <v>44900</v>
      </c>
      <c r="W169" s="7">
        <v>44812</v>
      </c>
    </row>
    <row r="170" spans="1:23" ht="14.4" x14ac:dyDescent="0.3">
      <c r="A170" s="3">
        <v>501464</v>
      </c>
      <c r="B170" s="4" t="b">
        <v>1</v>
      </c>
      <c r="C170" s="1" t="s">
        <v>1303</v>
      </c>
      <c r="D170" s="1" t="s">
        <v>1304</v>
      </c>
      <c r="E170" s="5">
        <v>4191116</v>
      </c>
      <c r="F170" s="5">
        <v>1253778</v>
      </c>
      <c r="G170" s="1" t="s">
        <v>25</v>
      </c>
      <c r="H170" s="1" t="s">
        <v>1305</v>
      </c>
      <c r="I170" s="6">
        <v>44670.358524201387</v>
      </c>
      <c r="J170" s="1">
        <f>393535338339</f>
        <v>393535338339</v>
      </c>
      <c r="K170" s="3">
        <v>20</v>
      </c>
      <c r="L170" s="5" t="s">
        <v>124</v>
      </c>
      <c r="M170" s="1">
        <v>3333333333</v>
      </c>
      <c r="N170" s="3">
        <v>254</v>
      </c>
      <c r="O170" s="3">
        <v>1</v>
      </c>
      <c r="P170" s="1" t="s">
        <v>39</v>
      </c>
      <c r="Q170" s="4" t="b">
        <v>0</v>
      </c>
      <c r="R170" s="4" t="b">
        <v>1</v>
      </c>
      <c r="S170" s="4" t="b">
        <v>1</v>
      </c>
      <c r="T170" s="3" t="s">
        <v>1306</v>
      </c>
      <c r="U170" s="4" t="b">
        <v>0</v>
      </c>
      <c r="V170" s="7">
        <v>44812</v>
      </c>
      <c r="W170" s="8">
        <v>44893</v>
      </c>
    </row>
    <row r="171" spans="1:23" ht="14.4" x14ac:dyDescent="0.3">
      <c r="A171" s="3">
        <v>501545</v>
      </c>
      <c r="B171" s="4" t="b">
        <v>0</v>
      </c>
      <c r="C171" s="1" t="s">
        <v>1242</v>
      </c>
      <c r="D171" s="1" t="s">
        <v>1243</v>
      </c>
      <c r="E171" s="5">
        <v>3998434</v>
      </c>
      <c r="F171" s="5">
        <v>-3245</v>
      </c>
      <c r="G171" s="1" t="s">
        <v>1244</v>
      </c>
      <c r="H171" s="1" t="s">
        <v>1245</v>
      </c>
      <c r="I171" s="6">
        <v>44645.645063136573</v>
      </c>
      <c r="J171" s="1">
        <f>35995388539</f>
        <v>35995388539</v>
      </c>
      <c r="K171" s="3">
        <v>15</v>
      </c>
      <c r="L171" s="5">
        <v>4916667</v>
      </c>
      <c r="M171" s="1" t="s">
        <v>1246</v>
      </c>
      <c r="N171" s="3">
        <v>833</v>
      </c>
      <c r="O171" s="3">
        <v>5</v>
      </c>
      <c r="P171" s="1" t="s">
        <v>39</v>
      </c>
      <c r="Q171" s="4" t="b">
        <v>0</v>
      </c>
      <c r="R171" s="4" t="b">
        <v>1</v>
      </c>
      <c r="S171" s="4" t="b">
        <v>0</v>
      </c>
      <c r="T171" s="3" t="s">
        <v>1247</v>
      </c>
      <c r="U171" s="4" t="b">
        <v>0</v>
      </c>
      <c r="V171" s="8">
        <v>44862</v>
      </c>
      <c r="W171" s="8">
        <v>44888</v>
      </c>
    </row>
    <row r="172" spans="1:23" ht="14.4" x14ac:dyDescent="0.3">
      <c r="A172" s="3">
        <v>501547</v>
      </c>
      <c r="B172" s="4" t="b">
        <v>1</v>
      </c>
      <c r="C172" s="1" t="s">
        <v>1248</v>
      </c>
      <c r="D172" s="1" t="s">
        <v>1249</v>
      </c>
      <c r="E172" s="5">
        <v>4544541</v>
      </c>
      <c r="F172" s="5">
        <v>1183418</v>
      </c>
      <c r="G172" s="1" t="s">
        <v>465</v>
      </c>
      <c r="H172" s="1" t="s">
        <v>1250</v>
      </c>
      <c r="I172" s="6">
        <v>44649.286571979166</v>
      </c>
      <c r="J172" s="1">
        <f>393595080598</f>
        <v>393595080598</v>
      </c>
      <c r="K172" s="3">
        <v>11</v>
      </c>
      <c r="L172" s="5">
        <v>5</v>
      </c>
      <c r="M172" s="1">
        <v>3337363337</v>
      </c>
      <c r="N172" s="3">
        <v>385</v>
      </c>
      <c r="O172" s="3">
        <v>2</v>
      </c>
      <c r="P172" s="1" t="s">
        <v>33</v>
      </c>
      <c r="Q172" s="4" t="b">
        <v>0</v>
      </c>
      <c r="R172" s="4" t="b">
        <v>1</v>
      </c>
      <c r="S172" s="4" t="b">
        <v>0</v>
      </c>
      <c r="T172" s="3" t="s">
        <v>1148</v>
      </c>
      <c r="U172" s="4" t="b">
        <v>0</v>
      </c>
      <c r="V172" s="7">
        <v>44823</v>
      </c>
      <c r="W172" s="7">
        <v>44874</v>
      </c>
    </row>
    <row r="173" spans="1:23" ht="14.4" x14ac:dyDescent="0.3">
      <c r="A173" s="3">
        <v>501550</v>
      </c>
      <c r="B173" s="4" t="b">
        <v>1</v>
      </c>
      <c r="C173" s="1" t="s">
        <v>1307</v>
      </c>
      <c r="D173" s="1" t="s">
        <v>1308</v>
      </c>
      <c r="E173" s="5">
        <v>3946573</v>
      </c>
      <c r="F173" s="5">
        <v>-35269</v>
      </c>
      <c r="G173" s="1" t="s">
        <v>1309</v>
      </c>
      <c r="H173" s="1" t="s">
        <v>1310</v>
      </c>
      <c r="I173" s="6">
        <v>44671.261124027777</v>
      </c>
      <c r="J173" s="1">
        <f>35990880983</f>
        <v>35990880983</v>
      </c>
      <c r="K173" s="3">
        <v>42</v>
      </c>
      <c r="L173" s="5">
        <v>5</v>
      </c>
      <c r="M173" s="1" t="s">
        <v>1311</v>
      </c>
      <c r="N173" s="3">
        <v>484</v>
      </c>
      <c r="O173" s="3">
        <v>4</v>
      </c>
      <c r="P173" s="1" t="s">
        <v>33</v>
      </c>
      <c r="Q173" s="4" t="b">
        <v>0</v>
      </c>
      <c r="R173" s="4" t="b">
        <v>1</v>
      </c>
      <c r="S173" s="4" t="b">
        <v>0</v>
      </c>
      <c r="T173" s="3" t="s">
        <v>1312</v>
      </c>
      <c r="U173" s="4" t="b">
        <v>0</v>
      </c>
      <c r="V173" s="7">
        <v>44860</v>
      </c>
      <c r="W173" s="7">
        <v>44876</v>
      </c>
    </row>
    <row r="174" spans="1:23" ht="14.4" x14ac:dyDescent="0.3">
      <c r="A174" s="3">
        <v>501674</v>
      </c>
      <c r="B174" s="4" t="b">
        <v>1</v>
      </c>
      <c r="C174" s="1" t="s">
        <v>1278</v>
      </c>
      <c r="D174" s="1" t="s">
        <v>1279</v>
      </c>
      <c r="E174" s="5">
        <v>4144691</v>
      </c>
      <c r="F174" s="5">
        <v>2210637</v>
      </c>
      <c r="G174" s="1" t="s">
        <v>1280</v>
      </c>
      <c r="H174" s="1" t="s">
        <v>1281</v>
      </c>
      <c r="I174" s="6">
        <v>44664.418186736111</v>
      </c>
      <c r="J174" s="1">
        <f>35935980838</f>
        <v>35935980838</v>
      </c>
      <c r="K174" s="3">
        <v>13</v>
      </c>
      <c r="L174" s="5">
        <v>4846154</v>
      </c>
      <c r="M174" s="1" t="s">
        <v>1282</v>
      </c>
      <c r="N174" s="3">
        <v>1860</v>
      </c>
      <c r="O174" s="3">
        <v>5</v>
      </c>
      <c r="P174" s="1" t="s">
        <v>39</v>
      </c>
      <c r="Q174" s="4" t="b">
        <v>0</v>
      </c>
      <c r="R174" s="4" t="b">
        <v>1</v>
      </c>
      <c r="S174" s="4" t="b">
        <v>0</v>
      </c>
      <c r="T174" s="3" t="s">
        <v>1283</v>
      </c>
      <c r="U174" s="4" t="b">
        <v>0</v>
      </c>
      <c r="V174" s="8">
        <v>44889</v>
      </c>
      <c r="W174" s="7">
        <v>44843</v>
      </c>
    </row>
    <row r="175" spans="1:23" ht="14.4" x14ac:dyDescent="0.3">
      <c r="A175" s="3">
        <v>501757</v>
      </c>
      <c r="B175" s="4" t="b">
        <v>1</v>
      </c>
      <c r="C175" s="1" t="s">
        <v>1284</v>
      </c>
      <c r="D175" s="1" t="s">
        <v>1285</v>
      </c>
      <c r="E175" s="5">
        <v>4223763</v>
      </c>
      <c r="F175" s="5">
        <v>-871832</v>
      </c>
      <c r="G175" s="1" t="s">
        <v>1286</v>
      </c>
      <c r="H175" s="1" t="s">
        <v>1287</v>
      </c>
      <c r="I175" s="6">
        <v>44665.318618530095</v>
      </c>
      <c r="J175" s="1">
        <f>35993885058</f>
        <v>35993885058</v>
      </c>
      <c r="K175" s="3">
        <v>16</v>
      </c>
      <c r="L175" s="5">
        <v>5</v>
      </c>
      <c r="M175" s="1" t="s">
        <v>1288</v>
      </c>
      <c r="N175" s="3">
        <v>401</v>
      </c>
      <c r="O175" s="3">
        <v>5</v>
      </c>
      <c r="P175" s="1" t="s">
        <v>39</v>
      </c>
      <c r="Q175" s="4" t="b">
        <v>0</v>
      </c>
      <c r="R175" s="4" t="b">
        <v>1</v>
      </c>
      <c r="S175" s="4" t="b">
        <v>0</v>
      </c>
      <c r="T175" s="3" t="s">
        <v>1036</v>
      </c>
      <c r="U175" s="4" t="b">
        <v>0</v>
      </c>
      <c r="V175" s="7">
        <v>44807</v>
      </c>
      <c r="W175" s="7">
        <v>44868</v>
      </c>
    </row>
    <row r="176" spans="1:23" ht="14.4" x14ac:dyDescent="0.3">
      <c r="A176" s="3">
        <v>501771</v>
      </c>
      <c r="B176" s="4" t="b">
        <v>1</v>
      </c>
      <c r="C176" s="1" t="s">
        <v>1289</v>
      </c>
      <c r="D176" s="1" t="s">
        <v>1290</v>
      </c>
      <c r="E176" s="5">
        <v>3917746</v>
      </c>
      <c r="F176" s="5">
        <v>8969197</v>
      </c>
      <c r="G176" s="1" t="s">
        <v>1291</v>
      </c>
      <c r="H176" s="1" t="s">
        <v>1292</v>
      </c>
      <c r="I176" s="6">
        <v>44665.658943831018</v>
      </c>
      <c r="J176" s="1">
        <f>393509339939</f>
        <v>393509339939</v>
      </c>
      <c r="K176" s="3">
        <v>107</v>
      </c>
      <c r="L176" s="5">
        <v>4971963</v>
      </c>
      <c r="M176" s="1">
        <v>7373733737</v>
      </c>
      <c r="N176" s="3">
        <v>1286</v>
      </c>
      <c r="O176" s="3">
        <v>7</v>
      </c>
      <c r="P176" s="1" t="s">
        <v>33</v>
      </c>
      <c r="Q176" s="4" t="b">
        <v>0</v>
      </c>
      <c r="R176" s="4" t="b">
        <v>1</v>
      </c>
      <c r="S176" s="4" t="b">
        <v>0</v>
      </c>
      <c r="T176" s="3" t="s">
        <v>1293</v>
      </c>
      <c r="U176" s="4" t="b">
        <v>0</v>
      </c>
      <c r="V176" s="7">
        <v>44809</v>
      </c>
      <c r="W176" s="7">
        <v>44834</v>
      </c>
    </row>
    <row r="177" spans="1:23" ht="14.4" x14ac:dyDescent="0.3">
      <c r="A177" s="3">
        <v>503055</v>
      </c>
      <c r="B177" s="4" t="b">
        <v>1</v>
      </c>
      <c r="C177" s="1" t="s">
        <v>449</v>
      </c>
      <c r="D177" s="1" t="s">
        <v>450</v>
      </c>
      <c r="E177" s="5">
        <v>4540007</v>
      </c>
      <c r="F177" s="5">
        <v>1127511</v>
      </c>
      <c r="G177" s="1" t="s">
        <v>451</v>
      </c>
      <c r="H177" s="1" t="s">
        <v>452</v>
      </c>
      <c r="I177" s="6">
        <v>44026.430069062502</v>
      </c>
      <c r="J177" s="1">
        <f>390558833508</f>
        <v>390558833508</v>
      </c>
      <c r="K177" s="3">
        <v>209</v>
      </c>
      <c r="L177" s="5">
        <v>4956938</v>
      </c>
      <c r="M177" s="1">
        <v>737663377</v>
      </c>
      <c r="N177" s="3">
        <v>1381</v>
      </c>
      <c r="O177" s="3">
        <v>5</v>
      </c>
      <c r="P177" s="1" t="s">
        <v>28</v>
      </c>
      <c r="Q177" s="4" t="b">
        <v>0</v>
      </c>
      <c r="R177" s="4" t="b">
        <v>0</v>
      </c>
      <c r="S177" s="4" t="b">
        <v>0</v>
      </c>
      <c r="T177" s="3" t="s">
        <v>34</v>
      </c>
      <c r="U177" s="4" t="b">
        <v>0</v>
      </c>
      <c r="V177" s="7">
        <v>44888</v>
      </c>
      <c r="W177" s="7">
        <v>44869</v>
      </c>
    </row>
    <row r="178" spans="1:23" ht="14.4" x14ac:dyDescent="0.3">
      <c r="A178" s="3">
        <v>503055</v>
      </c>
      <c r="B178" s="4" t="b">
        <v>1</v>
      </c>
      <c r="C178" s="1" t="s">
        <v>463</v>
      </c>
      <c r="D178" s="1" t="s">
        <v>464</v>
      </c>
      <c r="E178" s="5">
        <v>454226</v>
      </c>
      <c r="F178" s="5">
        <v>1188417</v>
      </c>
      <c r="G178" s="1" t="s">
        <v>465</v>
      </c>
      <c r="H178" s="1" t="s">
        <v>466</v>
      </c>
      <c r="I178" s="6">
        <v>44029.654094166668</v>
      </c>
      <c r="J178" s="1">
        <f>39059939833</f>
        <v>39059939833</v>
      </c>
      <c r="K178" s="3">
        <v>157</v>
      </c>
      <c r="L178" s="5">
        <v>4961783</v>
      </c>
      <c r="M178" s="1">
        <v>37733337</v>
      </c>
      <c r="N178" s="3">
        <v>3646</v>
      </c>
      <c r="O178" s="3">
        <v>3</v>
      </c>
      <c r="P178" s="1" t="s">
        <v>39</v>
      </c>
      <c r="Q178" s="4" t="b">
        <v>0</v>
      </c>
      <c r="R178" s="4" t="b">
        <v>1</v>
      </c>
      <c r="S178" s="4" t="b">
        <v>0</v>
      </c>
      <c r="T178" s="3" t="s">
        <v>467</v>
      </c>
      <c r="U178" s="4" t="b">
        <v>1</v>
      </c>
      <c r="V178" s="7">
        <v>44807</v>
      </c>
      <c r="W178" s="7">
        <v>44848</v>
      </c>
    </row>
    <row r="179" spans="1:23" ht="14.4" x14ac:dyDescent="0.3">
      <c r="A179" s="3">
        <v>503065</v>
      </c>
      <c r="B179" s="4" t="b">
        <v>1</v>
      </c>
      <c r="C179" s="1" t="s">
        <v>458</v>
      </c>
      <c r="D179" s="1" t="s">
        <v>459</v>
      </c>
      <c r="E179" s="5">
        <v>4357504</v>
      </c>
      <c r="F179" s="5">
        <v>1214004</v>
      </c>
      <c r="G179" s="1" t="s">
        <v>460</v>
      </c>
      <c r="H179" s="1" t="s">
        <v>461</v>
      </c>
      <c r="I179" s="6">
        <v>44028.551148113424</v>
      </c>
      <c r="J179" s="1">
        <f>390535335989</f>
        <v>390535335989</v>
      </c>
      <c r="K179" s="3">
        <v>17</v>
      </c>
      <c r="L179" s="5">
        <v>5</v>
      </c>
      <c r="M179" s="1">
        <v>777373337</v>
      </c>
      <c r="N179" s="3">
        <v>4745</v>
      </c>
      <c r="O179" s="3">
        <v>10</v>
      </c>
      <c r="P179" s="1" t="s">
        <v>39</v>
      </c>
      <c r="Q179" s="4" t="b">
        <v>0</v>
      </c>
      <c r="R179" s="4" t="b">
        <v>1</v>
      </c>
      <c r="S179" s="4" t="b">
        <v>1</v>
      </c>
      <c r="T179" s="3" t="s">
        <v>462</v>
      </c>
      <c r="U179" s="4" t="b">
        <v>0</v>
      </c>
      <c r="V179" s="7">
        <v>44903</v>
      </c>
      <c r="W179" s="7">
        <v>44903</v>
      </c>
    </row>
    <row r="180" spans="1:23" ht="14.4" x14ac:dyDescent="0.3">
      <c r="A180" s="3">
        <v>504054</v>
      </c>
      <c r="B180" s="4" t="b">
        <v>1</v>
      </c>
      <c r="C180" s="1" t="s">
        <v>1493</v>
      </c>
      <c r="D180" s="1" t="s">
        <v>1494</v>
      </c>
      <c r="E180" s="5">
        <v>5298405</v>
      </c>
      <c r="F180" s="5">
        <v>-112133</v>
      </c>
      <c r="G180" s="1" t="s">
        <v>1495</v>
      </c>
      <c r="H180" s="1" t="s">
        <v>1496</v>
      </c>
      <c r="I180" s="6">
        <v>44741.392847129631</v>
      </c>
      <c r="J180" s="1">
        <f>553959390933</f>
        <v>553959390933</v>
      </c>
      <c r="K180" s="3">
        <v>15</v>
      </c>
      <c r="L180" s="5">
        <v>5</v>
      </c>
      <c r="M180" s="1"/>
      <c r="N180" s="3">
        <v>203</v>
      </c>
      <c r="O180" s="3">
        <v>2</v>
      </c>
      <c r="P180" s="1" t="s">
        <v>28</v>
      </c>
      <c r="Q180" s="4" t="b">
        <v>1</v>
      </c>
      <c r="R180" s="4" t="b">
        <v>0</v>
      </c>
      <c r="S180" s="4" t="b">
        <v>0</v>
      </c>
      <c r="T180" s="3" t="s">
        <v>302</v>
      </c>
      <c r="U180" s="4" t="b">
        <v>1</v>
      </c>
      <c r="V180" s="7">
        <v>44815</v>
      </c>
      <c r="W180" s="7">
        <v>44874</v>
      </c>
    </row>
    <row r="181" spans="1:23" ht="14.4" x14ac:dyDescent="0.3">
      <c r="A181" s="3">
        <v>504404</v>
      </c>
      <c r="B181" s="4" t="b">
        <v>0</v>
      </c>
      <c r="C181" s="1" t="s">
        <v>1545</v>
      </c>
      <c r="D181" s="1" t="s">
        <v>1546</v>
      </c>
      <c r="E181" s="5">
        <v>3888837</v>
      </c>
      <c r="F181" s="5">
        <v>1659364</v>
      </c>
      <c r="G181" s="1" t="s">
        <v>631</v>
      </c>
      <c r="H181" s="1" t="s">
        <v>1547</v>
      </c>
      <c r="I181" s="6">
        <v>44767.279929374999</v>
      </c>
      <c r="J181" s="1">
        <f>393505998383</f>
        <v>393505998383</v>
      </c>
      <c r="K181" s="3">
        <v>0</v>
      </c>
      <c r="L181" s="5">
        <v>0</v>
      </c>
      <c r="M181" s="1">
        <v>7377333773</v>
      </c>
      <c r="N181" s="3">
        <v>81</v>
      </c>
      <c r="O181" s="3">
        <v>3</v>
      </c>
      <c r="P181" s="1" t="s">
        <v>39</v>
      </c>
      <c r="Q181" s="4" t="b">
        <v>1</v>
      </c>
      <c r="R181" s="4" t="b">
        <v>0</v>
      </c>
      <c r="S181" s="4" t="b">
        <v>0</v>
      </c>
      <c r="T181" s="3">
        <v>0</v>
      </c>
      <c r="U181" s="4" t="b">
        <v>1</v>
      </c>
      <c r="V181" s="8">
        <v>44865</v>
      </c>
      <c r="W181" s="7">
        <v>44842</v>
      </c>
    </row>
    <row r="182" spans="1:23" ht="14.4" x14ac:dyDescent="0.3">
      <c r="A182" s="3">
        <v>504451</v>
      </c>
      <c r="B182" s="4" t="b">
        <v>1</v>
      </c>
      <c r="C182" s="1" t="s">
        <v>1560</v>
      </c>
      <c r="D182" s="1" t="s">
        <v>1561</v>
      </c>
      <c r="E182" s="5">
        <v>5142681</v>
      </c>
      <c r="F182" s="5">
        <v>-33425</v>
      </c>
      <c r="G182" s="1" t="s">
        <v>1367</v>
      </c>
      <c r="H182" s="1" t="s">
        <v>1562</v>
      </c>
      <c r="I182" s="6">
        <v>44769.396115185184</v>
      </c>
      <c r="J182" s="1">
        <f>553908555895</f>
        <v>553908555895</v>
      </c>
      <c r="K182" s="3">
        <v>0</v>
      </c>
      <c r="L182" s="5">
        <v>0</v>
      </c>
      <c r="M182" s="1"/>
      <c r="N182" s="3">
        <v>128</v>
      </c>
      <c r="O182" s="3">
        <v>1</v>
      </c>
      <c r="P182" s="1" t="s">
        <v>33</v>
      </c>
      <c r="Q182" s="4" t="b">
        <v>1</v>
      </c>
      <c r="R182" s="4" t="b">
        <v>0</v>
      </c>
      <c r="S182" s="4" t="b">
        <v>0</v>
      </c>
      <c r="T182" s="3">
        <v>0</v>
      </c>
      <c r="U182" s="4" t="b">
        <v>0</v>
      </c>
      <c r="V182" s="7">
        <v>44866</v>
      </c>
      <c r="W182" s="7">
        <v>44813</v>
      </c>
    </row>
    <row r="183" spans="1:23" ht="14.4" x14ac:dyDescent="0.3">
      <c r="A183" s="3">
        <v>504455</v>
      </c>
      <c r="B183" s="4" t="b">
        <v>1</v>
      </c>
      <c r="C183" s="1" t="s">
        <v>1563</v>
      </c>
      <c r="D183" s="1" t="s">
        <v>1564</v>
      </c>
      <c r="E183" s="5">
        <v>5162289</v>
      </c>
      <c r="F183" s="5">
        <v>-5866</v>
      </c>
      <c r="G183" s="1" t="s">
        <v>1367</v>
      </c>
      <c r="H183" s="1" t="s">
        <v>1565</v>
      </c>
      <c r="I183" s="6">
        <v>44769.410517152777</v>
      </c>
      <c r="J183" s="1">
        <f>553595339889</f>
        <v>553595339889</v>
      </c>
      <c r="K183" s="3">
        <v>1</v>
      </c>
      <c r="L183" s="5">
        <v>5</v>
      </c>
      <c r="M183" s="1">
        <v>773333373</v>
      </c>
      <c r="N183" s="3">
        <v>385</v>
      </c>
      <c r="O183" s="3">
        <v>5</v>
      </c>
      <c r="P183" s="1" t="s">
        <v>28</v>
      </c>
      <c r="Q183" s="4" t="b">
        <v>0</v>
      </c>
      <c r="R183" s="4" t="b">
        <v>0</v>
      </c>
      <c r="S183" s="4" t="b">
        <v>0</v>
      </c>
      <c r="T183" s="3" t="s">
        <v>323</v>
      </c>
      <c r="U183" s="4" t="b">
        <v>0</v>
      </c>
      <c r="V183" s="8">
        <v>44862</v>
      </c>
      <c r="W183" s="7">
        <v>44838</v>
      </c>
    </row>
    <row r="184" spans="1:23" ht="14.4" x14ac:dyDescent="0.3">
      <c r="A184" s="3">
        <v>504464</v>
      </c>
      <c r="B184" s="4" t="b">
        <v>1</v>
      </c>
      <c r="C184" s="1" t="s">
        <v>1555</v>
      </c>
      <c r="D184" s="1" t="s">
        <v>1556</v>
      </c>
      <c r="E184" s="5">
        <v>4064971</v>
      </c>
      <c r="F184" s="5">
        <v>-469951</v>
      </c>
      <c r="G184" s="1" t="s">
        <v>1557</v>
      </c>
      <c r="H184" s="1" t="s">
        <v>1558</v>
      </c>
      <c r="I184" s="6">
        <v>44768.483816504631</v>
      </c>
      <c r="J184" s="1">
        <f>35958388583</f>
        <v>35958388583</v>
      </c>
      <c r="K184" s="3">
        <v>2</v>
      </c>
      <c r="L184" s="5">
        <v>5</v>
      </c>
      <c r="M184" s="1" t="s">
        <v>1559</v>
      </c>
      <c r="N184" s="3">
        <v>272</v>
      </c>
      <c r="O184" s="3">
        <v>1</v>
      </c>
      <c r="P184" s="1" t="s">
        <v>33</v>
      </c>
      <c r="Q184" s="4" t="b">
        <v>0</v>
      </c>
      <c r="R184" s="4" t="b">
        <v>1</v>
      </c>
      <c r="S184" s="4" t="b">
        <v>0</v>
      </c>
      <c r="T184" s="3" t="s">
        <v>993</v>
      </c>
      <c r="U184" s="4" t="b">
        <v>0</v>
      </c>
      <c r="V184" s="7">
        <v>44814</v>
      </c>
      <c r="W184" s="7">
        <v>44830</v>
      </c>
    </row>
    <row r="185" spans="1:23" ht="14.4" x14ac:dyDescent="0.3">
      <c r="A185" s="3">
        <v>504475</v>
      </c>
      <c r="B185" s="4" t="b">
        <v>1</v>
      </c>
      <c r="C185" s="1" t="s">
        <v>131</v>
      </c>
      <c r="D185" s="1" t="s">
        <v>132</v>
      </c>
      <c r="E185" s="5">
        <v>4421517</v>
      </c>
      <c r="F185" s="5">
        <v>1203742</v>
      </c>
      <c r="G185" s="1" t="s">
        <v>1522</v>
      </c>
      <c r="H185" s="1" t="s">
        <v>1523</v>
      </c>
      <c r="I185" s="6">
        <v>44755.289720243054</v>
      </c>
      <c r="J185" s="1">
        <f>390553558983</f>
        <v>390553558983</v>
      </c>
      <c r="K185" s="3">
        <v>0</v>
      </c>
      <c r="L185" s="5">
        <v>0</v>
      </c>
      <c r="M185" s="1">
        <v>7377373333</v>
      </c>
      <c r="N185" s="3">
        <v>0</v>
      </c>
      <c r="O185" s="3">
        <v>0</v>
      </c>
      <c r="P185" s="1" t="s">
        <v>39</v>
      </c>
      <c r="Q185" s="4" t="b">
        <v>1</v>
      </c>
      <c r="R185" s="4" t="b">
        <v>0</v>
      </c>
      <c r="S185" s="4" t="b">
        <v>0</v>
      </c>
      <c r="T185" s="3">
        <v>0</v>
      </c>
      <c r="U185" s="4" t="b">
        <v>0</v>
      </c>
      <c r="V185" s="8">
        <v>44895</v>
      </c>
      <c r="W185" s="8">
        <v>44887</v>
      </c>
    </row>
    <row r="186" spans="1:23" ht="14.4" x14ac:dyDescent="0.3">
      <c r="A186" s="3">
        <v>504540</v>
      </c>
      <c r="B186" s="4" t="b">
        <v>1</v>
      </c>
      <c r="C186" s="1" t="s">
        <v>1573</v>
      </c>
      <c r="D186" s="1" t="s">
        <v>1574</v>
      </c>
      <c r="E186" s="5">
        <v>4448057</v>
      </c>
      <c r="F186" s="5">
        <v>1137016</v>
      </c>
      <c r="G186" s="1" t="s">
        <v>1575</v>
      </c>
      <c r="H186" s="1" t="s">
        <v>1576</v>
      </c>
      <c r="I186" s="6">
        <v>44771.462556134262</v>
      </c>
      <c r="J186" s="1">
        <f>393393508999</f>
        <v>393393508999</v>
      </c>
      <c r="K186" s="3">
        <v>1</v>
      </c>
      <c r="L186" s="5">
        <v>5</v>
      </c>
      <c r="M186" s="1">
        <v>7736733333</v>
      </c>
      <c r="N186" s="3">
        <v>197</v>
      </c>
      <c r="O186" s="3">
        <v>2</v>
      </c>
      <c r="P186" s="1" t="s">
        <v>33</v>
      </c>
      <c r="Q186" s="4" t="b">
        <v>0</v>
      </c>
      <c r="R186" s="4" t="b">
        <v>0</v>
      </c>
      <c r="S186" s="4" t="b">
        <v>0</v>
      </c>
      <c r="T186" s="3" t="s">
        <v>323</v>
      </c>
      <c r="U186" s="4" t="b">
        <v>0</v>
      </c>
      <c r="V186" s="8">
        <v>44875</v>
      </c>
      <c r="W186" s="8">
        <v>44854</v>
      </c>
    </row>
    <row r="187" spans="1:23" ht="14.4" x14ac:dyDescent="0.3">
      <c r="A187" s="3">
        <v>504545</v>
      </c>
      <c r="B187" s="4" t="b">
        <v>1</v>
      </c>
      <c r="C187" s="1" t="s">
        <v>1566</v>
      </c>
      <c r="D187" s="1" t="s">
        <v>1567</v>
      </c>
      <c r="E187" s="5">
        <v>4738222</v>
      </c>
      <c r="F187" s="5">
        <v>8531176</v>
      </c>
      <c r="G187" s="1" t="s">
        <v>1568</v>
      </c>
      <c r="H187" s="1" t="s">
        <v>1569</v>
      </c>
      <c r="I187" s="6">
        <v>44770.553656562501</v>
      </c>
      <c r="J187" s="1">
        <f>53398330909</f>
        <v>53398330909</v>
      </c>
      <c r="K187" s="3">
        <v>2</v>
      </c>
      <c r="L187" s="5">
        <v>5</v>
      </c>
      <c r="M187" s="1"/>
      <c r="N187" s="3">
        <v>18</v>
      </c>
      <c r="O187" s="3">
        <v>1</v>
      </c>
      <c r="P187" s="1" t="s">
        <v>28</v>
      </c>
      <c r="Q187" s="4" t="b">
        <v>0</v>
      </c>
      <c r="R187" s="4" t="b">
        <v>0</v>
      </c>
      <c r="S187" s="4" t="b">
        <v>0</v>
      </c>
      <c r="T187" s="3" t="s">
        <v>323</v>
      </c>
      <c r="U187" s="4" t="b">
        <v>0</v>
      </c>
      <c r="V187" s="7">
        <v>44814</v>
      </c>
      <c r="W187" s="8">
        <v>44882</v>
      </c>
    </row>
    <row r="188" spans="1:23" ht="14.4" x14ac:dyDescent="0.3">
      <c r="A188" s="3">
        <v>504554</v>
      </c>
      <c r="B188" s="4" t="b">
        <v>1</v>
      </c>
      <c r="C188" s="1" t="s">
        <v>1497</v>
      </c>
      <c r="D188" s="1" t="s">
        <v>1498</v>
      </c>
      <c r="E188" s="5">
        <v>514412</v>
      </c>
      <c r="F188" s="5">
        <v>-260218</v>
      </c>
      <c r="G188" s="1" t="s">
        <v>1499</v>
      </c>
      <c r="H188" s="1" t="s">
        <v>1500</v>
      </c>
      <c r="I188" s="6">
        <v>44746.311521261574</v>
      </c>
      <c r="J188" s="1">
        <f>553333890900</f>
        <v>553333890900</v>
      </c>
      <c r="K188" s="3">
        <v>7</v>
      </c>
      <c r="L188" s="5">
        <v>4714286</v>
      </c>
      <c r="M188" s="1"/>
      <c r="N188" s="3">
        <v>102</v>
      </c>
      <c r="O188" s="3">
        <v>4</v>
      </c>
      <c r="P188" s="1" t="s">
        <v>33</v>
      </c>
      <c r="Q188" s="4" t="b">
        <v>0</v>
      </c>
      <c r="R188" s="4" t="b">
        <v>0</v>
      </c>
      <c r="S188" s="4" t="b">
        <v>0</v>
      </c>
      <c r="T188" s="3" t="s">
        <v>1501</v>
      </c>
      <c r="U188" s="4" t="b">
        <v>0</v>
      </c>
      <c r="V188" s="7">
        <v>44826</v>
      </c>
      <c r="W188" s="8">
        <v>44865</v>
      </c>
    </row>
    <row r="189" spans="1:23" ht="14.4" x14ac:dyDescent="0.3">
      <c r="A189" s="3">
        <v>505030</v>
      </c>
      <c r="B189" s="4" t="b">
        <v>0</v>
      </c>
      <c r="C189" s="1" t="s">
        <v>477</v>
      </c>
      <c r="D189" s="1" t="s">
        <v>478</v>
      </c>
      <c r="E189" s="5">
        <v>4438899</v>
      </c>
      <c r="F189" s="5">
        <v>864388</v>
      </c>
      <c r="G189" s="1" t="s">
        <v>479</v>
      </c>
      <c r="H189" s="1" t="s">
        <v>480</v>
      </c>
      <c r="I189" s="6">
        <v>44043.661446122685</v>
      </c>
      <c r="J189" s="1">
        <f>390309383938</f>
        <v>390309383938</v>
      </c>
      <c r="K189" s="3">
        <v>35</v>
      </c>
      <c r="L189" s="5">
        <v>5</v>
      </c>
      <c r="M189" s="1">
        <v>3733773</v>
      </c>
      <c r="N189" s="3">
        <v>1892</v>
      </c>
      <c r="O189" s="3">
        <v>5</v>
      </c>
      <c r="P189" s="1" t="s">
        <v>28</v>
      </c>
      <c r="Q189" s="4" t="b">
        <v>0</v>
      </c>
      <c r="R189" s="4" t="b">
        <v>0</v>
      </c>
      <c r="S189" s="4" t="b">
        <v>0</v>
      </c>
      <c r="T189" s="3" t="s">
        <v>380</v>
      </c>
      <c r="U189" s="4" t="b">
        <v>0</v>
      </c>
      <c r="V189" s="7">
        <v>44805</v>
      </c>
      <c r="W189" s="7">
        <v>44846</v>
      </c>
    </row>
    <row r="190" spans="1:23" ht="14.4" x14ac:dyDescent="0.3">
      <c r="A190" s="3">
        <v>505054</v>
      </c>
      <c r="B190" s="4" t="b">
        <v>1</v>
      </c>
      <c r="C190" s="1" t="s">
        <v>1005</v>
      </c>
      <c r="D190" s="1" t="s">
        <v>1006</v>
      </c>
      <c r="E190" s="5">
        <v>4549636</v>
      </c>
      <c r="F190" s="5">
        <v>101635</v>
      </c>
      <c r="G190" s="1" t="s">
        <v>1320</v>
      </c>
      <c r="H190" s="1" t="s">
        <v>1321</v>
      </c>
      <c r="I190" s="6">
        <v>44672.568494409723</v>
      </c>
      <c r="J190" s="1">
        <f>393599955305</f>
        <v>393599955305</v>
      </c>
      <c r="K190" s="3">
        <v>24</v>
      </c>
      <c r="L190" s="5">
        <v>4916667</v>
      </c>
      <c r="M190" s="1">
        <v>677333377</v>
      </c>
      <c r="N190" s="3">
        <v>510</v>
      </c>
      <c r="O190" s="3">
        <v>4</v>
      </c>
      <c r="P190" s="1" t="s">
        <v>33</v>
      </c>
      <c r="Q190" s="4" t="b">
        <v>0</v>
      </c>
      <c r="R190" s="4" t="b">
        <v>0</v>
      </c>
      <c r="S190" s="4" t="b">
        <v>0</v>
      </c>
      <c r="T190" s="3" t="s">
        <v>1322</v>
      </c>
      <c r="U190" s="4" t="b">
        <v>0</v>
      </c>
      <c r="V190" s="7">
        <v>44819</v>
      </c>
      <c r="W190" s="7">
        <v>44817</v>
      </c>
    </row>
    <row r="191" spans="1:23" ht="14.4" x14ac:dyDescent="0.3">
      <c r="A191" s="3">
        <v>505400</v>
      </c>
      <c r="B191" s="4" t="b">
        <v>1</v>
      </c>
      <c r="C191" s="1" t="s">
        <v>1386</v>
      </c>
      <c r="D191" s="1" t="s">
        <v>1387</v>
      </c>
      <c r="E191" s="5">
        <v>4038364</v>
      </c>
      <c r="F191" s="5">
        <v>-372711</v>
      </c>
      <c r="G191" s="1" t="s">
        <v>195</v>
      </c>
      <c r="H191" s="1" t="s">
        <v>1388</v>
      </c>
      <c r="I191" s="6">
        <v>44699.31007068287</v>
      </c>
      <c r="J191" s="1">
        <f>35903338393</f>
        <v>35903338393</v>
      </c>
      <c r="K191" s="3">
        <v>4</v>
      </c>
      <c r="L191" s="5">
        <v>5</v>
      </c>
      <c r="M191" s="1" t="s">
        <v>1389</v>
      </c>
      <c r="N191" s="3">
        <v>1196</v>
      </c>
      <c r="O191" s="3">
        <v>1</v>
      </c>
      <c r="P191" s="1" t="s">
        <v>39</v>
      </c>
      <c r="Q191" s="4" t="b">
        <v>0</v>
      </c>
      <c r="R191" s="4" t="b">
        <v>1</v>
      </c>
      <c r="S191" s="4" t="b">
        <v>0</v>
      </c>
      <c r="T191" s="3" t="s">
        <v>611</v>
      </c>
      <c r="U191" s="4" t="b">
        <v>0</v>
      </c>
      <c r="V191" s="7">
        <v>44881</v>
      </c>
      <c r="W191" s="7">
        <v>44850</v>
      </c>
    </row>
    <row r="192" spans="1:23" ht="14.4" x14ac:dyDescent="0.3">
      <c r="A192" s="3">
        <v>505414</v>
      </c>
      <c r="B192" s="4" t="b">
        <v>1</v>
      </c>
      <c r="C192" s="1" t="s">
        <v>1390</v>
      </c>
      <c r="D192" s="1" t="s">
        <v>1391</v>
      </c>
      <c r="E192" s="5">
        <v>419047</v>
      </c>
      <c r="F192" s="5">
        <v>1250443</v>
      </c>
      <c r="G192" s="1" t="s">
        <v>25</v>
      </c>
      <c r="H192" s="1" t="s">
        <v>1392</v>
      </c>
      <c r="I192" s="6">
        <v>44699.400891354169</v>
      </c>
      <c r="J192" s="1">
        <f>390988803859</f>
        <v>390988803859</v>
      </c>
      <c r="K192" s="3">
        <v>0</v>
      </c>
      <c r="L192" s="5">
        <v>0</v>
      </c>
      <c r="M192" s="1">
        <v>7363763333</v>
      </c>
      <c r="N192" s="3">
        <v>225</v>
      </c>
      <c r="O192" s="3">
        <v>5</v>
      </c>
      <c r="P192" s="1" t="s">
        <v>39</v>
      </c>
      <c r="Q192" s="4" t="b">
        <v>0</v>
      </c>
      <c r="R192" s="4" t="b">
        <v>0</v>
      </c>
      <c r="S192" s="4" t="b">
        <v>0</v>
      </c>
      <c r="T192" s="3">
        <v>0</v>
      </c>
      <c r="U192" s="4" t="b">
        <v>0</v>
      </c>
      <c r="V192" s="7">
        <v>44837</v>
      </c>
      <c r="W192" s="7">
        <v>44812</v>
      </c>
    </row>
    <row r="193" spans="1:23" ht="14.4" x14ac:dyDescent="0.3">
      <c r="A193" s="3">
        <v>505504</v>
      </c>
      <c r="B193" s="4" t="b">
        <v>1</v>
      </c>
      <c r="C193" s="1" t="s">
        <v>1323</v>
      </c>
      <c r="D193" s="1" t="s">
        <v>1324</v>
      </c>
      <c r="E193" s="5">
        <v>3674494</v>
      </c>
      <c r="F193" s="5">
        <v>-352031</v>
      </c>
      <c r="G193" s="1" t="s">
        <v>1325</v>
      </c>
      <c r="H193" s="1" t="s">
        <v>1326</v>
      </c>
      <c r="I193" s="6">
        <v>44680.345669652779</v>
      </c>
      <c r="J193" s="1">
        <f>35959399988</f>
        <v>35959399988</v>
      </c>
      <c r="K193" s="3">
        <v>24</v>
      </c>
      <c r="L193" s="5">
        <v>5</v>
      </c>
      <c r="M193" s="1" t="s">
        <v>1327</v>
      </c>
      <c r="N193" s="3">
        <v>1530</v>
      </c>
      <c r="O193" s="3">
        <v>6</v>
      </c>
      <c r="P193" s="1" t="s">
        <v>39</v>
      </c>
      <c r="Q193" s="4" t="b">
        <v>0</v>
      </c>
      <c r="R193" s="4" t="b">
        <v>1</v>
      </c>
      <c r="S193" s="4" t="b">
        <v>0</v>
      </c>
      <c r="T193" s="3" t="s">
        <v>1328</v>
      </c>
      <c r="U193" s="4" t="b">
        <v>0</v>
      </c>
      <c r="V193" s="7">
        <v>44821</v>
      </c>
      <c r="W193" s="7">
        <v>44806</v>
      </c>
    </row>
    <row r="194" spans="1:23" ht="14.4" x14ac:dyDescent="0.3">
      <c r="A194" s="3">
        <v>505504</v>
      </c>
      <c r="B194" s="4" t="b">
        <v>1</v>
      </c>
      <c r="C194" s="1" t="s">
        <v>1329</v>
      </c>
      <c r="D194" s="1" t="s">
        <v>1330</v>
      </c>
      <c r="E194" s="5">
        <v>5348682</v>
      </c>
      <c r="F194" s="5">
        <v>1018028</v>
      </c>
      <c r="G194" s="1" t="s">
        <v>1331</v>
      </c>
      <c r="H194" s="1" t="s">
        <v>1332</v>
      </c>
      <c r="I194" s="6">
        <v>44680.376113761573</v>
      </c>
      <c r="J194" s="1">
        <f>595030030350</f>
        <v>595030030350</v>
      </c>
      <c r="K194" s="3">
        <v>9</v>
      </c>
      <c r="L194" s="5">
        <v>5</v>
      </c>
      <c r="M194" s="1"/>
      <c r="N194" s="3">
        <v>1570</v>
      </c>
      <c r="O194" s="3">
        <v>5</v>
      </c>
      <c r="P194" s="1" t="s">
        <v>39</v>
      </c>
      <c r="Q194" s="4" t="b">
        <v>0</v>
      </c>
      <c r="R194" s="4" t="b">
        <v>0</v>
      </c>
      <c r="S194" s="4" t="b">
        <v>1</v>
      </c>
      <c r="T194" s="3" t="s">
        <v>788</v>
      </c>
      <c r="U194" s="4" t="b">
        <v>0</v>
      </c>
      <c r="V194" s="7">
        <v>44831</v>
      </c>
      <c r="W194" s="7">
        <v>44843</v>
      </c>
    </row>
    <row r="195" spans="1:23" ht="14.4" x14ac:dyDescent="0.3">
      <c r="A195" s="3">
        <v>505514</v>
      </c>
      <c r="B195" s="4" t="b">
        <v>1</v>
      </c>
      <c r="C195" s="1" t="s">
        <v>1333</v>
      </c>
      <c r="D195" s="1" t="s">
        <v>1334</v>
      </c>
      <c r="E195" s="5">
        <v>4592265</v>
      </c>
      <c r="F195" s="5">
        <v>1022991</v>
      </c>
      <c r="G195" s="1" t="s">
        <v>1335</v>
      </c>
      <c r="H195" s="1" t="s">
        <v>1336</v>
      </c>
      <c r="I195" s="6">
        <v>44680.403995451386</v>
      </c>
      <c r="J195" s="1">
        <f>393333998553</f>
        <v>393333998553</v>
      </c>
      <c r="K195" s="3">
        <v>0</v>
      </c>
      <c r="L195" s="5">
        <v>0</v>
      </c>
      <c r="M195" s="1">
        <v>776373733</v>
      </c>
      <c r="N195" s="3">
        <v>9</v>
      </c>
      <c r="O195" s="3">
        <v>5</v>
      </c>
      <c r="P195" s="1" t="s">
        <v>33</v>
      </c>
      <c r="Q195" s="4" t="b">
        <v>0</v>
      </c>
      <c r="R195" s="4" t="b">
        <v>0</v>
      </c>
      <c r="S195" s="4" t="b">
        <v>0</v>
      </c>
      <c r="T195" s="3">
        <v>0</v>
      </c>
      <c r="U195" s="4" t="b">
        <v>0</v>
      </c>
      <c r="V195" s="7">
        <v>44805</v>
      </c>
      <c r="W195" s="7">
        <v>44807</v>
      </c>
    </row>
    <row r="196" spans="1:23" ht="14.4" x14ac:dyDescent="0.3">
      <c r="A196" s="3">
        <v>505574</v>
      </c>
      <c r="B196" s="4" t="b">
        <v>1</v>
      </c>
      <c r="C196" s="1" t="s">
        <v>1337</v>
      </c>
      <c r="D196" s="1" t="s">
        <v>1338</v>
      </c>
      <c r="E196" s="5">
        <v>3870901</v>
      </c>
      <c r="F196" s="5">
        <v>-46441</v>
      </c>
      <c r="G196" s="1" t="s">
        <v>1339</v>
      </c>
      <c r="H196" s="1" t="s">
        <v>1340</v>
      </c>
      <c r="I196" s="6">
        <v>44683.456512245371</v>
      </c>
      <c r="J196" s="1">
        <f>35995335988</f>
        <v>35995335988</v>
      </c>
      <c r="K196" s="3">
        <v>67</v>
      </c>
      <c r="L196" s="5">
        <v>4985075</v>
      </c>
      <c r="M196" s="1" t="s">
        <v>1341</v>
      </c>
      <c r="N196" s="3">
        <v>7951</v>
      </c>
      <c r="O196" s="3">
        <v>5</v>
      </c>
      <c r="P196" s="1" t="s">
        <v>39</v>
      </c>
      <c r="Q196" s="4" t="b">
        <v>0</v>
      </c>
      <c r="R196" s="4" t="b">
        <v>1</v>
      </c>
      <c r="S196" s="4" t="b">
        <v>0</v>
      </c>
      <c r="T196" s="3" t="s">
        <v>1342</v>
      </c>
      <c r="U196" s="4" t="b">
        <v>0</v>
      </c>
      <c r="V196" s="7">
        <v>44835</v>
      </c>
      <c r="W196" s="8">
        <v>44855</v>
      </c>
    </row>
    <row r="197" spans="1:23" ht="14.4" x14ac:dyDescent="0.3">
      <c r="A197" s="3">
        <v>505576</v>
      </c>
      <c r="B197" s="4" t="b">
        <v>1</v>
      </c>
      <c r="C197" s="1" t="s">
        <v>1343</v>
      </c>
      <c r="D197" s="1" t="s">
        <v>1344</v>
      </c>
      <c r="E197" s="5">
        <v>3869411</v>
      </c>
      <c r="F197" s="5">
        <v>-48655</v>
      </c>
      <c r="G197" s="1" t="s">
        <v>1339</v>
      </c>
      <c r="H197" s="1" t="s">
        <v>1345</v>
      </c>
      <c r="I197" s="6">
        <v>44683.479127696759</v>
      </c>
      <c r="J197" s="1">
        <f>35999588598</f>
        <v>35999588598</v>
      </c>
      <c r="K197" s="3">
        <v>29</v>
      </c>
      <c r="L197" s="5">
        <v>4896552</v>
      </c>
      <c r="M197" s="1" t="s">
        <v>1341</v>
      </c>
      <c r="N197" s="3">
        <v>8270</v>
      </c>
      <c r="O197" s="3">
        <v>7</v>
      </c>
      <c r="P197" s="1" t="s">
        <v>33</v>
      </c>
      <c r="Q197" s="4" t="b">
        <v>0</v>
      </c>
      <c r="R197" s="4" t="b">
        <v>1</v>
      </c>
      <c r="S197" s="4" t="b">
        <v>1</v>
      </c>
      <c r="T197" s="3" t="s">
        <v>1346</v>
      </c>
      <c r="U197" s="4" t="b">
        <v>0</v>
      </c>
      <c r="V197" s="8">
        <v>44846</v>
      </c>
      <c r="W197" s="7">
        <v>44813</v>
      </c>
    </row>
    <row r="198" spans="1:23" ht="14.4" x14ac:dyDescent="0.3">
      <c r="A198" s="3">
        <v>505641</v>
      </c>
      <c r="B198" s="4" t="b">
        <v>1</v>
      </c>
      <c r="C198" s="1" t="s">
        <v>1372</v>
      </c>
      <c r="D198" s="1" t="s">
        <v>1373</v>
      </c>
      <c r="E198" s="5">
        <v>4206259</v>
      </c>
      <c r="F198" s="5">
        <v>-160383</v>
      </c>
      <c r="G198" s="1" t="s">
        <v>1374</v>
      </c>
      <c r="H198" s="1" t="s">
        <v>1375</v>
      </c>
      <c r="I198" s="6">
        <v>44694.511440497685</v>
      </c>
      <c r="J198" s="1">
        <f>35958339038</f>
        <v>35958339038</v>
      </c>
      <c r="K198" s="3">
        <v>2</v>
      </c>
      <c r="L198" s="5">
        <v>5</v>
      </c>
      <c r="M198" s="1" t="s">
        <v>1376</v>
      </c>
      <c r="N198" s="3">
        <v>282</v>
      </c>
      <c r="O198" s="3">
        <v>2</v>
      </c>
      <c r="P198" s="1" t="s">
        <v>28</v>
      </c>
      <c r="Q198" s="4" t="b">
        <v>0</v>
      </c>
      <c r="R198" s="4" t="b">
        <v>1</v>
      </c>
      <c r="S198" s="4" t="b">
        <v>0</v>
      </c>
      <c r="T198" s="3" t="s">
        <v>993</v>
      </c>
      <c r="U198" s="4" t="b">
        <v>0</v>
      </c>
      <c r="V198" s="7">
        <v>44815</v>
      </c>
      <c r="W198" s="8">
        <v>44864</v>
      </c>
    </row>
    <row r="199" spans="1:23" ht="14.4" x14ac:dyDescent="0.3">
      <c r="A199" s="3">
        <v>505704</v>
      </c>
      <c r="B199" s="4" t="b">
        <v>1</v>
      </c>
      <c r="C199" s="1" t="s">
        <v>1377</v>
      </c>
      <c r="D199" s="1" t="s">
        <v>1378</v>
      </c>
      <c r="E199" s="5">
        <v>3946556</v>
      </c>
      <c r="F199" s="5">
        <v>-36978</v>
      </c>
      <c r="G199" s="1" t="s">
        <v>417</v>
      </c>
      <c r="H199" s="1" t="s">
        <v>1379</v>
      </c>
      <c r="I199" s="6">
        <v>44697.274710798614</v>
      </c>
      <c r="J199" s="1">
        <f>35993338555</f>
        <v>35993338555</v>
      </c>
      <c r="K199" s="3">
        <v>18</v>
      </c>
      <c r="L199" s="5">
        <v>5</v>
      </c>
      <c r="M199" s="1" t="s">
        <v>1380</v>
      </c>
      <c r="N199" s="3">
        <v>1831</v>
      </c>
      <c r="O199" s="3">
        <v>6</v>
      </c>
      <c r="P199" s="1" t="s">
        <v>28</v>
      </c>
      <c r="Q199" s="4" t="b">
        <v>0</v>
      </c>
      <c r="R199" s="4" t="b">
        <v>1</v>
      </c>
      <c r="S199" s="4" t="b">
        <v>0</v>
      </c>
      <c r="T199" s="3" t="s">
        <v>1381</v>
      </c>
      <c r="U199" s="4" t="b">
        <v>0</v>
      </c>
      <c r="V199" s="8">
        <v>44850</v>
      </c>
      <c r="W199" s="7">
        <v>44896</v>
      </c>
    </row>
    <row r="200" spans="1:23" ht="14.4" x14ac:dyDescent="0.3">
      <c r="A200" s="3">
        <v>505741</v>
      </c>
      <c r="B200" s="4" t="b">
        <v>1</v>
      </c>
      <c r="C200" s="1" t="s">
        <v>1382</v>
      </c>
      <c r="D200" s="1" t="s">
        <v>1383</v>
      </c>
      <c r="E200" s="5">
        <v>5149025</v>
      </c>
      <c r="F200" s="5">
        <v>7500521</v>
      </c>
      <c r="G200" s="1" t="s">
        <v>1384</v>
      </c>
      <c r="H200" s="1" t="s">
        <v>1385</v>
      </c>
      <c r="I200" s="6">
        <v>44697.460081620367</v>
      </c>
      <c r="J200" s="1">
        <f>59833539359</f>
        <v>59833539359</v>
      </c>
      <c r="K200" s="3">
        <v>4</v>
      </c>
      <c r="L200" s="5">
        <v>5</v>
      </c>
      <c r="M200" s="1">
        <v>73333633663</v>
      </c>
      <c r="N200" s="3">
        <v>2450</v>
      </c>
      <c r="O200" s="3">
        <v>3</v>
      </c>
      <c r="P200" s="1" t="s">
        <v>28</v>
      </c>
      <c r="Q200" s="4" t="b">
        <v>0</v>
      </c>
      <c r="R200" s="4" t="b">
        <v>1</v>
      </c>
      <c r="S200" s="4" t="b">
        <v>0</v>
      </c>
      <c r="T200" s="3" t="s">
        <v>611</v>
      </c>
      <c r="U200" s="4" t="b">
        <v>0</v>
      </c>
      <c r="V200" s="7">
        <v>44874</v>
      </c>
      <c r="W200" s="7">
        <v>44829</v>
      </c>
    </row>
    <row r="201" spans="1:23" ht="14.4" x14ac:dyDescent="0.3">
      <c r="A201" s="3">
        <v>506044</v>
      </c>
      <c r="B201" s="4" t="b">
        <v>1</v>
      </c>
      <c r="C201" s="1" t="s">
        <v>272</v>
      </c>
      <c r="D201" s="1" t="s">
        <v>273</v>
      </c>
      <c r="E201" s="5">
        <v>4176931</v>
      </c>
      <c r="F201" s="5">
        <v>1266087</v>
      </c>
      <c r="G201" s="1" t="s">
        <v>1799</v>
      </c>
      <c r="H201" s="1" t="s">
        <v>1800</v>
      </c>
      <c r="I201" s="6">
        <v>44817.525280601854</v>
      </c>
      <c r="J201" s="1">
        <f>390933039939</f>
        <v>390933039939</v>
      </c>
      <c r="K201" s="3">
        <v>0</v>
      </c>
      <c r="L201" s="5">
        <v>0</v>
      </c>
      <c r="M201" s="1">
        <v>6733763333</v>
      </c>
      <c r="N201" s="3">
        <v>1</v>
      </c>
      <c r="O201" s="3">
        <v>4</v>
      </c>
      <c r="P201" s="1" t="s">
        <v>33</v>
      </c>
      <c r="Q201" s="4" t="b">
        <v>1</v>
      </c>
      <c r="R201" s="4" t="b">
        <v>0</v>
      </c>
      <c r="S201" s="4" t="b">
        <v>0</v>
      </c>
      <c r="T201" s="3">
        <v>0</v>
      </c>
      <c r="U201" s="4" t="b">
        <v>0</v>
      </c>
      <c r="V201" s="8">
        <v>44857</v>
      </c>
      <c r="W201" s="8">
        <v>44884</v>
      </c>
    </row>
    <row r="202" spans="1:23" ht="14.4" x14ac:dyDescent="0.3">
      <c r="A202" s="3">
        <v>506046</v>
      </c>
      <c r="B202" s="4" t="b">
        <v>1</v>
      </c>
      <c r="C202" s="1" t="s">
        <v>1801</v>
      </c>
      <c r="D202" s="1" t="s">
        <v>1802</v>
      </c>
      <c r="E202" s="5">
        <v>4886664</v>
      </c>
      <c r="F202" s="5">
        <v>2285022</v>
      </c>
      <c r="G202" s="1" t="s">
        <v>365</v>
      </c>
      <c r="H202" s="1" t="s">
        <v>1803</v>
      </c>
      <c r="I202" s="6">
        <v>44817.537727453702</v>
      </c>
      <c r="J202" s="1">
        <f>33358858880</f>
        <v>33358858880</v>
      </c>
      <c r="K202" s="3">
        <v>0</v>
      </c>
      <c r="L202" s="5">
        <v>0</v>
      </c>
      <c r="M202" s="1" t="s">
        <v>1804</v>
      </c>
      <c r="N202" s="3">
        <v>30</v>
      </c>
      <c r="O202" s="3">
        <v>2</v>
      </c>
      <c r="P202" s="1" t="s">
        <v>39</v>
      </c>
      <c r="Q202" s="4" t="b">
        <v>0</v>
      </c>
      <c r="R202" s="4" t="b">
        <v>1</v>
      </c>
      <c r="S202" s="4" t="b">
        <v>0</v>
      </c>
      <c r="T202" s="3">
        <v>0</v>
      </c>
      <c r="U202" s="4" t="b">
        <v>0</v>
      </c>
      <c r="V202" s="8">
        <v>44837</v>
      </c>
      <c r="W202" s="7">
        <v>44867</v>
      </c>
    </row>
    <row r="203" spans="1:23" ht="14.4" x14ac:dyDescent="0.3">
      <c r="A203" s="3">
        <v>506074</v>
      </c>
      <c r="B203" s="4" t="b">
        <v>1</v>
      </c>
      <c r="C203" s="1" t="s">
        <v>1795</v>
      </c>
      <c r="D203" s="1" t="s">
        <v>1796</v>
      </c>
      <c r="E203" s="5">
        <v>4565026</v>
      </c>
      <c r="F203" s="5">
        <v>1377898</v>
      </c>
      <c r="G203" s="1" t="s">
        <v>1797</v>
      </c>
      <c r="H203" s="1" t="s">
        <v>1798</v>
      </c>
      <c r="I203" s="6">
        <v>44817.416329270833</v>
      </c>
      <c r="J203" s="1">
        <f>393580803883</f>
        <v>393580803883</v>
      </c>
      <c r="K203" s="3">
        <v>0</v>
      </c>
      <c r="L203" s="5">
        <v>0</v>
      </c>
      <c r="M203" s="1">
        <v>77373736</v>
      </c>
      <c r="N203" s="3">
        <v>296</v>
      </c>
      <c r="O203" s="3">
        <v>1</v>
      </c>
      <c r="P203" s="1" t="s">
        <v>39</v>
      </c>
      <c r="Q203" s="4" t="b">
        <v>0</v>
      </c>
      <c r="R203" s="4" t="b">
        <v>1</v>
      </c>
      <c r="S203" s="4" t="b">
        <v>0</v>
      </c>
      <c r="T203" s="3">
        <v>0</v>
      </c>
      <c r="U203" s="4" t="b">
        <v>0</v>
      </c>
      <c r="V203" s="7">
        <v>44868</v>
      </c>
      <c r="W203" s="7">
        <v>44845</v>
      </c>
    </row>
    <row r="204" spans="1:23" ht="14.4" x14ac:dyDescent="0.3">
      <c r="A204" s="3">
        <v>506110</v>
      </c>
      <c r="B204" s="4" t="b">
        <v>1</v>
      </c>
      <c r="C204" s="1" t="s">
        <v>1805</v>
      </c>
      <c r="D204" s="1" t="s">
        <v>1806</v>
      </c>
      <c r="E204" s="5">
        <v>5156745</v>
      </c>
      <c r="F204" s="5">
        <v>-12217</v>
      </c>
      <c r="G204" s="1" t="s">
        <v>1367</v>
      </c>
      <c r="H204" s="1" t="s">
        <v>1807</v>
      </c>
      <c r="I204" s="6">
        <v>44818.388851608797</v>
      </c>
      <c r="J204" s="1">
        <f>553380535353</f>
        <v>553380535353</v>
      </c>
      <c r="K204" s="3">
        <v>0</v>
      </c>
      <c r="L204" s="5">
        <v>0</v>
      </c>
      <c r="M204" s="1"/>
      <c r="N204" s="3">
        <v>73</v>
      </c>
      <c r="O204" s="3">
        <v>3</v>
      </c>
      <c r="P204" s="1" t="s">
        <v>33</v>
      </c>
      <c r="Q204" s="4" t="b">
        <v>0</v>
      </c>
      <c r="R204" s="4" t="b">
        <v>1</v>
      </c>
      <c r="S204" s="4" t="b">
        <v>0</v>
      </c>
      <c r="T204" s="3">
        <v>0</v>
      </c>
      <c r="U204" s="4" t="b">
        <v>0</v>
      </c>
      <c r="V204" s="8">
        <v>44881</v>
      </c>
      <c r="W204" s="8">
        <v>44850</v>
      </c>
    </row>
    <row r="205" spans="1:23" ht="14.4" x14ac:dyDescent="0.3">
      <c r="A205" s="3">
        <v>506115</v>
      </c>
      <c r="B205" s="4" t="b">
        <v>1</v>
      </c>
      <c r="C205" s="1" t="s">
        <v>1808</v>
      </c>
      <c r="D205" s="1" t="s">
        <v>1809</v>
      </c>
      <c r="E205" s="5">
        <v>5147903</v>
      </c>
      <c r="F205" s="5">
        <v>-19951</v>
      </c>
      <c r="G205" s="1" t="s">
        <v>1367</v>
      </c>
      <c r="H205" s="1" t="s">
        <v>1810</v>
      </c>
      <c r="I205" s="6">
        <v>44818.443830370372</v>
      </c>
      <c r="J205" s="1">
        <f>558035330800</f>
        <v>558035330800</v>
      </c>
      <c r="K205" s="3">
        <v>0</v>
      </c>
      <c r="L205" s="5">
        <v>0</v>
      </c>
      <c r="M205" s="1"/>
      <c r="N205" s="3">
        <v>0</v>
      </c>
      <c r="O205" s="3">
        <v>4</v>
      </c>
      <c r="P205" s="1" t="s">
        <v>28</v>
      </c>
      <c r="Q205" s="4" t="b">
        <v>1</v>
      </c>
      <c r="R205" s="4" t="b">
        <v>0</v>
      </c>
      <c r="S205" s="4" t="b">
        <v>1</v>
      </c>
      <c r="T205" s="3">
        <v>0</v>
      </c>
      <c r="U205" s="4" t="b">
        <v>0</v>
      </c>
      <c r="V205" s="7">
        <v>44835</v>
      </c>
      <c r="W205" s="7">
        <v>44839</v>
      </c>
    </row>
    <row r="206" spans="1:23" ht="14.4" x14ac:dyDescent="0.3">
      <c r="A206" s="3">
        <v>506141</v>
      </c>
      <c r="B206" s="4" t="b">
        <v>1</v>
      </c>
      <c r="C206" s="1" t="s">
        <v>1823</v>
      </c>
      <c r="D206" s="1" t="s">
        <v>1824</v>
      </c>
      <c r="E206" s="5">
        <v>5334042</v>
      </c>
      <c r="F206" s="5">
        <v>-626585</v>
      </c>
      <c r="G206" s="1"/>
      <c r="H206" s="1" t="s">
        <v>1825</v>
      </c>
      <c r="I206" s="6">
        <v>44819.480968460652</v>
      </c>
      <c r="J206" s="1">
        <f>353830988880</f>
        <v>353830988880</v>
      </c>
      <c r="K206" s="3">
        <v>0</v>
      </c>
      <c r="L206" s="5">
        <v>0</v>
      </c>
      <c r="M206" s="1"/>
      <c r="N206" s="3">
        <v>15</v>
      </c>
      <c r="O206" s="3">
        <v>1</v>
      </c>
      <c r="P206" s="1" t="s">
        <v>39</v>
      </c>
      <c r="Q206" s="4" t="b">
        <v>0</v>
      </c>
      <c r="R206" s="4" t="b">
        <v>0</v>
      </c>
      <c r="S206" s="4" t="b">
        <v>0</v>
      </c>
      <c r="T206" s="3">
        <v>0</v>
      </c>
      <c r="U206" s="4" t="b">
        <v>0</v>
      </c>
      <c r="V206" s="7">
        <v>44838</v>
      </c>
      <c r="W206" s="7">
        <v>44874</v>
      </c>
    </row>
    <row r="207" spans="1:23" ht="14.4" x14ac:dyDescent="0.3">
      <c r="A207" s="3">
        <v>506146</v>
      </c>
      <c r="B207" s="4" t="b">
        <v>1</v>
      </c>
      <c r="C207" s="1" t="s">
        <v>1815</v>
      </c>
      <c r="D207" s="1" t="s">
        <v>1816</v>
      </c>
      <c r="E207" s="5">
        <v>404113</v>
      </c>
      <c r="F207" s="5">
        <v>-370369</v>
      </c>
      <c r="G207" s="1" t="s">
        <v>195</v>
      </c>
      <c r="H207" s="1" t="s">
        <v>1817</v>
      </c>
      <c r="I207" s="6">
        <v>44819.322278784719</v>
      </c>
      <c r="J207" s="1">
        <f>35903883885</f>
        <v>35903883885</v>
      </c>
      <c r="K207" s="3">
        <v>0</v>
      </c>
      <c r="L207" s="5">
        <v>0</v>
      </c>
      <c r="M207" s="1" t="s">
        <v>1818</v>
      </c>
      <c r="N207" s="3">
        <v>1</v>
      </c>
      <c r="O207" s="3">
        <v>4</v>
      </c>
      <c r="P207" s="1" t="s">
        <v>28</v>
      </c>
      <c r="Q207" s="4" t="b">
        <v>0</v>
      </c>
      <c r="R207" s="4" t="b">
        <v>1</v>
      </c>
      <c r="S207" s="4" t="b">
        <v>0</v>
      </c>
      <c r="T207" s="3">
        <v>0</v>
      </c>
      <c r="U207" s="4" t="b">
        <v>1</v>
      </c>
      <c r="V207" s="7">
        <v>44836</v>
      </c>
      <c r="W207" s="7">
        <v>44836</v>
      </c>
    </row>
    <row r="208" spans="1:23" ht="14.4" x14ac:dyDescent="0.3">
      <c r="A208" s="3">
        <v>506154</v>
      </c>
      <c r="B208" s="4" t="b">
        <v>1</v>
      </c>
      <c r="C208" s="1" t="s">
        <v>1826</v>
      </c>
      <c r="D208" s="1" t="s">
        <v>1827</v>
      </c>
      <c r="E208" s="5">
        <v>4557647</v>
      </c>
      <c r="F208" s="5">
        <v>4810661</v>
      </c>
      <c r="G208" s="1" t="s">
        <v>1828</v>
      </c>
      <c r="H208" s="1" t="s">
        <v>1829</v>
      </c>
      <c r="I208" s="6">
        <v>44819.630731851852</v>
      </c>
      <c r="J208" s="1">
        <f>33330535355</f>
        <v>33330535355</v>
      </c>
      <c r="K208" s="3">
        <v>0</v>
      </c>
      <c r="L208" s="5">
        <v>0</v>
      </c>
      <c r="M208" s="1" t="s">
        <v>1830</v>
      </c>
      <c r="N208" s="3">
        <v>1</v>
      </c>
      <c r="O208" s="3">
        <v>1</v>
      </c>
      <c r="P208" s="1" t="s">
        <v>39</v>
      </c>
      <c r="Q208" s="4" t="b">
        <v>1</v>
      </c>
      <c r="R208" s="4" t="b">
        <v>0</v>
      </c>
      <c r="S208" s="4" t="b">
        <v>0</v>
      </c>
      <c r="T208" s="3">
        <v>0</v>
      </c>
      <c r="U208" s="4" t="b">
        <v>0</v>
      </c>
      <c r="V208" s="7">
        <v>44839</v>
      </c>
      <c r="W208" s="8">
        <v>44835</v>
      </c>
    </row>
    <row r="209" spans="1:23" ht="14.4" x14ac:dyDescent="0.3">
      <c r="A209" s="3">
        <v>506177</v>
      </c>
      <c r="B209" s="4" t="b">
        <v>1</v>
      </c>
      <c r="C209" s="1" t="s">
        <v>1819</v>
      </c>
      <c r="D209" s="1" t="s">
        <v>1820</v>
      </c>
      <c r="E209" s="5">
        <v>3651013</v>
      </c>
      <c r="F209" s="5">
        <v>-489154</v>
      </c>
      <c r="G209" s="1" t="s">
        <v>1075</v>
      </c>
      <c r="H209" s="1" t="s">
        <v>1821</v>
      </c>
      <c r="I209" s="6">
        <v>44819.457264293982</v>
      </c>
      <c r="J209" s="1">
        <f>35995599358</f>
        <v>35995599358</v>
      </c>
      <c r="K209" s="3">
        <v>1</v>
      </c>
      <c r="L209" s="5">
        <v>5</v>
      </c>
      <c r="M209" s="1" t="s">
        <v>1822</v>
      </c>
      <c r="N209" s="3">
        <v>15</v>
      </c>
      <c r="O209" s="3">
        <v>3</v>
      </c>
      <c r="P209" s="1" t="s">
        <v>28</v>
      </c>
      <c r="Q209" s="4" t="b">
        <v>0</v>
      </c>
      <c r="R209" s="4" t="b">
        <v>1</v>
      </c>
      <c r="S209" s="4" t="b">
        <v>0</v>
      </c>
      <c r="T209" s="3" t="s">
        <v>192</v>
      </c>
      <c r="U209" s="4" t="b">
        <v>0</v>
      </c>
      <c r="V209" s="7">
        <v>44898</v>
      </c>
      <c r="W209" s="8">
        <v>44893</v>
      </c>
    </row>
    <row r="210" spans="1:23" ht="14.4" x14ac:dyDescent="0.3">
      <c r="A210" s="3">
        <v>506406</v>
      </c>
      <c r="B210" s="4" t="b">
        <v>1</v>
      </c>
      <c r="C210" s="1" t="s">
        <v>1921</v>
      </c>
      <c r="D210" s="1" t="s">
        <v>1922</v>
      </c>
      <c r="E210" s="5">
        <v>4138408</v>
      </c>
      <c r="F210" s="5">
        <v>2049578</v>
      </c>
      <c r="G210" s="1" t="s">
        <v>473</v>
      </c>
      <c r="H210" s="1" t="s">
        <v>1923</v>
      </c>
      <c r="I210" s="6">
        <v>44825.603412037039</v>
      </c>
      <c r="J210" s="1">
        <f>35998039950</f>
        <v>35998039950</v>
      </c>
      <c r="K210" s="3">
        <v>0</v>
      </c>
      <c r="L210" s="5">
        <v>0</v>
      </c>
      <c r="M210" s="1" t="s">
        <v>1924</v>
      </c>
      <c r="N210" s="3">
        <v>81</v>
      </c>
      <c r="O210" s="3">
        <v>3</v>
      </c>
      <c r="P210" s="1" t="s">
        <v>28</v>
      </c>
      <c r="Q210" s="4" t="b">
        <v>0</v>
      </c>
      <c r="R210" s="4" t="b">
        <v>1</v>
      </c>
      <c r="S210" s="4" t="b">
        <v>0</v>
      </c>
      <c r="T210" s="3">
        <v>0</v>
      </c>
      <c r="U210" s="4" t="b">
        <v>0</v>
      </c>
      <c r="V210" s="7">
        <v>44870</v>
      </c>
      <c r="W210" s="8">
        <v>44849</v>
      </c>
    </row>
    <row r="211" spans="1:23" ht="14.4" x14ac:dyDescent="0.3">
      <c r="A211" s="3">
        <v>506407</v>
      </c>
      <c r="B211" s="4" t="b">
        <v>1</v>
      </c>
      <c r="C211" s="1" t="s">
        <v>1925</v>
      </c>
      <c r="D211" s="1" t="s">
        <v>1926</v>
      </c>
      <c r="E211" s="5">
        <v>5251013</v>
      </c>
      <c r="F211" s="5">
        <v>1330373</v>
      </c>
      <c r="G211" s="1" t="s">
        <v>1524</v>
      </c>
      <c r="H211" s="1" t="s">
        <v>1927</v>
      </c>
      <c r="I211" s="6">
        <v>44825.604241747686</v>
      </c>
      <c r="J211" s="1">
        <f>5935808008089</f>
        <v>5935808008089</v>
      </c>
      <c r="K211" s="3">
        <v>0</v>
      </c>
      <c r="L211" s="5">
        <v>0</v>
      </c>
      <c r="M211" s="1"/>
      <c r="N211" s="3">
        <v>0</v>
      </c>
      <c r="O211" s="3">
        <v>1</v>
      </c>
      <c r="P211" s="1" t="s">
        <v>39</v>
      </c>
      <c r="Q211" s="4" t="b">
        <v>0</v>
      </c>
      <c r="R211" s="4" t="b">
        <v>0</v>
      </c>
      <c r="S211" s="4" t="b">
        <v>1</v>
      </c>
      <c r="T211" s="3">
        <v>0</v>
      </c>
      <c r="U211" s="4" t="b">
        <v>0</v>
      </c>
      <c r="V211" s="7">
        <v>44894</v>
      </c>
      <c r="W211" s="7">
        <v>44866</v>
      </c>
    </row>
    <row r="212" spans="1:23" ht="14.4" x14ac:dyDescent="0.3">
      <c r="A212" s="3">
        <v>506414</v>
      </c>
      <c r="B212" s="4" t="b">
        <v>0</v>
      </c>
      <c r="C212" s="1" t="s">
        <v>1928</v>
      </c>
      <c r="D212" s="1" t="s">
        <v>1929</v>
      </c>
      <c r="E212" s="5">
        <v>4888348</v>
      </c>
      <c r="F212" s="5">
        <v>2287243</v>
      </c>
      <c r="G212" s="1" t="s">
        <v>365</v>
      </c>
      <c r="H212" s="1" t="s">
        <v>1930</v>
      </c>
      <c r="I212" s="6">
        <v>44826.313377673614</v>
      </c>
      <c r="J212" s="1">
        <f>33985399899</f>
        <v>33985399899</v>
      </c>
      <c r="K212" s="3">
        <v>0</v>
      </c>
      <c r="L212" s="5">
        <v>0</v>
      </c>
      <c r="M212" s="1" t="s">
        <v>1931</v>
      </c>
      <c r="N212" s="3">
        <v>0</v>
      </c>
      <c r="O212" s="3">
        <v>1</v>
      </c>
      <c r="P212" s="1" t="s">
        <v>28</v>
      </c>
      <c r="Q212" s="4" t="b">
        <v>0</v>
      </c>
      <c r="R212" s="4" t="b">
        <v>1</v>
      </c>
      <c r="S212" s="4" t="b">
        <v>0</v>
      </c>
      <c r="T212" s="3">
        <v>0</v>
      </c>
      <c r="U212" s="4" t="b">
        <v>0</v>
      </c>
      <c r="V212" s="8">
        <v>44887</v>
      </c>
      <c r="W212" s="8">
        <v>44861</v>
      </c>
    </row>
    <row r="213" spans="1:23" ht="14.4" x14ac:dyDescent="0.3">
      <c r="A213" s="3">
        <v>506440</v>
      </c>
      <c r="B213" s="4" t="b">
        <v>1</v>
      </c>
      <c r="C213" s="1" t="s">
        <v>1963</v>
      </c>
      <c r="D213" s="1" t="s">
        <v>1964</v>
      </c>
      <c r="E213" s="5">
        <v>4318485</v>
      </c>
      <c r="F213" s="5">
        <v>2994307</v>
      </c>
      <c r="G213" s="1" t="s">
        <v>1965</v>
      </c>
      <c r="H213" s="1" t="s">
        <v>1966</v>
      </c>
      <c r="I213" s="6">
        <v>44827.285688032411</v>
      </c>
      <c r="J213" s="1">
        <f>33385353530</f>
        <v>33385353530</v>
      </c>
      <c r="K213" s="3">
        <v>0</v>
      </c>
      <c r="L213" s="5">
        <v>0</v>
      </c>
      <c r="M213" s="1" t="s">
        <v>1967</v>
      </c>
      <c r="N213" s="3">
        <v>0</v>
      </c>
      <c r="O213" s="3">
        <v>3</v>
      </c>
      <c r="P213" s="1" t="s">
        <v>33</v>
      </c>
      <c r="Q213" s="4" t="b">
        <v>1</v>
      </c>
      <c r="R213" s="4" t="b">
        <v>0</v>
      </c>
      <c r="S213" s="4" t="b">
        <v>0</v>
      </c>
      <c r="T213" s="3">
        <v>0</v>
      </c>
      <c r="U213" s="4" t="b">
        <v>1</v>
      </c>
      <c r="V213" s="7">
        <v>44901</v>
      </c>
      <c r="W213" s="8">
        <v>44849</v>
      </c>
    </row>
    <row r="214" spans="1:23" ht="14.4" x14ac:dyDescent="0.3">
      <c r="A214" s="3">
        <v>506444</v>
      </c>
      <c r="B214" s="4" t="b">
        <v>1</v>
      </c>
      <c r="C214" s="1" t="s">
        <v>1937</v>
      </c>
      <c r="D214" s="1" t="s">
        <v>1938</v>
      </c>
      <c r="E214" s="5">
        <v>4854452</v>
      </c>
      <c r="F214" s="5">
        <v>2676292</v>
      </c>
      <c r="G214" s="1" t="s">
        <v>1939</v>
      </c>
      <c r="H214" s="1" t="s">
        <v>1940</v>
      </c>
      <c r="I214" s="6">
        <v>44826.461493981478</v>
      </c>
      <c r="J214" s="1">
        <f>33999099550</f>
        <v>33999099550</v>
      </c>
      <c r="K214" s="3">
        <v>0</v>
      </c>
      <c r="L214" s="5">
        <v>0</v>
      </c>
      <c r="M214" s="1" t="s">
        <v>1941</v>
      </c>
      <c r="N214" s="3">
        <v>0</v>
      </c>
      <c r="O214" s="3">
        <v>1</v>
      </c>
      <c r="P214" s="1" t="s">
        <v>39</v>
      </c>
      <c r="Q214" s="4" t="b">
        <v>1</v>
      </c>
      <c r="R214" s="4" t="b">
        <v>0</v>
      </c>
      <c r="S214" s="4" t="b">
        <v>0</v>
      </c>
      <c r="T214" s="3">
        <v>0</v>
      </c>
      <c r="U214" s="4" t="b">
        <v>0</v>
      </c>
      <c r="V214" s="7">
        <v>44856</v>
      </c>
      <c r="W214" s="7">
        <v>44848</v>
      </c>
    </row>
    <row r="215" spans="1:23" ht="14.4" x14ac:dyDescent="0.3">
      <c r="A215" s="3">
        <v>506445</v>
      </c>
      <c r="B215" s="4" t="b">
        <v>1</v>
      </c>
      <c r="C215" s="1" t="s">
        <v>1932</v>
      </c>
      <c r="D215" s="1" t="s">
        <v>1933</v>
      </c>
      <c r="E215" s="5">
        <v>4894362</v>
      </c>
      <c r="F215" s="5">
        <v>232664</v>
      </c>
      <c r="G215" s="1" t="s">
        <v>1934</v>
      </c>
      <c r="H215" s="1" t="s">
        <v>1935</v>
      </c>
      <c r="I215" s="6">
        <v>44826.460696412039</v>
      </c>
      <c r="J215" s="1">
        <f>33935385583</f>
        <v>33935385583</v>
      </c>
      <c r="K215" s="3">
        <v>0</v>
      </c>
      <c r="L215" s="5">
        <v>0</v>
      </c>
      <c r="M215" s="1" t="s">
        <v>1936</v>
      </c>
      <c r="N215" s="3">
        <v>0</v>
      </c>
      <c r="O215" s="3">
        <v>2</v>
      </c>
      <c r="P215" s="1" t="s">
        <v>33</v>
      </c>
      <c r="Q215" s="4" t="b">
        <v>0</v>
      </c>
      <c r="R215" s="4" t="b">
        <v>1</v>
      </c>
      <c r="S215" s="4" t="b">
        <v>0</v>
      </c>
      <c r="T215" s="3">
        <v>0</v>
      </c>
      <c r="U215" s="4" t="b">
        <v>0</v>
      </c>
      <c r="V215" s="7">
        <v>44835</v>
      </c>
      <c r="W215" s="8">
        <v>44854</v>
      </c>
    </row>
    <row r="216" spans="1:23" ht="14.4" x14ac:dyDescent="0.3">
      <c r="A216" s="3">
        <v>506451</v>
      </c>
      <c r="B216" s="4" t="b">
        <v>1</v>
      </c>
      <c r="C216" s="1" t="s">
        <v>1972</v>
      </c>
      <c r="D216" s="1" t="s">
        <v>1973</v>
      </c>
      <c r="E216" s="5">
        <v>3896085</v>
      </c>
      <c r="F216" s="5">
        <v>-586315</v>
      </c>
      <c r="G216" s="1" t="s">
        <v>1974</v>
      </c>
      <c r="H216" s="1" t="s">
        <v>1975</v>
      </c>
      <c r="I216" s="6">
        <v>44827.321004351848</v>
      </c>
      <c r="J216" s="1">
        <f>35959535088</f>
        <v>35959535088</v>
      </c>
      <c r="K216" s="3">
        <v>0</v>
      </c>
      <c r="L216" s="5">
        <v>0</v>
      </c>
      <c r="M216" s="1" t="s">
        <v>1976</v>
      </c>
      <c r="N216" s="3">
        <v>27</v>
      </c>
      <c r="O216" s="3">
        <v>4</v>
      </c>
      <c r="P216" s="1" t="s">
        <v>33</v>
      </c>
      <c r="Q216" s="4" t="b">
        <v>1</v>
      </c>
      <c r="R216" s="4" t="b">
        <v>0</v>
      </c>
      <c r="S216" s="4" t="b">
        <v>0</v>
      </c>
      <c r="T216" s="3">
        <v>0</v>
      </c>
      <c r="U216" s="4" t="b">
        <v>0</v>
      </c>
      <c r="V216" s="7">
        <v>44843</v>
      </c>
      <c r="W216" s="7">
        <v>44872</v>
      </c>
    </row>
    <row r="217" spans="1:23" ht="14.4" x14ac:dyDescent="0.3">
      <c r="A217" s="3">
        <v>506454</v>
      </c>
      <c r="B217" s="4" t="b">
        <v>1</v>
      </c>
      <c r="C217" s="1" t="s">
        <v>1977</v>
      </c>
      <c r="D217" s="1" t="s">
        <v>1978</v>
      </c>
      <c r="E217" s="5">
        <v>3791729</v>
      </c>
      <c r="F217" s="5">
        <v>2371417</v>
      </c>
      <c r="G217" s="1" t="s">
        <v>1979</v>
      </c>
      <c r="H217" s="1" t="s">
        <v>1980</v>
      </c>
      <c r="I217" s="6">
        <v>44827.329301180558</v>
      </c>
      <c r="J217" s="1">
        <f>308309883999</f>
        <v>308309883999</v>
      </c>
      <c r="K217" s="3">
        <v>0</v>
      </c>
      <c r="L217" s="5">
        <v>0</v>
      </c>
      <c r="M217" s="1">
        <v>33333733</v>
      </c>
      <c r="N217" s="3">
        <v>0</v>
      </c>
      <c r="O217" s="3">
        <v>3</v>
      </c>
      <c r="P217" s="1" t="s">
        <v>33</v>
      </c>
      <c r="Q217" s="4" t="b">
        <v>1</v>
      </c>
      <c r="R217" s="4" t="b">
        <v>0</v>
      </c>
      <c r="S217" s="4" t="b">
        <v>0</v>
      </c>
      <c r="T217" s="3">
        <v>0</v>
      </c>
      <c r="U217" s="4" t="b">
        <v>0</v>
      </c>
      <c r="V217" s="8">
        <v>44886</v>
      </c>
      <c r="W217" s="7">
        <v>44840</v>
      </c>
    </row>
    <row r="218" spans="1:23" ht="14.4" x14ac:dyDescent="0.3">
      <c r="A218" s="3">
        <v>506461</v>
      </c>
      <c r="B218" s="4" t="b">
        <v>1</v>
      </c>
      <c r="C218" s="1" t="s">
        <v>1945</v>
      </c>
      <c r="D218" s="1" t="s">
        <v>1946</v>
      </c>
      <c r="E218" s="5">
        <v>5159195</v>
      </c>
      <c r="F218" s="5">
        <v>-16557</v>
      </c>
      <c r="G218" s="1" t="s">
        <v>1367</v>
      </c>
      <c r="H218" s="1" t="s">
        <v>1947</v>
      </c>
      <c r="I218" s="6">
        <v>44826.551090324072</v>
      </c>
      <c r="J218" s="1">
        <f>553539353898</f>
        <v>553539353898</v>
      </c>
      <c r="K218" s="3">
        <v>0</v>
      </c>
      <c r="L218" s="5">
        <v>0</v>
      </c>
      <c r="M218" s="1"/>
      <c r="N218" s="3">
        <v>18</v>
      </c>
      <c r="O218" s="3">
        <v>3</v>
      </c>
      <c r="P218" s="1" t="s">
        <v>33</v>
      </c>
      <c r="Q218" s="4" t="b">
        <v>0</v>
      </c>
      <c r="R218" s="4" t="b">
        <v>0</v>
      </c>
      <c r="S218" s="4" t="b">
        <v>0</v>
      </c>
      <c r="T218" s="3">
        <v>0</v>
      </c>
      <c r="U218" s="4" t="b">
        <v>0</v>
      </c>
      <c r="V218" s="8">
        <v>44858</v>
      </c>
      <c r="W218" s="7">
        <v>44874</v>
      </c>
    </row>
    <row r="219" spans="1:23" ht="14.4" x14ac:dyDescent="0.3">
      <c r="A219" s="3">
        <v>506464</v>
      </c>
      <c r="B219" s="4" t="b">
        <v>1</v>
      </c>
      <c r="C219" s="1" t="s">
        <v>1952</v>
      </c>
      <c r="D219" s="1" t="s">
        <v>1953</v>
      </c>
      <c r="E219" s="5">
        <v>4548049</v>
      </c>
      <c r="F219" s="5">
        <v>9194338</v>
      </c>
      <c r="G219" s="1" t="s">
        <v>37</v>
      </c>
      <c r="H219" s="1" t="s">
        <v>1954</v>
      </c>
      <c r="I219" s="6">
        <v>44826.59461521991</v>
      </c>
      <c r="J219" s="1">
        <f>393508855530</f>
        <v>393508855530</v>
      </c>
      <c r="K219" s="3">
        <v>0</v>
      </c>
      <c r="L219" s="5">
        <v>0</v>
      </c>
      <c r="M219" s="1">
        <v>337733767</v>
      </c>
      <c r="N219" s="3">
        <v>69</v>
      </c>
      <c r="O219" s="3">
        <v>3</v>
      </c>
      <c r="P219" s="1" t="s">
        <v>28</v>
      </c>
      <c r="Q219" s="4" t="b">
        <v>1</v>
      </c>
      <c r="R219" s="4" t="b">
        <v>0</v>
      </c>
      <c r="S219" s="4" t="b">
        <v>0</v>
      </c>
      <c r="T219" s="3">
        <v>0</v>
      </c>
      <c r="U219" s="4" t="b">
        <v>0</v>
      </c>
      <c r="V219" s="8">
        <v>44879</v>
      </c>
      <c r="W219" s="8">
        <v>44879</v>
      </c>
    </row>
    <row r="220" spans="1:23" ht="14.4" x14ac:dyDescent="0.3">
      <c r="A220" s="3">
        <v>506465</v>
      </c>
      <c r="B220" s="4" t="b">
        <v>1</v>
      </c>
      <c r="C220" s="1" t="s">
        <v>1948</v>
      </c>
      <c r="D220" s="1" t="s">
        <v>1949</v>
      </c>
      <c r="E220" s="5">
        <v>4472784</v>
      </c>
      <c r="F220" s="5">
        <v>1925505</v>
      </c>
      <c r="G220" s="1" t="s">
        <v>1950</v>
      </c>
      <c r="H220" s="1" t="s">
        <v>1951</v>
      </c>
      <c r="I220" s="6">
        <v>44826.553657326389</v>
      </c>
      <c r="J220" s="1">
        <f>33399083859</f>
        <v>33399083859</v>
      </c>
      <c r="K220" s="3">
        <v>0</v>
      </c>
      <c r="L220" s="5">
        <v>0</v>
      </c>
      <c r="M220" s="1"/>
      <c r="N220" s="3">
        <v>0</v>
      </c>
      <c r="O220" s="3">
        <v>2</v>
      </c>
      <c r="P220" s="1" t="s">
        <v>33</v>
      </c>
      <c r="Q220" s="4" t="b">
        <v>1</v>
      </c>
      <c r="R220" s="4" t="b">
        <v>0</v>
      </c>
      <c r="S220" s="4" t="b">
        <v>0</v>
      </c>
      <c r="T220" s="3">
        <v>0</v>
      </c>
      <c r="U220" s="4" t="b">
        <v>0</v>
      </c>
      <c r="V220" s="7">
        <v>44877</v>
      </c>
      <c r="W220" s="7">
        <v>44855</v>
      </c>
    </row>
    <row r="221" spans="1:23" ht="14.4" x14ac:dyDescent="0.3">
      <c r="A221" s="3">
        <v>506474</v>
      </c>
      <c r="B221" s="4" t="b">
        <v>1</v>
      </c>
      <c r="C221" s="1" t="s">
        <v>1959</v>
      </c>
      <c r="D221" s="1" t="s">
        <v>1960</v>
      </c>
      <c r="E221" s="5">
        <v>404342</v>
      </c>
      <c r="F221" s="5">
        <v>-370098</v>
      </c>
      <c r="G221" s="1" t="s">
        <v>195</v>
      </c>
      <c r="H221" s="1" t="s">
        <v>1961</v>
      </c>
      <c r="I221" s="6">
        <v>44827.281871747684</v>
      </c>
      <c r="J221" s="1">
        <f>35935939989</f>
        <v>35935939989</v>
      </c>
      <c r="K221" s="3">
        <v>1</v>
      </c>
      <c r="L221" s="5">
        <v>5</v>
      </c>
      <c r="M221" s="1" t="s">
        <v>1962</v>
      </c>
      <c r="N221" s="3">
        <v>39</v>
      </c>
      <c r="O221" s="3">
        <v>5</v>
      </c>
      <c r="P221" s="1" t="s">
        <v>28</v>
      </c>
      <c r="Q221" s="4" t="b">
        <v>0</v>
      </c>
      <c r="R221" s="4" t="b">
        <v>1</v>
      </c>
      <c r="S221" s="4" t="b">
        <v>0</v>
      </c>
      <c r="T221" s="3" t="s">
        <v>192</v>
      </c>
      <c r="U221" s="4" t="b">
        <v>1</v>
      </c>
      <c r="V221" s="8">
        <v>44864</v>
      </c>
      <c r="W221" s="8">
        <v>44881</v>
      </c>
    </row>
    <row r="222" spans="1:23" ht="14.4" x14ac:dyDescent="0.3">
      <c r="A222" s="3">
        <v>506541</v>
      </c>
      <c r="B222" s="4" t="b">
        <v>1</v>
      </c>
      <c r="C222" s="1" t="s">
        <v>1836</v>
      </c>
      <c r="D222" s="1" t="s">
        <v>1837</v>
      </c>
      <c r="E222" s="5">
        <v>4192051</v>
      </c>
      <c r="F222" s="5">
        <v>1250808</v>
      </c>
      <c r="G222" s="1" t="s">
        <v>25</v>
      </c>
      <c r="H222" s="1" t="s">
        <v>1838</v>
      </c>
      <c r="I222" s="6">
        <v>44823.292257280089</v>
      </c>
      <c r="J222" s="1">
        <f>393839339855</f>
        <v>393839339855</v>
      </c>
      <c r="K222" s="3">
        <v>0</v>
      </c>
      <c r="L222" s="5">
        <v>0</v>
      </c>
      <c r="M222" s="1">
        <v>6636373333</v>
      </c>
      <c r="N222" s="3">
        <v>51</v>
      </c>
      <c r="O222" s="3">
        <v>3</v>
      </c>
      <c r="P222" s="1" t="s">
        <v>28</v>
      </c>
      <c r="Q222" s="4" t="b">
        <v>0</v>
      </c>
      <c r="R222" s="4" t="b">
        <v>1</v>
      </c>
      <c r="S222" s="4" t="b">
        <v>0</v>
      </c>
      <c r="T222" s="3">
        <v>0</v>
      </c>
      <c r="U222" s="4" t="b">
        <v>0</v>
      </c>
      <c r="V222" s="7">
        <v>44861</v>
      </c>
      <c r="W222" s="7">
        <v>44879</v>
      </c>
    </row>
    <row r="223" spans="1:23" ht="14.4" x14ac:dyDescent="0.3">
      <c r="A223" s="3">
        <v>506546</v>
      </c>
      <c r="B223" s="4" t="b">
        <v>1</v>
      </c>
      <c r="C223" s="1" t="s">
        <v>1843</v>
      </c>
      <c r="D223" s="1" t="s">
        <v>1844</v>
      </c>
      <c r="E223" s="5">
        <v>3943216</v>
      </c>
      <c r="F223" s="5">
        <v>3019086</v>
      </c>
      <c r="G223" s="1" t="s">
        <v>1845</v>
      </c>
      <c r="H223" s="1" t="s">
        <v>1846</v>
      </c>
      <c r="I223" s="6">
        <v>44823.321102118054</v>
      </c>
      <c r="J223" s="1">
        <f>35933850085</f>
        <v>35933850085</v>
      </c>
      <c r="K223" s="3">
        <v>0</v>
      </c>
      <c r="L223" s="5">
        <v>0</v>
      </c>
      <c r="M223" s="1" t="s">
        <v>1847</v>
      </c>
      <c r="N223" s="3">
        <v>18</v>
      </c>
      <c r="O223" s="3">
        <v>2</v>
      </c>
      <c r="P223" s="1" t="s">
        <v>33</v>
      </c>
      <c r="Q223" s="4" t="b">
        <v>0</v>
      </c>
      <c r="R223" s="4" t="b">
        <v>1</v>
      </c>
      <c r="S223" s="4" t="b">
        <v>0</v>
      </c>
      <c r="T223" s="3">
        <v>0</v>
      </c>
      <c r="U223" s="4" t="b">
        <v>0</v>
      </c>
      <c r="V223" s="7">
        <v>44882</v>
      </c>
      <c r="W223" s="7">
        <v>44895</v>
      </c>
    </row>
    <row r="224" spans="1:23" ht="14.4" x14ac:dyDescent="0.3">
      <c r="A224" s="3">
        <v>506554</v>
      </c>
      <c r="B224" s="4" t="b">
        <v>1</v>
      </c>
      <c r="C224" s="1" t="s">
        <v>1831</v>
      </c>
      <c r="D224" s="1" t="s">
        <v>1832</v>
      </c>
      <c r="E224" s="5">
        <v>5048888</v>
      </c>
      <c r="F224" s="5">
        <v>2506264</v>
      </c>
      <c r="G224" s="1" t="s">
        <v>1833</v>
      </c>
      <c r="H224" s="1" t="s">
        <v>1834</v>
      </c>
      <c r="I224" s="6">
        <v>44820.46994787037</v>
      </c>
      <c r="J224" s="1">
        <f>33958880539</f>
        <v>33958880539</v>
      </c>
      <c r="K224" s="3">
        <v>0</v>
      </c>
      <c r="L224" s="5">
        <v>0</v>
      </c>
      <c r="M224" s="1" t="s">
        <v>1835</v>
      </c>
      <c r="N224" s="3">
        <v>0</v>
      </c>
      <c r="O224" s="3">
        <v>1</v>
      </c>
      <c r="P224" s="1" t="s">
        <v>28</v>
      </c>
      <c r="Q224" s="4" t="b">
        <v>1</v>
      </c>
      <c r="R224" s="4" t="b">
        <v>0</v>
      </c>
      <c r="S224" s="4" t="b">
        <v>0</v>
      </c>
      <c r="T224" s="3">
        <v>0</v>
      </c>
      <c r="U224" s="4" t="b">
        <v>0</v>
      </c>
      <c r="V224" s="8">
        <v>44888</v>
      </c>
      <c r="W224" s="7">
        <v>44873</v>
      </c>
    </row>
    <row r="225" spans="1:23" ht="14.4" x14ac:dyDescent="0.3">
      <c r="A225" s="3">
        <v>506565</v>
      </c>
      <c r="B225" s="4" t="b">
        <v>1</v>
      </c>
      <c r="C225" s="1" t="s">
        <v>1852</v>
      </c>
      <c r="D225" s="1" t="s">
        <v>1853</v>
      </c>
      <c r="E225" s="5">
        <v>3810342</v>
      </c>
      <c r="F225" s="5">
        <v>1566711</v>
      </c>
      <c r="G225" s="1" t="s">
        <v>269</v>
      </c>
      <c r="H225" s="1" t="s">
        <v>1854</v>
      </c>
      <c r="I225" s="6">
        <v>44823.419519097224</v>
      </c>
      <c r="J225" s="1">
        <f>393803890330</f>
        <v>393803890330</v>
      </c>
      <c r="K225" s="3">
        <v>0</v>
      </c>
      <c r="L225" s="5">
        <v>0</v>
      </c>
      <c r="M225" s="1">
        <v>733373336</v>
      </c>
      <c r="N225" s="3">
        <v>70</v>
      </c>
      <c r="O225" s="3">
        <v>3</v>
      </c>
      <c r="P225" s="1" t="s">
        <v>39</v>
      </c>
      <c r="Q225" s="4" t="b">
        <v>1</v>
      </c>
      <c r="R225" s="4" t="b">
        <v>0</v>
      </c>
      <c r="S225" s="4" t="b">
        <v>0</v>
      </c>
      <c r="T225" s="3">
        <v>0</v>
      </c>
      <c r="U225" s="4" t="b">
        <v>0</v>
      </c>
      <c r="V225" s="8">
        <v>44854</v>
      </c>
      <c r="W225" s="8">
        <v>44864</v>
      </c>
    </row>
    <row r="226" spans="1:23" ht="14.4" x14ac:dyDescent="0.3">
      <c r="A226" s="3">
        <v>506571</v>
      </c>
      <c r="B226" s="4" t="b">
        <v>1</v>
      </c>
      <c r="C226" s="1" t="s">
        <v>1855</v>
      </c>
      <c r="D226" s="1" t="s">
        <v>1856</v>
      </c>
      <c r="E226" s="5">
        <v>4047137</v>
      </c>
      <c r="F226" s="5">
        <v>-386848</v>
      </c>
      <c r="G226" s="1" t="s">
        <v>1857</v>
      </c>
      <c r="H226" s="1" t="s">
        <v>1858</v>
      </c>
      <c r="I226" s="6">
        <v>44823.422401875003</v>
      </c>
      <c r="J226" s="1">
        <f>35985388558</f>
        <v>35985388558</v>
      </c>
      <c r="K226" s="3">
        <v>0</v>
      </c>
      <c r="L226" s="5">
        <v>0</v>
      </c>
      <c r="M226" s="1" t="s">
        <v>1859</v>
      </c>
      <c r="N226" s="3">
        <v>11</v>
      </c>
      <c r="O226" s="3">
        <v>2</v>
      </c>
      <c r="P226" s="1" t="s">
        <v>33</v>
      </c>
      <c r="Q226" s="4" t="b">
        <v>0</v>
      </c>
      <c r="R226" s="4" t="b">
        <v>1</v>
      </c>
      <c r="S226" s="4" t="b">
        <v>0</v>
      </c>
      <c r="T226" s="3">
        <v>0</v>
      </c>
      <c r="U226" s="4" t="b">
        <v>0</v>
      </c>
      <c r="V226" s="8">
        <v>44885</v>
      </c>
      <c r="W226" s="8">
        <v>44893</v>
      </c>
    </row>
    <row r="227" spans="1:23" ht="14.4" x14ac:dyDescent="0.3">
      <c r="A227" s="3">
        <v>506576</v>
      </c>
      <c r="B227" s="4" t="b">
        <v>1</v>
      </c>
      <c r="C227" s="1" t="s">
        <v>1860</v>
      </c>
      <c r="D227" s="1" t="s">
        <v>1861</v>
      </c>
      <c r="E227" s="5">
        <v>3799334</v>
      </c>
      <c r="F227" s="5">
        <v>2372431</v>
      </c>
      <c r="G227" s="1" t="s">
        <v>54</v>
      </c>
      <c r="H227" s="1" t="s">
        <v>1862</v>
      </c>
      <c r="I227" s="6">
        <v>44823.456842951389</v>
      </c>
      <c r="J227" s="1">
        <f>308335835835</f>
        <v>308335835835</v>
      </c>
      <c r="K227" s="3">
        <v>0</v>
      </c>
      <c r="L227" s="5">
        <v>0</v>
      </c>
      <c r="M227" s="1">
        <v>37677337</v>
      </c>
      <c r="N227" s="3">
        <v>0</v>
      </c>
      <c r="O227" s="3">
        <v>2</v>
      </c>
      <c r="P227" s="1" t="s">
        <v>39</v>
      </c>
      <c r="Q227" s="4" t="b">
        <v>1</v>
      </c>
      <c r="R227" s="4" t="b">
        <v>0</v>
      </c>
      <c r="S227" s="4" t="b">
        <v>0</v>
      </c>
      <c r="T227" s="3">
        <v>0</v>
      </c>
      <c r="U227" s="4" t="b">
        <v>0</v>
      </c>
      <c r="V227" s="8">
        <v>44848</v>
      </c>
      <c r="W227" s="8">
        <v>44860</v>
      </c>
    </row>
    <row r="228" spans="1:23" ht="14.4" x14ac:dyDescent="0.3">
      <c r="A228" s="3">
        <v>506607</v>
      </c>
      <c r="B228" s="4" t="b">
        <v>1</v>
      </c>
      <c r="C228" s="1" t="s">
        <v>2049</v>
      </c>
      <c r="D228" s="1" t="s">
        <v>2050</v>
      </c>
      <c r="E228" s="5">
        <v>4091093</v>
      </c>
      <c r="F228" s="5">
        <v>1438479</v>
      </c>
      <c r="G228" s="1" t="s">
        <v>705</v>
      </c>
      <c r="H228" s="1" t="s">
        <v>2051</v>
      </c>
      <c r="I228" s="6">
        <v>44831.50934704861</v>
      </c>
      <c r="J228" s="1">
        <f>393353588835</f>
        <v>393353588835</v>
      </c>
      <c r="K228" s="3">
        <v>0</v>
      </c>
      <c r="L228" s="5">
        <v>0</v>
      </c>
      <c r="M228" s="1">
        <v>73333</v>
      </c>
      <c r="N228" s="3">
        <v>0</v>
      </c>
      <c r="O228" s="3">
        <v>2</v>
      </c>
      <c r="P228" s="1" t="s">
        <v>33</v>
      </c>
      <c r="Q228" s="4" t="b">
        <v>1</v>
      </c>
      <c r="R228" s="4" t="b">
        <v>0</v>
      </c>
      <c r="S228" s="4" t="b">
        <v>0</v>
      </c>
      <c r="T228" s="3">
        <v>0</v>
      </c>
      <c r="U228" s="4" t="b">
        <v>0</v>
      </c>
      <c r="V228" s="8">
        <v>44882</v>
      </c>
      <c r="W228" s="8">
        <v>44882</v>
      </c>
    </row>
    <row r="229" spans="1:23" ht="14.4" x14ac:dyDescent="0.3">
      <c r="A229" s="3">
        <v>506610</v>
      </c>
      <c r="B229" s="4" t="b">
        <v>1</v>
      </c>
      <c r="C229" s="1" t="s">
        <v>2052</v>
      </c>
      <c r="D229" s="1" t="s">
        <v>2053</v>
      </c>
      <c r="E229" s="5">
        <v>4346346</v>
      </c>
      <c r="F229" s="5">
        <v>-379057</v>
      </c>
      <c r="G229" s="1" t="s">
        <v>2054</v>
      </c>
      <c r="H229" s="1" t="s">
        <v>2055</v>
      </c>
      <c r="I229" s="6">
        <v>44831.527724236112</v>
      </c>
      <c r="J229" s="1">
        <f>35958339593</f>
        <v>35958339593</v>
      </c>
      <c r="K229" s="3">
        <v>0</v>
      </c>
      <c r="L229" s="5">
        <v>0</v>
      </c>
      <c r="M229" s="1" t="s">
        <v>2056</v>
      </c>
      <c r="N229" s="3">
        <v>0</v>
      </c>
      <c r="O229" s="3">
        <v>2</v>
      </c>
      <c r="P229" s="1" t="s">
        <v>28</v>
      </c>
      <c r="Q229" s="4" t="b">
        <v>1</v>
      </c>
      <c r="R229" s="4" t="b">
        <v>0</v>
      </c>
      <c r="S229" s="4" t="b">
        <v>0</v>
      </c>
      <c r="T229" s="3">
        <v>0</v>
      </c>
      <c r="U229" s="4" t="b">
        <v>0</v>
      </c>
      <c r="V229" s="8">
        <v>44890</v>
      </c>
      <c r="W229" s="8">
        <v>44894</v>
      </c>
    </row>
    <row r="230" spans="1:23" ht="14.4" x14ac:dyDescent="0.3">
      <c r="A230" s="3">
        <v>506615</v>
      </c>
      <c r="B230" s="4" t="b">
        <v>1</v>
      </c>
      <c r="C230" s="1" t="s">
        <v>2057</v>
      </c>
      <c r="D230" s="1" t="s">
        <v>2058</v>
      </c>
      <c r="E230" s="5">
        <v>4050155</v>
      </c>
      <c r="F230" s="5">
        <v>-369199</v>
      </c>
      <c r="G230" s="1" t="s">
        <v>195</v>
      </c>
      <c r="H230" s="1" t="s">
        <v>2059</v>
      </c>
      <c r="I230" s="6">
        <v>44831.531806712963</v>
      </c>
      <c r="J230" s="1">
        <f>35933939395</f>
        <v>35933939395</v>
      </c>
      <c r="K230" s="3">
        <v>0</v>
      </c>
      <c r="L230" s="5">
        <v>0</v>
      </c>
      <c r="M230" s="1" t="s">
        <v>2060</v>
      </c>
      <c r="N230" s="3">
        <v>1</v>
      </c>
      <c r="O230" s="3">
        <v>3</v>
      </c>
      <c r="P230" s="1" t="s">
        <v>28</v>
      </c>
      <c r="Q230" s="4" t="b">
        <v>0</v>
      </c>
      <c r="R230" s="4" t="b">
        <v>1</v>
      </c>
      <c r="S230" s="4" t="b">
        <v>0</v>
      </c>
      <c r="T230" s="3">
        <v>0</v>
      </c>
      <c r="U230" s="4" t="b">
        <v>0</v>
      </c>
      <c r="V230" s="8">
        <v>44877</v>
      </c>
      <c r="W230" s="8">
        <v>44878</v>
      </c>
    </row>
    <row r="231" spans="1:23" ht="14.4" x14ac:dyDescent="0.3">
      <c r="A231" s="3">
        <v>506616</v>
      </c>
      <c r="B231" s="4" t="b">
        <v>1</v>
      </c>
      <c r="C231" s="1" t="s">
        <v>2061</v>
      </c>
      <c r="D231" s="1" t="s">
        <v>2062</v>
      </c>
      <c r="E231" s="5">
        <v>5152774</v>
      </c>
      <c r="F231" s="5">
        <v>7540376</v>
      </c>
      <c r="G231" s="1" t="s">
        <v>1384</v>
      </c>
      <c r="H231" s="1" t="s">
        <v>2063</v>
      </c>
      <c r="I231" s="6">
        <v>44831.576165671293</v>
      </c>
      <c r="J231" s="1">
        <f>5983359388808</f>
        <v>5983359388808</v>
      </c>
      <c r="K231" s="3">
        <v>0</v>
      </c>
      <c r="L231" s="5">
        <v>0</v>
      </c>
      <c r="M231" s="1"/>
      <c r="N231" s="3">
        <v>0</v>
      </c>
      <c r="O231" s="3">
        <v>2</v>
      </c>
      <c r="P231" s="1" t="s">
        <v>39</v>
      </c>
      <c r="Q231" s="4" t="b">
        <v>1</v>
      </c>
      <c r="R231" s="4" t="b">
        <v>0</v>
      </c>
      <c r="S231" s="4" t="b">
        <v>1</v>
      </c>
      <c r="T231" s="3">
        <v>0</v>
      </c>
      <c r="U231" s="4" t="b">
        <v>0</v>
      </c>
      <c r="V231" s="7">
        <v>44891</v>
      </c>
      <c r="W231" s="7">
        <v>44895</v>
      </c>
    </row>
    <row r="232" spans="1:23" ht="14.4" x14ac:dyDescent="0.3">
      <c r="A232" s="3">
        <v>506644</v>
      </c>
      <c r="B232" s="4" t="b">
        <v>1</v>
      </c>
      <c r="C232" s="1" t="s">
        <v>2083</v>
      </c>
      <c r="D232" s="1" t="s">
        <v>2084</v>
      </c>
      <c r="E232" s="5">
        <v>387261</v>
      </c>
      <c r="F232" s="5">
        <v>-911901</v>
      </c>
      <c r="G232" s="1" t="s">
        <v>321</v>
      </c>
      <c r="H232" s="1" t="s">
        <v>2085</v>
      </c>
      <c r="I232" s="6">
        <v>44832.359261608799</v>
      </c>
      <c r="J232" s="1">
        <f>353980855933</f>
        <v>353980855933</v>
      </c>
      <c r="K232" s="3">
        <v>0</v>
      </c>
      <c r="L232" s="5">
        <v>0</v>
      </c>
      <c r="M232" s="1">
        <v>336637366</v>
      </c>
      <c r="N232" s="3">
        <v>0</v>
      </c>
      <c r="O232" s="3">
        <v>5</v>
      </c>
      <c r="P232" s="1" t="s">
        <v>33</v>
      </c>
      <c r="Q232" s="4" t="b">
        <v>0</v>
      </c>
      <c r="R232" s="4" t="b">
        <v>0</v>
      </c>
      <c r="S232" s="4" t="b">
        <v>1</v>
      </c>
      <c r="T232" s="3">
        <v>0</v>
      </c>
      <c r="U232" s="4" t="b">
        <v>0</v>
      </c>
      <c r="V232" s="7">
        <v>44902</v>
      </c>
      <c r="W232" s="8">
        <v>44878</v>
      </c>
    </row>
    <row r="233" spans="1:23" ht="14.4" x14ac:dyDescent="0.3">
      <c r="A233" s="3">
        <v>506644</v>
      </c>
      <c r="B233" s="4" t="b">
        <v>0</v>
      </c>
      <c r="C233" s="1" t="s">
        <v>2141</v>
      </c>
      <c r="D233" s="1" t="s">
        <v>2142</v>
      </c>
      <c r="E233" s="5">
        <v>5351153</v>
      </c>
      <c r="F233" s="5">
        <v>1025262</v>
      </c>
      <c r="G233" s="1" t="s">
        <v>2143</v>
      </c>
      <c r="H233" s="1" t="s">
        <v>2144</v>
      </c>
      <c r="I233" s="6">
        <v>44832.640153437504</v>
      </c>
      <c r="J233" s="1">
        <f>593385000553</f>
        <v>593385000553</v>
      </c>
      <c r="K233" s="3">
        <v>0</v>
      </c>
      <c r="L233" s="5">
        <v>0</v>
      </c>
      <c r="M233" s="1"/>
      <c r="N233" s="3">
        <v>0</v>
      </c>
      <c r="O233" s="3">
        <v>0</v>
      </c>
      <c r="P233" s="1" t="s">
        <v>28</v>
      </c>
      <c r="Q233" s="4" t="b">
        <v>1</v>
      </c>
      <c r="R233" s="4" t="b">
        <v>0</v>
      </c>
      <c r="S233" s="4" t="b">
        <v>0</v>
      </c>
      <c r="T233" s="3">
        <v>0</v>
      </c>
      <c r="U233" s="4" t="b">
        <v>0</v>
      </c>
      <c r="V233" s="8">
        <v>44880</v>
      </c>
      <c r="W233" s="8">
        <v>44886</v>
      </c>
    </row>
    <row r="234" spans="1:23" ht="14.4" x14ac:dyDescent="0.3">
      <c r="A234" s="3">
        <v>506644</v>
      </c>
      <c r="B234" s="4" t="b">
        <v>1</v>
      </c>
      <c r="C234" s="1" t="s">
        <v>2149</v>
      </c>
      <c r="D234" s="1" t="s">
        <v>2150</v>
      </c>
      <c r="E234" s="5">
        <v>476777</v>
      </c>
      <c r="F234" s="5">
        <v>2594187</v>
      </c>
      <c r="G234" s="1" t="s">
        <v>2151</v>
      </c>
      <c r="H234" s="1" t="s">
        <v>2152</v>
      </c>
      <c r="I234" s="6">
        <v>44833.303004444446</v>
      </c>
      <c r="J234" s="1">
        <f>33390335805</f>
        <v>33390335805</v>
      </c>
      <c r="K234" s="3">
        <v>0</v>
      </c>
      <c r="L234" s="5">
        <v>0</v>
      </c>
      <c r="M234" s="1"/>
      <c r="N234" s="3">
        <v>0</v>
      </c>
      <c r="O234" s="3">
        <v>0</v>
      </c>
      <c r="P234" s="1" t="s">
        <v>39</v>
      </c>
      <c r="Q234" s="4" t="b">
        <v>1</v>
      </c>
      <c r="R234" s="4" t="b">
        <v>0</v>
      </c>
      <c r="S234" s="4" t="b">
        <v>0</v>
      </c>
      <c r="T234" s="3">
        <v>0</v>
      </c>
      <c r="U234" s="4" t="b">
        <v>0</v>
      </c>
      <c r="V234" s="8">
        <v>44892</v>
      </c>
      <c r="W234" s="7">
        <v>44901</v>
      </c>
    </row>
    <row r="235" spans="1:23" ht="14.4" x14ac:dyDescent="0.3">
      <c r="A235" s="3">
        <v>506645</v>
      </c>
      <c r="B235" s="4" t="b">
        <v>1</v>
      </c>
      <c r="C235" s="1" t="s">
        <v>1898</v>
      </c>
      <c r="D235" s="1" t="s">
        <v>1899</v>
      </c>
      <c r="E235" s="5">
        <v>4350723</v>
      </c>
      <c r="F235" s="5">
        <v>-146896</v>
      </c>
      <c r="G235" s="1" t="s">
        <v>2138</v>
      </c>
      <c r="H235" s="1" t="s">
        <v>2139</v>
      </c>
      <c r="I235" s="6">
        <v>44832.624889791667</v>
      </c>
      <c r="J235" s="1">
        <f>33930058859</f>
        <v>33930058859</v>
      </c>
      <c r="K235" s="3">
        <v>0</v>
      </c>
      <c r="L235" s="5">
        <v>0</v>
      </c>
      <c r="M235" s="1" t="s">
        <v>2140</v>
      </c>
      <c r="N235" s="3">
        <v>0</v>
      </c>
      <c r="O235" s="3">
        <v>0</v>
      </c>
      <c r="P235" s="1" t="s">
        <v>28</v>
      </c>
      <c r="Q235" s="4" t="b">
        <v>1</v>
      </c>
      <c r="R235" s="4" t="b">
        <v>0</v>
      </c>
      <c r="S235" s="4" t="b">
        <v>0</v>
      </c>
      <c r="T235" s="3">
        <v>0</v>
      </c>
      <c r="U235" s="4" t="b">
        <v>0</v>
      </c>
      <c r="V235" s="7">
        <v>44903</v>
      </c>
      <c r="W235" s="8">
        <v>44890</v>
      </c>
    </row>
    <row r="236" spans="1:23" ht="14.4" x14ac:dyDescent="0.3">
      <c r="A236" s="3">
        <v>506645</v>
      </c>
      <c r="B236" s="4" t="b">
        <v>1</v>
      </c>
      <c r="C236" s="1" t="s">
        <v>2153</v>
      </c>
      <c r="D236" s="1" t="s">
        <v>2154</v>
      </c>
      <c r="E236" s="5">
        <v>4045735</v>
      </c>
      <c r="F236" s="5">
        <v>-369199</v>
      </c>
      <c r="G236" s="1" t="s">
        <v>195</v>
      </c>
      <c r="H236" s="1" t="s">
        <v>2155</v>
      </c>
      <c r="I236" s="6">
        <v>44833.305022442131</v>
      </c>
      <c r="J236" s="1">
        <f>35933555389</f>
        <v>35933555389</v>
      </c>
      <c r="K236" s="3">
        <v>0</v>
      </c>
      <c r="L236" s="5">
        <v>0</v>
      </c>
      <c r="M236" s="1" t="s">
        <v>2156</v>
      </c>
      <c r="N236" s="3">
        <v>0</v>
      </c>
      <c r="O236" s="3">
        <v>0</v>
      </c>
      <c r="P236" s="1" t="s">
        <v>28</v>
      </c>
      <c r="Q236" s="4" t="b">
        <v>1</v>
      </c>
      <c r="R236" s="4" t="b">
        <v>0</v>
      </c>
      <c r="S236" s="4" t="b">
        <v>0</v>
      </c>
      <c r="T236" s="3">
        <v>0</v>
      </c>
      <c r="U236" s="4" t="b">
        <v>0</v>
      </c>
      <c r="V236" s="8">
        <v>44884</v>
      </c>
      <c r="W236" s="8">
        <v>44886</v>
      </c>
    </row>
    <row r="237" spans="1:23" ht="14.4" x14ac:dyDescent="0.3">
      <c r="A237" s="3">
        <v>506646</v>
      </c>
      <c r="B237" s="4" t="b">
        <v>1</v>
      </c>
      <c r="C237" s="1" t="s">
        <v>2145</v>
      </c>
      <c r="D237" s="1" t="s">
        <v>2146</v>
      </c>
      <c r="E237" s="5">
        <v>4569826</v>
      </c>
      <c r="F237" s="5">
        <v>967727</v>
      </c>
      <c r="G237" s="1" t="s">
        <v>2147</v>
      </c>
      <c r="H237" s="1" t="s">
        <v>2148</v>
      </c>
      <c r="I237" s="6">
        <v>44832.845837210647</v>
      </c>
      <c r="J237" s="1">
        <f>393899398880</f>
        <v>393899398880</v>
      </c>
      <c r="K237" s="3">
        <v>0</v>
      </c>
      <c r="L237" s="5">
        <v>0</v>
      </c>
      <c r="M237" s="1"/>
      <c r="N237" s="3">
        <v>0</v>
      </c>
      <c r="O237" s="3">
        <v>1</v>
      </c>
      <c r="P237" s="1" t="s">
        <v>39</v>
      </c>
      <c r="Q237" s="4" t="b">
        <v>0</v>
      </c>
      <c r="R237" s="4" t="b">
        <v>0</v>
      </c>
      <c r="S237" s="4" t="b">
        <v>0</v>
      </c>
      <c r="T237" s="3">
        <v>0</v>
      </c>
      <c r="U237" s="4" t="b">
        <v>0</v>
      </c>
      <c r="V237" s="8">
        <v>44895</v>
      </c>
      <c r="W237" s="7">
        <v>44900</v>
      </c>
    </row>
    <row r="238" spans="1:23" s="34" customFormat="1" ht="14.4" x14ac:dyDescent="0.3">
      <c r="A238" s="3">
        <v>506650</v>
      </c>
      <c r="B238" s="4" t="b">
        <v>1</v>
      </c>
      <c r="C238" s="1" t="s">
        <v>1545</v>
      </c>
      <c r="D238" s="1" t="s">
        <v>1546</v>
      </c>
      <c r="E238" s="5">
        <v>4184493</v>
      </c>
      <c r="F238" s="5">
        <v>1254475</v>
      </c>
      <c r="G238" s="1" t="s">
        <v>25</v>
      </c>
      <c r="H238" s="1" t="s">
        <v>2157</v>
      </c>
      <c r="I238" s="6">
        <v>44833.305136111114</v>
      </c>
      <c r="J238" s="1">
        <f>393839353808</f>
        <v>393839353808</v>
      </c>
      <c r="K238" s="3">
        <v>0</v>
      </c>
      <c r="L238" s="5">
        <v>0</v>
      </c>
      <c r="M238" s="1">
        <v>777773337</v>
      </c>
      <c r="N238" s="3">
        <v>0</v>
      </c>
      <c r="O238" s="3">
        <v>0</v>
      </c>
      <c r="P238" s="1" t="s">
        <v>39</v>
      </c>
      <c r="Q238" s="4" t="b">
        <v>1</v>
      </c>
      <c r="R238" s="4" t="b">
        <v>0</v>
      </c>
      <c r="S238" s="4" t="b">
        <v>0</v>
      </c>
      <c r="T238" s="3">
        <v>0</v>
      </c>
      <c r="U238" s="4" t="b">
        <v>0</v>
      </c>
      <c r="V238" s="8">
        <v>44884</v>
      </c>
      <c r="W238" s="8">
        <v>44879</v>
      </c>
    </row>
    <row r="239" spans="1:23" s="34" customFormat="1" ht="14.4" x14ac:dyDescent="0.3">
      <c r="A239" s="3">
        <v>506651</v>
      </c>
      <c r="B239" s="4" t="b">
        <v>1</v>
      </c>
      <c r="C239" s="1" t="s">
        <v>2158</v>
      </c>
      <c r="D239" s="1" t="s">
        <v>2159</v>
      </c>
      <c r="E239" s="5">
        <v>3890907</v>
      </c>
      <c r="F239" s="5">
        <v>-93434</v>
      </c>
      <c r="G239" s="1" t="s">
        <v>2160</v>
      </c>
      <c r="H239" s="1" t="s">
        <v>2161</v>
      </c>
      <c r="I239" s="6">
        <v>44833.321728333336</v>
      </c>
      <c r="J239" s="1">
        <f>353993338833</f>
        <v>353993338833</v>
      </c>
      <c r="K239" s="3">
        <v>0</v>
      </c>
      <c r="L239" s="5">
        <v>0</v>
      </c>
      <c r="M239" s="1">
        <v>77633333</v>
      </c>
      <c r="N239" s="3">
        <v>0</v>
      </c>
      <c r="O239" s="3">
        <v>0</v>
      </c>
      <c r="P239" s="1" t="s">
        <v>33</v>
      </c>
      <c r="Q239" s="4" t="b">
        <v>0</v>
      </c>
      <c r="R239" s="4" t="b">
        <v>0</v>
      </c>
      <c r="S239" s="4" t="b">
        <v>0</v>
      </c>
      <c r="T239" s="3">
        <v>0</v>
      </c>
      <c r="U239" s="4" t="b">
        <v>0</v>
      </c>
      <c r="V239" s="7">
        <v>44879</v>
      </c>
      <c r="W239" s="7">
        <v>44897</v>
      </c>
    </row>
    <row r="240" spans="1:23" s="34" customFormat="1" ht="14.4" x14ac:dyDescent="0.3">
      <c r="A240" s="3">
        <v>506654</v>
      </c>
      <c r="B240" s="4" t="b">
        <v>1</v>
      </c>
      <c r="C240" s="1" t="s">
        <v>2169</v>
      </c>
      <c r="D240" s="1" t="s">
        <v>2170</v>
      </c>
      <c r="E240" s="5">
        <v>4040215</v>
      </c>
      <c r="F240" s="5">
        <v>-356111</v>
      </c>
      <c r="G240" s="1" t="s">
        <v>195</v>
      </c>
      <c r="H240" s="1" t="s">
        <v>2171</v>
      </c>
      <c r="I240" s="6">
        <v>44833.340224930558</v>
      </c>
      <c r="J240" s="1">
        <f>35355933359</f>
        <v>35355933359</v>
      </c>
      <c r="K240" s="3">
        <v>0</v>
      </c>
      <c r="L240" s="5">
        <v>0</v>
      </c>
      <c r="M240" s="1" t="s">
        <v>2172</v>
      </c>
      <c r="N240" s="3">
        <v>0</v>
      </c>
      <c r="O240" s="3">
        <v>0</v>
      </c>
      <c r="P240" s="1" t="s">
        <v>28</v>
      </c>
      <c r="Q240" s="4" t="b">
        <v>1</v>
      </c>
      <c r="R240" s="4" t="b">
        <v>0</v>
      </c>
      <c r="S240" s="4" t="b">
        <v>0</v>
      </c>
      <c r="T240" s="3">
        <v>0</v>
      </c>
      <c r="U240" s="4" t="b">
        <v>0</v>
      </c>
      <c r="V240" s="8">
        <v>44880</v>
      </c>
      <c r="W240" s="8">
        <v>44889</v>
      </c>
    </row>
    <row r="241" spans="1:23" s="34" customFormat="1" ht="14.4" x14ac:dyDescent="0.3">
      <c r="A241" s="3">
        <v>506654</v>
      </c>
      <c r="B241" s="4" t="b">
        <v>1</v>
      </c>
      <c r="C241" s="1" t="s">
        <v>2186</v>
      </c>
      <c r="D241" s="1" t="s">
        <v>2187</v>
      </c>
      <c r="E241" s="5">
        <v>5249127</v>
      </c>
      <c r="F241" s="5">
        <v>1339419</v>
      </c>
      <c r="G241" s="1" t="s">
        <v>1524</v>
      </c>
      <c r="H241" s="1" t="s">
        <v>2188</v>
      </c>
      <c r="I241" s="6">
        <v>44833.362311273151</v>
      </c>
      <c r="J241" s="1">
        <f>593090055538</f>
        <v>593090055538</v>
      </c>
      <c r="K241" s="3">
        <v>0</v>
      </c>
      <c r="L241" s="5">
        <v>0</v>
      </c>
      <c r="M241" s="1"/>
      <c r="N241" s="3">
        <v>0</v>
      </c>
      <c r="O241" s="3">
        <v>0</v>
      </c>
      <c r="P241" s="1" t="s">
        <v>28</v>
      </c>
      <c r="Q241" s="4" t="b">
        <v>1</v>
      </c>
      <c r="R241" s="4" t="b">
        <v>0</v>
      </c>
      <c r="S241" s="4" t="b">
        <v>0</v>
      </c>
      <c r="T241" s="3">
        <v>0</v>
      </c>
      <c r="U241" s="4" t="b">
        <v>0</v>
      </c>
      <c r="V241" s="8">
        <v>44884</v>
      </c>
      <c r="W241" s="8">
        <v>44885</v>
      </c>
    </row>
    <row r="242" spans="1:23" ht="14.4" x14ac:dyDescent="0.3">
      <c r="A242" s="3">
        <v>506656</v>
      </c>
      <c r="B242" s="4" t="b">
        <v>1</v>
      </c>
      <c r="C242" s="1" t="s">
        <v>2068</v>
      </c>
      <c r="D242" s="1" t="s">
        <v>2069</v>
      </c>
      <c r="E242" s="5">
        <v>5125157</v>
      </c>
      <c r="F242" s="5">
        <v>6801801</v>
      </c>
      <c r="G242" s="1" t="s">
        <v>2070</v>
      </c>
      <c r="H242" s="1" t="s">
        <v>2071</v>
      </c>
      <c r="I242" s="6">
        <v>44831.648893530095</v>
      </c>
      <c r="J242" s="1">
        <f>5935350389893</f>
        <v>5935350389893</v>
      </c>
      <c r="K242" s="3">
        <v>0</v>
      </c>
      <c r="L242" s="5">
        <v>0</v>
      </c>
      <c r="M242" s="1"/>
      <c r="N242" s="3">
        <v>0</v>
      </c>
      <c r="O242" s="3">
        <v>1</v>
      </c>
      <c r="P242" s="1" t="s">
        <v>33</v>
      </c>
      <c r="Q242" s="4" t="b">
        <v>1</v>
      </c>
      <c r="R242" s="4" t="b">
        <v>0</v>
      </c>
      <c r="S242" s="4" t="b">
        <v>0</v>
      </c>
      <c r="T242" s="3">
        <v>0</v>
      </c>
      <c r="U242" s="4" t="b">
        <v>0</v>
      </c>
      <c r="V242" s="8">
        <v>44888</v>
      </c>
      <c r="W242" s="8">
        <v>44891</v>
      </c>
    </row>
    <row r="243" spans="1:23" ht="14.4" x14ac:dyDescent="0.3">
      <c r="A243" s="3">
        <v>506656</v>
      </c>
      <c r="B243" s="4" t="b">
        <v>1</v>
      </c>
      <c r="C243" s="1" t="s">
        <v>2176</v>
      </c>
      <c r="D243" s="1" t="s">
        <v>2177</v>
      </c>
      <c r="E243" s="5">
        <v>4367206</v>
      </c>
      <c r="F243" s="5">
        <v>7189697</v>
      </c>
      <c r="G243" s="1" t="s">
        <v>2178</v>
      </c>
      <c r="H243" s="1" t="s">
        <v>2179</v>
      </c>
      <c r="I243" s="6">
        <v>44833.349603506947</v>
      </c>
      <c r="J243" s="1">
        <f>33930358938</f>
        <v>33930358938</v>
      </c>
      <c r="K243" s="3">
        <v>0</v>
      </c>
      <c r="L243" s="5">
        <v>0</v>
      </c>
      <c r="M243" s="1" t="s">
        <v>2180</v>
      </c>
      <c r="N243" s="3">
        <v>0</v>
      </c>
      <c r="O243" s="3">
        <v>0</v>
      </c>
      <c r="P243" s="1" t="s">
        <v>28</v>
      </c>
      <c r="Q243" s="4" t="b">
        <v>1</v>
      </c>
      <c r="R243" s="4" t="b">
        <v>0</v>
      </c>
      <c r="S243" s="4" t="b">
        <v>0</v>
      </c>
      <c r="T243" s="3">
        <v>0</v>
      </c>
      <c r="U243" s="4" t="b">
        <v>0</v>
      </c>
      <c r="V243" s="8">
        <v>44884</v>
      </c>
      <c r="W243" s="8">
        <v>44889</v>
      </c>
    </row>
    <row r="244" spans="1:23" ht="14.4" x14ac:dyDescent="0.3">
      <c r="A244" s="3">
        <v>506657</v>
      </c>
      <c r="B244" s="4" t="b">
        <v>1</v>
      </c>
      <c r="C244" s="1" t="s">
        <v>2181</v>
      </c>
      <c r="D244" s="1" t="s">
        <v>2182</v>
      </c>
      <c r="E244" s="5">
        <v>4880844</v>
      </c>
      <c r="F244" s="5">
        <v>2528657</v>
      </c>
      <c r="G244" s="1" t="s">
        <v>2183</v>
      </c>
      <c r="H244" s="1" t="s">
        <v>2184</v>
      </c>
      <c r="I244" s="6">
        <v>44833.349747824075</v>
      </c>
      <c r="J244" s="1">
        <f>33393839988</f>
        <v>33393839988</v>
      </c>
      <c r="K244" s="3">
        <v>0</v>
      </c>
      <c r="L244" s="5">
        <v>0</v>
      </c>
      <c r="M244" s="1" t="s">
        <v>2185</v>
      </c>
      <c r="N244" s="3">
        <v>0</v>
      </c>
      <c r="O244" s="3">
        <v>0</v>
      </c>
      <c r="P244" s="1" t="s">
        <v>39</v>
      </c>
      <c r="Q244" s="4" t="b">
        <v>1</v>
      </c>
      <c r="R244" s="4" t="b">
        <v>0</v>
      </c>
      <c r="S244" s="4" t="b">
        <v>0</v>
      </c>
      <c r="T244" s="3">
        <v>0</v>
      </c>
      <c r="U244" s="4" t="b">
        <v>0</v>
      </c>
      <c r="V244" s="7">
        <v>44903</v>
      </c>
      <c r="W244" s="7">
        <v>44901</v>
      </c>
    </row>
    <row r="245" spans="1:23" ht="14.4" x14ac:dyDescent="0.3">
      <c r="A245" s="3">
        <v>506661</v>
      </c>
      <c r="B245" s="4" t="b">
        <v>1</v>
      </c>
      <c r="C245" s="1" t="s">
        <v>2113</v>
      </c>
      <c r="D245" s="1" t="s">
        <v>2114</v>
      </c>
      <c r="E245" s="5">
        <v>4751101</v>
      </c>
      <c r="F245" s="5">
        <v>8595552</v>
      </c>
      <c r="G245" s="1" t="s">
        <v>2115</v>
      </c>
      <c r="H245" s="1" t="s">
        <v>2116</v>
      </c>
      <c r="I245" s="6">
        <v>44832.493096493054</v>
      </c>
      <c r="J245" s="1">
        <f>53395538838</f>
        <v>53395538838</v>
      </c>
      <c r="K245" s="3">
        <v>0</v>
      </c>
      <c r="L245" s="5">
        <v>0</v>
      </c>
      <c r="M245" s="1"/>
      <c r="N245" s="3">
        <v>0</v>
      </c>
      <c r="O245" s="3">
        <v>1</v>
      </c>
      <c r="P245" s="1" t="s">
        <v>28</v>
      </c>
      <c r="Q245" s="4" t="b">
        <v>1</v>
      </c>
      <c r="R245" s="4" t="b">
        <v>0</v>
      </c>
      <c r="S245" s="4" t="b">
        <v>0</v>
      </c>
      <c r="T245" s="3">
        <v>0</v>
      </c>
      <c r="U245" s="4" t="b">
        <v>0</v>
      </c>
      <c r="V245" s="7">
        <v>44900</v>
      </c>
      <c r="W245" s="8">
        <v>44878</v>
      </c>
    </row>
    <row r="246" spans="1:23" ht="14.4" x14ac:dyDescent="0.3">
      <c r="A246" s="3">
        <v>506664</v>
      </c>
      <c r="B246" s="4" t="b">
        <v>1</v>
      </c>
      <c r="C246" s="1" t="s">
        <v>2126</v>
      </c>
      <c r="D246" s="1" t="s">
        <v>2127</v>
      </c>
      <c r="E246" s="5">
        <v>5156281</v>
      </c>
      <c r="F246" s="5">
        <v>220388</v>
      </c>
      <c r="G246" s="1" t="s">
        <v>1367</v>
      </c>
      <c r="H246" s="1" t="s">
        <v>2128</v>
      </c>
      <c r="I246" s="6">
        <v>44832.546538391201</v>
      </c>
      <c r="J246" s="1">
        <f>553585339505</f>
        <v>553585339505</v>
      </c>
      <c r="K246" s="3">
        <v>0</v>
      </c>
      <c r="L246" s="5">
        <v>0</v>
      </c>
      <c r="M246" s="1"/>
      <c r="N246" s="3">
        <v>0</v>
      </c>
      <c r="O246" s="3">
        <v>1</v>
      </c>
      <c r="P246" s="1" t="s">
        <v>39</v>
      </c>
      <c r="Q246" s="4" t="b">
        <v>1</v>
      </c>
      <c r="R246" s="4" t="b">
        <v>0</v>
      </c>
      <c r="S246" s="4" t="b">
        <v>0</v>
      </c>
      <c r="T246" s="3">
        <v>0</v>
      </c>
      <c r="U246" s="4" t="b">
        <v>0</v>
      </c>
      <c r="V246" s="8">
        <v>44893</v>
      </c>
      <c r="W246" s="8">
        <v>44877</v>
      </c>
    </row>
    <row r="247" spans="1:23" ht="14.4" x14ac:dyDescent="0.3">
      <c r="A247" s="3">
        <v>506666</v>
      </c>
      <c r="B247" s="4" t="b">
        <v>1</v>
      </c>
      <c r="C247" s="1" t="s">
        <v>2121</v>
      </c>
      <c r="D247" s="1" t="s">
        <v>2122</v>
      </c>
      <c r="E247" s="5">
        <v>3737684</v>
      </c>
      <c r="F247" s="5">
        <v>-594734</v>
      </c>
      <c r="G247" s="1" t="s">
        <v>2123</v>
      </c>
      <c r="H247" s="1" t="s">
        <v>2124</v>
      </c>
      <c r="I247" s="6">
        <v>44832.533624733798</v>
      </c>
      <c r="J247" s="1">
        <f>35933550383</f>
        <v>35933550383</v>
      </c>
      <c r="K247" s="3">
        <v>0</v>
      </c>
      <c r="L247" s="5">
        <v>0</v>
      </c>
      <c r="M247" s="1" t="s">
        <v>2125</v>
      </c>
      <c r="N247" s="3">
        <v>0</v>
      </c>
      <c r="O247" s="3">
        <v>2</v>
      </c>
      <c r="P247" s="1" t="s">
        <v>33</v>
      </c>
      <c r="Q247" s="4" t="b">
        <v>1</v>
      </c>
      <c r="R247" s="4" t="b">
        <v>0</v>
      </c>
      <c r="S247" s="4" t="b">
        <v>0</v>
      </c>
      <c r="T247" s="3">
        <v>0</v>
      </c>
      <c r="U247" s="4" t="b">
        <v>0</v>
      </c>
      <c r="V247" s="7">
        <v>44882</v>
      </c>
      <c r="W247" s="7">
        <v>44877</v>
      </c>
    </row>
    <row r="248" spans="1:23" ht="14.4" x14ac:dyDescent="0.3">
      <c r="A248" s="3">
        <v>506674</v>
      </c>
      <c r="B248" s="4" t="b">
        <v>1</v>
      </c>
      <c r="C248" s="1" t="s">
        <v>1059</v>
      </c>
      <c r="D248" s="1" t="s">
        <v>1060</v>
      </c>
      <c r="E248" s="5">
        <v>3734626</v>
      </c>
      <c r="F248" s="5">
        <v>-605446</v>
      </c>
      <c r="G248" s="1" t="s">
        <v>2131</v>
      </c>
      <c r="H248" s="1" t="s">
        <v>2132</v>
      </c>
      <c r="I248" s="6">
        <v>44832.610166574072</v>
      </c>
      <c r="J248" s="1">
        <f>35905558555</f>
        <v>35905558555</v>
      </c>
      <c r="K248" s="3">
        <v>0</v>
      </c>
      <c r="L248" s="5">
        <v>0</v>
      </c>
      <c r="M248" s="1" t="s">
        <v>2133</v>
      </c>
      <c r="N248" s="3">
        <v>0</v>
      </c>
      <c r="O248" s="3">
        <v>1</v>
      </c>
      <c r="P248" s="1" t="s">
        <v>28</v>
      </c>
      <c r="Q248" s="4" t="b">
        <v>1</v>
      </c>
      <c r="R248" s="4" t="b">
        <v>0</v>
      </c>
      <c r="S248" s="4" t="b">
        <v>0</v>
      </c>
      <c r="T248" s="3">
        <v>0</v>
      </c>
      <c r="U248" s="4" t="b">
        <v>0</v>
      </c>
      <c r="V248" s="8">
        <v>44890</v>
      </c>
      <c r="W248" s="8">
        <v>44882</v>
      </c>
    </row>
    <row r="249" spans="1:23" ht="14.4" x14ac:dyDescent="0.3">
      <c r="A249" s="3">
        <v>506675</v>
      </c>
      <c r="B249" s="4" t="b">
        <v>1</v>
      </c>
      <c r="C249" s="1" t="s">
        <v>2134</v>
      </c>
      <c r="D249" s="1" t="s">
        <v>2135</v>
      </c>
      <c r="E249" s="5">
        <v>4092109</v>
      </c>
      <c r="F249" s="5">
        <v>1447626</v>
      </c>
      <c r="G249" s="1" t="s">
        <v>2136</v>
      </c>
      <c r="H249" s="1" t="s">
        <v>2137</v>
      </c>
      <c r="I249" s="6">
        <v>44832.61105496528</v>
      </c>
      <c r="J249" s="1">
        <f>393838330383</f>
        <v>393838330383</v>
      </c>
      <c r="K249" s="3">
        <v>0</v>
      </c>
      <c r="L249" s="5">
        <v>0</v>
      </c>
      <c r="M249" s="1">
        <v>773337</v>
      </c>
      <c r="N249" s="3">
        <v>0</v>
      </c>
      <c r="O249" s="3">
        <v>3</v>
      </c>
      <c r="P249" s="1" t="s">
        <v>33</v>
      </c>
      <c r="Q249" s="4" t="b">
        <v>1</v>
      </c>
      <c r="R249" s="4" t="b">
        <v>0</v>
      </c>
      <c r="S249" s="4" t="b">
        <v>0</v>
      </c>
      <c r="T249" s="3">
        <v>0</v>
      </c>
      <c r="U249" s="4" t="b">
        <v>0</v>
      </c>
      <c r="V249" s="8">
        <v>44889</v>
      </c>
      <c r="W249" s="8">
        <v>44885</v>
      </c>
    </row>
    <row r="250" spans="1:23" ht="14.4" x14ac:dyDescent="0.3">
      <c r="A250" s="3">
        <v>506677</v>
      </c>
      <c r="B250" s="4" t="b">
        <v>1</v>
      </c>
      <c r="C250" s="1" t="s">
        <v>493</v>
      </c>
      <c r="D250" s="1" t="s">
        <v>494</v>
      </c>
      <c r="E250" s="5">
        <v>3936065</v>
      </c>
      <c r="F250" s="5">
        <v>-937957</v>
      </c>
      <c r="G250" s="1" t="s">
        <v>2129</v>
      </c>
      <c r="H250" s="1" t="s">
        <v>2130</v>
      </c>
      <c r="I250" s="6">
        <v>44832.60449701389</v>
      </c>
      <c r="J250" s="1">
        <f>353938805895</f>
        <v>353938805895</v>
      </c>
      <c r="K250" s="3">
        <v>0</v>
      </c>
      <c r="L250" s="5">
        <v>0</v>
      </c>
      <c r="M250" s="1">
        <v>6333333</v>
      </c>
      <c r="N250" s="3">
        <v>0</v>
      </c>
      <c r="O250" s="3">
        <v>1</v>
      </c>
      <c r="P250" s="1" t="s">
        <v>39</v>
      </c>
      <c r="Q250" s="4" t="b">
        <v>1</v>
      </c>
      <c r="R250" s="4" t="b">
        <v>0</v>
      </c>
      <c r="S250" s="4" t="b">
        <v>0</v>
      </c>
      <c r="T250" s="3">
        <v>0</v>
      </c>
      <c r="U250" s="4" t="b">
        <v>0</v>
      </c>
      <c r="V250" s="8">
        <v>44895</v>
      </c>
      <c r="W250" s="7">
        <v>44903</v>
      </c>
    </row>
    <row r="251" spans="1:23" ht="14.4" x14ac:dyDescent="0.3">
      <c r="A251" s="3">
        <v>506700</v>
      </c>
      <c r="B251" s="4" t="b">
        <v>1</v>
      </c>
      <c r="C251" s="1" t="s">
        <v>2192</v>
      </c>
      <c r="D251" s="1" t="s">
        <v>2193</v>
      </c>
      <c r="E251" s="5">
        <v>4861259</v>
      </c>
      <c r="F251" s="5">
        <v>2483231</v>
      </c>
      <c r="G251" s="1" t="s">
        <v>2194</v>
      </c>
      <c r="H251" s="1" t="s">
        <v>2195</v>
      </c>
      <c r="I251" s="6">
        <v>44833.367579594909</v>
      </c>
      <c r="J251" s="1">
        <f>33909339089</f>
        <v>33909339089</v>
      </c>
      <c r="K251" s="3">
        <v>0</v>
      </c>
      <c r="L251" s="5">
        <v>0</v>
      </c>
      <c r="M251" s="1" t="s">
        <v>2196</v>
      </c>
      <c r="N251" s="3">
        <v>0</v>
      </c>
      <c r="O251" s="3">
        <v>0</v>
      </c>
      <c r="P251" s="1" t="s">
        <v>33</v>
      </c>
      <c r="Q251" s="4" t="b">
        <v>1</v>
      </c>
      <c r="R251" s="4" t="b">
        <v>0</v>
      </c>
      <c r="S251" s="4" t="b">
        <v>0</v>
      </c>
      <c r="T251" s="3">
        <v>0</v>
      </c>
      <c r="U251" s="4" t="b">
        <v>0</v>
      </c>
      <c r="V251" s="8">
        <v>44895</v>
      </c>
      <c r="W251" s="8">
        <v>44887</v>
      </c>
    </row>
    <row r="252" spans="1:23" ht="14.4" x14ac:dyDescent="0.3">
      <c r="A252" s="3">
        <v>506701</v>
      </c>
      <c r="B252" s="4" t="b">
        <v>1</v>
      </c>
      <c r="C252" s="1" t="s">
        <v>1401</v>
      </c>
      <c r="D252" s="1" t="s">
        <v>1402</v>
      </c>
      <c r="E252" s="5">
        <v>4157063</v>
      </c>
      <c r="F252" s="5">
        <v>2084466</v>
      </c>
      <c r="G252" s="1" t="s">
        <v>2197</v>
      </c>
      <c r="H252" s="1" t="s">
        <v>2198</v>
      </c>
      <c r="I252" s="6">
        <v>44833.368769236113</v>
      </c>
      <c r="J252" s="1">
        <f>35935309598</f>
        <v>35935309598</v>
      </c>
      <c r="K252" s="3">
        <v>0</v>
      </c>
      <c r="L252" s="5">
        <v>0</v>
      </c>
      <c r="M252" s="1" t="s">
        <v>2199</v>
      </c>
      <c r="N252" s="3">
        <v>0</v>
      </c>
      <c r="O252" s="3">
        <v>0</v>
      </c>
      <c r="P252" s="1" t="s">
        <v>39</v>
      </c>
      <c r="Q252" s="4" t="b">
        <v>1</v>
      </c>
      <c r="R252" s="4" t="b">
        <v>0</v>
      </c>
      <c r="S252" s="4" t="b">
        <v>0</v>
      </c>
      <c r="T252" s="3">
        <v>0</v>
      </c>
      <c r="U252" s="4" t="b">
        <v>0</v>
      </c>
      <c r="V252" s="8">
        <v>44894</v>
      </c>
      <c r="W252" s="8">
        <v>44894</v>
      </c>
    </row>
    <row r="253" spans="1:23" ht="14.4" x14ac:dyDescent="0.3">
      <c r="A253" s="3">
        <v>506704</v>
      </c>
      <c r="B253" s="4" t="b">
        <v>1</v>
      </c>
      <c r="C253" s="1" t="s">
        <v>2208</v>
      </c>
      <c r="D253" s="1" t="s">
        <v>2209</v>
      </c>
      <c r="E253" s="5">
        <v>3857183</v>
      </c>
      <c r="F253" s="5">
        <v>-79112</v>
      </c>
      <c r="G253" s="1" t="s">
        <v>2210</v>
      </c>
      <c r="H253" s="1" t="s">
        <v>2211</v>
      </c>
      <c r="I253" s="6">
        <v>44833.382017465279</v>
      </c>
      <c r="J253" s="1">
        <f>353938933393</f>
        <v>353938933393</v>
      </c>
      <c r="K253" s="3">
        <v>0</v>
      </c>
      <c r="L253" s="5">
        <v>0</v>
      </c>
      <c r="M253" s="1"/>
      <c r="N253" s="3">
        <v>0</v>
      </c>
      <c r="O253" s="3">
        <v>0</v>
      </c>
      <c r="P253" s="1" t="s">
        <v>39</v>
      </c>
      <c r="Q253" s="4" t="b">
        <v>1</v>
      </c>
      <c r="R253" s="4" t="b">
        <v>0</v>
      </c>
      <c r="S253" s="4" t="b">
        <v>0</v>
      </c>
      <c r="T253" s="3">
        <v>0</v>
      </c>
      <c r="U253" s="4" t="b">
        <v>0</v>
      </c>
      <c r="V253" s="8">
        <v>44890</v>
      </c>
      <c r="W253" s="7">
        <v>44902</v>
      </c>
    </row>
    <row r="254" spans="1:23" ht="14.4" x14ac:dyDescent="0.3">
      <c r="A254" s="3">
        <v>506704</v>
      </c>
      <c r="B254" s="4" t="b">
        <v>1</v>
      </c>
      <c r="C254" s="1" t="s">
        <v>2219</v>
      </c>
      <c r="D254" s="1" t="s">
        <v>2220</v>
      </c>
      <c r="E254" s="5">
        <v>4819929</v>
      </c>
      <c r="F254" s="5">
        <v>1639963</v>
      </c>
      <c r="G254" s="1" t="s">
        <v>1599</v>
      </c>
      <c r="H254" s="1" t="s">
        <v>2221</v>
      </c>
      <c r="I254" s="6">
        <v>44833.408833738424</v>
      </c>
      <c r="J254" s="1">
        <f>539393803099</f>
        <v>539393803099</v>
      </c>
      <c r="K254" s="3">
        <v>0</v>
      </c>
      <c r="L254" s="5">
        <v>0</v>
      </c>
      <c r="M254" s="1"/>
      <c r="N254" s="3">
        <v>0</v>
      </c>
      <c r="O254" s="3">
        <v>0</v>
      </c>
      <c r="P254" s="1" t="s">
        <v>39</v>
      </c>
      <c r="Q254" s="4" t="b">
        <v>1</v>
      </c>
      <c r="R254" s="4" t="b">
        <v>0</v>
      </c>
      <c r="S254" s="4" t="b">
        <v>0</v>
      </c>
      <c r="T254" s="3">
        <v>0</v>
      </c>
      <c r="U254" s="4" t="b">
        <v>0</v>
      </c>
      <c r="V254" s="7">
        <v>44901</v>
      </c>
      <c r="W254" s="7">
        <v>44903</v>
      </c>
    </row>
    <row r="255" spans="1:23" ht="14.4" x14ac:dyDescent="0.3">
      <c r="A255" s="3">
        <v>506705</v>
      </c>
      <c r="B255" s="4" t="b">
        <v>1</v>
      </c>
      <c r="C255" s="1" t="s">
        <v>2200</v>
      </c>
      <c r="D255" s="1" t="s">
        <v>2201</v>
      </c>
      <c r="E255" s="5">
        <v>4544702</v>
      </c>
      <c r="F255" s="5">
        <v>1094439</v>
      </c>
      <c r="G255" s="1" t="s">
        <v>76</v>
      </c>
      <c r="H255" s="1" t="s">
        <v>2202</v>
      </c>
      <c r="I255" s="6">
        <v>44833.369128425926</v>
      </c>
      <c r="J255" s="1">
        <f>393803035899</f>
        <v>393803035899</v>
      </c>
      <c r="K255" s="3">
        <v>0</v>
      </c>
      <c r="L255" s="5">
        <v>0</v>
      </c>
      <c r="M255" s="1">
        <v>76633373</v>
      </c>
      <c r="N255" s="3">
        <v>0</v>
      </c>
      <c r="O255" s="3">
        <v>0</v>
      </c>
      <c r="P255" s="1" t="s">
        <v>28</v>
      </c>
      <c r="Q255" s="4" t="b">
        <v>1</v>
      </c>
      <c r="R255" s="4" t="b">
        <v>0</v>
      </c>
      <c r="S255" s="4" t="b">
        <v>0</v>
      </c>
      <c r="T255" s="3">
        <v>0</v>
      </c>
      <c r="U255" s="4" t="b">
        <v>0</v>
      </c>
      <c r="V255" s="8">
        <v>44885</v>
      </c>
      <c r="W255" s="7">
        <v>44903</v>
      </c>
    </row>
    <row r="256" spans="1:23" ht="14.4" x14ac:dyDescent="0.3">
      <c r="A256" s="3">
        <v>506705</v>
      </c>
      <c r="B256" s="4" t="b">
        <v>1</v>
      </c>
      <c r="C256" s="1" t="s">
        <v>341</v>
      </c>
      <c r="D256" s="1" t="s">
        <v>342</v>
      </c>
      <c r="E256" s="5">
        <v>4566702</v>
      </c>
      <c r="F256" s="5">
        <v>8332441</v>
      </c>
      <c r="G256" s="1" t="s">
        <v>2222</v>
      </c>
      <c r="H256" s="1" t="s">
        <v>2223</v>
      </c>
      <c r="I256" s="6">
        <v>44833.409402476849</v>
      </c>
      <c r="J256" s="1">
        <f>393353835835</f>
        <v>393353835835</v>
      </c>
      <c r="K256" s="3">
        <v>0</v>
      </c>
      <c r="L256" s="5">
        <v>0</v>
      </c>
      <c r="M256" s="1">
        <v>777333333</v>
      </c>
      <c r="N256" s="3">
        <v>0</v>
      </c>
      <c r="O256" s="3">
        <v>0</v>
      </c>
      <c r="P256" s="1" t="s">
        <v>39</v>
      </c>
      <c r="Q256" s="4" t="b">
        <v>1</v>
      </c>
      <c r="R256" s="4" t="b">
        <v>0</v>
      </c>
      <c r="S256" s="4" t="b">
        <v>0</v>
      </c>
      <c r="T256" s="3">
        <v>0</v>
      </c>
      <c r="U256" s="4" t="b">
        <v>0</v>
      </c>
      <c r="V256" s="8">
        <v>44882</v>
      </c>
      <c r="W256" s="8">
        <v>44879</v>
      </c>
    </row>
    <row r="257" spans="1:23" ht="14.4" x14ac:dyDescent="0.3">
      <c r="A257" s="3">
        <v>506706</v>
      </c>
      <c r="B257" s="4" t="b">
        <v>1</v>
      </c>
      <c r="C257" s="1" t="s">
        <v>2215</v>
      </c>
      <c r="D257" s="1" t="s">
        <v>2216</v>
      </c>
      <c r="E257" s="5">
        <v>4092404</v>
      </c>
      <c r="F257" s="5">
        <v>1453638</v>
      </c>
      <c r="G257" s="1" t="s">
        <v>2217</v>
      </c>
      <c r="H257" s="1" t="s">
        <v>2218</v>
      </c>
      <c r="I257" s="6">
        <v>44833.398424027779</v>
      </c>
      <c r="J257" s="1">
        <f>390835388350</f>
        <v>390835388350</v>
      </c>
      <c r="K257" s="3">
        <v>0</v>
      </c>
      <c r="L257" s="5">
        <v>0</v>
      </c>
      <c r="M257" s="1">
        <v>7373337</v>
      </c>
      <c r="N257" s="3">
        <v>0</v>
      </c>
      <c r="O257" s="3">
        <v>0</v>
      </c>
      <c r="P257" s="1" t="s">
        <v>39</v>
      </c>
      <c r="Q257" s="4" t="b">
        <v>1</v>
      </c>
      <c r="R257" s="4" t="b">
        <v>0</v>
      </c>
      <c r="S257" s="4" t="b">
        <v>0</v>
      </c>
      <c r="T257" s="3">
        <v>0</v>
      </c>
      <c r="U257" s="4" t="b">
        <v>0</v>
      </c>
      <c r="V257" s="8">
        <v>44888</v>
      </c>
      <c r="W257" s="8">
        <v>44901</v>
      </c>
    </row>
    <row r="258" spans="1:23" ht="14.4" x14ac:dyDescent="0.3">
      <c r="A258" s="3">
        <v>506710</v>
      </c>
      <c r="B258" s="4" t="b">
        <v>1</v>
      </c>
      <c r="C258" s="1" t="s">
        <v>2224</v>
      </c>
      <c r="D258" s="1" t="s">
        <v>2225</v>
      </c>
      <c r="E258" s="5">
        <v>5154644</v>
      </c>
      <c r="F258" s="5">
        <v>-36895</v>
      </c>
      <c r="G258" s="1" t="s">
        <v>1367</v>
      </c>
      <c r="H258" s="1" t="s">
        <v>2226</v>
      </c>
      <c r="I258" s="6">
        <v>44833.415163425925</v>
      </c>
      <c r="J258" s="1">
        <f>558080358335</f>
        <v>558080358335</v>
      </c>
      <c r="K258" s="3">
        <v>0</v>
      </c>
      <c r="L258" s="5">
        <v>0</v>
      </c>
      <c r="M258" s="1"/>
      <c r="N258" s="3">
        <v>0</v>
      </c>
      <c r="O258" s="3">
        <v>0</v>
      </c>
      <c r="P258" s="1" t="s">
        <v>28</v>
      </c>
      <c r="Q258" s="4" t="b">
        <v>1</v>
      </c>
      <c r="R258" s="4" t="b">
        <v>0</v>
      </c>
      <c r="S258" s="4" t="b">
        <v>0</v>
      </c>
      <c r="T258" s="3">
        <v>0</v>
      </c>
      <c r="U258" s="4" t="b">
        <v>1</v>
      </c>
      <c r="V258" s="7">
        <v>44902</v>
      </c>
      <c r="W258" s="8">
        <v>44890</v>
      </c>
    </row>
    <row r="259" spans="1:23" ht="14.4" x14ac:dyDescent="0.3">
      <c r="A259" s="3">
        <v>506711</v>
      </c>
      <c r="B259" s="4" t="b">
        <v>1</v>
      </c>
      <c r="C259" s="1" t="s">
        <v>2227</v>
      </c>
      <c r="D259" s="1" t="s">
        <v>2228</v>
      </c>
      <c r="E259" s="5">
        <v>3807281</v>
      </c>
      <c r="F259" s="5">
        <v>2381242</v>
      </c>
      <c r="G259" s="1" t="s">
        <v>232</v>
      </c>
      <c r="H259" s="1" t="s">
        <v>233</v>
      </c>
      <c r="I259" s="6">
        <v>44833.424493101855</v>
      </c>
      <c r="J259" s="1">
        <f>309985993899</f>
        <v>309985993899</v>
      </c>
      <c r="K259" s="3">
        <v>0</v>
      </c>
      <c r="L259" s="5">
        <v>0</v>
      </c>
      <c r="M259" s="1">
        <v>733733</v>
      </c>
      <c r="N259" s="3">
        <v>0</v>
      </c>
      <c r="O259" s="3">
        <v>0</v>
      </c>
      <c r="P259" s="1" t="s">
        <v>33</v>
      </c>
      <c r="Q259" s="4" t="b">
        <v>1</v>
      </c>
      <c r="R259" s="4" t="b">
        <v>0</v>
      </c>
      <c r="S259" s="4" t="b">
        <v>0</v>
      </c>
      <c r="T259" s="3">
        <v>0</v>
      </c>
      <c r="U259" s="4" t="b">
        <v>0</v>
      </c>
      <c r="V259" s="7">
        <v>44899</v>
      </c>
      <c r="W259" s="7">
        <v>44903</v>
      </c>
    </row>
    <row r="260" spans="1:23" ht="14.4" x14ac:dyDescent="0.3">
      <c r="A260" s="3">
        <v>506714</v>
      </c>
      <c r="B260" s="4" t="b">
        <v>1</v>
      </c>
      <c r="C260" s="1" t="s">
        <v>125</v>
      </c>
      <c r="D260" s="1" t="s">
        <v>126</v>
      </c>
      <c r="E260" s="5">
        <v>4138348</v>
      </c>
      <c r="F260" s="5">
        <v>2134609</v>
      </c>
      <c r="G260" s="1" t="s">
        <v>182</v>
      </c>
      <c r="H260" s="1" t="s">
        <v>2241</v>
      </c>
      <c r="I260" s="6">
        <v>44833.47185710648</v>
      </c>
      <c r="J260" s="6"/>
      <c r="K260" s="3">
        <v>0</v>
      </c>
      <c r="L260" s="5">
        <v>0</v>
      </c>
      <c r="M260" s="1" t="s">
        <v>2242</v>
      </c>
      <c r="N260" s="3">
        <v>0</v>
      </c>
      <c r="O260" s="3">
        <v>0</v>
      </c>
      <c r="P260" s="1" t="s">
        <v>33</v>
      </c>
      <c r="Q260" s="4" t="b">
        <v>1</v>
      </c>
      <c r="R260" s="4" t="b">
        <v>0</v>
      </c>
      <c r="S260" s="4" t="b">
        <v>0</v>
      </c>
      <c r="T260" s="3">
        <v>0</v>
      </c>
      <c r="U260" s="4" t="b">
        <v>1</v>
      </c>
      <c r="V260" s="7">
        <v>44894</v>
      </c>
      <c r="W260" s="7">
        <v>44891</v>
      </c>
    </row>
    <row r="261" spans="1:23" ht="14.4" x14ac:dyDescent="0.3">
      <c r="A261" s="3">
        <v>506715</v>
      </c>
      <c r="B261" s="4" t="b">
        <v>1</v>
      </c>
      <c r="C261" s="1" t="s">
        <v>2229</v>
      </c>
      <c r="D261" s="1" t="s">
        <v>2230</v>
      </c>
      <c r="E261" s="5">
        <v>4564908</v>
      </c>
      <c r="F261" s="5">
        <v>9200391</v>
      </c>
      <c r="G261" s="1" t="s">
        <v>2231</v>
      </c>
      <c r="H261" s="1" t="s">
        <v>2232</v>
      </c>
      <c r="I261" s="6">
        <v>44833.425155219906</v>
      </c>
      <c r="J261" s="1">
        <f>393508088099</f>
        <v>393508088099</v>
      </c>
      <c r="K261" s="3">
        <v>0</v>
      </c>
      <c r="L261" s="5">
        <v>0</v>
      </c>
      <c r="M261" s="1">
        <v>77373763</v>
      </c>
      <c r="N261" s="3">
        <v>0</v>
      </c>
      <c r="O261" s="3">
        <v>0</v>
      </c>
      <c r="P261" s="1" t="s">
        <v>39</v>
      </c>
      <c r="Q261" s="4" t="b">
        <v>1</v>
      </c>
      <c r="R261" s="4" t="b">
        <v>0</v>
      </c>
      <c r="S261" s="4" t="b">
        <v>0</v>
      </c>
      <c r="T261" s="3">
        <v>0</v>
      </c>
      <c r="U261" s="4" t="b">
        <v>0</v>
      </c>
      <c r="V261" s="8">
        <v>44893</v>
      </c>
      <c r="W261" s="8">
        <v>44893</v>
      </c>
    </row>
    <row r="262" spans="1:23" ht="14.4" x14ac:dyDescent="0.3">
      <c r="A262" s="3">
        <v>506715</v>
      </c>
      <c r="B262" s="4" t="b">
        <v>1</v>
      </c>
      <c r="C262" s="1" t="s">
        <v>2243</v>
      </c>
      <c r="D262" s="1" t="s">
        <v>2244</v>
      </c>
      <c r="E262" s="5">
        <v>5360377</v>
      </c>
      <c r="F262" s="5">
        <v>1015451</v>
      </c>
      <c r="G262" s="1" t="s">
        <v>1331</v>
      </c>
      <c r="H262" s="1" t="s">
        <v>2245</v>
      </c>
      <c r="I262" s="6">
        <v>44833.472860393522</v>
      </c>
      <c r="J262" s="1">
        <f>595093999958</f>
        <v>595093999958</v>
      </c>
      <c r="K262" s="3">
        <v>0</v>
      </c>
      <c r="L262" s="5">
        <v>0</v>
      </c>
      <c r="M262" s="1"/>
      <c r="N262" s="3">
        <v>0</v>
      </c>
      <c r="O262" s="3">
        <v>0</v>
      </c>
      <c r="P262" s="1" t="s">
        <v>39</v>
      </c>
      <c r="Q262" s="4" t="b">
        <v>1</v>
      </c>
      <c r="R262" s="4" t="b">
        <v>0</v>
      </c>
      <c r="S262" s="4" t="b">
        <v>0</v>
      </c>
      <c r="T262" s="3">
        <v>0</v>
      </c>
      <c r="U262" s="4" t="b">
        <v>0</v>
      </c>
      <c r="V262" s="8">
        <v>44887</v>
      </c>
      <c r="W262" s="7">
        <v>44900</v>
      </c>
    </row>
    <row r="263" spans="1:23" ht="14.4" x14ac:dyDescent="0.3">
      <c r="A263" s="3">
        <v>506717</v>
      </c>
      <c r="B263" s="4" t="b">
        <v>1</v>
      </c>
      <c r="C263" s="1" t="s">
        <v>2238</v>
      </c>
      <c r="D263" s="1" t="s">
        <v>2239</v>
      </c>
      <c r="E263" s="5">
        <v>387668</v>
      </c>
      <c r="F263" s="5">
        <v>-915092</v>
      </c>
      <c r="G263" s="1" t="s">
        <v>321</v>
      </c>
      <c r="H263" s="1" t="s">
        <v>2240</v>
      </c>
      <c r="I263" s="6">
        <v>44833.451255451386</v>
      </c>
      <c r="J263" s="1">
        <f>353993353835</f>
        <v>353993353835</v>
      </c>
      <c r="K263" s="3">
        <v>0</v>
      </c>
      <c r="L263" s="5">
        <v>0</v>
      </c>
      <c r="M263" s="1">
        <v>73363333</v>
      </c>
      <c r="N263" s="3">
        <v>0</v>
      </c>
      <c r="O263" s="3">
        <v>0</v>
      </c>
      <c r="P263" s="1" t="s">
        <v>28</v>
      </c>
      <c r="Q263" s="4" t="b">
        <v>1</v>
      </c>
      <c r="R263" s="4" t="b">
        <v>0</v>
      </c>
      <c r="S263" s="4" t="b">
        <v>1</v>
      </c>
      <c r="T263" s="3">
        <v>0</v>
      </c>
      <c r="U263" s="4" t="b">
        <v>0</v>
      </c>
      <c r="V263" s="7">
        <v>44900</v>
      </c>
      <c r="W263" s="7">
        <v>44897</v>
      </c>
    </row>
    <row r="264" spans="1:23" ht="14.4" x14ac:dyDescent="0.3">
      <c r="A264" s="3">
        <v>506740</v>
      </c>
      <c r="B264" s="4" t="b">
        <v>1</v>
      </c>
      <c r="C264" s="1" t="s">
        <v>2316</v>
      </c>
      <c r="D264" s="1" t="s">
        <v>2317</v>
      </c>
      <c r="E264" s="5">
        <v>5469155</v>
      </c>
      <c r="F264" s="5">
        <v>2528503</v>
      </c>
      <c r="G264" s="1" t="s">
        <v>1746</v>
      </c>
      <c r="H264" s="1" t="s">
        <v>2318</v>
      </c>
      <c r="I264" s="6">
        <v>44833.645270937501</v>
      </c>
      <c r="J264" s="1">
        <f>33093988399</f>
        <v>33093988399</v>
      </c>
      <c r="K264" s="3">
        <v>0</v>
      </c>
      <c r="L264" s="5">
        <v>0</v>
      </c>
      <c r="M264" s="1"/>
      <c r="N264" s="3">
        <v>0</v>
      </c>
      <c r="O264" s="3">
        <v>0</v>
      </c>
      <c r="P264" s="1" t="s">
        <v>39</v>
      </c>
      <c r="Q264" s="4" t="b">
        <v>1</v>
      </c>
      <c r="R264" s="4" t="b">
        <v>0</v>
      </c>
      <c r="S264" s="4" t="b">
        <v>0</v>
      </c>
      <c r="T264" s="3">
        <v>0</v>
      </c>
      <c r="U264" s="4" t="b">
        <v>0</v>
      </c>
      <c r="V264" s="7">
        <v>44899</v>
      </c>
      <c r="W264" s="7">
        <v>44899</v>
      </c>
    </row>
    <row r="265" spans="1:23" ht="14.4" x14ac:dyDescent="0.3">
      <c r="A265" s="3">
        <v>506741</v>
      </c>
      <c r="B265" s="4" t="b">
        <v>1</v>
      </c>
      <c r="C265" s="1" t="s">
        <v>2319</v>
      </c>
      <c r="D265" s="1" t="s">
        <v>2320</v>
      </c>
      <c r="E265" s="5">
        <v>4543871</v>
      </c>
      <c r="F265" s="5">
        <v>1176411</v>
      </c>
      <c r="G265" s="1" t="s">
        <v>2321</v>
      </c>
      <c r="H265" s="1" t="s">
        <v>2322</v>
      </c>
      <c r="I265" s="6">
        <v>44833.652435960648</v>
      </c>
      <c r="J265" s="6"/>
      <c r="K265" s="3">
        <v>0</v>
      </c>
      <c r="L265" s="5">
        <v>0</v>
      </c>
      <c r="M265" s="1">
        <v>3337733333</v>
      </c>
      <c r="N265" s="3">
        <v>0</v>
      </c>
      <c r="O265" s="3">
        <v>0</v>
      </c>
      <c r="P265" s="1" t="s">
        <v>39</v>
      </c>
      <c r="Q265" s="4" t="b">
        <v>1</v>
      </c>
      <c r="R265" s="4" t="b">
        <v>0</v>
      </c>
      <c r="S265" s="4" t="b">
        <v>0</v>
      </c>
      <c r="T265" s="3">
        <v>0</v>
      </c>
      <c r="U265" s="4" t="b">
        <v>0</v>
      </c>
      <c r="V265" s="8">
        <v>44881</v>
      </c>
      <c r="W265" s="8">
        <v>44893</v>
      </c>
    </row>
    <row r="266" spans="1:23" ht="14.4" x14ac:dyDescent="0.3">
      <c r="A266" s="3">
        <v>506744</v>
      </c>
      <c r="B266" s="4" t="b">
        <v>1</v>
      </c>
      <c r="C266" s="1" t="s">
        <v>2328</v>
      </c>
      <c r="D266" s="1" t="s">
        <v>2329</v>
      </c>
      <c r="E266" s="5">
        <v>4886751</v>
      </c>
      <c r="F266" s="5">
        <v>2373101</v>
      </c>
      <c r="G266" s="1" t="s">
        <v>365</v>
      </c>
      <c r="H266" s="1" t="s">
        <v>2330</v>
      </c>
      <c r="I266" s="6">
        <v>44833.66029954861</v>
      </c>
      <c r="J266" s="1">
        <f>33959539888</f>
        <v>33959539888</v>
      </c>
      <c r="K266" s="3">
        <v>0</v>
      </c>
      <c r="L266" s="5">
        <v>0</v>
      </c>
      <c r="M266" s="1" t="s">
        <v>2331</v>
      </c>
      <c r="N266" s="3">
        <v>0</v>
      </c>
      <c r="O266" s="3">
        <v>0</v>
      </c>
      <c r="P266" s="1" t="s">
        <v>33</v>
      </c>
      <c r="Q266" s="4" t="b">
        <v>1</v>
      </c>
      <c r="R266" s="4" t="b">
        <v>0</v>
      </c>
      <c r="S266" s="4" t="b">
        <v>0</v>
      </c>
      <c r="T266" s="3">
        <v>0</v>
      </c>
      <c r="U266" s="4" t="b">
        <v>0</v>
      </c>
      <c r="V266" s="8">
        <v>44887</v>
      </c>
      <c r="W266" s="8">
        <v>44895</v>
      </c>
    </row>
    <row r="267" spans="1:23" ht="14.4" x14ac:dyDescent="0.3">
      <c r="A267" s="3">
        <v>506744</v>
      </c>
      <c r="B267" s="4" t="b">
        <v>0</v>
      </c>
      <c r="C267" s="1" t="s">
        <v>658</v>
      </c>
      <c r="D267" s="1" t="s">
        <v>659</v>
      </c>
      <c r="E267" s="5">
        <v>4545295</v>
      </c>
      <c r="F267" s="5">
        <v>9150467</v>
      </c>
      <c r="G267" s="1" t="s">
        <v>37</v>
      </c>
      <c r="H267" s="1" t="s">
        <v>2343</v>
      </c>
      <c r="I267" s="6">
        <v>44833.715442210647</v>
      </c>
      <c r="J267" s="1">
        <f>393889999885</f>
        <v>393889999885</v>
      </c>
      <c r="K267" s="3">
        <v>0</v>
      </c>
      <c r="L267" s="5">
        <v>0</v>
      </c>
      <c r="M267" s="1"/>
      <c r="N267" s="3">
        <v>0</v>
      </c>
      <c r="O267" s="3">
        <v>0</v>
      </c>
      <c r="P267" s="1" t="s">
        <v>28</v>
      </c>
      <c r="Q267" s="4" t="b">
        <v>0</v>
      </c>
      <c r="R267" s="4" t="b">
        <v>0</v>
      </c>
      <c r="S267" s="4" t="b">
        <v>0</v>
      </c>
      <c r="T267" s="3">
        <v>0</v>
      </c>
      <c r="U267" s="4" t="b">
        <v>0</v>
      </c>
      <c r="V267" s="7">
        <v>44898</v>
      </c>
      <c r="W267" s="8">
        <v>44887</v>
      </c>
    </row>
    <row r="268" spans="1:23" ht="14.4" x14ac:dyDescent="0.3">
      <c r="A268" s="3">
        <v>506745</v>
      </c>
      <c r="B268" s="4" t="b">
        <v>1</v>
      </c>
      <c r="C268" s="1" t="s">
        <v>463</v>
      </c>
      <c r="D268" s="1" t="s">
        <v>464</v>
      </c>
      <c r="E268" s="5">
        <v>5245837</v>
      </c>
      <c r="F268" s="5">
        <v>133241</v>
      </c>
      <c r="G268" s="1" t="s">
        <v>1524</v>
      </c>
      <c r="H268" s="1" t="s">
        <v>2323</v>
      </c>
      <c r="I268" s="6">
        <v>44833.653460416666</v>
      </c>
      <c r="J268" s="1">
        <f>593388080033</f>
        <v>593388080033</v>
      </c>
      <c r="K268" s="3">
        <v>0</v>
      </c>
      <c r="L268" s="5">
        <v>0</v>
      </c>
      <c r="M268" s="1"/>
      <c r="N268" s="3">
        <v>0</v>
      </c>
      <c r="O268" s="3">
        <v>0</v>
      </c>
      <c r="P268" s="1" t="s">
        <v>28</v>
      </c>
      <c r="Q268" s="4" t="b">
        <v>1</v>
      </c>
      <c r="R268" s="4" t="b">
        <v>0</v>
      </c>
      <c r="S268" s="4" t="b">
        <v>1</v>
      </c>
      <c r="T268" s="3">
        <v>0</v>
      </c>
      <c r="U268" s="4" t="b">
        <v>0</v>
      </c>
      <c r="V268" s="8">
        <v>44884</v>
      </c>
      <c r="W268" s="7">
        <v>44901</v>
      </c>
    </row>
    <row r="269" spans="1:23" ht="14.4" x14ac:dyDescent="0.3">
      <c r="A269" s="3">
        <v>506746</v>
      </c>
      <c r="B269" s="4" t="b">
        <v>1</v>
      </c>
      <c r="C269" s="1" t="s">
        <v>2335</v>
      </c>
      <c r="D269" s="1" t="s">
        <v>2336</v>
      </c>
      <c r="E269" s="5">
        <v>5160293</v>
      </c>
      <c r="F269" s="5">
        <v>-27061</v>
      </c>
      <c r="G269" s="1" t="s">
        <v>2337</v>
      </c>
      <c r="H269" s="1" t="s">
        <v>2338</v>
      </c>
      <c r="I269" s="6">
        <v>44833.674979212963</v>
      </c>
      <c r="J269" s="1">
        <f>553888033958</f>
        <v>553888033958</v>
      </c>
      <c r="K269" s="3">
        <v>0</v>
      </c>
      <c r="L269" s="5">
        <v>0</v>
      </c>
      <c r="M269" s="1"/>
      <c r="N269" s="3">
        <v>0</v>
      </c>
      <c r="O269" s="3">
        <v>0</v>
      </c>
      <c r="P269" s="1" t="s">
        <v>28</v>
      </c>
      <c r="Q269" s="4" t="b">
        <v>1</v>
      </c>
      <c r="R269" s="4" t="b">
        <v>0</v>
      </c>
      <c r="S269" s="4" t="b">
        <v>0</v>
      </c>
      <c r="T269" s="3">
        <v>0</v>
      </c>
      <c r="U269" s="4" t="b">
        <v>0</v>
      </c>
      <c r="V269" s="7">
        <v>44897</v>
      </c>
      <c r="W269" s="8">
        <v>44881</v>
      </c>
    </row>
    <row r="270" spans="1:23" ht="14.4" x14ac:dyDescent="0.3">
      <c r="A270" s="3">
        <v>506747</v>
      </c>
      <c r="B270" s="4" t="b">
        <v>0</v>
      </c>
      <c r="C270" s="1" t="s">
        <v>2339</v>
      </c>
      <c r="D270" s="1" t="s">
        <v>2340</v>
      </c>
      <c r="E270" s="5">
        <v>4582468</v>
      </c>
      <c r="F270" s="5">
        <v>8813603</v>
      </c>
      <c r="G270" s="1" t="s">
        <v>2341</v>
      </c>
      <c r="H270" s="1" t="s">
        <v>2342</v>
      </c>
      <c r="I270" s="6">
        <v>44833.710491111109</v>
      </c>
      <c r="J270" s="1">
        <f>393338839350</f>
        <v>393338839350</v>
      </c>
      <c r="K270" s="3">
        <v>0</v>
      </c>
      <c r="L270" s="5">
        <v>0</v>
      </c>
      <c r="M270" s="1"/>
      <c r="N270" s="3">
        <v>0</v>
      </c>
      <c r="O270" s="3">
        <v>0</v>
      </c>
      <c r="P270" s="1" t="s">
        <v>28</v>
      </c>
      <c r="Q270" s="4" t="b">
        <v>0</v>
      </c>
      <c r="R270" s="4" t="b">
        <v>0</v>
      </c>
      <c r="S270" s="4" t="b">
        <v>0</v>
      </c>
      <c r="T270" s="3">
        <v>0</v>
      </c>
      <c r="U270" s="4" t="b">
        <v>0</v>
      </c>
      <c r="V270" s="7">
        <v>44897</v>
      </c>
      <c r="W270" s="7">
        <v>44896</v>
      </c>
    </row>
    <row r="271" spans="1:23" ht="14.4" x14ac:dyDescent="0.3">
      <c r="A271" s="3">
        <v>506750</v>
      </c>
      <c r="B271" s="4" t="b">
        <v>1</v>
      </c>
      <c r="C271" s="1" t="s">
        <v>1801</v>
      </c>
      <c r="D271" s="1" t="s">
        <v>1802</v>
      </c>
      <c r="E271" s="5">
        <v>5347871</v>
      </c>
      <c r="F271" s="5">
        <v>-302616</v>
      </c>
      <c r="G271" s="1" t="s">
        <v>2246</v>
      </c>
      <c r="H271" s="1" t="s">
        <v>2247</v>
      </c>
      <c r="I271" s="6">
        <v>44833.480342812501</v>
      </c>
      <c r="J271" s="1">
        <f>553398353998</f>
        <v>553398353998</v>
      </c>
      <c r="K271" s="3">
        <v>0</v>
      </c>
      <c r="L271" s="5">
        <v>0</v>
      </c>
      <c r="M271" s="1"/>
      <c r="N271" s="3">
        <v>0</v>
      </c>
      <c r="O271" s="3">
        <v>0</v>
      </c>
      <c r="P271" s="1" t="s">
        <v>33</v>
      </c>
      <c r="Q271" s="4" t="b">
        <v>1</v>
      </c>
      <c r="R271" s="4" t="b">
        <v>0</v>
      </c>
      <c r="S271" s="4" t="b">
        <v>0</v>
      </c>
      <c r="T271" s="3">
        <v>0</v>
      </c>
      <c r="U271" s="4" t="b">
        <v>0</v>
      </c>
      <c r="V271" s="8">
        <v>44885</v>
      </c>
      <c r="W271" s="8">
        <v>44887</v>
      </c>
    </row>
    <row r="272" spans="1:23" ht="14.4" x14ac:dyDescent="0.3">
      <c r="A272" s="3">
        <v>506751</v>
      </c>
      <c r="B272" s="4" t="b">
        <v>1</v>
      </c>
      <c r="C272" s="1" t="s">
        <v>2248</v>
      </c>
      <c r="D272" s="1" t="s">
        <v>2249</v>
      </c>
      <c r="E272" s="5">
        <v>5223201</v>
      </c>
      <c r="F272" s="5">
        <v>5186033</v>
      </c>
      <c r="G272" s="1" t="s">
        <v>2250</v>
      </c>
      <c r="H272" s="1" t="s">
        <v>2251</v>
      </c>
      <c r="I272" s="6">
        <v>44833.487118229168</v>
      </c>
      <c r="J272" s="1">
        <f>33938383389</f>
        <v>33938383389</v>
      </c>
      <c r="K272" s="3">
        <v>0</v>
      </c>
      <c r="L272" s="5">
        <v>0</v>
      </c>
      <c r="M272" s="1" t="s">
        <v>2252</v>
      </c>
      <c r="N272" s="3">
        <v>0</v>
      </c>
      <c r="O272" s="3">
        <v>0</v>
      </c>
      <c r="P272" s="1" t="s">
        <v>28</v>
      </c>
      <c r="Q272" s="4" t="b">
        <v>1</v>
      </c>
      <c r="R272" s="4" t="b">
        <v>0</v>
      </c>
      <c r="S272" s="4" t="b">
        <v>0</v>
      </c>
      <c r="T272" s="3">
        <v>0</v>
      </c>
      <c r="U272" s="4" t="b">
        <v>1</v>
      </c>
      <c r="V272" s="7">
        <v>44891</v>
      </c>
      <c r="W272" s="7">
        <v>44895</v>
      </c>
    </row>
    <row r="273" spans="1:23" ht="14.4" x14ac:dyDescent="0.3">
      <c r="A273" s="3">
        <v>506754</v>
      </c>
      <c r="B273" s="4" t="b">
        <v>1</v>
      </c>
      <c r="C273" s="1" t="s">
        <v>2259</v>
      </c>
      <c r="D273" s="1" t="s">
        <v>2260</v>
      </c>
      <c r="E273" s="5">
        <v>5307907</v>
      </c>
      <c r="F273" s="5">
        <v>8801995</v>
      </c>
      <c r="G273" s="1" t="s">
        <v>2261</v>
      </c>
      <c r="H273" s="1" t="s">
        <v>2262</v>
      </c>
      <c r="I273" s="6">
        <v>44833.524782592591</v>
      </c>
      <c r="J273" s="1">
        <f>5958359955990</f>
        <v>5958359955990</v>
      </c>
      <c r="K273" s="3">
        <v>0</v>
      </c>
      <c r="L273" s="5">
        <v>0</v>
      </c>
      <c r="M273" s="1"/>
      <c r="N273" s="3">
        <v>0</v>
      </c>
      <c r="O273" s="3">
        <v>0</v>
      </c>
      <c r="P273" s="1" t="s">
        <v>28</v>
      </c>
      <c r="Q273" s="4" t="b">
        <v>0</v>
      </c>
      <c r="R273" s="4" t="b">
        <v>1</v>
      </c>
      <c r="S273" s="4" t="b">
        <v>0</v>
      </c>
      <c r="T273" s="3">
        <v>0</v>
      </c>
      <c r="U273" s="4" t="b">
        <v>0</v>
      </c>
      <c r="V273" s="8">
        <v>44889</v>
      </c>
      <c r="W273" s="8">
        <v>44881</v>
      </c>
    </row>
    <row r="274" spans="1:23" ht="14.4" x14ac:dyDescent="0.3">
      <c r="A274" s="3">
        <v>506754</v>
      </c>
      <c r="B274" s="4" t="b">
        <v>1</v>
      </c>
      <c r="C274" s="1" t="s">
        <v>2276</v>
      </c>
      <c r="D274" s="1" t="s">
        <v>2277</v>
      </c>
      <c r="E274" s="5">
        <v>4824081</v>
      </c>
      <c r="F274" s="5">
        <v>1643211</v>
      </c>
      <c r="G274" s="1" t="s">
        <v>1599</v>
      </c>
      <c r="H274" s="1" t="s">
        <v>2278</v>
      </c>
      <c r="I274" s="6">
        <v>44833.536775185188</v>
      </c>
      <c r="J274" s="1">
        <f>539903508588</f>
        <v>539903508588</v>
      </c>
      <c r="K274" s="3">
        <v>0</v>
      </c>
      <c r="L274" s="5">
        <v>0</v>
      </c>
      <c r="M274" s="1"/>
      <c r="N274" s="3">
        <v>0</v>
      </c>
      <c r="O274" s="3">
        <v>0</v>
      </c>
      <c r="P274" s="1" t="s">
        <v>33</v>
      </c>
      <c r="Q274" s="4" t="b">
        <v>1</v>
      </c>
      <c r="R274" s="4" t="b">
        <v>0</v>
      </c>
      <c r="S274" s="4" t="b">
        <v>0</v>
      </c>
      <c r="T274" s="3">
        <v>0</v>
      </c>
      <c r="U274" s="4" t="b">
        <v>0</v>
      </c>
      <c r="V274" s="7">
        <v>44899</v>
      </c>
      <c r="W274" s="8">
        <v>44887</v>
      </c>
    </row>
    <row r="275" spans="1:23" ht="14.4" x14ac:dyDescent="0.3">
      <c r="A275" s="3">
        <v>506755</v>
      </c>
      <c r="B275" s="4" t="b">
        <v>1</v>
      </c>
      <c r="C275" s="1" t="s">
        <v>2253</v>
      </c>
      <c r="D275" s="1" t="s">
        <v>2254</v>
      </c>
      <c r="E275" s="5">
        <v>4201382</v>
      </c>
      <c r="F275" s="5">
        <v>1236877</v>
      </c>
      <c r="G275" s="1" t="s">
        <v>25</v>
      </c>
      <c r="H275" s="1" t="s">
        <v>2255</v>
      </c>
      <c r="I275" s="6">
        <v>44833.507450752317</v>
      </c>
      <c r="J275" s="1">
        <f>390930890355</f>
        <v>390930890355</v>
      </c>
      <c r="K275" s="3">
        <v>0</v>
      </c>
      <c r="L275" s="5">
        <v>0</v>
      </c>
      <c r="M275" s="1">
        <v>733333333</v>
      </c>
      <c r="N275" s="3">
        <v>0</v>
      </c>
      <c r="O275" s="3">
        <v>0</v>
      </c>
      <c r="P275" s="1" t="s">
        <v>33</v>
      </c>
      <c r="Q275" s="4" t="b">
        <v>1</v>
      </c>
      <c r="R275" s="4" t="b">
        <v>0</v>
      </c>
      <c r="S275" s="4" t="b">
        <v>0</v>
      </c>
      <c r="T275" s="3">
        <v>0</v>
      </c>
      <c r="U275" s="4" t="b">
        <v>0</v>
      </c>
      <c r="V275" s="7">
        <v>44900</v>
      </c>
      <c r="W275" s="7">
        <v>44896</v>
      </c>
    </row>
    <row r="276" spans="1:23" ht="14.4" x14ac:dyDescent="0.3">
      <c r="A276" s="3">
        <v>506755</v>
      </c>
      <c r="B276" s="4" t="b">
        <v>1</v>
      </c>
      <c r="C276" s="1" t="s">
        <v>2279</v>
      </c>
      <c r="D276" s="1" t="s">
        <v>2280</v>
      </c>
      <c r="E276" s="5">
        <v>4275519</v>
      </c>
      <c r="F276" s="5">
        <v>1111178</v>
      </c>
      <c r="G276" s="1" t="s">
        <v>2281</v>
      </c>
      <c r="H276" s="1" t="s">
        <v>2282</v>
      </c>
      <c r="I276" s="6">
        <v>44833.548709328701</v>
      </c>
      <c r="J276" s="1">
        <f>39059588589</f>
        <v>39059588589</v>
      </c>
      <c r="K276" s="3">
        <v>0</v>
      </c>
      <c r="L276" s="5">
        <v>0</v>
      </c>
      <c r="M276" s="1">
        <v>736363373</v>
      </c>
      <c r="N276" s="3">
        <v>0</v>
      </c>
      <c r="O276" s="3">
        <v>0</v>
      </c>
      <c r="P276" s="1" t="s">
        <v>33</v>
      </c>
      <c r="Q276" s="4" t="b">
        <v>1</v>
      </c>
      <c r="R276" s="4" t="b">
        <v>0</v>
      </c>
      <c r="S276" s="4" t="b">
        <v>0</v>
      </c>
      <c r="T276" s="3">
        <v>0</v>
      </c>
      <c r="U276" s="4" t="b">
        <v>0</v>
      </c>
      <c r="V276" s="8">
        <v>44886</v>
      </c>
      <c r="W276" s="8">
        <v>44887</v>
      </c>
    </row>
    <row r="277" spans="1:23" ht="14.4" x14ac:dyDescent="0.3">
      <c r="A277" s="3">
        <v>506756</v>
      </c>
      <c r="B277" s="4" t="b">
        <v>1</v>
      </c>
      <c r="C277" s="1" t="s">
        <v>2267</v>
      </c>
      <c r="D277" s="1" t="s">
        <v>2268</v>
      </c>
      <c r="E277" s="5">
        <v>3824228</v>
      </c>
      <c r="F277" s="5">
        <v>2173922</v>
      </c>
      <c r="G277" s="1" t="s">
        <v>2269</v>
      </c>
      <c r="H277" s="1" t="s">
        <v>2270</v>
      </c>
      <c r="I277" s="6">
        <v>44833.532124120371</v>
      </c>
      <c r="J277" s="1">
        <f>308933830355</f>
        <v>308933830355</v>
      </c>
      <c r="K277" s="3">
        <v>0</v>
      </c>
      <c r="L277" s="5">
        <v>0</v>
      </c>
      <c r="M277" s="1">
        <v>677</v>
      </c>
      <c r="N277" s="3">
        <v>0</v>
      </c>
      <c r="O277" s="3">
        <v>0</v>
      </c>
      <c r="P277" s="1" t="s">
        <v>28</v>
      </c>
      <c r="Q277" s="4" t="b">
        <v>1</v>
      </c>
      <c r="R277" s="4" t="b">
        <v>0</v>
      </c>
      <c r="S277" s="4" t="b">
        <v>1</v>
      </c>
      <c r="T277" s="3">
        <v>0</v>
      </c>
      <c r="U277" s="4" t="b">
        <v>0</v>
      </c>
      <c r="V277" s="7">
        <v>44884</v>
      </c>
      <c r="W277" s="7">
        <v>44878</v>
      </c>
    </row>
    <row r="278" spans="1:23" ht="14.4" x14ac:dyDescent="0.3">
      <c r="A278" s="3">
        <v>506757</v>
      </c>
      <c r="B278" s="4" t="b">
        <v>1</v>
      </c>
      <c r="C278" s="1" t="s">
        <v>2271</v>
      </c>
      <c r="D278" s="1" t="s">
        <v>2272</v>
      </c>
      <c r="E278" s="5">
        <v>3802881</v>
      </c>
      <c r="F278" s="5">
        <v>-138651</v>
      </c>
      <c r="G278" s="1" t="s">
        <v>2273</v>
      </c>
      <c r="H278" s="1" t="s">
        <v>2274</v>
      </c>
      <c r="I278" s="6">
        <v>44833.532673240741</v>
      </c>
      <c r="J278" s="1">
        <f>35993939508</f>
        <v>35993939508</v>
      </c>
      <c r="K278" s="3">
        <v>0</v>
      </c>
      <c r="L278" s="5">
        <v>0</v>
      </c>
      <c r="M278" s="1" t="s">
        <v>2275</v>
      </c>
      <c r="N278" s="3">
        <v>0</v>
      </c>
      <c r="O278" s="3">
        <v>0</v>
      </c>
      <c r="P278" s="1" t="s">
        <v>33</v>
      </c>
      <c r="Q278" s="4" t="b">
        <v>1</v>
      </c>
      <c r="R278" s="4" t="b">
        <v>0</v>
      </c>
      <c r="S278" s="4" t="b">
        <v>1</v>
      </c>
      <c r="T278" s="3">
        <v>0</v>
      </c>
      <c r="U278" s="4" t="b">
        <v>0</v>
      </c>
      <c r="V278" s="7">
        <v>44903</v>
      </c>
      <c r="W278" s="7">
        <v>44885</v>
      </c>
    </row>
    <row r="279" spans="1:23" ht="14.4" x14ac:dyDescent="0.3">
      <c r="A279" s="3">
        <v>507507</v>
      </c>
      <c r="B279" s="4" t="b">
        <v>1</v>
      </c>
      <c r="C279" s="1" t="s">
        <v>469</v>
      </c>
      <c r="D279" s="1" t="s">
        <v>470</v>
      </c>
      <c r="E279" s="5">
        <v>4589351</v>
      </c>
      <c r="F279" s="5">
        <v>1084789</v>
      </c>
      <c r="G279" s="1" t="s">
        <v>471</v>
      </c>
      <c r="H279" s="1" t="s">
        <v>472</v>
      </c>
      <c r="I279" s="6">
        <v>44036.604964641207</v>
      </c>
      <c r="J279" s="1">
        <f>390595555553</f>
        <v>390595555553</v>
      </c>
      <c r="K279" s="3">
        <v>1</v>
      </c>
      <c r="L279" s="5">
        <v>5</v>
      </c>
      <c r="M279" s="1">
        <v>737733337</v>
      </c>
      <c r="N279" s="3">
        <v>524</v>
      </c>
      <c r="O279" s="3">
        <v>6</v>
      </c>
      <c r="P279" s="1" t="s">
        <v>33</v>
      </c>
      <c r="Q279" s="4" t="b">
        <v>0</v>
      </c>
      <c r="R279" s="4" t="b">
        <v>1</v>
      </c>
      <c r="S279" s="4" t="b">
        <v>0</v>
      </c>
      <c r="T279" s="3" t="s">
        <v>192</v>
      </c>
      <c r="U279" s="4" t="b">
        <v>0</v>
      </c>
      <c r="V279" s="7">
        <v>44757</v>
      </c>
      <c r="W279" s="7">
        <v>44822</v>
      </c>
    </row>
    <row r="280" spans="1:23" ht="14.4" x14ac:dyDescent="0.3">
      <c r="A280" s="3">
        <v>510430</v>
      </c>
      <c r="B280" s="4" t="b">
        <v>1</v>
      </c>
      <c r="C280" s="1" t="s">
        <v>513</v>
      </c>
      <c r="D280" s="1" t="s">
        <v>514</v>
      </c>
      <c r="E280" s="5">
        <v>4185961</v>
      </c>
      <c r="F280" s="5">
        <v>1244968</v>
      </c>
      <c r="G280" s="1" t="s">
        <v>25</v>
      </c>
      <c r="H280" s="1" t="s">
        <v>515</v>
      </c>
      <c r="I280" s="6">
        <v>44055.538755266207</v>
      </c>
      <c r="J280" s="1">
        <f>390989838995</f>
        <v>390989838995</v>
      </c>
      <c r="K280" s="3">
        <v>34</v>
      </c>
      <c r="L280" s="5">
        <v>5</v>
      </c>
      <c r="M280" s="1">
        <v>3733333333</v>
      </c>
      <c r="N280" s="3">
        <v>1780</v>
      </c>
      <c r="O280" s="3">
        <v>4</v>
      </c>
      <c r="P280" s="1" t="s">
        <v>39</v>
      </c>
      <c r="Q280" s="4" t="b">
        <v>0</v>
      </c>
      <c r="R280" s="4" t="b">
        <v>1</v>
      </c>
      <c r="S280" s="4" t="b">
        <v>0</v>
      </c>
      <c r="T280" s="3" t="s">
        <v>516</v>
      </c>
      <c r="U280" s="4" t="b">
        <v>0</v>
      </c>
      <c r="V280" s="7">
        <v>44821</v>
      </c>
      <c r="W280" s="7">
        <v>44813</v>
      </c>
    </row>
    <row r="281" spans="1:23" ht="14.4" x14ac:dyDescent="0.3">
      <c r="A281" s="3">
        <v>510505</v>
      </c>
      <c r="B281" s="4" t="b">
        <v>1</v>
      </c>
      <c r="C281" s="1" t="s">
        <v>499</v>
      </c>
      <c r="D281" s="1" t="s">
        <v>500</v>
      </c>
      <c r="E281" s="5">
        <v>4632668</v>
      </c>
      <c r="F281" s="5">
        <v>1102276</v>
      </c>
      <c r="G281" s="1" t="s">
        <v>501</v>
      </c>
      <c r="H281" s="1" t="s">
        <v>502</v>
      </c>
      <c r="I281" s="6">
        <v>44050.541750486111</v>
      </c>
      <c r="J281" s="1">
        <f>393998955335</f>
        <v>393998955335</v>
      </c>
      <c r="K281" s="3">
        <v>23</v>
      </c>
      <c r="L281" s="5">
        <v>5</v>
      </c>
      <c r="M281" s="1">
        <v>37333333</v>
      </c>
      <c r="N281" s="3">
        <v>479</v>
      </c>
      <c r="O281" s="3">
        <v>1</v>
      </c>
      <c r="P281" s="1" t="s">
        <v>28</v>
      </c>
      <c r="Q281" s="4" t="b">
        <v>0</v>
      </c>
      <c r="R281" s="4" t="b">
        <v>1</v>
      </c>
      <c r="S281" s="4" t="b">
        <v>0</v>
      </c>
      <c r="T281" s="3" t="s">
        <v>261</v>
      </c>
      <c r="U281" s="4" t="b">
        <v>0</v>
      </c>
      <c r="V281" s="7">
        <v>44715</v>
      </c>
      <c r="W281" s="8">
        <v>44885</v>
      </c>
    </row>
    <row r="282" spans="1:23" ht="14.4" x14ac:dyDescent="0.3">
      <c r="A282" s="3">
        <v>511505</v>
      </c>
      <c r="B282" s="4" t="b">
        <v>1</v>
      </c>
      <c r="C282" s="1" t="s">
        <v>522</v>
      </c>
      <c r="D282" s="1" t="s">
        <v>523</v>
      </c>
      <c r="E282" s="5">
        <v>4281353</v>
      </c>
      <c r="F282" s="5">
        <v>-164163</v>
      </c>
      <c r="G282" s="1" t="s">
        <v>524</v>
      </c>
      <c r="H282" s="1" t="s">
        <v>525</v>
      </c>
      <c r="I282" s="6">
        <v>44061.641377673608</v>
      </c>
      <c r="J282" s="1">
        <f>35958383585</f>
        <v>35958383585</v>
      </c>
      <c r="K282" s="3">
        <v>378</v>
      </c>
      <c r="L282" s="5">
        <v>4904762</v>
      </c>
      <c r="M282" s="1" t="s">
        <v>526</v>
      </c>
      <c r="N282" s="3">
        <v>16304</v>
      </c>
      <c r="O282" s="3">
        <v>13</v>
      </c>
      <c r="P282" s="1" t="s">
        <v>39</v>
      </c>
      <c r="Q282" s="4" t="b">
        <v>0</v>
      </c>
      <c r="R282" s="4" t="b">
        <v>1</v>
      </c>
      <c r="S282" s="4" t="b">
        <v>0</v>
      </c>
      <c r="T282" s="3" t="s">
        <v>527</v>
      </c>
      <c r="U282" s="4" t="b">
        <v>0</v>
      </c>
      <c r="V282" s="7">
        <v>44903</v>
      </c>
      <c r="W282" s="7">
        <v>44903</v>
      </c>
    </row>
    <row r="283" spans="1:23" ht="14.4" x14ac:dyDescent="0.3">
      <c r="A283" s="3">
        <v>513057</v>
      </c>
      <c r="B283" s="4" t="b">
        <v>1</v>
      </c>
      <c r="C283" s="1" t="s">
        <v>571</v>
      </c>
      <c r="D283" s="1" t="s">
        <v>572</v>
      </c>
      <c r="E283" s="5">
        <v>4599407</v>
      </c>
      <c r="F283" s="5">
        <v>8793281</v>
      </c>
      <c r="G283" s="1" t="s">
        <v>573</v>
      </c>
      <c r="H283" s="1" t="s">
        <v>574</v>
      </c>
      <c r="I283" s="6">
        <v>44095.304194930555</v>
      </c>
      <c r="J283" s="1">
        <v>3895850359</v>
      </c>
      <c r="K283" s="3">
        <v>9</v>
      </c>
      <c r="L283" s="5">
        <v>5</v>
      </c>
      <c r="M283" s="1" t="s">
        <v>575</v>
      </c>
      <c r="N283" s="3">
        <v>940</v>
      </c>
      <c r="O283" s="3">
        <v>4</v>
      </c>
      <c r="P283" s="1" t="s">
        <v>28</v>
      </c>
      <c r="Q283" s="4" t="b">
        <v>0</v>
      </c>
      <c r="R283" s="4" t="b">
        <v>1</v>
      </c>
      <c r="S283" s="4" t="b">
        <v>0</v>
      </c>
      <c r="T283" s="3" t="s">
        <v>576</v>
      </c>
      <c r="U283" s="4" t="b">
        <v>0</v>
      </c>
      <c r="V283" s="7">
        <v>44731</v>
      </c>
      <c r="W283" s="8">
        <v>44887</v>
      </c>
    </row>
    <row r="284" spans="1:23" ht="14.4" x14ac:dyDescent="0.3">
      <c r="A284" s="3">
        <v>514305</v>
      </c>
      <c r="B284" s="4" t="b">
        <v>1</v>
      </c>
      <c r="C284" s="1" t="s">
        <v>577</v>
      </c>
      <c r="D284" s="1" t="s">
        <v>578</v>
      </c>
      <c r="E284" s="5">
        <v>4545881</v>
      </c>
      <c r="F284" s="5">
        <v>918021</v>
      </c>
      <c r="G284" s="1" t="s">
        <v>37</v>
      </c>
      <c r="H284" s="1" t="s">
        <v>579</v>
      </c>
      <c r="I284" s="6">
        <v>44111.644044375003</v>
      </c>
      <c r="J284" s="1">
        <f>390859555933</f>
        <v>390859555933</v>
      </c>
      <c r="K284" s="3">
        <v>294</v>
      </c>
      <c r="L284" s="5">
        <v>4965986</v>
      </c>
      <c r="M284" s="1">
        <v>333763</v>
      </c>
      <c r="N284" s="3">
        <v>2742</v>
      </c>
      <c r="O284" s="3">
        <v>5</v>
      </c>
      <c r="P284" s="1" t="s">
        <v>33</v>
      </c>
      <c r="Q284" s="4" t="b">
        <v>0</v>
      </c>
      <c r="R284" s="4" t="b">
        <v>1</v>
      </c>
      <c r="S284" s="4" t="b">
        <v>1</v>
      </c>
      <c r="T284" s="3" t="s">
        <v>580</v>
      </c>
      <c r="U284" s="4" t="b">
        <v>0</v>
      </c>
      <c r="V284" s="8">
        <v>44885</v>
      </c>
      <c r="W284" s="7">
        <v>44614</v>
      </c>
    </row>
    <row r="285" spans="1:23" ht="14.4" x14ac:dyDescent="0.3">
      <c r="A285" s="3">
        <v>515055</v>
      </c>
      <c r="B285" s="4" t="b">
        <v>0</v>
      </c>
      <c r="C285" s="1" t="s">
        <v>537</v>
      </c>
      <c r="D285" s="1" t="s">
        <v>538</v>
      </c>
      <c r="E285" s="5">
        <v>3669286</v>
      </c>
      <c r="F285" s="5">
        <v>-61004</v>
      </c>
      <c r="G285" s="1" t="s">
        <v>274</v>
      </c>
      <c r="H285" s="1" t="s">
        <v>539</v>
      </c>
      <c r="I285" s="6">
        <v>44074.505457615742</v>
      </c>
      <c r="J285" s="1">
        <f>35859050980</f>
        <v>35859050980</v>
      </c>
      <c r="K285" s="3">
        <v>72</v>
      </c>
      <c r="L285" s="5">
        <v>4944444</v>
      </c>
      <c r="M285" s="1" t="s">
        <v>540</v>
      </c>
      <c r="N285" s="3">
        <v>1147</v>
      </c>
      <c r="O285" s="3">
        <v>5</v>
      </c>
      <c r="P285" s="1" t="s">
        <v>33</v>
      </c>
      <c r="Q285" s="4" t="b">
        <v>0</v>
      </c>
      <c r="R285" s="4" t="b">
        <v>1</v>
      </c>
      <c r="S285" s="4" t="b">
        <v>0</v>
      </c>
      <c r="T285" s="3" t="s">
        <v>541</v>
      </c>
      <c r="U285" s="4" t="b">
        <v>0</v>
      </c>
      <c r="V285" s="7">
        <v>44838</v>
      </c>
      <c r="W285" s="7">
        <v>44642</v>
      </c>
    </row>
    <row r="286" spans="1:23" ht="14.4" x14ac:dyDescent="0.3">
      <c r="A286" s="3">
        <v>515306</v>
      </c>
      <c r="B286" s="4" t="b">
        <v>1</v>
      </c>
      <c r="C286" s="1" t="s">
        <v>532</v>
      </c>
      <c r="D286" s="1" t="s">
        <v>533</v>
      </c>
      <c r="E286" s="5">
        <v>3959069</v>
      </c>
      <c r="F286" s="5">
        <v>2650614</v>
      </c>
      <c r="G286" s="1" t="s">
        <v>534</v>
      </c>
      <c r="H286" s="1" t="s">
        <v>535</v>
      </c>
      <c r="I286" s="6">
        <v>44069.447898368053</v>
      </c>
      <c r="J286" s="1">
        <f>35933935933</f>
        <v>35933935933</v>
      </c>
      <c r="K286" s="3">
        <v>46</v>
      </c>
      <c r="L286" s="5">
        <v>4913043</v>
      </c>
      <c r="M286" s="1" t="s">
        <v>536</v>
      </c>
      <c r="N286" s="3">
        <v>2890</v>
      </c>
      <c r="O286" s="3">
        <v>5</v>
      </c>
      <c r="P286" s="1" t="s">
        <v>28</v>
      </c>
      <c r="Q286" s="4" t="b">
        <v>0</v>
      </c>
      <c r="R286" s="4" t="b">
        <v>1</v>
      </c>
      <c r="S286" s="4" t="b">
        <v>1</v>
      </c>
      <c r="T286" s="3" t="s">
        <v>252</v>
      </c>
      <c r="U286" s="4" t="b">
        <v>0</v>
      </c>
      <c r="V286" s="7">
        <v>44598</v>
      </c>
      <c r="W286" s="7">
        <v>44872</v>
      </c>
    </row>
    <row r="287" spans="1:23" ht="14.4" x14ac:dyDescent="0.3">
      <c r="A287" s="3">
        <v>515501</v>
      </c>
      <c r="B287" s="4" t="b">
        <v>1</v>
      </c>
      <c r="C287" s="1" t="s">
        <v>586</v>
      </c>
      <c r="D287" s="1" t="s">
        <v>587</v>
      </c>
      <c r="E287" s="5">
        <v>4085144</v>
      </c>
      <c r="F287" s="5">
        <v>1423179</v>
      </c>
      <c r="G287" s="1" t="s">
        <v>143</v>
      </c>
      <c r="H287" s="1" t="s">
        <v>588</v>
      </c>
      <c r="I287" s="6">
        <v>44118.34647675926</v>
      </c>
      <c r="J287" s="1">
        <f>393888998985</f>
        <v>393888998985</v>
      </c>
      <c r="K287" s="3">
        <v>103</v>
      </c>
      <c r="L287" s="5">
        <v>4864078</v>
      </c>
      <c r="M287" s="1">
        <v>7733333337</v>
      </c>
      <c r="N287" s="3">
        <v>693</v>
      </c>
      <c r="O287" s="3">
        <v>2</v>
      </c>
      <c r="P287" s="1" t="s">
        <v>28</v>
      </c>
      <c r="Q287" s="4" t="b">
        <v>0</v>
      </c>
      <c r="R287" s="4" t="b">
        <v>1</v>
      </c>
      <c r="S287" s="4" t="b">
        <v>0</v>
      </c>
      <c r="T287" s="3" t="s">
        <v>589</v>
      </c>
      <c r="U287" s="4" t="b">
        <v>0</v>
      </c>
      <c r="V287" s="7">
        <v>44716</v>
      </c>
      <c r="W287" s="7">
        <v>44641</v>
      </c>
    </row>
    <row r="288" spans="1:23" ht="14.4" x14ac:dyDescent="0.3">
      <c r="A288" s="3">
        <v>530040</v>
      </c>
      <c r="B288" s="4" t="b">
        <v>1</v>
      </c>
      <c r="C288" s="1" t="s">
        <v>654</v>
      </c>
      <c r="D288" s="1" t="s">
        <v>655</v>
      </c>
      <c r="E288" s="5">
        <v>4042565</v>
      </c>
      <c r="F288" s="5">
        <v>-368804</v>
      </c>
      <c r="G288" s="1" t="s">
        <v>195</v>
      </c>
      <c r="H288" s="1" t="s">
        <v>656</v>
      </c>
      <c r="I288" s="6">
        <v>44222.621820983797</v>
      </c>
      <c r="J288" s="6"/>
      <c r="K288" s="3">
        <v>0</v>
      </c>
      <c r="L288" s="5">
        <v>0</v>
      </c>
      <c r="M288" s="1" t="s">
        <v>657</v>
      </c>
      <c r="N288" s="3">
        <v>372</v>
      </c>
      <c r="O288" s="3">
        <v>10</v>
      </c>
      <c r="P288" s="1" t="s">
        <v>28</v>
      </c>
      <c r="Q288" s="4" t="b">
        <v>0</v>
      </c>
      <c r="R288" s="4" t="b">
        <v>0</v>
      </c>
      <c r="S288" s="4" t="b">
        <v>0</v>
      </c>
      <c r="T288" s="3">
        <v>0</v>
      </c>
      <c r="U288" s="4" t="b">
        <v>0</v>
      </c>
      <c r="V288" s="8">
        <v>44862</v>
      </c>
      <c r="W288" s="7">
        <v>44699</v>
      </c>
    </row>
    <row r="289" spans="1:23" ht="14.4" x14ac:dyDescent="0.3">
      <c r="A289" s="3">
        <v>530054</v>
      </c>
      <c r="B289" s="4" t="b">
        <v>1</v>
      </c>
      <c r="C289" s="1" t="s">
        <v>649</v>
      </c>
      <c r="D289" s="1" t="s">
        <v>650</v>
      </c>
      <c r="E289" s="5">
        <v>4539654</v>
      </c>
      <c r="F289" s="5">
        <v>8918041</v>
      </c>
      <c r="G289" s="1" t="s">
        <v>651</v>
      </c>
      <c r="H289" s="1" t="s">
        <v>652</v>
      </c>
      <c r="I289" s="6">
        <v>44216.426801064816</v>
      </c>
      <c r="J289" s="1">
        <f>393353033890</f>
        <v>393353033890</v>
      </c>
      <c r="K289" s="3">
        <v>46</v>
      </c>
      <c r="L289" s="5">
        <v>4586957</v>
      </c>
      <c r="M289" s="1">
        <v>737733333</v>
      </c>
      <c r="N289" s="3">
        <v>620</v>
      </c>
      <c r="O289" s="3">
        <v>3</v>
      </c>
      <c r="P289" s="1" t="s">
        <v>33</v>
      </c>
      <c r="Q289" s="4" t="b">
        <v>0</v>
      </c>
      <c r="R289" s="4" t="b">
        <v>1</v>
      </c>
      <c r="S289" s="4" t="b">
        <v>0</v>
      </c>
      <c r="T289" s="3" t="s">
        <v>653</v>
      </c>
      <c r="U289" s="4" t="b">
        <v>0</v>
      </c>
      <c r="V289" s="7">
        <v>44688</v>
      </c>
      <c r="W289" s="7">
        <v>44867</v>
      </c>
    </row>
    <row r="290" spans="1:23" ht="14.4" x14ac:dyDescent="0.3">
      <c r="A290" s="3">
        <v>530144</v>
      </c>
      <c r="B290" s="4" t="b">
        <v>1</v>
      </c>
      <c r="C290" s="1" t="s">
        <v>662</v>
      </c>
      <c r="D290" s="1" t="s">
        <v>663</v>
      </c>
      <c r="E290" s="5">
        <v>4190998</v>
      </c>
      <c r="F290" s="5">
        <v>1251807</v>
      </c>
      <c r="G290" s="1" t="s">
        <v>25</v>
      </c>
      <c r="H290" s="1" t="s">
        <v>664</v>
      </c>
      <c r="I290" s="6">
        <v>44235.377395914351</v>
      </c>
      <c r="J290" s="1">
        <f>393500800398</f>
        <v>393500800398</v>
      </c>
      <c r="K290" s="3">
        <v>45</v>
      </c>
      <c r="L290" s="5">
        <v>4911111</v>
      </c>
      <c r="M290" s="1">
        <v>3333633337</v>
      </c>
      <c r="N290" s="3">
        <v>635</v>
      </c>
      <c r="O290" s="3">
        <v>3</v>
      </c>
      <c r="P290" s="1" t="s">
        <v>28</v>
      </c>
      <c r="Q290" s="4" t="b">
        <v>0</v>
      </c>
      <c r="R290" s="4" t="b">
        <v>1</v>
      </c>
      <c r="S290" s="4" t="b">
        <v>1</v>
      </c>
      <c r="T290" s="3" t="s">
        <v>665</v>
      </c>
      <c r="U290" s="4" t="b">
        <v>0</v>
      </c>
      <c r="V290" s="7">
        <v>44818</v>
      </c>
      <c r="W290" s="7">
        <v>44818</v>
      </c>
    </row>
    <row r="291" spans="1:23" ht="14.4" x14ac:dyDescent="0.3">
      <c r="A291" s="3">
        <v>530416</v>
      </c>
      <c r="B291" s="4" t="b">
        <v>1</v>
      </c>
      <c r="C291" s="1" t="s">
        <v>731</v>
      </c>
      <c r="D291" s="1" t="s">
        <v>732</v>
      </c>
      <c r="E291" s="5">
        <v>4125323</v>
      </c>
      <c r="F291" s="5">
        <v>1311648</v>
      </c>
      <c r="G291" s="1" t="s">
        <v>733</v>
      </c>
      <c r="H291" s="1" t="s">
        <v>734</v>
      </c>
      <c r="I291" s="6">
        <v>44299.575719780092</v>
      </c>
      <c r="J291" s="1">
        <f>393888539898</f>
        <v>393888539898</v>
      </c>
      <c r="K291" s="3">
        <v>23</v>
      </c>
      <c r="L291" s="5">
        <v>5</v>
      </c>
      <c r="M291" s="1">
        <v>7337333373</v>
      </c>
      <c r="N291" s="3">
        <v>512</v>
      </c>
      <c r="O291" s="3">
        <v>2</v>
      </c>
      <c r="P291" s="1" t="s">
        <v>28</v>
      </c>
      <c r="Q291" s="4" t="b">
        <v>0</v>
      </c>
      <c r="R291" s="4" t="b">
        <v>1</v>
      </c>
      <c r="S291" s="4" t="b">
        <v>0</v>
      </c>
      <c r="T291" s="3" t="s">
        <v>261</v>
      </c>
      <c r="U291" s="4" t="b">
        <v>0</v>
      </c>
      <c r="V291" s="7">
        <v>44630</v>
      </c>
      <c r="W291" s="7">
        <v>44792</v>
      </c>
    </row>
    <row r="292" spans="1:23" ht="14.4" x14ac:dyDescent="0.3">
      <c r="A292" s="3">
        <v>530455</v>
      </c>
      <c r="B292" s="4" t="b">
        <v>1</v>
      </c>
      <c r="C292" s="1" t="s">
        <v>738</v>
      </c>
      <c r="D292" s="1" t="s">
        <v>739</v>
      </c>
      <c r="E292" s="5">
        <v>4543432</v>
      </c>
      <c r="F292" s="5">
        <v>7947564</v>
      </c>
      <c r="G292" s="1" t="s">
        <v>740</v>
      </c>
      <c r="H292" s="1" t="s">
        <v>741</v>
      </c>
      <c r="I292" s="6">
        <v>44307.571752719909</v>
      </c>
      <c r="J292" s="1">
        <f>393385589338</f>
        <v>393385589338</v>
      </c>
      <c r="K292" s="3">
        <v>16</v>
      </c>
      <c r="L292" s="5">
        <v>4875</v>
      </c>
      <c r="M292" s="1">
        <v>633373337</v>
      </c>
      <c r="N292" s="3">
        <v>946</v>
      </c>
      <c r="O292" s="3">
        <v>5</v>
      </c>
      <c r="P292" s="1" t="s">
        <v>39</v>
      </c>
      <c r="Q292" s="4" t="b">
        <v>0</v>
      </c>
      <c r="R292" s="4" t="b">
        <v>1</v>
      </c>
      <c r="S292" s="4" t="b">
        <v>0</v>
      </c>
      <c r="T292" s="3" t="s">
        <v>292</v>
      </c>
      <c r="U292" s="4" t="b">
        <v>0</v>
      </c>
      <c r="V292" s="7">
        <v>44575</v>
      </c>
      <c r="W292" s="7">
        <v>44728</v>
      </c>
    </row>
    <row r="293" spans="1:23" ht="14.4" x14ac:dyDescent="0.3">
      <c r="A293" s="3">
        <v>530505</v>
      </c>
      <c r="B293" s="4" t="b">
        <v>1</v>
      </c>
      <c r="C293" s="1" t="s">
        <v>56</v>
      </c>
      <c r="D293" s="1" t="s">
        <v>57</v>
      </c>
      <c r="E293" s="5">
        <v>4066734</v>
      </c>
      <c r="F293" s="5">
        <v>2292019</v>
      </c>
      <c r="G293" s="1" t="s">
        <v>58</v>
      </c>
      <c r="H293" s="1" t="s">
        <v>59</v>
      </c>
      <c r="I293" s="6">
        <v>42516.426018518519</v>
      </c>
      <c r="J293" s="1">
        <f>308330990383</f>
        <v>308330990383</v>
      </c>
      <c r="K293" s="3">
        <v>12</v>
      </c>
      <c r="L293" s="5" t="s">
        <v>27</v>
      </c>
      <c r="M293" s="1">
        <v>73777337</v>
      </c>
      <c r="N293" s="3">
        <v>1478</v>
      </c>
      <c r="O293" s="3">
        <v>3</v>
      </c>
      <c r="P293" s="1" t="s">
        <v>28</v>
      </c>
      <c r="Q293" s="4" t="b">
        <v>1</v>
      </c>
      <c r="R293" s="4" t="b">
        <v>0</v>
      </c>
      <c r="S293" s="4" t="b">
        <v>0</v>
      </c>
      <c r="T293" s="3" t="s">
        <v>60</v>
      </c>
      <c r="U293" s="4" t="b">
        <v>0</v>
      </c>
      <c r="V293" s="7">
        <v>44900</v>
      </c>
      <c r="W293" s="7">
        <v>44735</v>
      </c>
    </row>
    <row r="294" spans="1:23" ht="14.4" x14ac:dyDescent="0.3">
      <c r="A294" s="3">
        <v>530516</v>
      </c>
      <c r="B294" s="4" t="b">
        <v>1</v>
      </c>
      <c r="C294" s="1" t="s">
        <v>742</v>
      </c>
      <c r="D294" s="1" t="s">
        <v>743</v>
      </c>
      <c r="E294" s="5">
        <v>4537922</v>
      </c>
      <c r="F294" s="5">
        <v>9741083</v>
      </c>
      <c r="G294" s="1" t="s">
        <v>744</v>
      </c>
      <c r="H294" s="1" t="s">
        <v>745</v>
      </c>
      <c r="I294" s="6">
        <v>44309.343290381941</v>
      </c>
      <c r="J294" s="1">
        <f>393333535589</f>
        <v>393333535589</v>
      </c>
      <c r="K294" s="3">
        <v>5</v>
      </c>
      <c r="L294" s="5" t="s">
        <v>265</v>
      </c>
      <c r="M294" s="1">
        <v>736333377</v>
      </c>
      <c r="N294" s="3">
        <v>514</v>
      </c>
      <c r="O294" s="3">
        <v>2</v>
      </c>
      <c r="P294" s="1" t="s">
        <v>28</v>
      </c>
      <c r="Q294" s="4" t="b">
        <v>0</v>
      </c>
      <c r="R294" s="4" t="b">
        <v>0</v>
      </c>
      <c r="S294" s="4" t="b">
        <v>0</v>
      </c>
      <c r="T294" s="3" t="s">
        <v>746</v>
      </c>
      <c r="U294" s="4" t="b">
        <v>0</v>
      </c>
      <c r="V294" s="7">
        <v>44671</v>
      </c>
      <c r="W294" s="8">
        <v>44861</v>
      </c>
    </row>
    <row r="295" spans="1:23" ht="14.4" x14ac:dyDescent="0.3">
      <c r="A295" s="3">
        <v>530545</v>
      </c>
      <c r="B295" s="4" t="b">
        <v>1</v>
      </c>
      <c r="C295" s="1" t="s">
        <v>671</v>
      </c>
      <c r="D295" s="1" t="s">
        <v>672</v>
      </c>
      <c r="E295" s="5">
        <v>4190103</v>
      </c>
      <c r="F295" s="5">
        <v>1267825</v>
      </c>
      <c r="G295" s="1" t="s">
        <v>25</v>
      </c>
      <c r="H295" s="1" t="s">
        <v>673</v>
      </c>
      <c r="I295" s="6">
        <v>44239.74921292824</v>
      </c>
      <c r="J295" s="1">
        <f>393988008333</f>
        <v>393988008333</v>
      </c>
      <c r="K295" s="3">
        <v>0</v>
      </c>
      <c r="L295" s="5">
        <v>0</v>
      </c>
      <c r="M295" s="1">
        <v>7336373337</v>
      </c>
      <c r="N295" s="3">
        <v>615</v>
      </c>
      <c r="O295" s="3">
        <v>6</v>
      </c>
      <c r="P295" s="1" t="s">
        <v>28</v>
      </c>
      <c r="Q295" s="4" t="b">
        <v>1</v>
      </c>
      <c r="R295" s="4" t="b">
        <v>0</v>
      </c>
      <c r="S295" s="4" t="b">
        <v>0</v>
      </c>
      <c r="T295" s="3">
        <v>0</v>
      </c>
      <c r="U295" s="4" t="b">
        <v>0</v>
      </c>
      <c r="V295" s="7">
        <v>44699</v>
      </c>
      <c r="W295" s="7">
        <v>44806</v>
      </c>
    </row>
    <row r="296" spans="1:23" ht="14.4" x14ac:dyDescent="0.3">
      <c r="A296" s="3">
        <v>530604</v>
      </c>
      <c r="B296" s="4" t="b">
        <v>1</v>
      </c>
      <c r="C296" s="1" t="s">
        <v>707</v>
      </c>
      <c r="D296" s="1" t="s">
        <v>708</v>
      </c>
      <c r="E296" s="5">
        <v>4043728</v>
      </c>
      <c r="F296" s="5">
        <v>-367514</v>
      </c>
      <c r="G296" s="1" t="s">
        <v>195</v>
      </c>
      <c r="H296" s="1" t="s">
        <v>709</v>
      </c>
      <c r="I296" s="6">
        <v>44277.4965734375</v>
      </c>
      <c r="J296" s="1">
        <f>35985338853</f>
        <v>35985338853</v>
      </c>
      <c r="K296" s="3">
        <v>51</v>
      </c>
      <c r="L296" s="5">
        <v>5</v>
      </c>
      <c r="M296" s="1" t="s">
        <v>710</v>
      </c>
      <c r="N296" s="3">
        <v>877</v>
      </c>
      <c r="O296" s="3">
        <v>2</v>
      </c>
      <c r="P296" s="1" t="s">
        <v>28</v>
      </c>
      <c r="Q296" s="4" t="b">
        <v>0</v>
      </c>
      <c r="R296" s="4" t="b">
        <v>1</v>
      </c>
      <c r="S296" s="4" t="b">
        <v>0</v>
      </c>
      <c r="T296" s="3" t="s">
        <v>711</v>
      </c>
      <c r="U296" s="4" t="b">
        <v>1</v>
      </c>
      <c r="V296" s="7">
        <v>44762</v>
      </c>
      <c r="W296" s="7">
        <v>44734</v>
      </c>
    </row>
    <row r="297" spans="1:23" ht="14.4" x14ac:dyDescent="0.3">
      <c r="A297" s="3">
        <v>530644</v>
      </c>
      <c r="B297" s="4" t="b">
        <v>1</v>
      </c>
      <c r="C297" s="1" t="s">
        <v>717</v>
      </c>
      <c r="D297" s="1" t="s">
        <v>718</v>
      </c>
      <c r="E297" s="5">
        <v>3948402</v>
      </c>
      <c r="F297" s="5">
        <v>-37118</v>
      </c>
      <c r="G297" s="1" t="s">
        <v>417</v>
      </c>
      <c r="H297" s="1" t="s">
        <v>719</v>
      </c>
      <c r="I297" s="6">
        <v>44285.589677800926</v>
      </c>
      <c r="J297" s="1">
        <f>35993388088</f>
        <v>35993388088</v>
      </c>
      <c r="K297" s="3">
        <v>153</v>
      </c>
      <c r="L297" s="5">
        <v>4928105</v>
      </c>
      <c r="M297" s="1" t="s">
        <v>720</v>
      </c>
      <c r="N297" s="3">
        <v>3000</v>
      </c>
      <c r="O297" s="3">
        <v>4</v>
      </c>
      <c r="P297" s="1" t="s">
        <v>28</v>
      </c>
      <c r="Q297" s="4" t="b">
        <v>0</v>
      </c>
      <c r="R297" s="4" t="b">
        <v>1</v>
      </c>
      <c r="S297" s="4" t="b">
        <v>0</v>
      </c>
      <c r="T297" s="3" t="s">
        <v>721</v>
      </c>
      <c r="U297" s="4" t="b">
        <v>0</v>
      </c>
      <c r="V297" s="8">
        <v>44857</v>
      </c>
      <c r="W297" s="7">
        <v>44753</v>
      </c>
    </row>
    <row r="298" spans="1:23" ht="14.4" x14ac:dyDescent="0.3">
      <c r="A298" s="3">
        <v>530666</v>
      </c>
      <c r="B298" s="4" t="b">
        <v>1</v>
      </c>
      <c r="C298" s="1" t="s">
        <v>712</v>
      </c>
      <c r="D298" s="1" t="s">
        <v>713</v>
      </c>
      <c r="E298" s="5">
        <v>4432666</v>
      </c>
      <c r="F298" s="5">
        <v>8501704</v>
      </c>
      <c r="G298" s="1" t="s">
        <v>714</v>
      </c>
      <c r="H298" s="1" t="s">
        <v>715</v>
      </c>
      <c r="I298" s="6">
        <v>44284.574553240738</v>
      </c>
      <c r="J298" s="1">
        <f>393595883959</f>
        <v>393595883959</v>
      </c>
      <c r="K298" s="3">
        <v>19</v>
      </c>
      <c r="L298" s="5">
        <v>4842105</v>
      </c>
      <c r="M298" s="1">
        <v>673733376</v>
      </c>
      <c r="N298" s="3">
        <v>740</v>
      </c>
      <c r="O298" s="3">
        <v>4</v>
      </c>
      <c r="P298" s="1" t="s">
        <v>39</v>
      </c>
      <c r="Q298" s="4" t="b">
        <v>0</v>
      </c>
      <c r="R298" s="4" t="b">
        <v>1</v>
      </c>
      <c r="S298" s="4" t="b">
        <v>0</v>
      </c>
      <c r="T298" s="3" t="s">
        <v>716</v>
      </c>
      <c r="U298" s="4" t="b">
        <v>0</v>
      </c>
      <c r="V298" s="7">
        <v>44763</v>
      </c>
      <c r="W298" s="7">
        <v>44715</v>
      </c>
    </row>
    <row r="299" spans="1:23" ht="14.4" x14ac:dyDescent="0.3">
      <c r="A299" s="3">
        <v>530761</v>
      </c>
      <c r="B299" s="4" t="b">
        <v>1</v>
      </c>
      <c r="C299" s="1" t="s">
        <v>727</v>
      </c>
      <c r="D299" s="1" t="s">
        <v>728</v>
      </c>
      <c r="E299" s="5">
        <v>4212887</v>
      </c>
      <c r="F299" s="5">
        <v>1213066</v>
      </c>
      <c r="G299" s="1" t="s">
        <v>729</v>
      </c>
      <c r="H299" s="1" t="s">
        <v>730</v>
      </c>
      <c r="I299" s="6">
        <v>44293.672218425927</v>
      </c>
      <c r="J299" s="1">
        <f>393888930389</f>
        <v>393888930389</v>
      </c>
      <c r="K299" s="3">
        <v>109</v>
      </c>
      <c r="L299" s="5">
        <v>5</v>
      </c>
      <c r="M299" s="1">
        <v>3333336</v>
      </c>
      <c r="N299" s="3">
        <v>476</v>
      </c>
      <c r="O299" s="3">
        <v>2</v>
      </c>
      <c r="P299" s="1" t="s">
        <v>33</v>
      </c>
      <c r="Q299" s="4" t="b">
        <v>0</v>
      </c>
      <c r="R299" s="4" t="b">
        <v>0</v>
      </c>
      <c r="S299" s="4" t="b">
        <v>0</v>
      </c>
      <c r="T299" s="3" t="s">
        <v>170</v>
      </c>
      <c r="U299" s="4" t="b">
        <v>0</v>
      </c>
      <c r="V299" s="7">
        <v>44622</v>
      </c>
      <c r="W299" s="7">
        <v>44726</v>
      </c>
    </row>
    <row r="300" spans="1:23" ht="14.4" x14ac:dyDescent="0.3">
      <c r="A300" s="3">
        <v>540630</v>
      </c>
      <c r="B300" s="4" t="b">
        <v>1</v>
      </c>
      <c r="C300" s="1" t="s">
        <v>850</v>
      </c>
      <c r="D300" s="1" t="s">
        <v>851</v>
      </c>
      <c r="E300" s="5">
        <v>3847894</v>
      </c>
      <c r="F300" s="5">
        <v>-78189</v>
      </c>
      <c r="G300" s="1" t="s">
        <v>852</v>
      </c>
      <c r="H300" s="1" t="s">
        <v>853</v>
      </c>
      <c r="I300" s="6">
        <v>44477.506894421298</v>
      </c>
      <c r="J300" s="1">
        <f>35995539595</f>
        <v>35995539595</v>
      </c>
      <c r="K300" s="3">
        <v>9</v>
      </c>
      <c r="L300" s="5">
        <v>4888889</v>
      </c>
      <c r="M300" s="1">
        <v>773733</v>
      </c>
      <c r="N300" s="3">
        <v>2076</v>
      </c>
      <c r="O300" s="3">
        <v>4</v>
      </c>
      <c r="P300" s="1" t="s">
        <v>39</v>
      </c>
      <c r="Q300" s="4" t="b">
        <v>0</v>
      </c>
      <c r="R300" s="4" t="b">
        <v>1</v>
      </c>
      <c r="S300" s="4" t="b">
        <v>0</v>
      </c>
      <c r="T300" s="3" t="s">
        <v>854</v>
      </c>
      <c r="U300" s="4" t="b">
        <v>0</v>
      </c>
      <c r="V300" s="7">
        <v>44791</v>
      </c>
      <c r="W300" s="7">
        <v>44902</v>
      </c>
    </row>
    <row r="301" spans="1:23" ht="14.4" x14ac:dyDescent="0.3">
      <c r="A301" s="3">
        <v>543076</v>
      </c>
      <c r="B301" s="4" t="b">
        <v>1</v>
      </c>
      <c r="C301" s="1" t="s">
        <v>893</v>
      </c>
      <c r="D301" s="1" t="s">
        <v>894</v>
      </c>
      <c r="E301" s="5">
        <v>3921568</v>
      </c>
      <c r="F301" s="5">
        <v>9126436</v>
      </c>
      <c r="G301" s="1" t="s">
        <v>895</v>
      </c>
      <c r="H301" s="1" t="s">
        <v>896</v>
      </c>
      <c r="I301" s="6">
        <v>44504.492294467593</v>
      </c>
      <c r="J301" s="1">
        <f>390305983988</f>
        <v>390305983988</v>
      </c>
      <c r="K301" s="3">
        <v>146</v>
      </c>
      <c r="L301" s="5">
        <v>4979452</v>
      </c>
      <c r="M301" s="1">
        <v>7337363737</v>
      </c>
      <c r="N301" s="3">
        <v>20380</v>
      </c>
      <c r="O301" s="3">
        <v>19</v>
      </c>
      <c r="P301" s="1" t="s">
        <v>33</v>
      </c>
      <c r="Q301" s="4" t="b">
        <v>0</v>
      </c>
      <c r="R301" s="4" t="b">
        <v>0</v>
      </c>
      <c r="S301" s="4" t="b">
        <v>0</v>
      </c>
      <c r="T301" s="3" t="s">
        <v>34</v>
      </c>
      <c r="U301" s="4" t="b">
        <v>0</v>
      </c>
      <c r="V301" s="7">
        <v>44816</v>
      </c>
      <c r="W301" s="7">
        <v>44857</v>
      </c>
    </row>
    <row r="302" spans="1:23" ht="14.4" x14ac:dyDescent="0.3">
      <c r="A302" s="3">
        <v>544305</v>
      </c>
      <c r="B302" s="4" t="b">
        <v>1</v>
      </c>
      <c r="C302" s="1" t="s">
        <v>905</v>
      </c>
      <c r="D302" s="1" t="s">
        <v>906</v>
      </c>
      <c r="E302" s="5">
        <v>3794761</v>
      </c>
      <c r="F302" s="5">
        <v>2373785</v>
      </c>
      <c r="G302" s="1" t="s">
        <v>907</v>
      </c>
      <c r="H302" s="1" t="s">
        <v>908</v>
      </c>
      <c r="I302" s="6">
        <v>44518.57426267361</v>
      </c>
      <c r="J302" s="1">
        <f>308003000803</f>
        <v>308003000803</v>
      </c>
      <c r="K302" s="3">
        <v>75</v>
      </c>
      <c r="L302" s="5">
        <v>4893333</v>
      </c>
      <c r="M302" s="1">
        <v>673733</v>
      </c>
      <c r="N302" s="3">
        <v>1490</v>
      </c>
      <c r="O302" s="3">
        <v>9</v>
      </c>
      <c r="P302" s="1" t="s">
        <v>28</v>
      </c>
      <c r="Q302" s="4" t="b">
        <v>0</v>
      </c>
      <c r="R302" s="4" t="b">
        <v>1</v>
      </c>
      <c r="S302" s="4" t="b">
        <v>0</v>
      </c>
      <c r="T302" s="3" t="s">
        <v>909</v>
      </c>
      <c r="U302" s="4" t="b">
        <v>0</v>
      </c>
      <c r="V302" s="7">
        <v>44792</v>
      </c>
      <c r="W302" s="7">
        <v>44806</v>
      </c>
    </row>
    <row r="303" spans="1:23" ht="14.4" x14ac:dyDescent="0.3">
      <c r="A303" s="3">
        <v>544450</v>
      </c>
      <c r="B303" s="4" t="b">
        <v>1</v>
      </c>
      <c r="C303" s="1" t="s">
        <v>920</v>
      </c>
      <c r="D303" s="1" t="s">
        <v>921</v>
      </c>
      <c r="E303" s="5">
        <v>4545194</v>
      </c>
      <c r="F303" s="5">
        <v>918372</v>
      </c>
      <c r="G303" s="1" t="s">
        <v>37</v>
      </c>
      <c r="H303" s="1" t="s">
        <v>922</v>
      </c>
      <c r="I303" s="6">
        <v>44519.428746863428</v>
      </c>
      <c r="J303" s="1">
        <f>390889509953</f>
        <v>390889509953</v>
      </c>
      <c r="K303" s="3">
        <v>82</v>
      </c>
      <c r="L303" s="5">
        <v>4865854</v>
      </c>
      <c r="M303" s="1">
        <v>7333763</v>
      </c>
      <c r="N303" s="3">
        <v>6773</v>
      </c>
      <c r="O303" s="3">
        <v>4</v>
      </c>
      <c r="P303" s="1" t="s">
        <v>28</v>
      </c>
      <c r="Q303" s="4" t="b">
        <v>0</v>
      </c>
      <c r="R303" s="4" t="b">
        <v>1</v>
      </c>
      <c r="S303" s="4" t="b">
        <v>1</v>
      </c>
      <c r="T303" s="3" t="s">
        <v>923</v>
      </c>
      <c r="U303" s="4" t="b">
        <v>1</v>
      </c>
      <c r="V303" s="8">
        <v>44887</v>
      </c>
      <c r="W303" s="7">
        <v>44774</v>
      </c>
    </row>
    <row r="304" spans="1:23" ht="14.4" x14ac:dyDescent="0.3">
      <c r="A304" s="3">
        <v>544550</v>
      </c>
      <c r="B304" s="4" t="b">
        <v>1</v>
      </c>
      <c r="C304" s="1" t="s">
        <v>901</v>
      </c>
      <c r="D304" s="1" t="s">
        <v>902</v>
      </c>
      <c r="E304" s="5">
        <v>3805471</v>
      </c>
      <c r="F304" s="5">
        <v>23811</v>
      </c>
      <c r="G304" s="1" t="s">
        <v>903</v>
      </c>
      <c r="H304" s="1" t="s">
        <v>904</v>
      </c>
      <c r="I304" s="6">
        <v>44517.42983050926</v>
      </c>
      <c r="J304" s="1">
        <f>308335839399</f>
        <v>308335839399</v>
      </c>
      <c r="K304" s="3">
        <v>89</v>
      </c>
      <c r="L304" s="5">
        <v>4865169</v>
      </c>
      <c r="M304" s="1">
        <v>3337377</v>
      </c>
      <c r="N304" s="3">
        <v>852</v>
      </c>
      <c r="O304" s="3">
        <v>2</v>
      </c>
      <c r="P304" s="1" t="s">
        <v>28</v>
      </c>
      <c r="Q304" s="4" t="b">
        <v>0</v>
      </c>
      <c r="R304" s="4" t="b">
        <v>0</v>
      </c>
      <c r="S304" s="4" t="b">
        <v>0</v>
      </c>
      <c r="T304" s="3" t="s">
        <v>380</v>
      </c>
      <c r="U304" s="4" t="b">
        <v>0</v>
      </c>
      <c r="V304" s="7">
        <v>44799</v>
      </c>
      <c r="W304" s="7">
        <v>44867</v>
      </c>
    </row>
    <row r="305" spans="1:23" ht="14.4" x14ac:dyDescent="0.3">
      <c r="A305" s="3">
        <v>544730</v>
      </c>
      <c r="B305" s="4" t="b">
        <v>1</v>
      </c>
      <c r="C305" s="1" t="s">
        <v>914</v>
      </c>
      <c r="D305" s="1" t="s">
        <v>915</v>
      </c>
      <c r="E305" s="5">
        <v>4044504</v>
      </c>
      <c r="F305" s="5">
        <v>-367515</v>
      </c>
      <c r="G305" s="1" t="s">
        <v>195</v>
      </c>
      <c r="H305" s="1" t="s">
        <v>916</v>
      </c>
      <c r="I305" s="6">
        <v>44519.363147928241</v>
      </c>
      <c r="J305" s="6"/>
      <c r="K305" s="3">
        <v>2</v>
      </c>
      <c r="L305" s="5" t="s">
        <v>917</v>
      </c>
      <c r="M305" s="1" t="s">
        <v>918</v>
      </c>
      <c r="N305" s="3">
        <v>103</v>
      </c>
      <c r="O305" s="3">
        <v>4</v>
      </c>
      <c r="P305" s="1" t="s">
        <v>39</v>
      </c>
      <c r="Q305" s="4" t="b">
        <v>0</v>
      </c>
      <c r="R305" s="4" t="b">
        <v>1</v>
      </c>
      <c r="S305" s="4" t="b">
        <v>0</v>
      </c>
      <c r="T305" s="3" t="s">
        <v>919</v>
      </c>
      <c r="U305" s="4" t="b">
        <v>0</v>
      </c>
      <c r="V305" s="8">
        <v>44849</v>
      </c>
      <c r="W305" s="7">
        <v>44902</v>
      </c>
    </row>
    <row r="306" spans="1:23" ht="14.4" x14ac:dyDescent="0.3">
      <c r="A306" s="3">
        <v>545074</v>
      </c>
      <c r="B306" s="4" t="b">
        <v>1</v>
      </c>
      <c r="C306" s="1" t="s">
        <v>880</v>
      </c>
      <c r="D306" s="1" t="s">
        <v>881</v>
      </c>
      <c r="E306" s="5">
        <v>4336092</v>
      </c>
      <c r="F306" s="5">
        <v>-841899</v>
      </c>
      <c r="G306" s="1" t="s">
        <v>189</v>
      </c>
      <c r="H306" s="1" t="s">
        <v>882</v>
      </c>
      <c r="I306" s="6">
        <v>44495.750108333334</v>
      </c>
      <c r="J306" s="1">
        <f>35953833393</f>
        <v>35953833393</v>
      </c>
      <c r="K306" s="3">
        <v>4</v>
      </c>
      <c r="L306" s="5">
        <v>5</v>
      </c>
      <c r="M306" s="1" t="s">
        <v>883</v>
      </c>
      <c r="N306" s="3">
        <v>639</v>
      </c>
      <c r="O306" s="3">
        <v>3</v>
      </c>
      <c r="P306" s="1" t="s">
        <v>28</v>
      </c>
      <c r="Q306" s="4" t="b">
        <v>0</v>
      </c>
      <c r="R306" s="4" t="b">
        <v>1</v>
      </c>
      <c r="S306" s="4" t="b">
        <v>0</v>
      </c>
      <c r="T306" s="3" t="s">
        <v>611</v>
      </c>
      <c r="U306" s="4" t="b">
        <v>0</v>
      </c>
      <c r="V306" s="8">
        <v>44895</v>
      </c>
      <c r="W306" s="7">
        <v>44872</v>
      </c>
    </row>
    <row r="307" spans="1:23" ht="14.4" x14ac:dyDescent="0.3">
      <c r="A307" s="3">
        <v>545504</v>
      </c>
      <c r="B307" s="4" t="b">
        <v>1</v>
      </c>
      <c r="C307" s="1" t="s">
        <v>634</v>
      </c>
      <c r="D307" s="1" t="s">
        <v>635</v>
      </c>
      <c r="E307" s="5">
        <v>3847765</v>
      </c>
      <c r="F307" s="5">
        <v>-78416</v>
      </c>
      <c r="G307" s="1" t="s">
        <v>636</v>
      </c>
      <c r="H307" s="1" t="s">
        <v>637</v>
      </c>
      <c r="I307" s="6">
        <v>44207.673555127316</v>
      </c>
      <c r="J307" s="1">
        <f>35995335939</f>
        <v>35995335939</v>
      </c>
      <c r="K307" s="3">
        <v>217</v>
      </c>
      <c r="L307" s="5">
        <v>4990783</v>
      </c>
      <c r="M307" s="1" t="s">
        <v>638</v>
      </c>
      <c r="N307" s="3">
        <v>2631</v>
      </c>
      <c r="O307" s="3">
        <v>8</v>
      </c>
      <c r="P307" s="1" t="s">
        <v>28</v>
      </c>
      <c r="Q307" s="4" t="b">
        <v>0</v>
      </c>
      <c r="R307" s="4" t="b">
        <v>1</v>
      </c>
      <c r="S307" s="4" t="b">
        <v>0</v>
      </c>
      <c r="T307" s="3" t="s">
        <v>639</v>
      </c>
      <c r="U307" s="4" t="b">
        <v>0</v>
      </c>
      <c r="V307" s="7">
        <v>44903</v>
      </c>
      <c r="W307" s="7">
        <v>44903</v>
      </c>
    </row>
    <row r="308" spans="1:23" ht="14.4" x14ac:dyDescent="0.3">
      <c r="A308" s="3">
        <v>545530</v>
      </c>
      <c r="B308" s="4" t="b">
        <v>1</v>
      </c>
      <c r="C308" s="1" t="s">
        <v>644</v>
      </c>
      <c r="D308" s="1" t="s">
        <v>645</v>
      </c>
      <c r="E308" s="5">
        <v>4045332</v>
      </c>
      <c r="F308" s="5">
        <v>172597</v>
      </c>
      <c r="G308" s="1" t="s">
        <v>646</v>
      </c>
      <c r="H308" s="1" t="s">
        <v>647</v>
      </c>
      <c r="I308" s="6">
        <v>44214.653850578703</v>
      </c>
      <c r="J308" s="1">
        <f>390993389333</f>
        <v>390993389333</v>
      </c>
      <c r="K308" s="3">
        <v>240</v>
      </c>
      <c r="L308" s="5">
        <v>490795</v>
      </c>
      <c r="M308" s="1">
        <v>77373773</v>
      </c>
      <c r="N308" s="3">
        <v>8933</v>
      </c>
      <c r="O308" s="3">
        <v>23</v>
      </c>
      <c r="P308" s="1" t="s">
        <v>33</v>
      </c>
      <c r="Q308" s="4" t="b">
        <v>0</v>
      </c>
      <c r="R308" s="4" t="b">
        <v>1</v>
      </c>
      <c r="S308" s="4" t="b">
        <v>0</v>
      </c>
      <c r="T308" s="3" t="s">
        <v>648</v>
      </c>
      <c r="U308" s="4" t="b">
        <v>0</v>
      </c>
      <c r="V308" s="7">
        <v>44903</v>
      </c>
      <c r="W308" s="7">
        <v>44903</v>
      </c>
    </row>
    <row r="309" spans="1:23" ht="14.4" x14ac:dyDescent="0.3">
      <c r="A309" s="3">
        <v>545550</v>
      </c>
      <c r="B309" s="4" t="b">
        <v>0</v>
      </c>
      <c r="C309" s="1" t="s">
        <v>869</v>
      </c>
      <c r="D309" s="1" t="s">
        <v>870</v>
      </c>
      <c r="E309" s="5">
        <v>4900523</v>
      </c>
      <c r="F309" s="5">
        <v>2115856</v>
      </c>
      <c r="G309" s="1" t="s">
        <v>871</v>
      </c>
      <c r="H309" s="1" t="s">
        <v>872</v>
      </c>
      <c r="I309" s="6">
        <v>44487.653491435187</v>
      </c>
      <c r="J309" s="1">
        <f>33995383358</f>
        <v>33995383358</v>
      </c>
      <c r="K309" s="3">
        <v>17</v>
      </c>
      <c r="L309" s="5">
        <v>5</v>
      </c>
      <c r="M309" s="1" t="s">
        <v>873</v>
      </c>
      <c r="N309" s="3">
        <v>127</v>
      </c>
      <c r="O309" s="3">
        <v>1</v>
      </c>
      <c r="P309" s="1" t="s">
        <v>39</v>
      </c>
      <c r="Q309" s="4" t="b">
        <v>0</v>
      </c>
      <c r="R309" s="4" t="b">
        <v>1</v>
      </c>
      <c r="S309" s="4" t="b">
        <v>0</v>
      </c>
      <c r="T309" s="3" t="s">
        <v>462</v>
      </c>
      <c r="U309" s="4" t="b">
        <v>0</v>
      </c>
      <c r="V309" s="7">
        <v>44801</v>
      </c>
      <c r="W309" s="7">
        <v>44788</v>
      </c>
    </row>
    <row r="310" spans="1:23" ht="14.4" x14ac:dyDescent="0.3">
      <c r="A310" s="3">
        <v>550304</v>
      </c>
      <c r="B310" s="4" t="b">
        <v>1</v>
      </c>
      <c r="C310" s="1" t="s">
        <v>52</v>
      </c>
      <c r="D310" s="1" t="s">
        <v>53</v>
      </c>
      <c r="E310" s="5">
        <v>3797959</v>
      </c>
      <c r="F310" s="5">
        <v>2373987</v>
      </c>
      <c r="G310" s="1" t="s">
        <v>54</v>
      </c>
      <c r="H310" s="1" t="s">
        <v>55</v>
      </c>
      <c r="I310" s="6">
        <v>42451.436967592592</v>
      </c>
      <c r="J310" s="1">
        <f>308303958383</f>
        <v>308303958383</v>
      </c>
      <c r="K310" s="3">
        <v>188</v>
      </c>
      <c r="L310" s="5" t="s">
        <v>27</v>
      </c>
      <c r="M310" s="1">
        <v>777366737</v>
      </c>
      <c r="N310" s="3">
        <v>533</v>
      </c>
      <c r="O310" s="3">
        <v>5</v>
      </c>
      <c r="P310" s="1" t="s">
        <v>39</v>
      </c>
      <c r="Q310" s="4" t="b">
        <v>0</v>
      </c>
      <c r="R310" s="4" t="b">
        <v>0</v>
      </c>
      <c r="S310" s="4" t="b">
        <v>0</v>
      </c>
      <c r="T310" s="3" t="s">
        <v>40</v>
      </c>
      <c r="U310" s="4" t="b">
        <v>0</v>
      </c>
      <c r="V310" s="7">
        <v>44630</v>
      </c>
      <c r="W310" s="7">
        <v>44817</v>
      </c>
    </row>
    <row r="311" spans="1:23" ht="14.4" x14ac:dyDescent="0.3">
      <c r="A311" s="3">
        <v>553017</v>
      </c>
      <c r="B311" s="4" t="b">
        <v>1</v>
      </c>
      <c r="C311" s="1" t="s">
        <v>1031</v>
      </c>
      <c r="D311" s="1" t="s">
        <v>1032</v>
      </c>
      <c r="E311" s="5">
        <v>3777845</v>
      </c>
      <c r="F311" s="5">
        <v>-379136</v>
      </c>
      <c r="G311" s="1" t="s">
        <v>1033</v>
      </c>
      <c r="H311" s="1" t="s">
        <v>1034</v>
      </c>
      <c r="I311" s="6">
        <v>44557.410795081021</v>
      </c>
      <c r="J311" s="1">
        <f>35853895393</f>
        <v>35853895393</v>
      </c>
      <c r="K311" s="3">
        <v>16</v>
      </c>
      <c r="L311" s="5">
        <v>5</v>
      </c>
      <c r="M311" s="1" t="s">
        <v>1035</v>
      </c>
      <c r="N311" s="3">
        <v>455</v>
      </c>
      <c r="O311" s="3">
        <v>1</v>
      </c>
      <c r="P311" s="1" t="s">
        <v>28</v>
      </c>
      <c r="Q311" s="4" t="b">
        <v>0</v>
      </c>
      <c r="R311" s="4" t="b">
        <v>1</v>
      </c>
      <c r="S311" s="4" t="b">
        <v>0</v>
      </c>
      <c r="T311" s="3" t="s">
        <v>1036</v>
      </c>
      <c r="U311" s="4" t="b">
        <v>0</v>
      </c>
      <c r="V311" s="7">
        <v>44754</v>
      </c>
      <c r="W311" s="8">
        <v>44887</v>
      </c>
    </row>
    <row r="312" spans="1:23" ht="14.4" x14ac:dyDescent="0.3">
      <c r="A312" s="3">
        <v>553044</v>
      </c>
      <c r="B312" s="4" t="b">
        <v>1</v>
      </c>
      <c r="C312" s="1" t="s">
        <v>171</v>
      </c>
      <c r="D312" s="1" t="s">
        <v>172</v>
      </c>
      <c r="E312" s="5">
        <v>4140294</v>
      </c>
      <c r="F312" s="5">
        <v>2179602</v>
      </c>
      <c r="G312" s="1" t="s">
        <v>182</v>
      </c>
      <c r="H312" s="1" t="s">
        <v>1053</v>
      </c>
      <c r="I312" s="6">
        <v>44559.731590127318</v>
      </c>
      <c r="J312" s="1">
        <f>35989033595</f>
        <v>35989033595</v>
      </c>
      <c r="K312" s="3">
        <v>17</v>
      </c>
      <c r="L312" s="5">
        <v>5</v>
      </c>
      <c r="M312" s="1" t="s">
        <v>1054</v>
      </c>
      <c r="N312" s="3">
        <v>427</v>
      </c>
      <c r="O312" s="3">
        <v>2</v>
      </c>
      <c r="P312" s="1" t="s">
        <v>39</v>
      </c>
      <c r="Q312" s="4" t="b">
        <v>0</v>
      </c>
      <c r="R312" s="4" t="b">
        <v>1</v>
      </c>
      <c r="S312" s="4" t="b">
        <v>0</v>
      </c>
      <c r="T312" s="3" t="s">
        <v>462</v>
      </c>
      <c r="U312" s="4" t="b">
        <v>0</v>
      </c>
      <c r="V312" s="8">
        <v>44876</v>
      </c>
      <c r="W312" s="8">
        <v>44884</v>
      </c>
    </row>
    <row r="313" spans="1:23" ht="14.4" x14ac:dyDescent="0.3">
      <c r="A313" s="3">
        <v>553051</v>
      </c>
      <c r="B313" s="4" t="b">
        <v>1</v>
      </c>
      <c r="C313" s="1" t="s">
        <v>1037</v>
      </c>
      <c r="D313" s="1" t="s">
        <v>1038</v>
      </c>
      <c r="E313" s="5">
        <v>4031686</v>
      </c>
      <c r="F313" s="5">
        <v>-387741</v>
      </c>
      <c r="G313" s="1" t="s">
        <v>1039</v>
      </c>
      <c r="H313" s="1" t="s">
        <v>1040</v>
      </c>
      <c r="I313" s="6">
        <v>44557.736778726852</v>
      </c>
      <c r="J313" s="1">
        <f>35938393888</f>
        <v>35938393888</v>
      </c>
      <c r="K313" s="3">
        <v>21</v>
      </c>
      <c r="L313" s="5">
        <v>5</v>
      </c>
      <c r="M313" s="1" t="s">
        <v>1041</v>
      </c>
      <c r="N313" s="3">
        <v>1520</v>
      </c>
      <c r="O313" s="3">
        <v>2</v>
      </c>
      <c r="P313" s="1" t="s">
        <v>28</v>
      </c>
      <c r="Q313" s="4" t="b">
        <v>0</v>
      </c>
      <c r="R313" s="4" t="b">
        <v>1</v>
      </c>
      <c r="S313" s="4" t="b">
        <v>0</v>
      </c>
      <c r="T313" s="3" t="s">
        <v>774</v>
      </c>
      <c r="U313" s="4" t="b">
        <v>0</v>
      </c>
      <c r="V313" s="7">
        <v>44824</v>
      </c>
      <c r="W313" s="7">
        <v>44583</v>
      </c>
    </row>
    <row r="314" spans="1:23" ht="14.4" x14ac:dyDescent="0.3">
      <c r="A314" s="3">
        <v>553054</v>
      </c>
      <c r="B314" s="4" t="b">
        <v>1</v>
      </c>
      <c r="C314" s="1" t="s">
        <v>1063</v>
      </c>
      <c r="D314" s="1" t="s">
        <v>1064</v>
      </c>
      <c r="E314" s="5">
        <v>4044328</v>
      </c>
      <c r="F314" s="5">
        <v>-368008</v>
      </c>
      <c r="G314" s="1" t="s">
        <v>195</v>
      </c>
      <c r="H314" s="1" t="s">
        <v>1065</v>
      </c>
      <c r="I314" s="6">
        <v>44564.503920659721</v>
      </c>
      <c r="J314" s="1">
        <f>35955908553</f>
        <v>35955908553</v>
      </c>
      <c r="K314" s="3">
        <v>9</v>
      </c>
      <c r="L314" s="5">
        <v>4666667</v>
      </c>
      <c r="M314" s="1" t="s">
        <v>1066</v>
      </c>
      <c r="N314" s="3">
        <v>237</v>
      </c>
      <c r="O314" s="3">
        <v>3</v>
      </c>
      <c r="P314" s="1" t="s">
        <v>28</v>
      </c>
      <c r="Q314" s="4" t="b">
        <v>0</v>
      </c>
      <c r="R314" s="4" t="b">
        <v>1</v>
      </c>
      <c r="S314" s="4" t="b">
        <v>0</v>
      </c>
      <c r="T314" s="3" t="s">
        <v>1067</v>
      </c>
      <c r="U314" s="4" t="b">
        <v>1</v>
      </c>
      <c r="V314" s="7">
        <v>44638</v>
      </c>
      <c r="W314" s="7">
        <v>44640</v>
      </c>
    </row>
    <row r="315" spans="1:23" ht="14.4" x14ac:dyDescent="0.3">
      <c r="A315" s="3">
        <v>553064</v>
      </c>
      <c r="B315" s="4" t="b">
        <v>1</v>
      </c>
      <c r="C315" s="1" t="s">
        <v>1059</v>
      </c>
      <c r="D315" s="1" t="s">
        <v>1060</v>
      </c>
      <c r="E315" s="5">
        <v>4137639</v>
      </c>
      <c r="F315" s="5">
        <v>2152919</v>
      </c>
      <c r="G315" s="1" t="s">
        <v>182</v>
      </c>
      <c r="H315" s="1" t="s">
        <v>1061</v>
      </c>
      <c r="I315" s="6">
        <v>44561.385357905092</v>
      </c>
      <c r="J315" s="1">
        <f>35950838553</f>
        <v>35950838553</v>
      </c>
      <c r="K315" s="3">
        <v>9</v>
      </c>
      <c r="L315" s="5">
        <v>5</v>
      </c>
      <c r="M315" s="1" t="s">
        <v>1062</v>
      </c>
      <c r="N315" s="3">
        <v>38</v>
      </c>
      <c r="O315" s="3">
        <v>1</v>
      </c>
      <c r="P315" s="1" t="s">
        <v>39</v>
      </c>
      <c r="Q315" s="4" t="b">
        <v>0</v>
      </c>
      <c r="R315" s="4" t="b">
        <v>1</v>
      </c>
      <c r="S315" s="4" t="b">
        <v>0</v>
      </c>
      <c r="T315" s="3" t="s">
        <v>576</v>
      </c>
      <c r="U315" s="4" t="b">
        <v>0</v>
      </c>
      <c r="V315" s="7">
        <v>44869</v>
      </c>
      <c r="W315" s="8">
        <v>44852</v>
      </c>
    </row>
    <row r="316" spans="1:23" ht="14.4" x14ac:dyDescent="0.3">
      <c r="A316" s="3">
        <v>553066</v>
      </c>
      <c r="B316" s="4" t="b">
        <v>0</v>
      </c>
      <c r="C316" s="1" t="s">
        <v>1055</v>
      </c>
      <c r="D316" s="1" t="s">
        <v>1056</v>
      </c>
      <c r="E316" s="5">
        <v>4040128</v>
      </c>
      <c r="F316" s="5">
        <v>-366055</v>
      </c>
      <c r="G316" s="1" t="s">
        <v>195</v>
      </c>
      <c r="H316" s="1" t="s">
        <v>1057</v>
      </c>
      <c r="I316" s="6">
        <v>44561.331799675929</v>
      </c>
      <c r="J316" s="1">
        <f>35998533598</f>
        <v>35998533598</v>
      </c>
      <c r="K316" s="3">
        <v>5</v>
      </c>
      <c r="L316" s="5">
        <v>5</v>
      </c>
      <c r="M316" s="1" t="s">
        <v>1058</v>
      </c>
      <c r="N316" s="3">
        <v>813</v>
      </c>
      <c r="O316" s="3">
        <v>1</v>
      </c>
      <c r="P316" s="1" t="s">
        <v>28</v>
      </c>
      <c r="Q316" s="4" t="b">
        <v>0</v>
      </c>
      <c r="R316" s="4" t="b">
        <v>1</v>
      </c>
      <c r="S316" s="4" t="b">
        <v>1</v>
      </c>
      <c r="T316" s="3" t="s">
        <v>1010</v>
      </c>
      <c r="U316" s="4" t="b">
        <v>0</v>
      </c>
      <c r="V316" s="7">
        <v>44775</v>
      </c>
      <c r="W316" s="8">
        <v>44892</v>
      </c>
    </row>
    <row r="317" spans="1:23" ht="14.4" x14ac:dyDescent="0.3">
      <c r="A317" s="3">
        <v>553071</v>
      </c>
      <c r="B317" s="4" t="b">
        <v>1</v>
      </c>
      <c r="C317" s="1" t="s">
        <v>612</v>
      </c>
      <c r="D317" s="1" t="s">
        <v>613</v>
      </c>
      <c r="E317" s="5">
        <v>4194497</v>
      </c>
      <c r="F317" s="5">
        <v>124666</v>
      </c>
      <c r="G317" s="1" t="s">
        <v>25</v>
      </c>
      <c r="H317" s="1" t="s">
        <v>614</v>
      </c>
      <c r="I317" s="6">
        <v>44175.595044548609</v>
      </c>
      <c r="J317" s="1">
        <f>390939303895</f>
        <v>390939303895</v>
      </c>
      <c r="K317" s="3">
        <v>0</v>
      </c>
      <c r="L317" s="5">
        <v>0</v>
      </c>
      <c r="M317" s="1">
        <v>3733773333</v>
      </c>
      <c r="N317" s="3">
        <v>132</v>
      </c>
      <c r="O317" s="3">
        <v>4</v>
      </c>
      <c r="P317" s="1" t="s">
        <v>28</v>
      </c>
      <c r="Q317" s="4" t="b">
        <v>1</v>
      </c>
      <c r="R317" s="4" t="b">
        <v>0</v>
      </c>
      <c r="S317" s="4" t="b">
        <v>0</v>
      </c>
      <c r="T317" s="3">
        <v>0</v>
      </c>
      <c r="U317" s="4" t="b">
        <v>0</v>
      </c>
      <c r="V317" s="7">
        <v>44718</v>
      </c>
      <c r="W317" s="7">
        <v>44782</v>
      </c>
    </row>
    <row r="318" spans="1:23" ht="14.4" x14ac:dyDescent="0.3">
      <c r="A318" s="3">
        <v>554304</v>
      </c>
      <c r="B318" s="4" t="b">
        <v>1</v>
      </c>
      <c r="C318" s="1" t="s">
        <v>988</v>
      </c>
      <c r="D318" s="1" t="s">
        <v>989</v>
      </c>
      <c r="E318" s="5">
        <v>4150086</v>
      </c>
      <c r="F318" s="5">
        <v>1816091</v>
      </c>
      <c r="G318" s="1" t="s">
        <v>990</v>
      </c>
      <c r="H318" s="1" t="s">
        <v>991</v>
      </c>
      <c r="I318" s="6">
        <v>44551.623424143516</v>
      </c>
      <c r="J318" s="1">
        <f>35935993330</f>
        <v>35935993330</v>
      </c>
      <c r="K318" s="3">
        <v>2</v>
      </c>
      <c r="L318" s="5">
        <v>5</v>
      </c>
      <c r="M318" s="1" t="s">
        <v>992</v>
      </c>
      <c r="N318" s="3">
        <v>251</v>
      </c>
      <c r="O318" s="3">
        <v>3</v>
      </c>
      <c r="P318" s="1" t="s">
        <v>28</v>
      </c>
      <c r="Q318" s="4" t="b">
        <v>0</v>
      </c>
      <c r="R318" s="4" t="b">
        <v>1</v>
      </c>
      <c r="S318" s="4" t="b">
        <v>0</v>
      </c>
      <c r="T318" s="3" t="s">
        <v>993</v>
      </c>
      <c r="U318" s="4" t="b">
        <v>0</v>
      </c>
      <c r="V318" s="8">
        <v>44861</v>
      </c>
      <c r="W318" s="7">
        <v>44813</v>
      </c>
    </row>
    <row r="319" spans="1:23" ht="14.4" x14ac:dyDescent="0.3">
      <c r="A319" s="3">
        <v>554304</v>
      </c>
      <c r="B319" s="4" t="b">
        <v>1</v>
      </c>
      <c r="C319" s="1" t="s">
        <v>1112</v>
      </c>
      <c r="D319" s="1" t="s">
        <v>1113</v>
      </c>
      <c r="E319" s="5">
        <v>4556296</v>
      </c>
      <c r="F319" s="5">
        <v>1046362</v>
      </c>
      <c r="G319" s="1" t="s">
        <v>1114</v>
      </c>
      <c r="H319" s="1" t="s">
        <v>1115</v>
      </c>
      <c r="I319" s="6">
        <v>44581.433930509258</v>
      </c>
      <c r="J319" s="1">
        <f>393803330885</f>
        <v>393803330885</v>
      </c>
      <c r="K319" s="3">
        <v>0</v>
      </c>
      <c r="L319" s="5">
        <v>0</v>
      </c>
      <c r="M319" s="1">
        <v>733333737</v>
      </c>
      <c r="N319" s="3">
        <v>1692</v>
      </c>
      <c r="O319" s="3">
        <v>8</v>
      </c>
      <c r="P319" s="1" t="s">
        <v>28</v>
      </c>
      <c r="Q319" s="4" t="b">
        <v>0</v>
      </c>
      <c r="R319" s="4" t="b">
        <v>1</v>
      </c>
      <c r="S319" s="4" t="b">
        <v>0</v>
      </c>
      <c r="T319" s="3">
        <v>0</v>
      </c>
      <c r="U319" s="4" t="b">
        <v>0</v>
      </c>
      <c r="V319" s="7">
        <v>44662</v>
      </c>
      <c r="W319" s="8">
        <v>44885</v>
      </c>
    </row>
    <row r="320" spans="1:23" ht="14.4" x14ac:dyDescent="0.3">
      <c r="A320" s="3">
        <v>554305</v>
      </c>
      <c r="B320" s="4" t="b">
        <v>1</v>
      </c>
      <c r="C320" s="1" t="s">
        <v>1108</v>
      </c>
      <c r="D320" s="1" t="s">
        <v>1109</v>
      </c>
      <c r="E320" s="5">
        <v>4564401</v>
      </c>
      <c r="F320" s="5">
        <v>9135775</v>
      </c>
      <c r="G320" s="1" t="s">
        <v>1110</v>
      </c>
      <c r="H320" s="1" t="s">
        <v>1111</v>
      </c>
      <c r="I320" s="6">
        <v>44581.415036631945</v>
      </c>
      <c r="J320" s="1">
        <f>393989805388</f>
        <v>393989805388</v>
      </c>
      <c r="K320" s="3">
        <v>217</v>
      </c>
      <c r="L320" s="5">
        <v>4935484</v>
      </c>
      <c r="M320" s="1">
        <v>7377373766</v>
      </c>
      <c r="N320" s="3">
        <v>4399</v>
      </c>
      <c r="O320" s="3">
        <v>10</v>
      </c>
      <c r="P320" s="1" t="s">
        <v>39</v>
      </c>
      <c r="Q320" s="4" t="b">
        <v>0</v>
      </c>
      <c r="R320" s="4" t="b">
        <v>1</v>
      </c>
      <c r="S320" s="4" t="b">
        <v>0</v>
      </c>
      <c r="T320" s="3" t="s">
        <v>527</v>
      </c>
      <c r="U320" s="4" t="b">
        <v>0</v>
      </c>
      <c r="V320" s="7">
        <v>44669</v>
      </c>
      <c r="W320" s="7">
        <v>44867</v>
      </c>
    </row>
    <row r="321" spans="1:23" ht="14.4" x14ac:dyDescent="0.3">
      <c r="A321" s="3">
        <v>554505</v>
      </c>
      <c r="B321" s="4" t="b">
        <v>1</v>
      </c>
      <c r="C321" s="1" t="s">
        <v>982</v>
      </c>
      <c r="D321" s="1" t="s">
        <v>983</v>
      </c>
      <c r="E321" s="5">
        <v>42147</v>
      </c>
      <c r="F321" s="5">
        <v>-42585</v>
      </c>
      <c r="G321" s="1" t="s">
        <v>984</v>
      </c>
      <c r="H321" s="1" t="s">
        <v>985</v>
      </c>
      <c r="I321" s="6">
        <v>44551.336528425927</v>
      </c>
      <c r="J321" s="1">
        <f>35958388580</f>
        <v>35958388580</v>
      </c>
      <c r="K321" s="3">
        <v>32</v>
      </c>
      <c r="L321" s="5">
        <v>49375</v>
      </c>
      <c r="M321" s="1" t="s">
        <v>986</v>
      </c>
      <c r="N321" s="3">
        <v>743</v>
      </c>
      <c r="O321" s="3">
        <v>2</v>
      </c>
      <c r="P321" s="1" t="s">
        <v>39</v>
      </c>
      <c r="Q321" s="4" t="b">
        <v>0</v>
      </c>
      <c r="R321" s="4" t="b">
        <v>1</v>
      </c>
      <c r="S321" s="4" t="b">
        <v>0</v>
      </c>
      <c r="T321" s="3" t="s">
        <v>987</v>
      </c>
      <c r="U321" s="4" t="b">
        <v>0</v>
      </c>
      <c r="V321" s="7">
        <v>44777</v>
      </c>
      <c r="W321" s="8">
        <v>44894</v>
      </c>
    </row>
    <row r="322" spans="1:23" ht="14.4" x14ac:dyDescent="0.3">
      <c r="A322" s="3">
        <v>554630</v>
      </c>
      <c r="B322" s="4" t="b">
        <v>1</v>
      </c>
      <c r="C322" s="1" t="s">
        <v>1005</v>
      </c>
      <c r="D322" s="1" t="s">
        <v>1006</v>
      </c>
      <c r="E322" s="5">
        <v>3887414</v>
      </c>
      <c r="F322" s="5">
        <v>-697979</v>
      </c>
      <c r="G322" s="1" t="s">
        <v>1007</v>
      </c>
      <c r="H322" s="1" t="s">
        <v>1008</v>
      </c>
      <c r="I322" s="6">
        <v>44552.242088090279</v>
      </c>
      <c r="J322" s="1">
        <f>35933535353</f>
        <v>35933535353</v>
      </c>
      <c r="K322" s="3">
        <v>5</v>
      </c>
      <c r="L322" s="5">
        <v>5</v>
      </c>
      <c r="M322" s="1" t="s">
        <v>1009</v>
      </c>
      <c r="N322" s="3">
        <v>163</v>
      </c>
      <c r="O322" s="3">
        <v>4</v>
      </c>
      <c r="P322" s="1" t="s">
        <v>39</v>
      </c>
      <c r="Q322" s="4" t="b">
        <v>0</v>
      </c>
      <c r="R322" s="4" t="b">
        <v>1</v>
      </c>
      <c r="S322" s="4" t="b">
        <v>0</v>
      </c>
      <c r="T322" s="3" t="s">
        <v>1010</v>
      </c>
      <c r="U322" s="4" t="b">
        <v>0</v>
      </c>
      <c r="V322" s="7">
        <v>44837</v>
      </c>
      <c r="W322" s="8">
        <v>44881</v>
      </c>
    </row>
    <row r="323" spans="1:23" ht="14.4" x14ac:dyDescent="0.3">
      <c r="A323" s="3">
        <v>555505</v>
      </c>
      <c r="B323" s="4" t="b">
        <v>0</v>
      </c>
      <c r="C323" s="1" t="s">
        <v>827</v>
      </c>
      <c r="D323" s="1" t="s">
        <v>828</v>
      </c>
      <c r="E323" s="5">
        <v>4884385</v>
      </c>
      <c r="F323" s="5">
        <v>2432172</v>
      </c>
      <c r="G323" s="1" t="s">
        <v>1121</v>
      </c>
      <c r="H323" s="1" t="s">
        <v>1122</v>
      </c>
      <c r="I323" s="6">
        <v>44587.332734374999</v>
      </c>
      <c r="J323" s="1">
        <f>33359353059</f>
        <v>33359353059</v>
      </c>
      <c r="K323" s="3">
        <v>41</v>
      </c>
      <c r="L323" s="5">
        <v>4878049</v>
      </c>
      <c r="M323" s="1" t="s">
        <v>1123</v>
      </c>
      <c r="N323" s="3">
        <v>739</v>
      </c>
      <c r="O323" s="3">
        <v>2</v>
      </c>
      <c r="P323" s="1" t="s">
        <v>39</v>
      </c>
      <c r="Q323" s="4" t="b">
        <v>0</v>
      </c>
      <c r="R323" s="4" t="b">
        <v>1</v>
      </c>
      <c r="S323" s="4" t="b">
        <v>0</v>
      </c>
      <c r="T323" s="3" t="s">
        <v>1124</v>
      </c>
      <c r="U323" s="4" t="b">
        <v>0</v>
      </c>
      <c r="V323" s="7">
        <v>44849</v>
      </c>
      <c r="W323" s="7">
        <v>44891</v>
      </c>
    </row>
    <row r="324" spans="1:23" ht="14.4" x14ac:dyDescent="0.3">
      <c r="A324" s="3">
        <v>555550</v>
      </c>
      <c r="B324" s="4" t="b">
        <v>1</v>
      </c>
      <c r="C324" s="1" t="s">
        <v>956</v>
      </c>
      <c r="D324" s="1" t="s">
        <v>957</v>
      </c>
      <c r="E324" s="5">
        <v>4882415</v>
      </c>
      <c r="F324" s="5">
        <v>2325051</v>
      </c>
      <c r="G324" s="1" t="s">
        <v>365</v>
      </c>
      <c r="H324" s="1" t="s">
        <v>958</v>
      </c>
      <c r="I324" s="6">
        <v>44540.418636736111</v>
      </c>
      <c r="J324" s="1">
        <f>33988053583</f>
        <v>33988053583</v>
      </c>
      <c r="K324" s="3">
        <v>2</v>
      </c>
      <c r="L324" s="5" t="s">
        <v>782</v>
      </c>
      <c r="M324" s="1" t="s">
        <v>959</v>
      </c>
      <c r="N324" s="3">
        <v>70</v>
      </c>
      <c r="O324" s="3">
        <v>4</v>
      </c>
      <c r="P324" s="1" t="s">
        <v>28</v>
      </c>
      <c r="Q324" s="4" t="b">
        <v>0</v>
      </c>
      <c r="R324" s="4" t="b">
        <v>1</v>
      </c>
      <c r="S324" s="4" t="b">
        <v>0</v>
      </c>
      <c r="T324" s="3" t="s">
        <v>960</v>
      </c>
      <c r="U324" s="4" t="b">
        <v>0</v>
      </c>
      <c r="V324" s="8">
        <v>44852</v>
      </c>
      <c r="W324" s="8">
        <v>44885</v>
      </c>
    </row>
    <row r="325" spans="1:23" ht="14.4" x14ac:dyDescent="0.3">
      <c r="A325" s="3">
        <v>556450</v>
      </c>
      <c r="B325" s="4" t="b">
        <v>1</v>
      </c>
      <c r="C325" s="1" t="s">
        <v>619</v>
      </c>
      <c r="D325" s="1" t="s">
        <v>620</v>
      </c>
      <c r="E325" s="5">
        <v>4506599</v>
      </c>
      <c r="F325" s="5">
        <v>7635583</v>
      </c>
      <c r="G325" s="1" t="s">
        <v>326</v>
      </c>
      <c r="H325" s="1" t="s">
        <v>621</v>
      </c>
      <c r="I325" s="6">
        <v>44187.403710625003</v>
      </c>
      <c r="J325" s="1">
        <f>390333885335</f>
        <v>390333885335</v>
      </c>
      <c r="K325" s="3">
        <v>362</v>
      </c>
      <c r="L325" s="5">
        <v>4743094</v>
      </c>
      <c r="M325" s="1">
        <v>7773373333</v>
      </c>
      <c r="N325" s="3">
        <v>4439</v>
      </c>
      <c r="O325" s="3">
        <v>15</v>
      </c>
      <c r="P325" s="1" t="s">
        <v>39</v>
      </c>
      <c r="Q325" s="4" t="b">
        <v>0</v>
      </c>
      <c r="R325" s="4" t="b">
        <v>1</v>
      </c>
      <c r="S325" s="4" t="b">
        <v>0</v>
      </c>
      <c r="T325" s="3" t="s">
        <v>622</v>
      </c>
      <c r="U325" s="4" t="b">
        <v>0</v>
      </c>
      <c r="V325" s="7">
        <v>44891</v>
      </c>
      <c r="W325" s="7">
        <v>44872</v>
      </c>
    </row>
    <row r="326" spans="1:23" ht="14.4" x14ac:dyDescent="0.3">
      <c r="A326" s="3">
        <v>556506</v>
      </c>
      <c r="B326" s="4" t="b">
        <v>1</v>
      </c>
      <c r="C326" s="1" t="s">
        <v>1073</v>
      </c>
      <c r="D326" s="1" t="s">
        <v>1074</v>
      </c>
      <c r="E326" s="5">
        <v>3651132</v>
      </c>
      <c r="F326" s="5">
        <v>-489088</v>
      </c>
      <c r="G326" s="1" t="s">
        <v>1075</v>
      </c>
      <c r="H326" s="1" t="s">
        <v>1076</v>
      </c>
      <c r="I326" s="6">
        <v>44566.501007407409</v>
      </c>
      <c r="J326" s="1">
        <f>35958903599</f>
        <v>35958903599</v>
      </c>
      <c r="K326" s="3">
        <v>10</v>
      </c>
      <c r="L326" s="5">
        <v>5</v>
      </c>
      <c r="M326" s="1" t="s">
        <v>1077</v>
      </c>
      <c r="N326" s="3">
        <v>254</v>
      </c>
      <c r="O326" s="3">
        <v>2</v>
      </c>
      <c r="P326" s="1" t="s">
        <v>33</v>
      </c>
      <c r="Q326" s="4" t="b">
        <v>0</v>
      </c>
      <c r="R326" s="4" t="b">
        <v>1</v>
      </c>
      <c r="S326" s="4" t="b">
        <v>0</v>
      </c>
      <c r="T326" s="3" t="s">
        <v>1072</v>
      </c>
      <c r="U326" s="4" t="b">
        <v>0</v>
      </c>
      <c r="V326" s="7">
        <v>44675</v>
      </c>
      <c r="W326" s="7">
        <v>44708</v>
      </c>
    </row>
    <row r="327" spans="1:23" ht="14.4" x14ac:dyDescent="0.3">
      <c r="A327" s="3">
        <v>563006</v>
      </c>
      <c r="B327" s="4" t="b">
        <v>1</v>
      </c>
      <c r="C327" s="1" t="s">
        <v>779</v>
      </c>
      <c r="D327" s="1" t="s">
        <v>780</v>
      </c>
      <c r="E327" s="5">
        <v>4544865</v>
      </c>
      <c r="F327" s="5">
        <v>1098562</v>
      </c>
      <c r="G327" s="1" t="s">
        <v>76</v>
      </c>
      <c r="H327" s="1" t="s">
        <v>781</v>
      </c>
      <c r="I327" s="6">
        <v>44362.414048749997</v>
      </c>
      <c r="J327" s="1">
        <f>390558595390</f>
        <v>390558595390</v>
      </c>
      <c r="K327" s="3">
        <v>4</v>
      </c>
      <c r="L327" s="5" t="s">
        <v>782</v>
      </c>
      <c r="M327" s="1">
        <v>637333373</v>
      </c>
      <c r="N327" s="3">
        <v>741</v>
      </c>
      <c r="O327" s="3">
        <v>2</v>
      </c>
      <c r="P327" s="1" t="s">
        <v>39</v>
      </c>
      <c r="Q327" s="4" t="b">
        <v>0</v>
      </c>
      <c r="R327" s="4" t="b">
        <v>1</v>
      </c>
      <c r="S327" s="4" t="b">
        <v>1</v>
      </c>
      <c r="T327" s="3" t="s">
        <v>783</v>
      </c>
      <c r="U327" s="4" t="b">
        <v>0</v>
      </c>
      <c r="V327" s="7">
        <v>44688</v>
      </c>
      <c r="W327" s="7">
        <v>44830</v>
      </c>
    </row>
    <row r="328" spans="1:23" ht="14.4" x14ac:dyDescent="0.3">
      <c r="A328" s="3">
        <v>563014</v>
      </c>
      <c r="B328" s="4" t="b">
        <v>1</v>
      </c>
      <c r="C328" s="1" t="s">
        <v>784</v>
      </c>
      <c r="D328" s="1" t="s">
        <v>785</v>
      </c>
      <c r="E328" s="5">
        <v>4545031</v>
      </c>
      <c r="F328" s="5">
        <v>8605191</v>
      </c>
      <c r="G328" s="1" t="s">
        <v>786</v>
      </c>
      <c r="H328" s="1" t="s">
        <v>787</v>
      </c>
      <c r="I328" s="6">
        <v>44362.566883206018</v>
      </c>
      <c r="J328" s="1">
        <f>390383033035</f>
        <v>390383033035</v>
      </c>
      <c r="K328" s="3">
        <v>9</v>
      </c>
      <c r="L328" s="5">
        <v>5</v>
      </c>
      <c r="M328" s="1">
        <v>3333377</v>
      </c>
      <c r="N328" s="3">
        <v>347</v>
      </c>
      <c r="O328" s="3">
        <v>1</v>
      </c>
      <c r="P328" s="1" t="s">
        <v>28</v>
      </c>
      <c r="Q328" s="4" t="b">
        <v>0</v>
      </c>
      <c r="R328" s="4" t="b">
        <v>0</v>
      </c>
      <c r="S328" s="4" t="b">
        <v>0</v>
      </c>
      <c r="T328" s="3" t="s">
        <v>788</v>
      </c>
      <c r="U328" s="4" t="b">
        <v>0</v>
      </c>
      <c r="V328" s="7">
        <v>44676</v>
      </c>
      <c r="W328" s="7">
        <v>44570</v>
      </c>
    </row>
    <row r="329" spans="1:23" ht="14.4" x14ac:dyDescent="0.3">
      <c r="A329" s="3">
        <v>564304</v>
      </c>
      <c r="B329" s="4" t="b">
        <v>1</v>
      </c>
      <c r="C329" s="1" t="s">
        <v>775</v>
      </c>
      <c r="D329" s="1" t="s">
        <v>776</v>
      </c>
      <c r="E329" s="5">
        <v>3964932</v>
      </c>
      <c r="F329" s="5">
        <v>1653736</v>
      </c>
      <c r="G329" s="1" t="s">
        <v>777</v>
      </c>
      <c r="H329" s="1" t="s">
        <v>778</v>
      </c>
      <c r="I329" s="6">
        <v>44357.599764849539</v>
      </c>
      <c r="J329" s="1">
        <f>390983838358</f>
        <v>390983838358</v>
      </c>
      <c r="K329" s="3">
        <v>34</v>
      </c>
      <c r="L329" s="5">
        <v>5</v>
      </c>
      <c r="M329" s="1">
        <v>333737</v>
      </c>
      <c r="N329" s="3">
        <v>908</v>
      </c>
      <c r="O329" s="3">
        <v>5</v>
      </c>
      <c r="P329" s="1" t="s">
        <v>28</v>
      </c>
      <c r="Q329" s="4" t="b">
        <v>0</v>
      </c>
      <c r="R329" s="4" t="b">
        <v>1</v>
      </c>
      <c r="S329" s="4" t="b">
        <v>0</v>
      </c>
      <c r="T329" s="3" t="s">
        <v>516</v>
      </c>
      <c r="U329" s="4" t="b">
        <v>0</v>
      </c>
      <c r="V329" s="7">
        <v>44721</v>
      </c>
      <c r="W329" s="7">
        <v>44702</v>
      </c>
    </row>
    <row r="330" spans="1:23" ht="14.4" x14ac:dyDescent="0.3">
      <c r="A330" s="3">
        <v>565501</v>
      </c>
      <c r="B330" s="4" t="b">
        <v>1</v>
      </c>
      <c r="C330" s="1" t="s">
        <v>761</v>
      </c>
      <c r="D330" s="1" t="s">
        <v>762</v>
      </c>
      <c r="E330" s="5">
        <v>4085268</v>
      </c>
      <c r="F330" s="5">
        <v>1422948</v>
      </c>
      <c r="G330" s="1" t="s">
        <v>143</v>
      </c>
      <c r="H330" s="1" t="s">
        <v>763</v>
      </c>
      <c r="I330" s="6">
        <v>44337.40666119213</v>
      </c>
      <c r="J330" s="1">
        <f>3908338899938</f>
        <v>3908338899938</v>
      </c>
      <c r="K330" s="3">
        <v>4</v>
      </c>
      <c r="L330" s="5">
        <v>5</v>
      </c>
      <c r="M330" s="1">
        <v>777773336</v>
      </c>
      <c r="N330" s="3">
        <v>638</v>
      </c>
      <c r="O330" s="3">
        <v>2</v>
      </c>
      <c r="P330" s="1" t="s">
        <v>33</v>
      </c>
      <c r="Q330" s="4" t="b">
        <v>0</v>
      </c>
      <c r="R330" s="4" t="b">
        <v>0</v>
      </c>
      <c r="S330" s="4" t="b">
        <v>0</v>
      </c>
      <c r="T330" s="3" t="s">
        <v>764</v>
      </c>
      <c r="U330" s="4" t="b">
        <v>0</v>
      </c>
      <c r="V330" s="7">
        <v>44816</v>
      </c>
      <c r="W330" s="7">
        <v>44646</v>
      </c>
    </row>
    <row r="331" spans="1:23" ht="14.4" x14ac:dyDescent="0.3">
      <c r="A331" s="3">
        <v>567304</v>
      </c>
      <c r="B331" s="4" t="b">
        <v>1</v>
      </c>
      <c r="C331" s="1" t="s">
        <v>789</v>
      </c>
      <c r="D331" s="1" t="s">
        <v>790</v>
      </c>
      <c r="E331" s="5">
        <v>4095016</v>
      </c>
      <c r="F331" s="5">
        <v>1692565</v>
      </c>
      <c r="G331" s="1" t="s">
        <v>791</v>
      </c>
      <c r="H331" s="1" t="s">
        <v>792</v>
      </c>
      <c r="I331" s="6">
        <v>44376.47144872685</v>
      </c>
      <c r="J331" s="1">
        <f>393893383358</f>
        <v>393893383358</v>
      </c>
      <c r="K331" s="3">
        <v>71</v>
      </c>
      <c r="L331" s="5">
        <v>4859155</v>
      </c>
      <c r="M331" s="1">
        <v>733</v>
      </c>
      <c r="N331" s="3">
        <v>817</v>
      </c>
      <c r="O331" s="3">
        <v>2</v>
      </c>
      <c r="P331" s="1" t="s">
        <v>39</v>
      </c>
      <c r="Q331" s="4" t="b">
        <v>0</v>
      </c>
      <c r="R331" s="4" t="b">
        <v>1</v>
      </c>
      <c r="S331" s="4" t="b">
        <v>0</v>
      </c>
      <c r="T331" s="3" t="s">
        <v>793</v>
      </c>
      <c r="U331" s="4" t="b">
        <v>0</v>
      </c>
      <c r="V331" s="8">
        <v>44852</v>
      </c>
      <c r="W331" s="7">
        <v>44700</v>
      </c>
    </row>
    <row r="332" spans="1:23" ht="14.4" x14ac:dyDescent="0.3">
      <c r="A332" s="3">
        <v>571530</v>
      </c>
      <c r="B332" s="4" t="b">
        <v>1</v>
      </c>
      <c r="C332" s="1" t="s">
        <v>816</v>
      </c>
      <c r="D332" s="1" t="s">
        <v>817</v>
      </c>
      <c r="E332" s="5">
        <v>4883703</v>
      </c>
      <c r="F332" s="5">
        <v>2397879</v>
      </c>
      <c r="G332" s="1" t="s">
        <v>365</v>
      </c>
      <c r="H332" s="1" t="s">
        <v>818</v>
      </c>
      <c r="I332" s="6">
        <v>44417.718306087962</v>
      </c>
      <c r="J332" s="1">
        <f>33353559335</f>
        <v>33353559335</v>
      </c>
      <c r="K332" s="3">
        <v>0</v>
      </c>
      <c r="L332" s="5">
        <v>0</v>
      </c>
      <c r="M332" s="1">
        <v>733733733</v>
      </c>
      <c r="N332" s="3">
        <v>1218</v>
      </c>
      <c r="O332" s="3">
        <v>3</v>
      </c>
      <c r="P332" s="1" t="s">
        <v>33</v>
      </c>
      <c r="Q332" s="4" t="b">
        <v>0</v>
      </c>
      <c r="R332" s="4" t="b">
        <v>1</v>
      </c>
      <c r="S332" s="4" t="b">
        <v>0</v>
      </c>
      <c r="T332" s="3">
        <v>0</v>
      </c>
      <c r="U332" s="4" t="b">
        <v>0</v>
      </c>
      <c r="V332" s="7">
        <v>44795</v>
      </c>
      <c r="W332" s="7">
        <v>44836</v>
      </c>
    </row>
    <row r="333" spans="1:23" ht="14.4" x14ac:dyDescent="0.3">
      <c r="A333" s="3">
        <v>573000</v>
      </c>
      <c r="B333" s="4" t="b">
        <v>1</v>
      </c>
      <c r="C333" s="1" t="s">
        <v>824</v>
      </c>
      <c r="D333" s="1" t="s">
        <v>825</v>
      </c>
      <c r="E333" s="5">
        <v>4377359</v>
      </c>
      <c r="F333" s="5">
        <v>1124427</v>
      </c>
      <c r="G333" s="1" t="s">
        <v>423</v>
      </c>
      <c r="H333" s="1" t="s">
        <v>826</v>
      </c>
      <c r="I333" s="6">
        <v>44448.533716168982</v>
      </c>
      <c r="J333" s="1">
        <f>390559898550</f>
        <v>390559898550</v>
      </c>
      <c r="K333" s="3">
        <v>52</v>
      </c>
      <c r="L333" s="5" t="s">
        <v>184</v>
      </c>
      <c r="M333" s="1">
        <v>7337363337</v>
      </c>
      <c r="N333" s="3">
        <v>1127</v>
      </c>
      <c r="O333" s="3">
        <v>3</v>
      </c>
      <c r="P333" s="1" t="s">
        <v>28</v>
      </c>
      <c r="Q333" s="4" t="b">
        <v>0</v>
      </c>
      <c r="R333" s="4" t="b">
        <v>0</v>
      </c>
      <c r="S333" s="4" t="b">
        <v>0</v>
      </c>
      <c r="T333" s="3" t="s">
        <v>149</v>
      </c>
      <c r="U333" s="4" t="b">
        <v>0</v>
      </c>
      <c r="V333" s="7">
        <v>44785</v>
      </c>
      <c r="W333" s="7">
        <v>44626</v>
      </c>
    </row>
    <row r="334" spans="1:23" ht="14.4" x14ac:dyDescent="0.3">
      <c r="A334" s="3">
        <v>573014</v>
      </c>
      <c r="B334" s="4" t="b">
        <v>1</v>
      </c>
      <c r="C334" s="1" t="s">
        <v>827</v>
      </c>
      <c r="D334" s="1" t="s">
        <v>828</v>
      </c>
      <c r="E334" s="5">
        <v>4164528</v>
      </c>
      <c r="F334" s="5">
        <v>-89683</v>
      </c>
      <c r="G334" s="1" t="s">
        <v>829</v>
      </c>
      <c r="H334" s="1" t="s">
        <v>830</v>
      </c>
      <c r="I334" s="6">
        <v>44449.347800046293</v>
      </c>
      <c r="J334" s="1">
        <f>35939595508</f>
        <v>35939595508</v>
      </c>
      <c r="K334" s="3">
        <v>323</v>
      </c>
      <c r="L334" s="5">
        <v>4972136</v>
      </c>
      <c r="M334" s="1" t="s">
        <v>831</v>
      </c>
      <c r="N334" s="3">
        <v>2660</v>
      </c>
      <c r="O334" s="3">
        <v>6</v>
      </c>
      <c r="P334" s="1" t="s">
        <v>33</v>
      </c>
      <c r="Q334" s="4" t="b">
        <v>0</v>
      </c>
      <c r="R334" s="4" t="b">
        <v>1</v>
      </c>
      <c r="S334" s="4" t="b">
        <v>0</v>
      </c>
      <c r="T334" s="3" t="s">
        <v>832</v>
      </c>
      <c r="U334" s="4" t="b">
        <v>0</v>
      </c>
      <c r="V334" s="8">
        <v>44844</v>
      </c>
      <c r="W334" s="7">
        <v>44807</v>
      </c>
    </row>
    <row r="335" spans="1:23" ht="14.4" x14ac:dyDescent="0.3">
      <c r="A335" s="3">
        <v>575304</v>
      </c>
      <c r="B335" s="4" t="b">
        <v>1</v>
      </c>
      <c r="C335" s="1" t="s">
        <v>819</v>
      </c>
      <c r="D335" s="1" t="s">
        <v>820</v>
      </c>
      <c r="E335" s="5">
        <v>4889312</v>
      </c>
      <c r="F335" s="5">
        <v>2326444</v>
      </c>
      <c r="G335" s="1" t="s">
        <v>365</v>
      </c>
      <c r="H335" s="1" t="s">
        <v>821</v>
      </c>
      <c r="I335" s="6">
        <v>44426.330328981479</v>
      </c>
      <c r="J335" s="1">
        <f>33983989359</f>
        <v>33983989359</v>
      </c>
      <c r="K335" s="3">
        <v>3</v>
      </c>
      <c r="L335" s="5">
        <v>4</v>
      </c>
      <c r="M335" s="1" t="s">
        <v>822</v>
      </c>
      <c r="N335" s="3">
        <v>36</v>
      </c>
      <c r="O335" s="3">
        <v>1</v>
      </c>
      <c r="P335" s="1" t="s">
        <v>39</v>
      </c>
      <c r="Q335" s="4" t="b">
        <v>1</v>
      </c>
      <c r="R335" s="4" t="b">
        <v>0</v>
      </c>
      <c r="S335" s="4" t="b">
        <v>0</v>
      </c>
      <c r="T335" s="3" t="s">
        <v>823</v>
      </c>
      <c r="U335" s="4" t="b">
        <v>0</v>
      </c>
      <c r="V335" s="7">
        <v>44807</v>
      </c>
      <c r="W335" s="8">
        <v>44865</v>
      </c>
    </row>
    <row r="336" spans="1:23" ht="14.4" x14ac:dyDescent="0.3">
      <c r="A336" s="3">
        <v>1050430</v>
      </c>
      <c r="B336" s="4" t="b">
        <v>1</v>
      </c>
      <c r="C336" s="1" t="s">
        <v>238</v>
      </c>
      <c r="D336" s="1" t="s">
        <v>239</v>
      </c>
      <c r="E336" s="5">
        <v>4547955</v>
      </c>
      <c r="F336" s="5">
        <v>9207782</v>
      </c>
      <c r="G336" s="1" t="s">
        <v>37</v>
      </c>
      <c r="H336" s="1" t="s">
        <v>240</v>
      </c>
      <c r="I336" s="6">
        <v>43314.35704383102</v>
      </c>
      <c r="J336" s="1">
        <f>393538380088</f>
        <v>393538380088</v>
      </c>
      <c r="K336" s="3">
        <v>11</v>
      </c>
      <c r="L336" s="5">
        <v>4545455</v>
      </c>
      <c r="M336" s="1">
        <v>733333767</v>
      </c>
      <c r="N336" s="3">
        <v>411</v>
      </c>
      <c r="O336" s="3">
        <v>5</v>
      </c>
      <c r="P336" s="1" t="s">
        <v>33</v>
      </c>
      <c r="Q336" s="4" t="b">
        <v>1</v>
      </c>
      <c r="R336" s="4" t="b">
        <v>0</v>
      </c>
      <c r="S336" s="4" t="b">
        <v>1</v>
      </c>
      <c r="T336" s="3" t="s">
        <v>241</v>
      </c>
      <c r="U336" s="4" t="b">
        <v>0</v>
      </c>
      <c r="V336" s="7">
        <v>44805</v>
      </c>
      <c r="W336" s="7">
        <v>44705</v>
      </c>
    </row>
    <row r="337" spans="1:23" ht="14.4" x14ac:dyDescent="0.3">
      <c r="A337" s="3">
        <v>1305030</v>
      </c>
      <c r="B337" s="4" t="b">
        <v>1</v>
      </c>
      <c r="C337" s="1" t="s">
        <v>313</v>
      </c>
      <c r="D337" s="1" t="s">
        <v>314</v>
      </c>
      <c r="E337" s="5">
        <v>378505</v>
      </c>
      <c r="F337" s="5">
        <v>-142796</v>
      </c>
      <c r="G337" s="1" t="s">
        <v>315</v>
      </c>
      <c r="H337" s="1" t="s">
        <v>316</v>
      </c>
      <c r="I337" s="6">
        <v>43782.478669976852</v>
      </c>
      <c r="J337" s="1">
        <f>35998933935</f>
        <v>35998933935</v>
      </c>
      <c r="K337" s="3">
        <v>18</v>
      </c>
      <c r="L337" s="5">
        <v>4944444</v>
      </c>
      <c r="M337" s="1" t="s">
        <v>317</v>
      </c>
      <c r="N337" s="3">
        <v>2012</v>
      </c>
      <c r="O337" s="3">
        <v>6</v>
      </c>
      <c r="P337" s="1" t="s">
        <v>33</v>
      </c>
      <c r="Q337" s="4" t="b">
        <v>0</v>
      </c>
      <c r="R337" s="4" t="b">
        <v>1</v>
      </c>
      <c r="S337" s="4" t="b">
        <v>1</v>
      </c>
      <c r="T337" s="3" t="s">
        <v>318</v>
      </c>
      <c r="U337" s="4" t="b">
        <v>0</v>
      </c>
      <c r="V337" s="7">
        <v>44810</v>
      </c>
      <c r="W337" s="7">
        <v>44593</v>
      </c>
    </row>
    <row r="338" spans="1:23" ht="14.4" x14ac:dyDescent="0.3">
      <c r="A338" s="3">
        <v>1450307</v>
      </c>
      <c r="B338" s="4" t="b">
        <v>1</v>
      </c>
      <c r="C338" s="1" t="s">
        <v>272</v>
      </c>
      <c r="D338" s="1" t="s">
        <v>273</v>
      </c>
      <c r="E338" s="5">
        <v>366777</v>
      </c>
      <c r="F338" s="5">
        <v>-61121</v>
      </c>
      <c r="G338" s="1" t="s">
        <v>274</v>
      </c>
      <c r="H338" s="1" t="s">
        <v>275</v>
      </c>
      <c r="I338" s="6">
        <v>43649.488327384257</v>
      </c>
      <c r="J338" s="1">
        <f>35959305358</f>
        <v>35959305358</v>
      </c>
      <c r="K338" s="3">
        <v>206</v>
      </c>
      <c r="L338" s="5">
        <v>4956311</v>
      </c>
      <c r="M338" s="1" t="s">
        <v>276</v>
      </c>
      <c r="N338" s="3">
        <v>653</v>
      </c>
      <c r="O338" s="3">
        <v>3</v>
      </c>
      <c r="P338" s="1" t="s">
        <v>39</v>
      </c>
      <c r="Q338" s="4" t="b">
        <v>0</v>
      </c>
      <c r="R338" s="4" t="b">
        <v>1</v>
      </c>
      <c r="S338" s="4" t="b">
        <v>0</v>
      </c>
      <c r="T338" s="3" t="s">
        <v>277</v>
      </c>
      <c r="U338" s="4" t="b">
        <v>0</v>
      </c>
      <c r="V338" s="7">
        <v>44605</v>
      </c>
      <c r="W338" s="7">
        <v>44656</v>
      </c>
    </row>
    <row r="339" spans="1:23" ht="14.4" x14ac:dyDescent="0.3">
      <c r="A339" s="3">
        <v>1613030</v>
      </c>
      <c r="B339" s="4" t="b">
        <v>1</v>
      </c>
      <c r="C339" s="1" t="s">
        <v>341</v>
      </c>
      <c r="D339" s="1" t="s">
        <v>342</v>
      </c>
      <c r="E339" s="5">
        <v>4667087</v>
      </c>
      <c r="F339" s="5">
        <v>1115649</v>
      </c>
      <c r="G339" s="1" t="s">
        <v>343</v>
      </c>
      <c r="H339" s="1" t="s">
        <v>344</v>
      </c>
      <c r="I339" s="6">
        <v>43812.617203414353</v>
      </c>
      <c r="J339" s="1">
        <f>390533559359</f>
        <v>390533559359</v>
      </c>
      <c r="K339" s="3">
        <v>8</v>
      </c>
      <c r="L339" s="5">
        <v>4875</v>
      </c>
      <c r="M339" s="1">
        <v>333373337</v>
      </c>
      <c r="N339" s="3">
        <v>2141</v>
      </c>
      <c r="O339" s="3">
        <v>4</v>
      </c>
      <c r="P339" s="1" t="s">
        <v>39</v>
      </c>
      <c r="Q339" s="4" t="b">
        <v>0</v>
      </c>
      <c r="R339" s="4" t="b">
        <v>1</v>
      </c>
      <c r="S339" s="4" t="b">
        <v>0</v>
      </c>
      <c r="T339" s="3" t="s">
        <v>345</v>
      </c>
      <c r="U339" s="4" t="b">
        <v>0</v>
      </c>
      <c r="V339" s="7">
        <v>44895</v>
      </c>
      <c r="W339" s="7">
        <v>44876</v>
      </c>
    </row>
    <row r="340" spans="1:23" ht="14.4" x14ac:dyDescent="0.3">
      <c r="A340" s="3">
        <v>1650550</v>
      </c>
      <c r="B340" s="4" t="b">
        <v>1</v>
      </c>
      <c r="C340" s="1" t="s">
        <v>350</v>
      </c>
      <c r="D340" s="1" t="s">
        <v>351</v>
      </c>
      <c r="E340" s="5">
        <v>4168461</v>
      </c>
      <c r="F340" s="5">
        <v>1537736</v>
      </c>
      <c r="G340" s="1" t="s">
        <v>352</v>
      </c>
      <c r="H340" s="1" t="s">
        <v>353</v>
      </c>
      <c r="I340" s="6">
        <v>43819.720246689816</v>
      </c>
      <c r="J340" s="1">
        <f>390888339380</f>
        <v>390888339380</v>
      </c>
      <c r="K340" s="3">
        <v>3</v>
      </c>
      <c r="L340" s="5">
        <v>5</v>
      </c>
      <c r="M340" s="1">
        <v>63733</v>
      </c>
      <c r="N340" s="3">
        <v>877</v>
      </c>
      <c r="O340" s="3">
        <v>4</v>
      </c>
      <c r="P340" s="1" t="s">
        <v>33</v>
      </c>
      <c r="Q340" s="4" t="b">
        <v>0</v>
      </c>
      <c r="R340" s="4" t="b">
        <v>1</v>
      </c>
      <c r="S340" s="4" t="b">
        <v>1</v>
      </c>
      <c r="T340" s="3" t="s">
        <v>354</v>
      </c>
      <c r="U340" s="4" t="b">
        <v>0</v>
      </c>
      <c r="V340" s="7">
        <v>44815</v>
      </c>
      <c r="W340" s="7">
        <v>44856</v>
      </c>
    </row>
    <row r="341" spans="1:23" ht="14.4" x14ac:dyDescent="0.3">
      <c r="A341" s="3">
        <v>3030501</v>
      </c>
      <c r="B341" s="4" t="b">
        <v>1</v>
      </c>
      <c r="C341" s="1" t="s">
        <v>180</v>
      </c>
      <c r="D341" s="1" t="s">
        <v>181</v>
      </c>
      <c r="E341" s="5">
        <v>4139379</v>
      </c>
      <c r="F341" s="5">
        <v>2125261</v>
      </c>
      <c r="G341" s="1" t="s">
        <v>182</v>
      </c>
      <c r="H341" s="1" t="s">
        <v>183</v>
      </c>
      <c r="I341" s="6">
        <v>43044.352758969908</v>
      </c>
      <c r="J341" s="1">
        <f>35930395988</f>
        <v>35930395988</v>
      </c>
      <c r="K341" s="3">
        <v>8</v>
      </c>
      <c r="L341" s="5" t="s">
        <v>184</v>
      </c>
      <c r="M341" s="1" t="s">
        <v>185</v>
      </c>
      <c r="N341" s="3">
        <v>578</v>
      </c>
      <c r="O341" s="3">
        <v>3</v>
      </c>
      <c r="P341" s="1" t="s">
        <v>33</v>
      </c>
      <c r="Q341" s="4" t="b">
        <v>0</v>
      </c>
      <c r="R341" s="4" t="b">
        <v>1</v>
      </c>
      <c r="S341" s="4" t="b">
        <v>0</v>
      </c>
      <c r="T341" s="3" t="s">
        <v>186</v>
      </c>
      <c r="U341" s="4" t="b">
        <v>0</v>
      </c>
      <c r="V341" s="7">
        <v>44815</v>
      </c>
      <c r="W341" s="7">
        <v>44669</v>
      </c>
    </row>
    <row r="342" spans="1:23" ht="14.4" x14ac:dyDescent="0.3">
      <c r="A342" s="3">
        <v>5003057</v>
      </c>
      <c r="B342" s="4" t="b">
        <v>1</v>
      </c>
      <c r="C342" s="1" t="s">
        <v>1163</v>
      </c>
      <c r="D342" s="1" t="s">
        <v>1164</v>
      </c>
      <c r="E342" s="5">
        <v>4174435</v>
      </c>
      <c r="F342" s="5">
        <v>262734</v>
      </c>
      <c r="G342" s="1" t="s">
        <v>1165</v>
      </c>
      <c r="H342" s="1" t="s">
        <v>1166</v>
      </c>
      <c r="I342" s="6">
        <v>44615.332907060183</v>
      </c>
      <c r="J342" s="1">
        <f>35938895998</f>
        <v>35938895998</v>
      </c>
      <c r="K342" s="3">
        <v>54</v>
      </c>
      <c r="L342" s="5">
        <v>5</v>
      </c>
      <c r="M342" s="1" t="s">
        <v>1167</v>
      </c>
      <c r="N342" s="3">
        <v>840</v>
      </c>
      <c r="O342" s="3">
        <v>3</v>
      </c>
      <c r="P342" s="1" t="s">
        <v>28</v>
      </c>
      <c r="Q342" s="4" t="b">
        <v>0</v>
      </c>
      <c r="R342" s="4" t="b">
        <v>1</v>
      </c>
      <c r="S342" s="4" t="b">
        <v>0</v>
      </c>
      <c r="T342" s="3" t="s">
        <v>1168</v>
      </c>
      <c r="U342" s="4" t="b">
        <v>1</v>
      </c>
      <c r="V342" s="7">
        <v>44743</v>
      </c>
      <c r="W342" s="7">
        <v>44787</v>
      </c>
    </row>
    <row r="343" spans="1:23" ht="14.4" x14ac:dyDescent="0.3">
      <c r="A343" s="3">
        <v>5004150</v>
      </c>
      <c r="B343" s="4" t="b">
        <v>1</v>
      </c>
      <c r="C343" s="1" t="s">
        <v>1185</v>
      </c>
      <c r="D343" s="1" t="s">
        <v>1186</v>
      </c>
      <c r="E343" s="5">
        <v>4883687</v>
      </c>
      <c r="F343" s="5">
        <v>2289336</v>
      </c>
      <c r="G343" s="1" t="s">
        <v>365</v>
      </c>
      <c r="H343" s="1" t="s">
        <v>1187</v>
      </c>
      <c r="I343" s="6">
        <v>44627.483680370373</v>
      </c>
      <c r="J343" s="1">
        <f>33983890338</f>
        <v>33983890338</v>
      </c>
      <c r="K343" s="3">
        <v>3</v>
      </c>
      <c r="L343" s="5">
        <v>5</v>
      </c>
      <c r="M343" s="1" t="s">
        <v>1188</v>
      </c>
      <c r="N343" s="3">
        <v>35</v>
      </c>
      <c r="O343" s="3">
        <v>2</v>
      </c>
      <c r="P343" s="1" t="s">
        <v>28</v>
      </c>
      <c r="Q343" s="4" t="b">
        <v>1</v>
      </c>
      <c r="R343" s="4" t="b">
        <v>0</v>
      </c>
      <c r="S343" s="4" t="b">
        <v>0</v>
      </c>
      <c r="T343" s="3" t="s">
        <v>354</v>
      </c>
      <c r="U343" s="4" t="b">
        <v>0</v>
      </c>
      <c r="V343" s="7">
        <v>44842</v>
      </c>
      <c r="W343" s="7">
        <v>44870</v>
      </c>
    </row>
    <row r="344" spans="1:23" ht="14.4" x14ac:dyDescent="0.3">
      <c r="A344" s="3">
        <v>5004430</v>
      </c>
      <c r="B344" s="4" t="b">
        <v>1</v>
      </c>
      <c r="C344" s="1" t="s">
        <v>1156</v>
      </c>
      <c r="D344" s="1" t="s">
        <v>1157</v>
      </c>
      <c r="E344" s="5">
        <v>4885899</v>
      </c>
      <c r="F344" s="5">
        <v>2368906</v>
      </c>
      <c r="G344" s="1" t="s">
        <v>365</v>
      </c>
      <c r="H344" s="1" t="s">
        <v>1158</v>
      </c>
      <c r="I344" s="6">
        <v>44613.425167488429</v>
      </c>
      <c r="J344" s="1">
        <f>33933935380</f>
        <v>33933935380</v>
      </c>
      <c r="K344" s="3">
        <v>12</v>
      </c>
      <c r="L344" s="5">
        <v>5</v>
      </c>
      <c r="M344" s="1">
        <v>373377373</v>
      </c>
      <c r="N344" s="3">
        <v>60</v>
      </c>
      <c r="O344" s="3">
        <v>1</v>
      </c>
      <c r="P344" s="1" t="s">
        <v>33</v>
      </c>
      <c r="Q344" s="4" t="b">
        <v>0</v>
      </c>
      <c r="R344" s="4" t="b">
        <v>0</v>
      </c>
      <c r="S344" s="4" t="b">
        <v>0</v>
      </c>
      <c r="T344" s="3" t="s">
        <v>1159</v>
      </c>
      <c r="U344" s="4" t="b">
        <v>0</v>
      </c>
      <c r="V344" s="7">
        <v>44835</v>
      </c>
      <c r="W344" s="7">
        <v>44755</v>
      </c>
    </row>
    <row r="345" spans="1:23" ht="14.4" x14ac:dyDescent="0.3">
      <c r="A345" s="3">
        <v>5004450</v>
      </c>
      <c r="B345" s="4" t="b">
        <v>1</v>
      </c>
      <c r="C345" s="1" t="s">
        <v>1152</v>
      </c>
      <c r="D345" s="1" t="s">
        <v>1153</v>
      </c>
      <c r="E345" s="5">
        <v>4081309</v>
      </c>
      <c r="F345" s="5">
        <v>1433577</v>
      </c>
      <c r="G345" s="1" t="s">
        <v>1154</v>
      </c>
      <c r="H345" s="1" t="s">
        <v>1155</v>
      </c>
      <c r="I345" s="6">
        <v>44610.375183888886</v>
      </c>
      <c r="J345" s="1">
        <f>393353930833</f>
        <v>393353930833</v>
      </c>
      <c r="K345" s="3">
        <v>0</v>
      </c>
      <c r="L345" s="5">
        <v>0</v>
      </c>
      <c r="M345" s="1">
        <v>7377773333</v>
      </c>
      <c r="N345" s="3">
        <v>690</v>
      </c>
      <c r="O345" s="3">
        <v>6</v>
      </c>
      <c r="P345" s="1" t="s">
        <v>39</v>
      </c>
      <c r="Q345" s="4" t="b">
        <v>0</v>
      </c>
      <c r="R345" s="4" t="b">
        <v>0</v>
      </c>
      <c r="S345" s="4" t="b">
        <v>0</v>
      </c>
      <c r="T345" s="3">
        <v>0</v>
      </c>
      <c r="U345" s="4" t="b">
        <v>0</v>
      </c>
      <c r="V345" s="7">
        <v>44666</v>
      </c>
      <c r="W345" s="7">
        <v>44683</v>
      </c>
    </row>
    <row r="346" spans="1:23" ht="14.4" x14ac:dyDescent="0.3">
      <c r="A346" s="3">
        <v>5004506</v>
      </c>
      <c r="B346" s="4" t="b">
        <v>0</v>
      </c>
      <c r="C346" s="1" t="s">
        <v>1189</v>
      </c>
      <c r="D346" s="1" t="s">
        <v>1190</v>
      </c>
      <c r="E346" s="5">
        <v>3921742</v>
      </c>
      <c r="F346" s="5">
        <v>9126415</v>
      </c>
      <c r="G346" s="1" t="s">
        <v>895</v>
      </c>
      <c r="H346" s="1" t="s">
        <v>1191</v>
      </c>
      <c r="I346" s="6">
        <v>44628.470683252315</v>
      </c>
      <c r="J346" s="1">
        <f>393539039038</f>
        <v>393539039038</v>
      </c>
      <c r="K346" s="3">
        <v>14</v>
      </c>
      <c r="L346" s="5">
        <v>5</v>
      </c>
      <c r="M346" s="1">
        <v>7377373737</v>
      </c>
      <c r="N346" s="3">
        <v>2268</v>
      </c>
      <c r="O346" s="3">
        <v>4</v>
      </c>
      <c r="P346" s="1" t="s">
        <v>28</v>
      </c>
      <c r="Q346" s="4" t="b">
        <v>0</v>
      </c>
      <c r="R346" s="4" t="b">
        <v>1</v>
      </c>
      <c r="S346" s="4" t="b">
        <v>0</v>
      </c>
      <c r="T346" s="3" t="s">
        <v>1192</v>
      </c>
      <c r="U346" s="4" t="b">
        <v>0</v>
      </c>
      <c r="V346" s="7">
        <v>44848</v>
      </c>
      <c r="W346" s="7">
        <v>44852</v>
      </c>
    </row>
    <row r="347" spans="1:23" ht="14.4" x14ac:dyDescent="0.3">
      <c r="A347" s="3">
        <v>5005430</v>
      </c>
      <c r="B347" s="4" t="b">
        <v>1</v>
      </c>
      <c r="C347" s="1" t="s">
        <v>1143</v>
      </c>
      <c r="D347" s="1" t="s">
        <v>1144</v>
      </c>
      <c r="E347" s="5">
        <v>4157241</v>
      </c>
      <c r="F347" s="5">
        <v>2036312</v>
      </c>
      <c r="G347" s="1" t="s">
        <v>1145</v>
      </c>
      <c r="H347" s="1" t="s">
        <v>1146</v>
      </c>
      <c r="I347" s="6">
        <v>44603.501700787034</v>
      </c>
      <c r="J347" s="1">
        <f>35989839358</f>
        <v>35989839358</v>
      </c>
      <c r="K347" s="3">
        <v>12</v>
      </c>
      <c r="L347" s="5">
        <v>5</v>
      </c>
      <c r="M347" s="1" t="s">
        <v>1147</v>
      </c>
      <c r="N347" s="3">
        <v>517</v>
      </c>
      <c r="O347" s="3">
        <v>5</v>
      </c>
      <c r="P347" s="1" t="s">
        <v>28</v>
      </c>
      <c r="Q347" s="4" t="b">
        <v>0</v>
      </c>
      <c r="R347" s="4" t="b">
        <v>1</v>
      </c>
      <c r="S347" s="4" t="b">
        <v>0</v>
      </c>
      <c r="T347" s="3" t="s">
        <v>1148</v>
      </c>
      <c r="U347" s="4" t="b">
        <v>0</v>
      </c>
      <c r="V347" s="7">
        <v>44797</v>
      </c>
      <c r="W347" s="8">
        <v>44875</v>
      </c>
    </row>
    <row r="348" spans="1:23" ht="14.4" x14ac:dyDescent="0.3">
      <c r="A348" s="3">
        <v>5005450</v>
      </c>
      <c r="B348" s="4" t="b">
        <v>1</v>
      </c>
      <c r="C348" s="1" t="s">
        <v>1205</v>
      </c>
      <c r="D348" s="1" t="s">
        <v>1206</v>
      </c>
      <c r="E348" s="5">
        <v>455064</v>
      </c>
      <c r="F348" s="5">
        <v>9232015</v>
      </c>
      <c r="G348" s="1" t="s">
        <v>37</v>
      </c>
      <c r="H348" s="1" t="s">
        <v>1207</v>
      </c>
      <c r="I348" s="6">
        <v>44634.440958877312</v>
      </c>
      <c r="J348" s="1">
        <f>390883000835</f>
        <v>390883000835</v>
      </c>
      <c r="K348" s="3">
        <v>113</v>
      </c>
      <c r="L348" s="5">
        <v>4769912</v>
      </c>
      <c r="M348" s="1">
        <v>7333373766</v>
      </c>
      <c r="N348" s="3">
        <v>4287</v>
      </c>
      <c r="O348" s="3">
        <v>5</v>
      </c>
      <c r="P348" s="1" t="s">
        <v>39</v>
      </c>
      <c r="Q348" s="4" t="b">
        <v>0</v>
      </c>
      <c r="R348" s="4" t="b">
        <v>0</v>
      </c>
      <c r="S348" s="4" t="b">
        <v>1</v>
      </c>
      <c r="T348" s="3" t="s">
        <v>380</v>
      </c>
      <c r="U348" s="4" t="b">
        <v>0</v>
      </c>
      <c r="V348" s="8">
        <v>44883</v>
      </c>
      <c r="W348" s="7">
        <v>44812</v>
      </c>
    </row>
    <row r="349" spans="1:23" ht="14.4" x14ac:dyDescent="0.3">
      <c r="A349" s="3">
        <v>5005750</v>
      </c>
      <c r="B349" s="4" t="b">
        <v>0</v>
      </c>
      <c r="C349" s="1" t="s">
        <v>1213</v>
      </c>
      <c r="D349" s="1" t="s">
        <v>1214</v>
      </c>
      <c r="E349" s="5">
        <v>4358031</v>
      </c>
      <c r="F349" s="5">
        <v>145723</v>
      </c>
      <c r="G349" s="1" t="s">
        <v>1215</v>
      </c>
      <c r="H349" s="1" t="s">
        <v>1216</v>
      </c>
      <c r="I349" s="6">
        <v>44635.615617662035</v>
      </c>
      <c r="J349" s="1">
        <f>33388303585</f>
        <v>33388303585</v>
      </c>
      <c r="K349" s="3">
        <v>0</v>
      </c>
      <c r="L349" s="5">
        <v>0</v>
      </c>
      <c r="M349" s="1" t="s">
        <v>1217</v>
      </c>
      <c r="N349" s="3">
        <v>1628</v>
      </c>
      <c r="O349" s="3">
        <v>2</v>
      </c>
      <c r="P349" s="1" t="s">
        <v>33</v>
      </c>
      <c r="Q349" s="4" t="b">
        <v>0</v>
      </c>
      <c r="R349" s="4" t="b">
        <v>1</v>
      </c>
      <c r="S349" s="4" t="b">
        <v>0</v>
      </c>
      <c r="T349" s="3">
        <v>0</v>
      </c>
      <c r="U349" s="4" t="b">
        <v>0</v>
      </c>
      <c r="V349" s="7">
        <v>44820</v>
      </c>
      <c r="W349" s="7">
        <v>44836</v>
      </c>
    </row>
    <row r="350" spans="1:23" ht="14.4" x14ac:dyDescent="0.3">
      <c r="A350" s="3">
        <v>5010430</v>
      </c>
      <c r="B350" s="4" t="b">
        <v>1</v>
      </c>
      <c r="C350" s="1" t="s">
        <v>1222</v>
      </c>
      <c r="D350" s="1" t="s">
        <v>1223</v>
      </c>
      <c r="E350" s="5">
        <v>3998807</v>
      </c>
      <c r="F350" s="5">
        <v>-653737</v>
      </c>
      <c r="G350" s="1" t="s">
        <v>1224</v>
      </c>
      <c r="H350" s="1" t="s">
        <v>1225</v>
      </c>
      <c r="I350" s="6">
        <v>44641.348449050929</v>
      </c>
      <c r="J350" s="1">
        <f>35989039989</f>
        <v>35989039989</v>
      </c>
      <c r="K350" s="3">
        <v>30</v>
      </c>
      <c r="L350" s="5">
        <v>4966667</v>
      </c>
      <c r="M350" s="1" t="s">
        <v>1226</v>
      </c>
      <c r="N350" s="3">
        <v>734</v>
      </c>
      <c r="O350" s="3">
        <v>4</v>
      </c>
      <c r="P350" s="1" t="s">
        <v>33</v>
      </c>
      <c r="Q350" s="4" t="b">
        <v>0</v>
      </c>
      <c r="R350" s="4" t="b">
        <v>1</v>
      </c>
      <c r="S350" s="4" t="b">
        <v>0</v>
      </c>
      <c r="T350" s="3" t="s">
        <v>1227</v>
      </c>
      <c r="U350" s="4" t="b">
        <v>0</v>
      </c>
      <c r="V350" s="8">
        <v>44885</v>
      </c>
      <c r="W350" s="7">
        <v>44901</v>
      </c>
    </row>
    <row r="351" spans="1:23" ht="14.4" x14ac:dyDescent="0.3">
      <c r="A351" s="3">
        <v>5011050</v>
      </c>
      <c r="B351" s="4" t="b">
        <v>1</v>
      </c>
      <c r="C351" s="1" t="s">
        <v>1228</v>
      </c>
      <c r="D351" s="1" t="s">
        <v>1229</v>
      </c>
      <c r="E351" s="5">
        <v>4885013</v>
      </c>
      <c r="F351" s="5">
        <v>237459</v>
      </c>
      <c r="G351" s="1" t="s">
        <v>365</v>
      </c>
      <c r="H351" s="1" t="s">
        <v>1230</v>
      </c>
      <c r="I351" s="6">
        <v>44641.469495694444</v>
      </c>
      <c r="J351" s="1">
        <f>33985533908</f>
        <v>33985533908</v>
      </c>
      <c r="K351" s="3">
        <v>47</v>
      </c>
      <c r="L351" s="5">
        <v>4744681</v>
      </c>
      <c r="M351" s="1" t="s">
        <v>1231</v>
      </c>
      <c r="N351" s="3">
        <v>1610</v>
      </c>
      <c r="O351" s="3">
        <v>2</v>
      </c>
      <c r="P351" s="1" t="s">
        <v>39</v>
      </c>
      <c r="Q351" s="4" t="b">
        <v>0</v>
      </c>
      <c r="R351" s="4" t="b">
        <v>1</v>
      </c>
      <c r="S351" s="4" t="b">
        <v>0</v>
      </c>
      <c r="T351" s="3" t="s">
        <v>1232</v>
      </c>
      <c r="U351" s="4" t="b">
        <v>0</v>
      </c>
      <c r="V351" s="8">
        <v>44876</v>
      </c>
      <c r="W351" s="7">
        <v>44830</v>
      </c>
    </row>
    <row r="352" spans="1:23" ht="14.4" x14ac:dyDescent="0.3">
      <c r="A352" s="3">
        <v>5011504</v>
      </c>
      <c r="B352" s="4" t="b">
        <v>1</v>
      </c>
      <c r="C352" s="1" t="s">
        <v>1233</v>
      </c>
      <c r="D352" s="1" t="s">
        <v>1234</v>
      </c>
      <c r="E352" s="5">
        <v>4040291</v>
      </c>
      <c r="F352" s="5">
        <v>-389661</v>
      </c>
      <c r="G352" s="1" t="s">
        <v>1235</v>
      </c>
      <c r="H352" s="1" t="s">
        <v>1236</v>
      </c>
      <c r="I352" s="6">
        <v>44642.502846342592</v>
      </c>
      <c r="J352" s="1">
        <f>35935903933</f>
        <v>35935903933</v>
      </c>
      <c r="K352" s="3">
        <v>6</v>
      </c>
      <c r="L352" s="5">
        <v>5</v>
      </c>
      <c r="M352" s="1" t="s">
        <v>1237</v>
      </c>
      <c r="N352" s="3">
        <v>146</v>
      </c>
      <c r="O352" s="3">
        <v>3</v>
      </c>
      <c r="P352" s="1" t="s">
        <v>28</v>
      </c>
      <c r="Q352" s="4" t="b">
        <v>0</v>
      </c>
      <c r="R352" s="4" t="b">
        <v>1</v>
      </c>
      <c r="S352" s="4" t="b">
        <v>0</v>
      </c>
      <c r="T352" s="3" t="s">
        <v>198</v>
      </c>
      <c r="U352" s="4" t="b">
        <v>0</v>
      </c>
      <c r="V352" s="8">
        <v>44901</v>
      </c>
      <c r="W352" s="7">
        <v>44890</v>
      </c>
    </row>
    <row r="353" spans="1:23" ht="14.4" x14ac:dyDescent="0.3">
      <c r="A353" s="3">
        <v>5013047</v>
      </c>
      <c r="B353" s="4" t="b">
        <v>1</v>
      </c>
      <c r="C353" s="1" t="s">
        <v>1269</v>
      </c>
      <c r="D353" s="1" t="s">
        <v>1270</v>
      </c>
      <c r="E353" s="5">
        <v>5348884</v>
      </c>
      <c r="F353" s="5">
        <v>-232619</v>
      </c>
      <c r="G353" s="1" t="s">
        <v>1271</v>
      </c>
      <c r="H353" s="1" t="s">
        <v>1272</v>
      </c>
      <c r="I353" s="6">
        <v>44658.580527233797</v>
      </c>
      <c r="J353" s="1">
        <f>553359098095</f>
        <v>553359098095</v>
      </c>
      <c r="K353" s="3">
        <v>37</v>
      </c>
      <c r="L353" s="5">
        <v>5</v>
      </c>
      <c r="M353" s="1"/>
      <c r="N353" s="3">
        <v>159</v>
      </c>
      <c r="O353" s="3">
        <v>3</v>
      </c>
      <c r="P353" s="1" t="s">
        <v>28</v>
      </c>
      <c r="Q353" s="4" t="b">
        <v>0</v>
      </c>
      <c r="R353" s="4" t="b">
        <v>1</v>
      </c>
      <c r="S353" s="4" t="b">
        <v>0</v>
      </c>
      <c r="T353" s="3" t="s">
        <v>1273</v>
      </c>
      <c r="U353" s="4" t="b">
        <v>0</v>
      </c>
      <c r="V353" s="8">
        <v>44864</v>
      </c>
      <c r="W353" s="7">
        <v>44840</v>
      </c>
    </row>
    <row r="354" spans="1:23" ht="14.4" x14ac:dyDescent="0.3">
      <c r="A354" s="3">
        <v>5013050</v>
      </c>
      <c r="B354" s="4" t="b">
        <v>1</v>
      </c>
      <c r="C354" s="1" t="s">
        <v>1274</v>
      </c>
      <c r="D354" s="1" t="s">
        <v>1275</v>
      </c>
      <c r="E354" s="5">
        <v>4888766</v>
      </c>
      <c r="F354" s="5">
        <v>2309868</v>
      </c>
      <c r="G354" s="1" t="s">
        <v>365</v>
      </c>
      <c r="H354" s="1" t="s">
        <v>1276</v>
      </c>
      <c r="I354" s="6">
        <v>44659.631639606479</v>
      </c>
      <c r="J354" s="1">
        <f>33958858930</f>
        <v>33958858930</v>
      </c>
      <c r="K354" s="3">
        <v>17</v>
      </c>
      <c r="L354" s="5">
        <v>4882353</v>
      </c>
      <c r="M354" s="1" t="s">
        <v>1277</v>
      </c>
      <c r="N354" s="3">
        <v>232</v>
      </c>
      <c r="O354" s="3">
        <v>1</v>
      </c>
      <c r="P354" s="1" t="s">
        <v>39</v>
      </c>
      <c r="Q354" s="4" t="b">
        <v>0</v>
      </c>
      <c r="R354" s="4" t="b">
        <v>1</v>
      </c>
      <c r="S354" s="4" t="b">
        <v>1</v>
      </c>
      <c r="T354" s="3" t="s">
        <v>165</v>
      </c>
      <c r="U354" s="4" t="b">
        <v>0</v>
      </c>
      <c r="V354" s="8">
        <v>44853</v>
      </c>
      <c r="W354" s="7">
        <v>44807</v>
      </c>
    </row>
    <row r="355" spans="1:23" ht="14.4" x14ac:dyDescent="0.3">
      <c r="A355" s="3">
        <v>5014550</v>
      </c>
      <c r="B355" s="4" t="b">
        <v>1</v>
      </c>
      <c r="C355" s="1" t="s">
        <v>1259</v>
      </c>
      <c r="D355" s="1" t="s">
        <v>1260</v>
      </c>
      <c r="E355" s="5">
        <v>4044496</v>
      </c>
      <c r="F355" s="5">
        <v>-380865</v>
      </c>
      <c r="G355" s="1" t="s">
        <v>195</v>
      </c>
      <c r="H355" s="1" t="s">
        <v>1261</v>
      </c>
      <c r="I355" s="6">
        <v>44655.274408831021</v>
      </c>
      <c r="J355" s="1">
        <f>35933535855</f>
        <v>35933535855</v>
      </c>
      <c r="K355" s="3">
        <v>7</v>
      </c>
      <c r="L355" s="5">
        <v>4857143</v>
      </c>
      <c r="M355" s="1" t="s">
        <v>1262</v>
      </c>
      <c r="N355" s="3">
        <v>5045</v>
      </c>
      <c r="O355" s="3">
        <v>7</v>
      </c>
      <c r="P355" s="1" t="s">
        <v>33</v>
      </c>
      <c r="Q355" s="4" t="b">
        <v>0</v>
      </c>
      <c r="R355" s="4" t="b">
        <v>1</v>
      </c>
      <c r="S355" s="4" t="b">
        <v>0</v>
      </c>
      <c r="T355" s="3" t="s">
        <v>1263</v>
      </c>
      <c r="U355" s="4" t="b">
        <v>0</v>
      </c>
      <c r="V355" s="8">
        <v>44863</v>
      </c>
      <c r="W355" s="7">
        <v>44817</v>
      </c>
    </row>
    <row r="356" spans="1:23" ht="14.4" x14ac:dyDescent="0.3">
      <c r="A356" s="3">
        <v>5015050</v>
      </c>
      <c r="B356" s="4" t="b">
        <v>1</v>
      </c>
      <c r="C356" s="1" t="s">
        <v>1251</v>
      </c>
      <c r="D356" s="1" t="s">
        <v>1252</v>
      </c>
      <c r="E356" s="5">
        <v>3751454</v>
      </c>
      <c r="F356" s="5">
        <v>150877</v>
      </c>
      <c r="G356" s="1" t="s">
        <v>1253</v>
      </c>
      <c r="H356" s="1" t="s">
        <v>1254</v>
      </c>
      <c r="I356" s="6">
        <v>44650.527794293979</v>
      </c>
      <c r="J356" s="1">
        <f>393338539835</f>
        <v>393338539835</v>
      </c>
      <c r="K356" s="3">
        <v>68</v>
      </c>
      <c r="L356" s="5">
        <v>4985294</v>
      </c>
      <c r="M356" s="1">
        <v>3333733377</v>
      </c>
      <c r="N356" s="3">
        <v>7723</v>
      </c>
      <c r="O356" s="3">
        <v>6</v>
      </c>
      <c r="P356" s="1" t="s">
        <v>33</v>
      </c>
      <c r="Q356" s="4" t="b">
        <v>0</v>
      </c>
      <c r="R356" s="4" t="b">
        <v>1</v>
      </c>
      <c r="S356" s="4" t="b">
        <v>0</v>
      </c>
      <c r="T356" s="3" t="s">
        <v>1255</v>
      </c>
      <c r="U356" s="4" t="b">
        <v>0</v>
      </c>
      <c r="V356" s="7">
        <v>44833</v>
      </c>
      <c r="W356" s="7">
        <v>44871</v>
      </c>
    </row>
    <row r="357" spans="1:23" ht="14.4" x14ac:dyDescent="0.3">
      <c r="A357" s="3">
        <v>5015504</v>
      </c>
      <c r="B357" s="4" t="b">
        <v>1</v>
      </c>
      <c r="C357" s="1" t="s">
        <v>1316</v>
      </c>
      <c r="D357" s="1" t="s">
        <v>1317</v>
      </c>
      <c r="E357" s="5">
        <v>4889324</v>
      </c>
      <c r="F357" s="5">
        <v>2338221</v>
      </c>
      <c r="G357" s="1" t="s">
        <v>365</v>
      </c>
      <c r="H357" s="1" t="s">
        <v>1318</v>
      </c>
      <c r="I357" s="6">
        <v>44671.350611203707</v>
      </c>
      <c r="J357" s="1">
        <f>33998098993</f>
        <v>33998098993</v>
      </c>
      <c r="K357" s="3">
        <v>0</v>
      </c>
      <c r="L357" s="5">
        <v>0</v>
      </c>
      <c r="M357" s="1" t="s">
        <v>1319</v>
      </c>
      <c r="N357" s="3">
        <v>1486</v>
      </c>
      <c r="O357" s="3">
        <v>2</v>
      </c>
      <c r="P357" s="1" t="s">
        <v>39</v>
      </c>
      <c r="Q357" s="4" t="b">
        <v>1</v>
      </c>
      <c r="R357" s="4" t="b">
        <v>0</v>
      </c>
      <c r="S357" s="4" t="b">
        <v>0</v>
      </c>
      <c r="T357" s="3">
        <v>0</v>
      </c>
      <c r="U357" s="4" t="b">
        <v>0</v>
      </c>
      <c r="V357" s="7">
        <v>44840</v>
      </c>
      <c r="W357" s="7">
        <v>44822</v>
      </c>
    </row>
    <row r="358" spans="1:23" ht="14.4" x14ac:dyDescent="0.3">
      <c r="A358" s="3">
        <v>5015550</v>
      </c>
      <c r="B358" s="4" t="b">
        <v>1</v>
      </c>
      <c r="C358" s="1" t="s">
        <v>1313</v>
      </c>
      <c r="D358" s="1" t="s">
        <v>1314</v>
      </c>
      <c r="E358" s="5">
        <v>3876094</v>
      </c>
      <c r="F358" s="5">
        <v>-917803</v>
      </c>
      <c r="G358" s="1" t="s">
        <v>321</v>
      </c>
      <c r="H358" s="1" t="s">
        <v>1315</v>
      </c>
      <c r="I358" s="6">
        <v>44671.287755277779</v>
      </c>
      <c r="J358" s="1">
        <f>353838538903</f>
        <v>353838538903</v>
      </c>
      <c r="K358" s="3">
        <v>1</v>
      </c>
      <c r="L358" s="5">
        <v>5</v>
      </c>
      <c r="M358" s="1">
        <v>336363373</v>
      </c>
      <c r="N358" s="3">
        <v>43</v>
      </c>
      <c r="O358" s="3">
        <v>6</v>
      </c>
      <c r="P358" s="1" t="s">
        <v>33</v>
      </c>
      <c r="Q358" s="4" t="b">
        <v>0</v>
      </c>
      <c r="R358" s="4" t="b">
        <v>0</v>
      </c>
      <c r="S358" s="4" t="b">
        <v>0</v>
      </c>
      <c r="T358" s="3" t="s">
        <v>323</v>
      </c>
      <c r="U358" s="4" t="b">
        <v>0</v>
      </c>
      <c r="V358" s="7">
        <v>44836</v>
      </c>
      <c r="W358" s="7">
        <v>44871</v>
      </c>
    </row>
    <row r="359" spans="1:23" ht="14.4" x14ac:dyDescent="0.3">
      <c r="A359" s="3">
        <v>5017730</v>
      </c>
      <c r="B359" s="4" t="b">
        <v>1</v>
      </c>
      <c r="C359" s="1" t="s">
        <v>1294</v>
      </c>
      <c r="D359" s="1" t="s">
        <v>1295</v>
      </c>
      <c r="E359" s="5">
        <v>4892328</v>
      </c>
      <c r="F359" s="5">
        <v>2205977</v>
      </c>
      <c r="G359" s="1" t="s">
        <v>1296</v>
      </c>
      <c r="H359" s="1" t="s">
        <v>1297</v>
      </c>
      <c r="I359" s="6">
        <v>44666.34974208333</v>
      </c>
      <c r="J359" s="1">
        <f>33955988399</f>
        <v>33955988399</v>
      </c>
      <c r="K359" s="3">
        <v>0</v>
      </c>
      <c r="L359" s="5">
        <v>0</v>
      </c>
      <c r="M359" s="1">
        <v>7337373</v>
      </c>
      <c r="N359" s="3">
        <v>396</v>
      </c>
      <c r="O359" s="3">
        <v>2</v>
      </c>
      <c r="P359" s="1" t="s">
        <v>39</v>
      </c>
      <c r="Q359" s="4" t="b">
        <v>1</v>
      </c>
      <c r="R359" s="4" t="b">
        <v>0</v>
      </c>
      <c r="S359" s="4" t="b">
        <v>0</v>
      </c>
      <c r="T359" s="3">
        <v>0</v>
      </c>
      <c r="U359" s="4" t="b">
        <v>1</v>
      </c>
      <c r="V359" s="7">
        <v>44821</v>
      </c>
      <c r="W359" s="8">
        <v>44853</v>
      </c>
    </row>
    <row r="360" spans="1:23" ht="14.4" x14ac:dyDescent="0.3">
      <c r="A360" s="3">
        <v>5030144</v>
      </c>
      <c r="B360" s="4" t="b">
        <v>1</v>
      </c>
      <c r="C360" s="1" t="s">
        <v>757</v>
      </c>
      <c r="D360" s="1" t="s">
        <v>758</v>
      </c>
      <c r="E360" s="5">
        <v>4147798</v>
      </c>
      <c r="F360" s="5">
        <v>1918187</v>
      </c>
      <c r="G360" s="1" t="s">
        <v>1594</v>
      </c>
      <c r="H360" s="1" t="s">
        <v>1595</v>
      </c>
      <c r="I360" s="6">
        <v>44777.320044108797</v>
      </c>
      <c r="J360" s="1">
        <f>35950039339</f>
        <v>35950039339</v>
      </c>
      <c r="K360" s="3">
        <v>0</v>
      </c>
      <c r="L360" s="5">
        <v>0</v>
      </c>
      <c r="M360" s="1" t="s">
        <v>1596</v>
      </c>
      <c r="N360" s="3">
        <v>29</v>
      </c>
      <c r="O360" s="3">
        <v>4</v>
      </c>
      <c r="P360" s="1" t="s">
        <v>33</v>
      </c>
      <c r="Q360" s="4" t="b">
        <v>0</v>
      </c>
      <c r="R360" s="4" t="b">
        <v>1</v>
      </c>
      <c r="S360" s="4" t="b">
        <v>0</v>
      </c>
      <c r="T360" s="3">
        <v>0</v>
      </c>
      <c r="U360" s="4" t="b">
        <v>0</v>
      </c>
      <c r="V360" s="7">
        <v>44822</v>
      </c>
      <c r="W360" s="7">
        <v>44668</v>
      </c>
    </row>
    <row r="361" spans="1:23" ht="14.4" x14ac:dyDescent="0.3">
      <c r="A361" s="3">
        <v>5030144</v>
      </c>
      <c r="B361" s="4" t="b">
        <v>1</v>
      </c>
      <c r="C361" s="1" t="s">
        <v>1597</v>
      </c>
      <c r="D361" s="1" t="s">
        <v>1598</v>
      </c>
      <c r="E361" s="5">
        <v>4822524</v>
      </c>
      <c r="F361" s="5">
        <v>1635594</v>
      </c>
      <c r="G361" s="1" t="s">
        <v>1599</v>
      </c>
      <c r="H361" s="1" t="s">
        <v>1600</v>
      </c>
      <c r="I361" s="6">
        <v>44777.337462557873</v>
      </c>
      <c r="J361" s="1">
        <f>539395393333</f>
        <v>539395393333</v>
      </c>
      <c r="K361" s="3">
        <v>2</v>
      </c>
      <c r="L361" s="5">
        <v>5</v>
      </c>
      <c r="M361" s="1"/>
      <c r="N361" s="3">
        <v>22</v>
      </c>
      <c r="O361" s="3">
        <v>6</v>
      </c>
      <c r="P361" s="1" t="s">
        <v>28</v>
      </c>
      <c r="Q361" s="4" t="b">
        <v>0</v>
      </c>
      <c r="R361" s="4" t="b">
        <v>0</v>
      </c>
      <c r="S361" s="4" t="b">
        <v>0</v>
      </c>
      <c r="T361" s="3" t="s">
        <v>1601</v>
      </c>
      <c r="U361" s="4" t="b">
        <v>0</v>
      </c>
      <c r="V361" s="7">
        <v>44823</v>
      </c>
      <c r="W361" s="7">
        <v>44669</v>
      </c>
    </row>
    <row r="362" spans="1:23" ht="14.4" x14ac:dyDescent="0.3">
      <c r="A362" s="3">
        <v>5030154</v>
      </c>
      <c r="B362" s="4" t="b">
        <v>1</v>
      </c>
      <c r="C362" s="1" t="s">
        <v>1615</v>
      </c>
      <c r="D362" s="1" t="s">
        <v>1616</v>
      </c>
      <c r="E362" s="5">
        <v>543599</v>
      </c>
      <c r="F362" s="5">
        <v>1370353</v>
      </c>
      <c r="G362" s="1" t="s">
        <v>1617</v>
      </c>
      <c r="H362" s="1" t="s">
        <v>1618</v>
      </c>
      <c r="I362" s="6">
        <v>44778.371444999997</v>
      </c>
      <c r="J362" s="1">
        <f>5938303388500</f>
        <v>5938303388500</v>
      </c>
      <c r="K362" s="3">
        <v>0</v>
      </c>
      <c r="L362" s="5">
        <v>0</v>
      </c>
      <c r="M362" s="1"/>
      <c r="N362" s="3">
        <v>28</v>
      </c>
      <c r="O362" s="3">
        <v>3</v>
      </c>
      <c r="P362" s="1" t="s">
        <v>28</v>
      </c>
      <c r="Q362" s="4" t="b">
        <v>0</v>
      </c>
      <c r="R362" s="4" t="b">
        <v>0</v>
      </c>
      <c r="S362" s="4" t="b">
        <v>0</v>
      </c>
      <c r="T362" s="3">
        <v>0</v>
      </c>
      <c r="U362" s="4" t="b">
        <v>0</v>
      </c>
      <c r="V362" s="7">
        <v>44827</v>
      </c>
      <c r="W362" s="8">
        <v>44856</v>
      </c>
    </row>
    <row r="363" spans="1:23" ht="14.4" x14ac:dyDescent="0.3">
      <c r="A363" s="3">
        <v>5030170</v>
      </c>
      <c r="B363" s="4" t="b">
        <v>1</v>
      </c>
      <c r="C363" s="1" t="s">
        <v>1607</v>
      </c>
      <c r="D363" s="1" t="s">
        <v>1608</v>
      </c>
      <c r="E363" s="5">
        <v>4564725</v>
      </c>
      <c r="F363" s="5">
        <v>8792689</v>
      </c>
      <c r="G363" s="1" t="s">
        <v>1609</v>
      </c>
      <c r="H363" s="1" t="s">
        <v>1610</v>
      </c>
      <c r="I363" s="6">
        <v>44777.423847754631</v>
      </c>
      <c r="J363" s="1">
        <f>390333383535</f>
        <v>390333383535</v>
      </c>
      <c r="K363" s="3">
        <v>11</v>
      </c>
      <c r="L363" s="5">
        <v>4909091</v>
      </c>
      <c r="M363" s="1">
        <v>767373333</v>
      </c>
      <c r="N363" s="3">
        <v>445</v>
      </c>
      <c r="O363" s="3">
        <v>1</v>
      </c>
      <c r="P363" s="1" t="s">
        <v>33</v>
      </c>
      <c r="Q363" s="4" t="b">
        <v>0</v>
      </c>
      <c r="R363" s="4" t="b">
        <v>1</v>
      </c>
      <c r="S363" s="4" t="b">
        <v>0</v>
      </c>
      <c r="T363" s="3" t="s">
        <v>1611</v>
      </c>
      <c r="U363" s="4" t="b">
        <v>0</v>
      </c>
      <c r="V363" s="7">
        <v>44825</v>
      </c>
      <c r="W363" s="7">
        <v>44671</v>
      </c>
    </row>
    <row r="364" spans="1:23" ht="14.4" x14ac:dyDescent="0.3">
      <c r="A364" s="3">
        <v>5030400</v>
      </c>
      <c r="B364" s="4" t="b">
        <v>1</v>
      </c>
      <c r="C364" s="1" t="s">
        <v>1653</v>
      </c>
      <c r="D364" s="1" t="s">
        <v>1654</v>
      </c>
      <c r="E364" s="5">
        <v>5347764</v>
      </c>
      <c r="F364" s="5">
        <v>102052</v>
      </c>
      <c r="G364" s="1" t="s">
        <v>1331</v>
      </c>
      <c r="H364" s="1" t="s">
        <v>1655</v>
      </c>
      <c r="I364" s="6">
        <v>44789.480408900461</v>
      </c>
      <c r="J364" s="1">
        <f>5933985383888</f>
        <v>5933985383888</v>
      </c>
      <c r="K364" s="3">
        <v>0</v>
      </c>
      <c r="L364" s="5">
        <v>0</v>
      </c>
      <c r="M364" s="1"/>
      <c r="N364" s="3">
        <v>19</v>
      </c>
      <c r="O364" s="3">
        <v>1</v>
      </c>
      <c r="P364" s="1" t="s">
        <v>33</v>
      </c>
      <c r="Q364" s="4" t="b">
        <v>0</v>
      </c>
      <c r="R364" s="4" t="b">
        <v>0</v>
      </c>
      <c r="S364" s="4" t="b">
        <v>0</v>
      </c>
      <c r="T364" s="3">
        <v>0</v>
      </c>
      <c r="U364" s="4" t="b">
        <v>0</v>
      </c>
      <c r="V364" s="7">
        <v>44836</v>
      </c>
      <c r="W364" s="7">
        <v>44827</v>
      </c>
    </row>
    <row r="365" spans="1:23" ht="14.4" x14ac:dyDescent="0.3">
      <c r="A365" s="3">
        <v>5030404</v>
      </c>
      <c r="B365" s="4" t="b">
        <v>1</v>
      </c>
      <c r="C365" s="1" t="s">
        <v>1656</v>
      </c>
      <c r="D365" s="1" t="s">
        <v>1657</v>
      </c>
      <c r="E365" s="5">
        <v>5014002</v>
      </c>
      <c r="F365" s="5">
        <v>8751614</v>
      </c>
      <c r="G365" s="1" t="s">
        <v>1658</v>
      </c>
      <c r="H365" s="1" t="s">
        <v>1659</v>
      </c>
      <c r="I365" s="6">
        <v>44789.501059641203</v>
      </c>
      <c r="J365" s="1">
        <f>5933983859383</f>
        <v>5933983859383</v>
      </c>
      <c r="K365" s="3">
        <v>0</v>
      </c>
      <c r="L365" s="5">
        <v>0</v>
      </c>
      <c r="M365" s="1"/>
      <c r="N365" s="3">
        <v>43</v>
      </c>
      <c r="O365" s="3">
        <v>2</v>
      </c>
      <c r="P365" s="1" t="s">
        <v>33</v>
      </c>
      <c r="Q365" s="4" t="b">
        <v>0</v>
      </c>
      <c r="R365" s="4" t="b">
        <v>0</v>
      </c>
      <c r="S365" s="4" t="b">
        <v>0</v>
      </c>
      <c r="T365" s="3">
        <v>0</v>
      </c>
      <c r="U365" s="4" t="b">
        <v>0</v>
      </c>
      <c r="V365" s="8">
        <v>44893</v>
      </c>
      <c r="W365" s="7">
        <v>44843</v>
      </c>
    </row>
    <row r="366" spans="1:23" ht="14.4" x14ac:dyDescent="0.3">
      <c r="A366" s="3">
        <v>5030414</v>
      </c>
      <c r="B366" s="4" t="b">
        <v>1</v>
      </c>
      <c r="C366" s="1" t="s">
        <v>298</v>
      </c>
      <c r="D366" s="1" t="s">
        <v>299</v>
      </c>
      <c r="E366" s="5">
        <v>4145661</v>
      </c>
      <c r="F366" s="5">
        <v>1290878</v>
      </c>
      <c r="G366" s="1" t="s">
        <v>1733</v>
      </c>
      <c r="H366" s="1" t="s">
        <v>1734</v>
      </c>
      <c r="I366" s="6">
        <v>44806.56878548611</v>
      </c>
      <c r="J366" s="1">
        <f>393899008985</f>
        <v>393899008985</v>
      </c>
      <c r="K366" s="3">
        <v>0</v>
      </c>
      <c r="L366" s="5">
        <v>0</v>
      </c>
      <c r="M366" s="1">
        <v>7333333377</v>
      </c>
      <c r="N366" s="3">
        <v>67</v>
      </c>
      <c r="O366" s="3">
        <v>1</v>
      </c>
      <c r="P366" s="1" t="s">
        <v>39</v>
      </c>
      <c r="Q366" s="4" t="b">
        <v>1</v>
      </c>
      <c r="R366" s="4" t="b">
        <v>0</v>
      </c>
      <c r="S366" s="4" t="b">
        <v>0</v>
      </c>
      <c r="T366" s="3">
        <v>0</v>
      </c>
      <c r="U366" s="4" t="b">
        <v>0</v>
      </c>
      <c r="V366" s="8">
        <v>44881</v>
      </c>
      <c r="W366" s="8">
        <v>44857</v>
      </c>
    </row>
    <row r="367" spans="1:23" ht="14.4" x14ac:dyDescent="0.3">
      <c r="A367" s="3">
        <v>5030430</v>
      </c>
      <c r="B367" s="4" t="b">
        <v>0</v>
      </c>
      <c r="C367" s="1" t="s">
        <v>453</v>
      </c>
      <c r="D367" s="1" t="s">
        <v>454</v>
      </c>
      <c r="E367" s="5">
        <v>4551636</v>
      </c>
      <c r="F367" s="5">
        <v>1145355</v>
      </c>
      <c r="G367" s="1" t="s">
        <v>455</v>
      </c>
      <c r="H367" s="1" t="s">
        <v>456</v>
      </c>
      <c r="I367" s="6">
        <v>44027.569323159725</v>
      </c>
      <c r="J367" s="1">
        <f>390555533833</f>
        <v>390555533833</v>
      </c>
      <c r="K367" s="3">
        <v>150</v>
      </c>
      <c r="L367" s="5">
        <v>4886667</v>
      </c>
      <c r="M367" s="1">
        <v>7736733336</v>
      </c>
      <c r="N367" s="3">
        <v>2057</v>
      </c>
      <c r="O367" s="3">
        <v>4</v>
      </c>
      <c r="P367" s="1" t="s">
        <v>28</v>
      </c>
      <c r="Q367" s="4" t="b">
        <v>0</v>
      </c>
      <c r="R367" s="4" t="b">
        <v>1</v>
      </c>
      <c r="S367" s="4" t="b">
        <v>0</v>
      </c>
      <c r="T367" s="3" t="s">
        <v>457</v>
      </c>
      <c r="U367" s="4" t="b">
        <v>0</v>
      </c>
      <c r="V367" s="7">
        <v>44886</v>
      </c>
      <c r="W367" s="7">
        <v>44867</v>
      </c>
    </row>
    <row r="368" spans="1:23" ht="14.4" x14ac:dyDescent="0.3">
      <c r="A368" s="3">
        <v>5030444</v>
      </c>
      <c r="B368" s="4" t="b">
        <v>1</v>
      </c>
      <c r="C368" s="1" t="s">
        <v>1660</v>
      </c>
      <c r="D368" s="1" t="s">
        <v>1661</v>
      </c>
      <c r="E368" s="5">
        <v>5587062</v>
      </c>
      <c r="F368" s="5">
        <v>-43113</v>
      </c>
      <c r="G368" s="1" t="s">
        <v>1662</v>
      </c>
      <c r="H368" s="1" t="s">
        <v>1663</v>
      </c>
      <c r="I368" s="6">
        <v>44792.497279502313</v>
      </c>
      <c r="J368" s="1">
        <f>553538385858</f>
        <v>553538385858</v>
      </c>
      <c r="K368" s="3">
        <v>2</v>
      </c>
      <c r="L368" s="5">
        <v>5</v>
      </c>
      <c r="M368" s="1"/>
      <c r="N368" s="3">
        <v>55</v>
      </c>
      <c r="O368" s="3">
        <v>1</v>
      </c>
      <c r="P368" s="1" t="s">
        <v>28</v>
      </c>
      <c r="Q368" s="4" t="b">
        <v>0</v>
      </c>
      <c r="R368" s="4" t="b">
        <v>0</v>
      </c>
      <c r="S368" s="4" t="b">
        <v>0</v>
      </c>
      <c r="T368" s="3" t="s">
        <v>1601</v>
      </c>
      <c r="U368" s="4" t="b">
        <v>0</v>
      </c>
      <c r="V368" s="8">
        <v>44855</v>
      </c>
      <c r="W368" s="8">
        <v>44878</v>
      </c>
    </row>
    <row r="369" spans="1:23" ht="14.4" x14ac:dyDescent="0.3">
      <c r="A369" s="3">
        <v>5030444</v>
      </c>
      <c r="B369" s="4" t="b">
        <v>0</v>
      </c>
      <c r="C369" s="1" t="s">
        <v>1738</v>
      </c>
      <c r="D369" s="1" t="s">
        <v>1739</v>
      </c>
      <c r="E369" s="5">
        <v>450718</v>
      </c>
      <c r="F369" s="5">
        <v>755377</v>
      </c>
      <c r="G369" s="1" t="s">
        <v>1740</v>
      </c>
      <c r="H369" s="1" t="s">
        <v>1741</v>
      </c>
      <c r="I369" s="6">
        <v>44809.381527835649</v>
      </c>
      <c r="J369" s="1">
        <f>393595355355</f>
        <v>393595355355</v>
      </c>
      <c r="K369" s="3">
        <v>0</v>
      </c>
      <c r="L369" s="5">
        <v>0</v>
      </c>
      <c r="M369" s="1">
        <v>737333333</v>
      </c>
      <c r="N369" s="3">
        <v>4</v>
      </c>
      <c r="O369" s="3">
        <v>1</v>
      </c>
      <c r="P369" s="1" t="s">
        <v>39</v>
      </c>
      <c r="Q369" s="4" t="b">
        <v>1</v>
      </c>
      <c r="R369" s="4" t="b">
        <v>0</v>
      </c>
      <c r="S369" s="4" t="b">
        <v>0</v>
      </c>
      <c r="T369" s="3">
        <v>0</v>
      </c>
      <c r="U369" s="4" t="b">
        <v>0</v>
      </c>
      <c r="V369" s="8">
        <v>44846</v>
      </c>
      <c r="W369" s="8">
        <v>44860</v>
      </c>
    </row>
    <row r="370" spans="1:23" ht="14.4" x14ac:dyDescent="0.3">
      <c r="A370" s="3">
        <v>5030454</v>
      </c>
      <c r="B370" s="4" t="b">
        <v>1</v>
      </c>
      <c r="C370" s="1" t="s">
        <v>1735</v>
      </c>
      <c r="D370" s="1" t="s">
        <v>1736</v>
      </c>
      <c r="E370" s="5">
        <v>4186115</v>
      </c>
      <c r="F370" s="5">
        <v>1255511</v>
      </c>
      <c r="G370" s="1" t="s">
        <v>25</v>
      </c>
      <c r="H370" s="1" t="s">
        <v>1737</v>
      </c>
      <c r="I370" s="6">
        <v>44806.612992361108</v>
      </c>
      <c r="J370" s="1">
        <f>390980939833</f>
        <v>390980939833</v>
      </c>
      <c r="K370" s="3">
        <v>0</v>
      </c>
      <c r="L370" s="5">
        <v>0</v>
      </c>
      <c r="M370" s="1">
        <v>6337733333</v>
      </c>
      <c r="N370" s="3">
        <v>215</v>
      </c>
      <c r="O370" s="3">
        <v>4</v>
      </c>
      <c r="P370" s="1" t="s">
        <v>39</v>
      </c>
      <c r="Q370" s="4" t="b">
        <v>0</v>
      </c>
      <c r="R370" s="4" t="b">
        <v>1</v>
      </c>
      <c r="S370" s="4" t="b">
        <v>0</v>
      </c>
      <c r="T370" s="3">
        <v>0</v>
      </c>
      <c r="U370" s="4" t="b">
        <v>0</v>
      </c>
      <c r="V370" s="8">
        <v>44862</v>
      </c>
      <c r="W370" s="7">
        <v>44897</v>
      </c>
    </row>
    <row r="371" spans="1:23" ht="14.4" x14ac:dyDescent="0.3">
      <c r="A371" s="3">
        <v>5030454</v>
      </c>
      <c r="B371" s="4" t="b">
        <v>1</v>
      </c>
      <c r="C371" s="1" t="s">
        <v>1742</v>
      </c>
      <c r="D371" s="1" t="s">
        <v>1743</v>
      </c>
      <c r="E371" s="5">
        <v>3875461</v>
      </c>
      <c r="F371" s="5">
        <v>-895981</v>
      </c>
      <c r="G371" s="1" t="s">
        <v>1744</v>
      </c>
      <c r="H371" s="1" t="s">
        <v>1745</v>
      </c>
      <c r="I371" s="6">
        <v>44810.523151712965</v>
      </c>
      <c r="J371" s="1">
        <f>353933393855</f>
        <v>353933393855</v>
      </c>
      <c r="K371" s="3">
        <v>0</v>
      </c>
      <c r="L371" s="5">
        <v>0</v>
      </c>
      <c r="M371" s="1">
        <v>3337377</v>
      </c>
      <c r="N371" s="3">
        <v>0</v>
      </c>
      <c r="O371" s="3">
        <v>1</v>
      </c>
      <c r="P371" s="1" t="s">
        <v>39</v>
      </c>
      <c r="Q371" s="4" t="b">
        <v>0</v>
      </c>
      <c r="R371" s="4" t="b">
        <v>1</v>
      </c>
      <c r="S371" s="4" t="b">
        <v>0</v>
      </c>
      <c r="T371" s="3">
        <v>0</v>
      </c>
      <c r="U371" s="4" t="b">
        <v>0</v>
      </c>
      <c r="V371" s="7">
        <v>44900</v>
      </c>
      <c r="W371" s="7">
        <v>44836</v>
      </c>
    </row>
    <row r="372" spans="1:23" ht="14.4" x14ac:dyDescent="0.3">
      <c r="A372" s="3">
        <v>5030504</v>
      </c>
      <c r="B372" s="4" t="b">
        <v>1</v>
      </c>
      <c r="C372" s="1" t="s">
        <v>1619</v>
      </c>
      <c r="D372" s="1" t="s">
        <v>1620</v>
      </c>
      <c r="E372" s="5">
        <v>415429</v>
      </c>
      <c r="F372" s="5">
        <v>1896722</v>
      </c>
      <c r="G372" s="1" t="s">
        <v>1621</v>
      </c>
      <c r="H372" s="1" t="s">
        <v>1622</v>
      </c>
      <c r="I372" s="6">
        <v>44778.546287187499</v>
      </c>
      <c r="J372" s="1">
        <f>35933008385</f>
        <v>35933008385</v>
      </c>
      <c r="K372" s="3">
        <v>0</v>
      </c>
      <c r="L372" s="5">
        <v>0</v>
      </c>
      <c r="M372" s="1" t="s">
        <v>1623</v>
      </c>
      <c r="N372" s="3">
        <v>418</v>
      </c>
      <c r="O372" s="3">
        <v>2</v>
      </c>
      <c r="P372" s="1" t="s">
        <v>33</v>
      </c>
      <c r="Q372" s="4" t="b">
        <v>0</v>
      </c>
      <c r="R372" s="4" t="b">
        <v>1</v>
      </c>
      <c r="S372" s="4" t="b">
        <v>0</v>
      </c>
      <c r="T372" s="3">
        <v>0</v>
      </c>
      <c r="U372" s="4" t="b">
        <v>0</v>
      </c>
      <c r="V372" s="7">
        <v>44828</v>
      </c>
      <c r="W372" s="8">
        <v>44857</v>
      </c>
    </row>
    <row r="373" spans="1:23" ht="14.4" x14ac:dyDescent="0.3">
      <c r="A373" s="3">
        <v>5030507</v>
      </c>
      <c r="B373" s="4" t="b">
        <v>1</v>
      </c>
      <c r="C373" s="1" t="s">
        <v>222</v>
      </c>
      <c r="D373" s="1" t="s">
        <v>223</v>
      </c>
      <c r="E373" s="5">
        <v>5473806</v>
      </c>
      <c r="F373" s="5">
        <v>2526615</v>
      </c>
      <c r="G373" s="1" t="s">
        <v>1746</v>
      </c>
      <c r="H373" s="1" t="s">
        <v>1747</v>
      </c>
      <c r="I373" s="6">
        <v>44810.602131284722</v>
      </c>
      <c r="J373" s="1">
        <f>33098090333</f>
        <v>33098090333</v>
      </c>
      <c r="K373" s="3">
        <v>4</v>
      </c>
      <c r="L373" s="5" t="s">
        <v>184</v>
      </c>
      <c r="M373" s="1"/>
      <c r="N373" s="3">
        <v>358</v>
      </c>
      <c r="O373" s="3">
        <v>6</v>
      </c>
      <c r="P373" s="1" t="s">
        <v>28</v>
      </c>
      <c r="Q373" s="4" t="b">
        <v>0</v>
      </c>
      <c r="R373" s="4" t="b">
        <v>0</v>
      </c>
      <c r="S373" s="4" t="b">
        <v>0</v>
      </c>
      <c r="T373" s="3" t="s">
        <v>1748</v>
      </c>
      <c r="U373" s="4" t="b">
        <v>0</v>
      </c>
      <c r="V373" s="8">
        <v>44860</v>
      </c>
      <c r="W373" s="8">
        <v>44858</v>
      </c>
    </row>
    <row r="374" spans="1:23" ht="14.4" x14ac:dyDescent="0.3">
      <c r="A374" s="3">
        <v>5030515</v>
      </c>
      <c r="B374" s="4" t="b">
        <v>1</v>
      </c>
      <c r="C374" s="1" t="s">
        <v>1753</v>
      </c>
      <c r="D374" s="1" t="s">
        <v>1754</v>
      </c>
      <c r="E374" s="5">
        <v>4138575</v>
      </c>
      <c r="F374" s="5">
        <v>2158795</v>
      </c>
      <c r="G374" s="1" t="s">
        <v>182</v>
      </c>
      <c r="H374" s="1" t="s">
        <v>1755</v>
      </c>
      <c r="I374" s="6">
        <v>44811.393719074076</v>
      </c>
      <c r="J374" s="1">
        <f>35900358859</f>
        <v>35900358859</v>
      </c>
      <c r="K374" s="3">
        <v>0</v>
      </c>
      <c r="L374" s="5">
        <v>0</v>
      </c>
      <c r="M374" s="1" t="s">
        <v>1756</v>
      </c>
      <c r="N374" s="3">
        <v>120</v>
      </c>
      <c r="O374" s="3">
        <v>4</v>
      </c>
      <c r="P374" s="1" t="s">
        <v>39</v>
      </c>
      <c r="Q374" s="4" t="b">
        <v>0</v>
      </c>
      <c r="R374" s="4" t="b">
        <v>1</v>
      </c>
      <c r="S374" s="4" t="b">
        <v>0</v>
      </c>
      <c r="T374" s="3">
        <v>0</v>
      </c>
      <c r="U374" s="4" t="b">
        <v>0</v>
      </c>
      <c r="V374" s="7">
        <v>44873</v>
      </c>
      <c r="W374" s="7">
        <v>44842</v>
      </c>
    </row>
    <row r="375" spans="1:23" ht="14.4" x14ac:dyDescent="0.3">
      <c r="A375" s="3">
        <v>5030540</v>
      </c>
      <c r="B375" s="4" t="b">
        <v>1</v>
      </c>
      <c r="C375" s="1" t="s">
        <v>1768</v>
      </c>
      <c r="D375" s="1" t="s">
        <v>1769</v>
      </c>
      <c r="E375" s="5">
        <v>4173971</v>
      </c>
      <c r="F375" s="5">
        <v>1235958</v>
      </c>
      <c r="G375" s="1" t="s">
        <v>25</v>
      </c>
      <c r="H375" s="1" t="s">
        <v>1770</v>
      </c>
      <c r="I375" s="6">
        <v>44812.512981828702</v>
      </c>
      <c r="J375" s="1">
        <f>393883383505</f>
        <v>393883383505</v>
      </c>
      <c r="K375" s="3">
        <v>0</v>
      </c>
      <c r="L375" s="5">
        <v>0</v>
      </c>
      <c r="M375" s="1" t="s">
        <v>1771</v>
      </c>
      <c r="N375" s="3">
        <v>6</v>
      </c>
      <c r="O375" s="3">
        <v>1</v>
      </c>
      <c r="P375" s="1" t="s">
        <v>33</v>
      </c>
      <c r="Q375" s="4" t="b">
        <v>0</v>
      </c>
      <c r="R375" s="4" t="b">
        <v>1</v>
      </c>
      <c r="S375" s="4" t="b">
        <v>0</v>
      </c>
      <c r="T375" s="3">
        <v>0</v>
      </c>
      <c r="U375" s="4" t="b">
        <v>0</v>
      </c>
      <c r="V375" s="8">
        <v>44876</v>
      </c>
      <c r="W375" s="7">
        <v>44873</v>
      </c>
    </row>
    <row r="376" spans="1:23" ht="14.4" x14ac:dyDescent="0.3">
      <c r="A376" s="3">
        <v>5030544</v>
      </c>
      <c r="B376" s="4" t="b">
        <v>1</v>
      </c>
      <c r="C376" s="1" t="s">
        <v>1775</v>
      </c>
      <c r="D376" s="1" t="s">
        <v>1776</v>
      </c>
      <c r="E376" s="5">
        <v>5241679</v>
      </c>
      <c r="F376" s="5">
        <v>-196989</v>
      </c>
      <c r="G376" s="1" t="s">
        <v>1777</v>
      </c>
      <c r="H376" s="1" t="s">
        <v>1778</v>
      </c>
      <c r="I376" s="6">
        <v>44812.55798247685</v>
      </c>
      <c r="J376" s="1">
        <f>553398030853</f>
        <v>553398030853</v>
      </c>
      <c r="K376" s="3">
        <v>0</v>
      </c>
      <c r="L376" s="5">
        <v>0</v>
      </c>
      <c r="M376" s="1"/>
      <c r="N376" s="3">
        <v>42</v>
      </c>
      <c r="O376" s="3">
        <v>1</v>
      </c>
      <c r="P376" s="1" t="s">
        <v>33</v>
      </c>
      <c r="Q376" s="4" t="b">
        <v>0</v>
      </c>
      <c r="R376" s="4" t="b">
        <v>0</v>
      </c>
      <c r="S376" s="4" t="b">
        <v>0</v>
      </c>
      <c r="T376" s="3">
        <v>0</v>
      </c>
      <c r="U376" s="4" t="b">
        <v>1</v>
      </c>
      <c r="V376" s="8">
        <v>44884</v>
      </c>
      <c r="W376" s="7">
        <v>44903</v>
      </c>
    </row>
    <row r="377" spans="1:23" ht="14.4" x14ac:dyDescent="0.3">
      <c r="A377" s="3">
        <v>5030545</v>
      </c>
      <c r="B377" s="4" t="b">
        <v>1</v>
      </c>
      <c r="C377" s="1" t="s">
        <v>1772</v>
      </c>
      <c r="D377" s="1" t="s">
        <v>1773</v>
      </c>
      <c r="E377" s="5">
        <v>5151587</v>
      </c>
      <c r="F377" s="5">
        <v>-13176</v>
      </c>
      <c r="G377" s="1" t="s">
        <v>1367</v>
      </c>
      <c r="H377" s="1" t="s">
        <v>1774</v>
      </c>
      <c r="I377" s="6">
        <v>44812.547197569445</v>
      </c>
      <c r="J377" s="1">
        <f>553389538553</f>
        <v>553389538553</v>
      </c>
      <c r="K377" s="3">
        <v>35</v>
      </c>
      <c r="L377" s="5">
        <v>5</v>
      </c>
      <c r="M377" s="1"/>
      <c r="N377" s="3">
        <v>65</v>
      </c>
      <c r="O377" s="3">
        <v>1</v>
      </c>
      <c r="P377" s="1" t="s">
        <v>28</v>
      </c>
      <c r="Q377" s="4" t="b">
        <v>0</v>
      </c>
      <c r="R377" s="4" t="b">
        <v>0</v>
      </c>
      <c r="S377" s="4" t="b">
        <v>0</v>
      </c>
      <c r="T377" s="3" t="s">
        <v>287</v>
      </c>
      <c r="U377" s="4" t="b">
        <v>0</v>
      </c>
      <c r="V377" s="7">
        <v>44886</v>
      </c>
      <c r="W377" s="8">
        <v>44855</v>
      </c>
    </row>
    <row r="378" spans="1:23" ht="14.4" x14ac:dyDescent="0.3">
      <c r="A378" s="3">
        <v>5030547</v>
      </c>
      <c r="B378" s="4" t="b">
        <v>1</v>
      </c>
      <c r="C378" s="1" t="s">
        <v>1779</v>
      </c>
      <c r="D378" s="1" t="s">
        <v>1780</v>
      </c>
      <c r="E378" s="5">
        <v>5587099</v>
      </c>
      <c r="F378" s="5">
        <v>-430921</v>
      </c>
      <c r="G378" s="1" t="s">
        <v>1781</v>
      </c>
      <c r="H378" s="1" t="s">
        <v>1782</v>
      </c>
      <c r="I378" s="6">
        <v>44812.593706053238</v>
      </c>
      <c r="J378" s="1">
        <f>553983830988</f>
        <v>553983830988</v>
      </c>
      <c r="K378" s="3">
        <v>2</v>
      </c>
      <c r="L378" s="5">
        <v>5</v>
      </c>
      <c r="M378" s="1"/>
      <c r="N378" s="3">
        <v>37</v>
      </c>
      <c r="O378" s="3">
        <v>1</v>
      </c>
      <c r="P378" s="1" t="s">
        <v>33</v>
      </c>
      <c r="Q378" s="4" t="b">
        <v>0</v>
      </c>
      <c r="R378" s="4" t="b">
        <v>0</v>
      </c>
      <c r="S378" s="4" t="b">
        <v>0</v>
      </c>
      <c r="T378" s="3" t="s">
        <v>1601</v>
      </c>
      <c r="U378" s="4" t="b">
        <v>0</v>
      </c>
      <c r="V378" s="8">
        <v>44884</v>
      </c>
      <c r="W378" s="7">
        <v>44898</v>
      </c>
    </row>
    <row r="379" spans="1:23" ht="14.4" x14ac:dyDescent="0.3">
      <c r="A379" s="3">
        <v>5030550</v>
      </c>
      <c r="B379" s="4" t="b">
        <v>1</v>
      </c>
      <c r="C379" s="1" t="s">
        <v>1757</v>
      </c>
      <c r="D379" s="1" t="s">
        <v>1758</v>
      </c>
      <c r="E379" s="5">
        <v>4157657</v>
      </c>
      <c r="F379" s="5">
        <v>2019856</v>
      </c>
      <c r="G379" s="1" t="s">
        <v>1145</v>
      </c>
      <c r="H379" s="1" t="s">
        <v>1759</v>
      </c>
      <c r="I379" s="6">
        <v>44811.408065138887</v>
      </c>
      <c r="J379" s="1">
        <f>35958389533</f>
        <v>35958389533</v>
      </c>
      <c r="K379" s="3">
        <v>0</v>
      </c>
      <c r="L379" s="5">
        <v>0</v>
      </c>
      <c r="M379" s="1" t="s">
        <v>1760</v>
      </c>
      <c r="N379" s="3">
        <v>54</v>
      </c>
      <c r="O379" s="3">
        <v>4</v>
      </c>
      <c r="P379" s="1" t="s">
        <v>28</v>
      </c>
      <c r="Q379" s="4" t="b">
        <v>0</v>
      </c>
      <c r="R379" s="4" t="b">
        <v>1</v>
      </c>
      <c r="S379" s="4" t="b">
        <v>0</v>
      </c>
      <c r="T379" s="3">
        <v>0</v>
      </c>
      <c r="U379" s="4" t="b">
        <v>1</v>
      </c>
      <c r="V379" s="7">
        <v>44880</v>
      </c>
      <c r="W379" s="7">
        <v>44860</v>
      </c>
    </row>
    <row r="380" spans="1:23" ht="14.4" x14ac:dyDescent="0.3">
      <c r="A380" s="3">
        <v>5030555</v>
      </c>
      <c r="B380" s="4" t="b">
        <v>0</v>
      </c>
      <c r="C380" s="1" t="s">
        <v>1735</v>
      </c>
      <c r="D380" s="1" t="s">
        <v>1736</v>
      </c>
      <c r="E380" s="5">
        <v>5346206</v>
      </c>
      <c r="F380" s="5">
        <v>-217329</v>
      </c>
      <c r="G380" s="1" t="s">
        <v>1271</v>
      </c>
      <c r="H380" s="1" t="s">
        <v>1787</v>
      </c>
      <c r="I380" s="6">
        <v>44813.372853287037</v>
      </c>
      <c r="J380" s="1">
        <f>553939339890</f>
        <v>553939339890</v>
      </c>
      <c r="K380" s="3">
        <v>1</v>
      </c>
      <c r="L380" s="5">
        <v>5</v>
      </c>
      <c r="M380" s="1"/>
      <c r="N380" s="3">
        <v>29</v>
      </c>
      <c r="O380" s="3">
        <v>2</v>
      </c>
      <c r="P380" s="1" t="s">
        <v>33</v>
      </c>
      <c r="Q380" s="4" t="b">
        <v>0</v>
      </c>
      <c r="R380" s="4" t="b">
        <v>0</v>
      </c>
      <c r="S380" s="4" t="b">
        <v>0</v>
      </c>
      <c r="T380" s="3" t="s">
        <v>323</v>
      </c>
      <c r="U380" s="4" t="b">
        <v>0</v>
      </c>
      <c r="V380" s="7">
        <v>44900</v>
      </c>
      <c r="W380" s="8">
        <v>44849</v>
      </c>
    </row>
    <row r="381" spans="1:23" ht="14.4" x14ac:dyDescent="0.3">
      <c r="A381" s="3">
        <v>5030556</v>
      </c>
      <c r="B381" s="4" t="b">
        <v>1</v>
      </c>
      <c r="C381" s="1" t="s">
        <v>1783</v>
      </c>
      <c r="D381" s="1" t="s">
        <v>1784</v>
      </c>
      <c r="E381" s="5">
        <v>4062633</v>
      </c>
      <c r="F381" s="5">
        <v>1794175</v>
      </c>
      <c r="G381" s="1" t="s">
        <v>1785</v>
      </c>
      <c r="H381" s="1" t="s">
        <v>1786</v>
      </c>
      <c r="I381" s="6">
        <v>44813.359402696762</v>
      </c>
      <c r="J381" s="1">
        <f>393809099085</f>
        <v>393809099085</v>
      </c>
      <c r="K381" s="3">
        <v>0</v>
      </c>
      <c r="L381" s="5">
        <v>0</v>
      </c>
      <c r="M381" s="1">
        <v>633333733</v>
      </c>
      <c r="N381" s="3">
        <v>52</v>
      </c>
      <c r="O381" s="3">
        <v>3</v>
      </c>
      <c r="P381" s="1" t="s">
        <v>39</v>
      </c>
      <c r="Q381" s="4" t="b">
        <v>0</v>
      </c>
      <c r="R381" s="4" t="b">
        <v>1</v>
      </c>
      <c r="S381" s="4" t="b">
        <v>1</v>
      </c>
      <c r="T381" s="3">
        <v>0</v>
      </c>
      <c r="U381" s="4" t="b">
        <v>1</v>
      </c>
      <c r="V381" s="7">
        <v>44899</v>
      </c>
      <c r="W381" s="8">
        <v>44870</v>
      </c>
    </row>
    <row r="382" spans="1:23" ht="14.4" x14ac:dyDescent="0.3">
      <c r="A382" s="3">
        <v>5030577</v>
      </c>
      <c r="B382" s="4" t="b">
        <v>1</v>
      </c>
      <c r="C382" s="1" t="s">
        <v>1764</v>
      </c>
      <c r="D382" s="1" t="s">
        <v>1765</v>
      </c>
      <c r="E382" s="5">
        <v>5064203</v>
      </c>
      <c r="F382" s="5">
        <v>5574812</v>
      </c>
      <c r="G382" s="1" t="s">
        <v>1766</v>
      </c>
      <c r="H382" s="1" t="s">
        <v>1767</v>
      </c>
      <c r="I382" s="6">
        <v>44812.488582962964</v>
      </c>
      <c r="J382" s="1">
        <f>38588899998</f>
        <v>38588899998</v>
      </c>
      <c r="K382" s="3">
        <v>0</v>
      </c>
      <c r="L382" s="5">
        <v>0</v>
      </c>
      <c r="M382" s="1"/>
      <c r="N382" s="3">
        <v>58</v>
      </c>
      <c r="O382" s="3">
        <v>1</v>
      </c>
      <c r="P382" s="1" t="s">
        <v>28</v>
      </c>
      <c r="Q382" s="4" t="b">
        <v>1</v>
      </c>
      <c r="R382" s="4" t="b">
        <v>0</v>
      </c>
      <c r="S382" s="4" t="b">
        <v>0</v>
      </c>
      <c r="T382" s="3">
        <v>0</v>
      </c>
      <c r="U382" s="4" t="b">
        <v>0</v>
      </c>
      <c r="V382" s="8">
        <v>44892</v>
      </c>
      <c r="W382" s="8">
        <v>44845</v>
      </c>
    </row>
    <row r="383" spans="1:23" ht="14.4" x14ac:dyDescent="0.3">
      <c r="A383" s="3">
        <v>5030604</v>
      </c>
      <c r="B383" s="4" t="b">
        <v>1</v>
      </c>
      <c r="C383" s="1" t="s">
        <v>1676</v>
      </c>
      <c r="D383" s="1" t="s">
        <v>1677</v>
      </c>
      <c r="E383" s="5">
        <v>4885606</v>
      </c>
      <c r="F383" s="5">
        <v>2316862</v>
      </c>
      <c r="G383" s="1" t="s">
        <v>365</v>
      </c>
      <c r="H383" s="1" t="s">
        <v>1678</v>
      </c>
      <c r="I383" s="6">
        <v>44799.337369155095</v>
      </c>
      <c r="J383" s="1">
        <f>33938533938</f>
        <v>33938533938</v>
      </c>
      <c r="K383" s="3">
        <v>0</v>
      </c>
      <c r="L383" s="5">
        <v>0</v>
      </c>
      <c r="M383" s="1" t="s">
        <v>1679</v>
      </c>
      <c r="N383" s="3">
        <v>1</v>
      </c>
      <c r="O383" s="3">
        <v>2</v>
      </c>
      <c r="P383" s="1" t="s">
        <v>28</v>
      </c>
      <c r="Q383" s="4" t="b">
        <v>0</v>
      </c>
      <c r="R383" s="4" t="b">
        <v>1</v>
      </c>
      <c r="S383" s="4" t="b">
        <v>0</v>
      </c>
      <c r="T383" s="3">
        <v>0</v>
      </c>
      <c r="U383" s="4" t="b">
        <v>0</v>
      </c>
      <c r="V383" s="8">
        <v>44887</v>
      </c>
      <c r="W383" s="8">
        <v>44855</v>
      </c>
    </row>
    <row r="384" spans="1:23" ht="14.4" x14ac:dyDescent="0.3">
      <c r="A384" s="3">
        <v>5030617</v>
      </c>
      <c r="B384" s="4" t="b">
        <v>1</v>
      </c>
      <c r="C384" s="1" t="s">
        <v>1680</v>
      </c>
      <c r="D384" s="1" t="s">
        <v>1681</v>
      </c>
      <c r="E384" s="5">
        <v>5151476</v>
      </c>
      <c r="F384" s="5">
        <v>6849248</v>
      </c>
      <c r="G384" s="1" t="s">
        <v>1682</v>
      </c>
      <c r="H384" s="1" t="s">
        <v>1683</v>
      </c>
      <c r="I384" s="6">
        <v>44799.580408090274</v>
      </c>
      <c r="J384" s="1">
        <f>5933983938558</f>
        <v>5933983938558</v>
      </c>
      <c r="K384" s="3">
        <v>0</v>
      </c>
      <c r="L384" s="5">
        <v>0</v>
      </c>
      <c r="M384" s="1"/>
      <c r="N384" s="3">
        <v>33</v>
      </c>
      <c r="O384" s="3">
        <v>2</v>
      </c>
      <c r="P384" s="1" t="s">
        <v>28</v>
      </c>
      <c r="Q384" s="4" t="b">
        <v>0</v>
      </c>
      <c r="R384" s="4" t="b">
        <v>0</v>
      </c>
      <c r="S384" s="4" t="b">
        <v>0</v>
      </c>
      <c r="T384" s="3">
        <v>0</v>
      </c>
      <c r="U384" s="4" t="b">
        <v>0</v>
      </c>
      <c r="V384" s="7">
        <v>44840</v>
      </c>
      <c r="W384" s="8">
        <v>44852</v>
      </c>
    </row>
    <row r="385" spans="1:23" ht="14.4" x14ac:dyDescent="0.3">
      <c r="A385" s="3">
        <v>5030641</v>
      </c>
      <c r="B385" s="4" t="b">
        <v>1</v>
      </c>
      <c r="C385" s="1" t="s">
        <v>1689</v>
      </c>
      <c r="D385" s="1" t="s">
        <v>1690</v>
      </c>
      <c r="E385" s="5">
        <v>4743468</v>
      </c>
      <c r="F385" s="5">
        <v>856711</v>
      </c>
      <c r="G385" s="1" t="s">
        <v>1691</v>
      </c>
      <c r="H385" s="1" t="s">
        <v>1692</v>
      </c>
      <c r="I385" s="6">
        <v>44802.464584490743</v>
      </c>
      <c r="J385" s="1">
        <f>53388359993</f>
        <v>53388359993</v>
      </c>
      <c r="K385" s="3">
        <v>2</v>
      </c>
      <c r="L385" s="5">
        <v>5</v>
      </c>
      <c r="M385" s="1"/>
      <c r="N385" s="3">
        <v>6</v>
      </c>
      <c r="O385" s="3">
        <v>2</v>
      </c>
      <c r="P385" s="1" t="s">
        <v>28</v>
      </c>
      <c r="Q385" s="4" t="b">
        <v>0</v>
      </c>
      <c r="R385" s="4" t="b">
        <v>0</v>
      </c>
      <c r="S385" s="4" t="b">
        <v>0</v>
      </c>
      <c r="T385" s="3" t="s">
        <v>1601</v>
      </c>
      <c r="U385" s="4" t="b">
        <v>1</v>
      </c>
      <c r="V385" s="8">
        <v>44887</v>
      </c>
      <c r="W385" s="7">
        <v>44839</v>
      </c>
    </row>
    <row r="386" spans="1:23" ht="14.4" x14ac:dyDescent="0.3">
      <c r="A386" s="3">
        <v>5030644</v>
      </c>
      <c r="B386" s="4" t="b">
        <v>1</v>
      </c>
      <c r="C386" s="1" t="s">
        <v>1693</v>
      </c>
      <c r="D386" s="1" t="s">
        <v>1694</v>
      </c>
      <c r="E386" s="5">
        <v>4045994</v>
      </c>
      <c r="F386" s="5">
        <v>1725812</v>
      </c>
      <c r="G386" s="1" t="s">
        <v>646</v>
      </c>
      <c r="H386" s="1" t="s">
        <v>1695</v>
      </c>
      <c r="I386" s="6">
        <v>44802.558655000001</v>
      </c>
      <c r="J386" s="1">
        <f>393883393503</f>
        <v>393883393503</v>
      </c>
      <c r="K386" s="3">
        <v>0</v>
      </c>
      <c r="L386" s="5">
        <v>0</v>
      </c>
      <c r="M386" s="1">
        <v>7377333773</v>
      </c>
      <c r="N386" s="3">
        <v>167</v>
      </c>
      <c r="O386" s="3">
        <v>9</v>
      </c>
      <c r="P386" s="1" t="s">
        <v>33</v>
      </c>
      <c r="Q386" s="4" t="b">
        <v>0</v>
      </c>
      <c r="R386" s="4" t="b">
        <v>1</v>
      </c>
      <c r="S386" s="4" t="b">
        <v>1</v>
      </c>
      <c r="T386" s="3">
        <v>0</v>
      </c>
      <c r="U386" s="4" t="b">
        <v>0</v>
      </c>
      <c r="V386" s="7">
        <v>44867</v>
      </c>
      <c r="W386" s="7">
        <v>44855</v>
      </c>
    </row>
    <row r="387" spans="1:23" ht="14.4" x14ac:dyDescent="0.3">
      <c r="A387" s="3">
        <v>5030646</v>
      </c>
      <c r="B387" s="4" t="b">
        <v>1</v>
      </c>
      <c r="C387" s="1" t="s">
        <v>1696</v>
      </c>
      <c r="D387" s="1" t="s">
        <v>1697</v>
      </c>
      <c r="E387" s="5">
        <v>4722608</v>
      </c>
      <c r="F387" s="5">
        <v>8991138</v>
      </c>
      <c r="G387" s="1" t="s">
        <v>1698</v>
      </c>
      <c r="H387" s="1" t="s">
        <v>1699</v>
      </c>
      <c r="I387" s="6">
        <v>44804.388614675925</v>
      </c>
      <c r="J387" s="1">
        <f>53395935500</f>
        <v>53395935500</v>
      </c>
      <c r="K387" s="3">
        <v>0</v>
      </c>
      <c r="L387" s="5">
        <v>0</v>
      </c>
      <c r="M387" s="1"/>
      <c r="N387" s="3">
        <v>34</v>
      </c>
      <c r="O387" s="3">
        <v>1</v>
      </c>
      <c r="P387" s="1" t="s">
        <v>28</v>
      </c>
      <c r="Q387" s="4" t="b">
        <v>0</v>
      </c>
      <c r="R387" s="4" t="b">
        <v>0</v>
      </c>
      <c r="S387" s="4" t="b">
        <v>0</v>
      </c>
      <c r="T387" s="3">
        <v>0</v>
      </c>
      <c r="U387" s="4" t="b">
        <v>0</v>
      </c>
      <c r="V387" s="7">
        <v>44897</v>
      </c>
      <c r="W387" s="7">
        <v>44843</v>
      </c>
    </row>
    <row r="388" spans="1:23" ht="14.4" x14ac:dyDescent="0.3">
      <c r="A388" s="3">
        <v>5030655</v>
      </c>
      <c r="B388" s="4" t="b">
        <v>1</v>
      </c>
      <c r="C388" s="1" t="s">
        <v>1700</v>
      </c>
      <c r="D388" s="1" t="s">
        <v>1701</v>
      </c>
      <c r="E388" s="5">
        <v>4733677</v>
      </c>
      <c r="F388" s="5">
        <v>8525842</v>
      </c>
      <c r="G388" s="1" t="s">
        <v>1568</v>
      </c>
      <c r="H388" s="1" t="s">
        <v>1702</v>
      </c>
      <c r="I388" s="6">
        <v>44804.418965069446</v>
      </c>
      <c r="J388" s="1">
        <f>53393555985</f>
        <v>53393555985</v>
      </c>
      <c r="K388" s="3">
        <v>4</v>
      </c>
      <c r="L388" s="5">
        <v>5</v>
      </c>
      <c r="M388" s="1"/>
      <c r="N388" s="3">
        <v>23</v>
      </c>
      <c r="O388" s="3">
        <v>1</v>
      </c>
      <c r="P388" s="1" t="s">
        <v>33</v>
      </c>
      <c r="Q388" s="4" t="b">
        <v>0</v>
      </c>
      <c r="R388" s="4" t="b">
        <v>0</v>
      </c>
      <c r="S388" s="4" t="b">
        <v>0</v>
      </c>
      <c r="T388" s="3" t="s">
        <v>764</v>
      </c>
      <c r="U388" s="4" t="b">
        <v>0</v>
      </c>
      <c r="V388" s="7">
        <v>44837</v>
      </c>
      <c r="W388" s="8">
        <v>44865</v>
      </c>
    </row>
    <row r="389" spans="1:23" ht="14.4" x14ac:dyDescent="0.3">
      <c r="A389" s="3">
        <v>5030740</v>
      </c>
      <c r="B389" s="4" t="b">
        <v>1</v>
      </c>
      <c r="C389" s="1" t="s">
        <v>1709</v>
      </c>
      <c r="D389" s="1" t="s">
        <v>1710</v>
      </c>
      <c r="E389" s="5">
        <v>486094</v>
      </c>
      <c r="F389" s="5">
        <v>2305167</v>
      </c>
      <c r="G389" s="1" t="s">
        <v>1711</v>
      </c>
      <c r="H389" s="1" t="s">
        <v>1712</v>
      </c>
      <c r="I389" s="6">
        <v>44805.531390150463</v>
      </c>
      <c r="J389" s="1">
        <f>33995358038</f>
        <v>33995358038</v>
      </c>
      <c r="K389" s="3">
        <v>0</v>
      </c>
      <c r="L389" s="5">
        <v>0</v>
      </c>
      <c r="M389" s="1"/>
      <c r="N389" s="3">
        <v>5</v>
      </c>
      <c r="O389" s="3">
        <v>3</v>
      </c>
      <c r="P389" s="1" t="s">
        <v>28</v>
      </c>
      <c r="Q389" s="4" t="b">
        <v>0</v>
      </c>
      <c r="R389" s="4" t="b">
        <v>0</v>
      </c>
      <c r="S389" s="4" t="b">
        <v>0</v>
      </c>
      <c r="T389" s="3">
        <v>0</v>
      </c>
      <c r="U389" s="4" t="b">
        <v>0</v>
      </c>
      <c r="V389" s="7">
        <v>44903</v>
      </c>
      <c r="W389" s="8">
        <v>44880</v>
      </c>
    </row>
    <row r="390" spans="1:23" ht="14.4" x14ac:dyDescent="0.3">
      <c r="A390" s="3">
        <v>5030744</v>
      </c>
      <c r="B390" s="4" t="b">
        <v>1</v>
      </c>
      <c r="C390" s="1" t="s">
        <v>1721</v>
      </c>
      <c r="D390" s="1" t="s">
        <v>1722</v>
      </c>
      <c r="E390" s="5">
        <v>456827</v>
      </c>
      <c r="F390" s="5">
        <v>1194114</v>
      </c>
      <c r="G390" s="1" t="s">
        <v>1723</v>
      </c>
      <c r="H390" s="1" t="s">
        <v>1724</v>
      </c>
      <c r="I390" s="6">
        <v>44806.413272789352</v>
      </c>
      <c r="J390" s="1">
        <f>393383988858</f>
        <v>393383988858</v>
      </c>
      <c r="K390" s="3">
        <v>0</v>
      </c>
      <c r="L390" s="5">
        <v>0</v>
      </c>
      <c r="M390" s="1">
        <v>3337773337</v>
      </c>
      <c r="N390" s="3">
        <v>55</v>
      </c>
      <c r="O390" s="3">
        <v>2</v>
      </c>
      <c r="P390" s="1" t="s">
        <v>33</v>
      </c>
      <c r="Q390" s="4" t="b">
        <v>1</v>
      </c>
      <c r="R390" s="4" t="b">
        <v>0</v>
      </c>
      <c r="S390" s="4" t="b">
        <v>0</v>
      </c>
      <c r="T390" s="3">
        <v>0</v>
      </c>
      <c r="U390" s="4" t="b">
        <v>0</v>
      </c>
      <c r="V390" s="8">
        <v>44890</v>
      </c>
      <c r="W390" s="7">
        <v>44880</v>
      </c>
    </row>
    <row r="391" spans="1:23" ht="14.4" x14ac:dyDescent="0.3">
      <c r="A391" s="3">
        <v>5030756</v>
      </c>
      <c r="B391" s="4" t="b">
        <v>1</v>
      </c>
      <c r="C391" s="1" t="s">
        <v>1728</v>
      </c>
      <c r="D391" s="1" t="s">
        <v>1729</v>
      </c>
      <c r="E391" s="5">
        <v>4902795</v>
      </c>
      <c r="F391" s="5">
        <v>2222315</v>
      </c>
      <c r="G391" s="1" t="s">
        <v>1730</v>
      </c>
      <c r="H391" s="1" t="s">
        <v>1731</v>
      </c>
      <c r="I391" s="6">
        <v>44806.467132673613</v>
      </c>
      <c r="J391" s="1">
        <f>33989393838</f>
        <v>33989393838</v>
      </c>
      <c r="K391" s="3">
        <v>0</v>
      </c>
      <c r="L391" s="5">
        <v>0</v>
      </c>
      <c r="M391" s="1" t="s">
        <v>1732</v>
      </c>
      <c r="N391" s="3">
        <v>0</v>
      </c>
      <c r="O391" s="3">
        <v>1</v>
      </c>
      <c r="P391" s="1" t="s">
        <v>39</v>
      </c>
      <c r="Q391" s="4" t="b">
        <v>1</v>
      </c>
      <c r="R391" s="4" t="b">
        <v>0</v>
      </c>
      <c r="S391" s="4" t="b">
        <v>0</v>
      </c>
      <c r="T391" s="3">
        <v>0</v>
      </c>
      <c r="U391" s="4" t="b">
        <v>1</v>
      </c>
      <c r="V391" s="8">
        <v>44846</v>
      </c>
      <c r="W391" s="7">
        <v>44840</v>
      </c>
    </row>
    <row r="392" spans="1:23" ht="14.4" x14ac:dyDescent="0.3">
      <c r="A392" s="3">
        <v>5040504</v>
      </c>
      <c r="B392" s="4" t="b">
        <v>1</v>
      </c>
      <c r="C392" s="1" t="s">
        <v>1488</v>
      </c>
      <c r="D392" s="1" t="s">
        <v>1489</v>
      </c>
      <c r="E392" s="5">
        <v>463054</v>
      </c>
      <c r="F392" s="5">
        <v>1665326</v>
      </c>
      <c r="G392" s="1" t="s">
        <v>1490</v>
      </c>
      <c r="H392" s="1" t="s">
        <v>1491</v>
      </c>
      <c r="I392" s="6">
        <v>44739.59243837963</v>
      </c>
      <c r="J392" s="1">
        <f>33933333339</f>
        <v>33933333339</v>
      </c>
      <c r="K392" s="3">
        <v>0</v>
      </c>
      <c r="L392" s="5">
        <v>0</v>
      </c>
      <c r="M392" s="1" t="s">
        <v>1492</v>
      </c>
      <c r="N392" s="3">
        <v>62</v>
      </c>
      <c r="O392" s="3">
        <v>2</v>
      </c>
      <c r="P392" s="1" t="s">
        <v>39</v>
      </c>
      <c r="Q392" s="4" t="b">
        <v>0</v>
      </c>
      <c r="R392" s="4" t="b">
        <v>1</v>
      </c>
      <c r="S392" s="4" t="b">
        <v>0</v>
      </c>
      <c r="T392" s="3">
        <v>0</v>
      </c>
      <c r="U392" s="4" t="b">
        <v>1</v>
      </c>
      <c r="V392" s="8">
        <v>44889</v>
      </c>
      <c r="W392" s="8">
        <v>44860</v>
      </c>
    </row>
    <row r="393" spans="1:23" ht="14.4" x14ac:dyDescent="0.3">
      <c r="A393" s="3">
        <v>5043050</v>
      </c>
      <c r="B393" s="4" t="b">
        <v>1</v>
      </c>
      <c r="C393" s="1" t="s">
        <v>1526</v>
      </c>
      <c r="D393" s="1" t="s">
        <v>1527</v>
      </c>
      <c r="E393" s="5">
        <v>3794801</v>
      </c>
      <c r="F393" s="5">
        <v>2365378</v>
      </c>
      <c r="G393" s="1" t="s">
        <v>554</v>
      </c>
      <c r="H393" s="1" t="s">
        <v>1528</v>
      </c>
      <c r="I393" s="6">
        <v>44756.353015289351</v>
      </c>
      <c r="J393" s="1">
        <f>308333395805</f>
        <v>308333395805</v>
      </c>
      <c r="K393" s="3">
        <v>0</v>
      </c>
      <c r="L393" s="5">
        <v>0</v>
      </c>
      <c r="M393" s="1">
        <v>33377337</v>
      </c>
      <c r="N393" s="3">
        <v>336</v>
      </c>
      <c r="O393" s="3">
        <v>2</v>
      </c>
      <c r="P393" s="1" t="s">
        <v>28</v>
      </c>
      <c r="Q393" s="4" t="b">
        <v>0</v>
      </c>
      <c r="R393" s="4" t="b">
        <v>1</v>
      </c>
      <c r="S393" s="4" t="b">
        <v>0</v>
      </c>
      <c r="T393" s="3">
        <v>0</v>
      </c>
      <c r="U393" s="4" t="b">
        <v>0</v>
      </c>
      <c r="V393" s="7">
        <v>44902</v>
      </c>
      <c r="W393" s="7">
        <v>44901</v>
      </c>
    </row>
    <row r="394" spans="1:23" ht="14.4" x14ac:dyDescent="0.3">
      <c r="A394" s="3">
        <v>5044030</v>
      </c>
      <c r="B394" s="4" t="b">
        <v>1</v>
      </c>
      <c r="C394" s="1" t="s">
        <v>1516</v>
      </c>
      <c r="D394" s="1" t="s">
        <v>1517</v>
      </c>
      <c r="E394" s="5">
        <v>5235247</v>
      </c>
      <c r="F394" s="5">
        <v>4885339</v>
      </c>
      <c r="G394" s="1" t="s">
        <v>1518</v>
      </c>
      <c r="H394" s="1" t="s">
        <v>1519</v>
      </c>
      <c r="I394" s="6">
        <v>44753.314119699076</v>
      </c>
      <c r="J394" s="1">
        <f>33985095305</f>
        <v>33985095305</v>
      </c>
      <c r="K394" s="3">
        <v>15</v>
      </c>
      <c r="L394" s="5">
        <v>4933333</v>
      </c>
      <c r="M394" s="1" t="s">
        <v>1520</v>
      </c>
      <c r="N394" s="3">
        <v>126</v>
      </c>
      <c r="O394" s="3">
        <v>1</v>
      </c>
      <c r="P394" s="1" t="s">
        <v>33</v>
      </c>
      <c r="Q394" s="4" t="b">
        <v>0</v>
      </c>
      <c r="R394" s="4" t="b">
        <v>1</v>
      </c>
      <c r="S394" s="4" t="b">
        <v>0</v>
      </c>
      <c r="T394" s="3" t="s">
        <v>1521</v>
      </c>
      <c r="U394" s="4" t="b">
        <v>0</v>
      </c>
      <c r="V394" s="7">
        <v>44828</v>
      </c>
      <c r="W394" s="8">
        <v>44859</v>
      </c>
    </row>
    <row r="395" spans="1:23" ht="14.4" x14ac:dyDescent="0.3">
      <c r="A395" s="3">
        <v>5044450</v>
      </c>
      <c r="B395" s="4" t="b">
        <v>1</v>
      </c>
      <c r="C395" s="1" t="s">
        <v>253</v>
      </c>
      <c r="D395" s="1" t="s">
        <v>254</v>
      </c>
      <c r="E395" s="5">
        <v>5247468</v>
      </c>
      <c r="F395" s="5">
        <v>1345374</v>
      </c>
      <c r="G395" s="1" t="s">
        <v>1524</v>
      </c>
      <c r="H395" s="1" t="s">
        <v>1525</v>
      </c>
      <c r="I395" s="6">
        <v>44755.312540081017</v>
      </c>
      <c r="J395" s="1">
        <f>5933993883595</f>
        <v>5933993883595</v>
      </c>
      <c r="K395" s="3">
        <v>0</v>
      </c>
      <c r="L395" s="5">
        <v>0</v>
      </c>
      <c r="M395" s="1"/>
      <c r="N395" s="3">
        <v>15</v>
      </c>
      <c r="O395" s="3">
        <v>3</v>
      </c>
      <c r="P395" s="1" t="s">
        <v>28</v>
      </c>
      <c r="Q395" s="4" t="b">
        <v>0</v>
      </c>
      <c r="R395" s="4" t="b">
        <v>0</v>
      </c>
      <c r="S395" s="4" t="b">
        <v>0</v>
      </c>
      <c r="T395" s="3">
        <v>0</v>
      </c>
      <c r="U395" s="4" t="b">
        <v>0</v>
      </c>
      <c r="V395" s="7">
        <v>44898</v>
      </c>
      <c r="W395" s="7">
        <v>44821</v>
      </c>
    </row>
    <row r="396" spans="1:23" ht="14.4" x14ac:dyDescent="0.3">
      <c r="A396" s="3">
        <v>5044450</v>
      </c>
      <c r="B396" s="4" t="b">
        <v>1</v>
      </c>
      <c r="C396" s="1" t="s">
        <v>1551</v>
      </c>
      <c r="D396" s="1" t="s">
        <v>1552</v>
      </c>
      <c r="E396" s="5">
        <v>3796519</v>
      </c>
      <c r="F396" s="5">
        <v>2356469</v>
      </c>
      <c r="G396" s="1" t="s">
        <v>1553</v>
      </c>
      <c r="H396" s="1" t="s">
        <v>1554</v>
      </c>
      <c r="I396" s="6">
        <v>44768.295912210648</v>
      </c>
      <c r="J396" s="1">
        <f>308305088850</f>
        <v>308305088850</v>
      </c>
      <c r="K396" s="3">
        <v>0</v>
      </c>
      <c r="L396" s="5">
        <v>0</v>
      </c>
      <c r="M396" s="1">
        <v>7733336</v>
      </c>
      <c r="N396" s="3">
        <v>427</v>
      </c>
      <c r="O396" s="3">
        <v>3</v>
      </c>
      <c r="P396" s="1" t="s">
        <v>33</v>
      </c>
      <c r="Q396" s="4" t="b">
        <v>0</v>
      </c>
      <c r="R396" s="4" t="b">
        <v>1</v>
      </c>
      <c r="S396" s="4" t="b">
        <v>0</v>
      </c>
      <c r="T396" s="3">
        <v>0</v>
      </c>
      <c r="U396" s="4" t="b">
        <v>0</v>
      </c>
      <c r="V396" s="7">
        <v>44805</v>
      </c>
      <c r="W396" s="8">
        <v>44879</v>
      </c>
    </row>
    <row r="397" spans="1:23" ht="14.4" x14ac:dyDescent="0.3">
      <c r="A397" s="3">
        <v>5044506</v>
      </c>
      <c r="B397" s="4" t="b">
        <v>1</v>
      </c>
      <c r="C397" s="1" t="s">
        <v>1548</v>
      </c>
      <c r="D397" s="1" t="s">
        <v>1549</v>
      </c>
      <c r="E397" s="5">
        <v>4190801</v>
      </c>
      <c r="F397" s="5">
        <v>1244476</v>
      </c>
      <c r="G397" s="1" t="s">
        <v>25</v>
      </c>
      <c r="H397" s="1" t="s">
        <v>1550</v>
      </c>
      <c r="I397" s="6">
        <v>44767.640600810184</v>
      </c>
      <c r="J397" s="1">
        <f>393385580893</f>
        <v>393385580893</v>
      </c>
      <c r="K397" s="3">
        <v>0</v>
      </c>
      <c r="L397" s="5">
        <v>0</v>
      </c>
      <c r="M397" s="1">
        <v>3373333337</v>
      </c>
      <c r="N397" s="3">
        <v>8</v>
      </c>
      <c r="O397" s="3">
        <v>1</v>
      </c>
      <c r="P397" s="1" t="s">
        <v>33</v>
      </c>
      <c r="Q397" s="4" t="b">
        <v>1</v>
      </c>
      <c r="R397" s="4" t="b">
        <v>0</v>
      </c>
      <c r="S397" s="4" t="b">
        <v>0</v>
      </c>
      <c r="T397" s="3">
        <v>0</v>
      </c>
      <c r="U397" s="4" t="b">
        <v>0</v>
      </c>
      <c r="V397" s="8">
        <v>44886</v>
      </c>
      <c r="W397" s="8">
        <v>44853</v>
      </c>
    </row>
    <row r="398" spans="1:23" ht="14.4" x14ac:dyDescent="0.3">
      <c r="A398" s="3">
        <v>5045046</v>
      </c>
      <c r="B398" s="4" t="b">
        <v>1</v>
      </c>
      <c r="C398" s="1" t="s">
        <v>1508</v>
      </c>
      <c r="D398" s="1" t="s">
        <v>1509</v>
      </c>
      <c r="E398" s="5">
        <v>3671331</v>
      </c>
      <c r="F398" s="5">
        <v>-44386</v>
      </c>
      <c r="G398" s="1" t="s">
        <v>1413</v>
      </c>
      <c r="H398" s="1" t="s">
        <v>1510</v>
      </c>
      <c r="I398" s="6">
        <v>44748.570978819444</v>
      </c>
      <c r="J398" s="1">
        <f>35938058095</f>
        <v>35938058095</v>
      </c>
      <c r="K398" s="3">
        <v>5</v>
      </c>
      <c r="L398" s="5">
        <v>5</v>
      </c>
      <c r="M398" s="1" t="s">
        <v>1511</v>
      </c>
      <c r="N398" s="3">
        <v>133</v>
      </c>
      <c r="O398" s="3">
        <v>1</v>
      </c>
      <c r="P398" s="1" t="s">
        <v>28</v>
      </c>
      <c r="Q398" s="4" t="b">
        <v>0</v>
      </c>
      <c r="R398" s="4" t="b">
        <v>1</v>
      </c>
      <c r="S398" s="4" t="b">
        <v>0</v>
      </c>
      <c r="T398" s="3" t="s">
        <v>1010</v>
      </c>
      <c r="U398" s="4" t="b">
        <v>0</v>
      </c>
      <c r="V398" s="7">
        <v>44822</v>
      </c>
      <c r="W398" s="7">
        <v>44839</v>
      </c>
    </row>
    <row r="399" spans="1:23" ht="14.4" x14ac:dyDescent="0.3">
      <c r="A399" s="3">
        <v>5045070</v>
      </c>
      <c r="B399" s="4" t="b">
        <v>1</v>
      </c>
      <c r="C399" s="1" t="s">
        <v>1512</v>
      </c>
      <c r="D399" s="1" t="s">
        <v>1513</v>
      </c>
      <c r="E399" s="5">
        <v>4891023</v>
      </c>
      <c r="F399" s="5">
        <v>2256057</v>
      </c>
      <c r="G399" s="1" t="s">
        <v>1514</v>
      </c>
      <c r="H399" s="1" t="s">
        <v>1515</v>
      </c>
      <c r="I399" s="6">
        <v>44749.497344467592</v>
      </c>
      <c r="J399" s="1">
        <f>33359835835</f>
        <v>33359835835</v>
      </c>
      <c r="K399" s="3">
        <v>4</v>
      </c>
      <c r="L399" s="5">
        <v>5</v>
      </c>
      <c r="M399" s="1">
        <v>733333773</v>
      </c>
      <c r="N399" s="3">
        <v>45</v>
      </c>
      <c r="O399" s="3">
        <v>1</v>
      </c>
      <c r="P399" s="1" t="s">
        <v>28</v>
      </c>
      <c r="Q399" s="4" t="b">
        <v>0</v>
      </c>
      <c r="R399" s="4" t="b">
        <v>0</v>
      </c>
      <c r="S399" s="4" t="b">
        <v>0</v>
      </c>
      <c r="T399" s="3" t="s">
        <v>764</v>
      </c>
      <c r="U399" s="4" t="b">
        <v>1</v>
      </c>
      <c r="V399" s="8">
        <v>44890</v>
      </c>
      <c r="W399" s="7">
        <v>44816</v>
      </c>
    </row>
    <row r="400" spans="1:23" ht="14.4" x14ac:dyDescent="0.3">
      <c r="A400" s="3">
        <v>5045304</v>
      </c>
      <c r="B400" s="4" t="b">
        <v>0</v>
      </c>
      <c r="C400" s="1" t="s">
        <v>1570</v>
      </c>
      <c r="D400" s="1" t="s">
        <v>1571</v>
      </c>
      <c r="E400" s="5">
        <v>51533</v>
      </c>
      <c r="F400" s="5">
        <v>-11959</v>
      </c>
      <c r="G400" s="1" t="s">
        <v>1367</v>
      </c>
      <c r="H400" s="1" t="s">
        <v>1572</v>
      </c>
      <c r="I400" s="6">
        <v>44771.337257326391</v>
      </c>
      <c r="J400" s="1">
        <f>553583958803</f>
        <v>553583958803</v>
      </c>
      <c r="K400" s="3">
        <v>0</v>
      </c>
      <c r="L400" s="5">
        <v>0</v>
      </c>
      <c r="M400" s="1"/>
      <c r="N400" s="3">
        <v>3499</v>
      </c>
      <c r="O400" s="3">
        <v>4</v>
      </c>
      <c r="P400" s="1" t="s">
        <v>28</v>
      </c>
      <c r="Q400" s="4" t="b">
        <v>0</v>
      </c>
      <c r="R400" s="4" t="b">
        <v>0</v>
      </c>
      <c r="S400" s="4" t="b">
        <v>0</v>
      </c>
      <c r="T400" s="3">
        <v>0</v>
      </c>
      <c r="U400" s="4" t="b">
        <v>0</v>
      </c>
      <c r="V400" s="8">
        <v>44844</v>
      </c>
      <c r="W400" s="7">
        <v>44840</v>
      </c>
    </row>
    <row r="401" spans="1:23" ht="14.4" x14ac:dyDescent="0.3">
      <c r="A401" s="3">
        <v>5045307</v>
      </c>
      <c r="B401" s="4" t="b">
        <v>1</v>
      </c>
      <c r="C401" s="1" t="s">
        <v>1502</v>
      </c>
      <c r="D401" s="1" t="s">
        <v>1503</v>
      </c>
      <c r="E401" s="5">
        <v>3733677</v>
      </c>
      <c r="F401" s="5">
        <v>-613741</v>
      </c>
      <c r="G401" s="1" t="s">
        <v>1504</v>
      </c>
      <c r="H401" s="1" t="s">
        <v>1505</v>
      </c>
      <c r="I401" s="6">
        <v>44746.456715474538</v>
      </c>
      <c r="J401" s="1">
        <f>35955338933</f>
        <v>35955338933</v>
      </c>
      <c r="K401" s="3">
        <v>22</v>
      </c>
      <c r="L401" s="5">
        <v>4909091</v>
      </c>
      <c r="M401" s="1" t="s">
        <v>1506</v>
      </c>
      <c r="N401" s="3">
        <v>1071</v>
      </c>
      <c r="O401" s="3">
        <v>3</v>
      </c>
      <c r="P401" s="1" t="s">
        <v>33</v>
      </c>
      <c r="Q401" s="4" t="b">
        <v>0</v>
      </c>
      <c r="R401" s="4" t="b">
        <v>1</v>
      </c>
      <c r="S401" s="4" t="b">
        <v>0</v>
      </c>
      <c r="T401" s="3" t="s">
        <v>1507</v>
      </c>
      <c r="U401" s="4" t="b">
        <v>0</v>
      </c>
      <c r="V401" s="7">
        <v>44853</v>
      </c>
      <c r="W401" s="7">
        <v>44816</v>
      </c>
    </row>
    <row r="402" spans="1:23" ht="14.4" x14ac:dyDescent="0.3">
      <c r="A402" s="3">
        <v>5045530</v>
      </c>
      <c r="B402" s="4" t="b">
        <v>1</v>
      </c>
      <c r="C402" s="1" t="s">
        <v>1577</v>
      </c>
      <c r="D402" s="1" t="s">
        <v>1578</v>
      </c>
      <c r="E402" s="5">
        <v>3835286</v>
      </c>
      <c r="F402" s="5">
        <v>1608217</v>
      </c>
      <c r="G402" s="1" t="s">
        <v>1579</v>
      </c>
      <c r="H402" s="1" t="s">
        <v>1580</v>
      </c>
      <c r="I402" s="6">
        <v>44771.546692511576</v>
      </c>
      <c r="J402" s="6"/>
      <c r="K402" s="3">
        <v>0</v>
      </c>
      <c r="L402" s="5">
        <v>0</v>
      </c>
      <c r="M402" s="1">
        <v>733333337</v>
      </c>
      <c r="N402" s="3">
        <v>142</v>
      </c>
      <c r="O402" s="3">
        <v>4</v>
      </c>
      <c r="P402" s="1" t="s">
        <v>33</v>
      </c>
      <c r="Q402" s="4" t="b">
        <v>0</v>
      </c>
      <c r="R402" s="4" t="b">
        <v>1</v>
      </c>
      <c r="S402" s="4" t="b">
        <v>0</v>
      </c>
      <c r="T402" s="3">
        <v>0</v>
      </c>
      <c r="U402" s="4" t="b">
        <v>1</v>
      </c>
      <c r="V402" s="7">
        <v>44818</v>
      </c>
      <c r="W402" s="8">
        <v>44855</v>
      </c>
    </row>
    <row r="403" spans="1:23" ht="14.4" x14ac:dyDescent="0.3">
      <c r="A403" s="3">
        <v>5046501</v>
      </c>
      <c r="B403" s="4" t="b">
        <v>1</v>
      </c>
      <c r="C403" s="1" t="s">
        <v>1529</v>
      </c>
      <c r="D403" s="1" t="s">
        <v>1530</v>
      </c>
      <c r="E403" s="5">
        <v>4411208</v>
      </c>
      <c r="F403" s="5">
        <v>9963475</v>
      </c>
      <c r="G403" s="1" t="s">
        <v>1531</v>
      </c>
      <c r="H403" s="1" t="s">
        <v>1532</v>
      </c>
      <c r="I403" s="6">
        <v>44760.580115439814</v>
      </c>
      <c r="J403" s="1">
        <f>390383903383</f>
        <v>390383903383</v>
      </c>
      <c r="K403" s="3">
        <v>0</v>
      </c>
      <c r="L403" s="5">
        <v>0</v>
      </c>
      <c r="M403" s="1">
        <v>337733333</v>
      </c>
      <c r="N403" s="3">
        <v>1345</v>
      </c>
      <c r="O403" s="3">
        <v>2</v>
      </c>
      <c r="P403" s="1" t="s">
        <v>28</v>
      </c>
      <c r="Q403" s="4" t="b">
        <v>1</v>
      </c>
      <c r="R403" s="4" t="b">
        <v>0</v>
      </c>
      <c r="S403" s="4" t="b">
        <v>0</v>
      </c>
      <c r="T403" s="3">
        <v>0</v>
      </c>
      <c r="U403" s="4" t="b">
        <v>0</v>
      </c>
      <c r="V403" s="8">
        <v>44876</v>
      </c>
      <c r="W403" s="7">
        <v>44898</v>
      </c>
    </row>
    <row r="404" spans="1:23" ht="14.4" x14ac:dyDescent="0.3">
      <c r="A404" s="3">
        <v>5047301</v>
      </c>
      <c r="B404" s="4" t="b">
        <v>1</v>
      </c>
      <c r="C404" s="1" t="s">
        <v>1542</v>
      </c>
      <c r="D404" s="1" t="s">
        <v>1543</v>
      </c>
      <c r="E404" s="5">
        <v>4546955</v>
      </c>
      <c r="F404" s="5">
        <v>9235215</v>
      </c>
      <c r="G404" s="1" t="s">
        <v>37</v>
      </c>
      <c r="H404" s="1" t="s">
        <v>1544</v>
      </c>
      <c r="I404" s="6">
        <v>44763.476963530091</v>
      </c>
      <c r="J404" s="1">
        <f>390855593935</f>
        <v>390855593935</v>
      </c>
      <c r="K404" s="3">
        <v>0</v>
      </c>
      <c r="L404" s="5">
        <v>0</v>
      </c>
      <c r="M404" s="1">
        <v>73373763</v>
      </c>
      <c r="N404" s="3">
        <v>5</v>
      </c>
      <c r="O404" s="3">
        <v>1</v>
      </c>
      <c r="P404" s="1" t="s">
        <v>28</v>
      </c>
      <c r="Q404" s="4" t="b">
        <v>0</v>
      </c>
      <c r="R404" s="4" t="b">
        <v>1</v>
      </c>
      <c r="S404" s="4" t="b">
        <v>0</v>
      </c>
      <c r="T404" s="3">
        <v>0</v>
      </c>
      <c r="U404" s="4" t="b">
        <v>0</v>
      </c>
      <c r="V404" s="8">
        <v>44865</v>
      </c>
      <c r="W404" s="8">
        <v>44884</v>
      </c>
    </row>
    <row r="405" spans="1:23" ht="14.4" x14ac:dyDescent="0.3">
      <c r="A405" s="3">
        <v>5047430</v>
      </c>
      <c r="B405" s="4" t="b">
        <v>1</v>
      </c>
      <c r="C405" s="1" t="s">
        <v>1538</v>
      </c>
      <c r="D405" s="1" t="s">
        <v>1539</v>
      </c>
      <c r="E405" s="5">
        <v>4098691</v>
      </c>
      <c r="F405" s="5">
        <v>1417078</v>
      </c>
      <c r="G405" s="1" t="s">
        <v>1540</v>
      </c>
      <c r="H405" s="1" t="s">
        <v>1541</v>
      </c>
      <c r="I405" s="6">
        <v>44763.446742210646</v>
      </c>
      <c r="J405" s="1">
        <f>393983985938</f>
        <v>393983985938</v>
      </c>
      <c r="K405" s="3">
        <v>0</v>
      </c>
      <c r="L405" s="5">
        <v>0</v>
      </c>
      <c r="M405" s="1">
        <v>7337733633</v>
      </c>
      <c r="N405" s="3">
        <v>115</v>
      </c>
      <c r="O405" s="3">
        <v>3</v>
      </c>
      <c r="P405" s="1" t="s">
        <v>33</v>
      </c>
      <c r="Q405" s="4" t="b">
        <v>1</v>
      </c>
      <c r="R405" s="4" t="b">
        <v>0</v>
      </c>
      <c r="S405" s="4" t="b">
        <v>0</v>
      </c>
      <c r="T405" s="3">
        <v>0</v>
      </c>
      <c r="U405" s="4" t="b">
        <v>0</v>
      </c>
      <c r="V405" s="8">
        <v>44850</v>
      </c>
      <c r="W405" s="8">
        <v>44863</v>
      </c>
    </row>
    <row r="406" spans="1:23" ht="14.4" x14ac:dyDescent="0.3">
      <c r="A406" s="3">
        <v>5050077</v>
      </c>
      <c r="B406" s="4" t="b">
        <v>1</v>
      </c>
      <c r="C406" s="1" t="s">
        <v>1397</v>
      </c>
      <c r="D406" s="1" t="s">
        <v>1398</v>
      </c>
      <c r="E406" s="5">
        <v>3901075</v>
      </c>
      <c r="F406" s="5">
        <v>9002267</v>
      </c>
      <c r="G406" s="1" t="s">
        <v>1399</v>
      </c>
      <c r="H406" s="1" t="s">
        <v>1400</v>
      </c>
      <c r="I406" s="6">
        <v>44706.511669189815</v>
      </c>
      <c r="J406" s="1">
        <f>393539333039</f>
        <v>393539333039</v>
      </c>
      <c r="K406" s="3">
        <v>0</v>
      </c>
      <c r="L406" s="5">
        <v>0</v>
      </c>
      <c r="M406" s="1">
        <v>7363333737</v>
      </c>
      <c r="N406" s="3">
        <v>2488</v>
      </c>
      <c r="O406" s="3">
        <v>10</v>
      </c>
      <c r="P406" s="1" t="s">
        <v>39</v>
      </c>
      <c r="Q406" s="4" t="b">
        <v>0</v>
      </c>
      <c r="R406" s="4" t="b">
        <v>0</v>
      </c>
      <c r="S406" s="4" t="b">
        <v>0</v>
      </c>
      <c r="T406" s="3">
        <v>0</v>
      </c>
      <c r="U406" s="4" t="b">
        <v>0</v>
      </c>
      <c r="V406" s="7">
        <v>44842</v>
      </c>
      <c r="W406" s="7">
        <v>44822</v>
      </c>
    </row>
    <row r="407" spans="1:23" ht="14.4" x14ac:dyDescent="0.3">
      <c r="A407" s="3">
        <v>5050145</v>
      </c>
      <c r="B407" s="4" t="b">
        <v>1</v>
      </c>
      <c r="C407" s="1" t="s">
        <v>1406</v>
      </c>
      <c r="D407" s="1" t="s">
        <v>1407</v>
      </c>
      <c r="E407" s="5">
        <v>3914681</v>
      </c>
      <c r="F407" s="5">
        <v>-42889</v>
      </c>
      <c r="G407" s="1" t="s">
        <v>1408</v>
      </c>
      <c r="H407" s="1" t="s">
        <v>1409</v>
      </c>
      <c r="I407" s="6">
        <v>44711.266431296295</v>
      </c>
      <c r="J407" s="1">
        <f>35933580093</f>
        <v>35933580093</v>
      </c>
      <c r="K407" s="3">
        <v>4</v>
      </c>
      <c r="L407" s="5">
        <v>5</v>
      </c>
      <c r="M407" s="1" t="s">
        <v>1410</v>
      </c>
      <c r="N407" s="3">
        <v>224</v>
      </c>
      <c r="O407" s="3">
        <v>3</v>
      </c>
      <c r="P407" s="1" t="s">
        <v>28</v>
      </c>
      <c r="Q407" s="4" t="b">
        <v>0</v>
      </c>
      <c r="R407" s="4" t="b">
        <v>1</v>
      </c>
      <c r="S407" s="4" t="b">
        <v>0</v>
      </c>
      <c r="T407" s="3" t="s">
        <v>611</v>
      </c>
      <c r="U407" s="4" t="b">
        <v>0</v>
      </c>
      <c r="V407" s="7">
        <v>44831</v>
      </c>
      <c r="W407" s="7">
        <v>44829</v>
      </c>
    </row>
    <row r="408" spans="1:23" ht="14.4" x14ac:dyDescent="0.3">
      <c r="A408" s="3">
        <v>5050446</v>
      </c>
      <c r="B408" s="4" t="b">
        <v>1</v>
      </c>
      <c r="C408" s="1" t="s">
        <v>1466</v>
      </c>
      <c r="D408" s="1" t="s">
        <v>1467</v>
      </c>
      <c r="E408" s="5">
        <v>4891115</v>
      </c>
      <c r="F408" s="5">
        <v>2537011</v>
      </c>
      <c r="G408" s="1" t="s">
        <v>1468</v>
      </c>
      <c r="H408" s="1" t="s">
        <v>1469</v>
      </c>
      <c r="I408" s="6">
        <v>44734.316370393521</v>
      </c>
      <c r="J408" s="1">
        <f>33358833883</f>
        <v>33358833883</v>
      </c>
      <c r="K408" s="3">
        <v>9</v>
      </c>
      <c r="L408" s="5">
        <v>5</v>
      </c>
      <c r="M408" s="1" t="s">
        <v>1470</v>
      </c>
      <c r="N408" s="3">
        <v>114</v>
      </c>
      <c r="O408" s="3">
        <v>1</v>
      </c>
      <c r="P408" s="1" t="s">
        <v>39</v>
      </c>
      <c r="Q408" s="4" t="b">
        <v>0</v>
      </c>
      <c r="R408" s="4" t="b">
        <v>1</v>
      </c>
      <c r="S408" s="4" t="b">
        <v>0</v>
      </c>
      <c r="T408" s="3" t="s">
        <v>213</v>
      </c>
      <c r="U408" s="4" t="b">
        <v>0</v>
      </c>
      <c r="V408" s="7">
        <v>44826</v>
      </c>
      <c r="W408" s="7">
        <v>44810</v>
      </c>
    </row>
    <row r="409" spans="1:23" ht="14.4" x14ac:dyDescent="0.3">
      <c r="A409" s="3">
        <v>5050506</v>
      </c>
      <c r="B409" s="4" t="b">
        <v>1</v>
      </c>
      <c r="C409" s="1" t="s">
        <v>1478</v>
      </c>
      <c r="D409" s="1" t="s">
        <v>1479</v>
      </c>
      <c r="E409" s="5">
        <v>3935975</v>
      </c>
      <c r="F409" s="5">
        <v>9006526</v>
      </c>
      <c r="G409" s="1" t="s">
        <v>1480</v>
      </c>
      <c r="H409" s="1" t="s">
        <v>1481</v>
      </c>
      <c r="I409" s="6">
        <v>44735.319034097221</v>
      </c>
      <c r="J409" s="1">
        <f>390309900853</f>
        <v>390309900853</v>
      </c>
      <c r="K409" s="3">
        <v>0</v>
      </c>
      <c r="L409" s="5">
        <v>0</v>
      </c>
      <c r="M409" s="1">
        <v>363333736</v>
      </c>
      <c r="N409" s="3">
        <v>786</v>
      </c>
      <c r="O409" s="3">
        <v>3</v>
      </c>
      <c r="P409" s="1" t="s">
        <v>39</v>
      </c>
      <c r="Q409" s="4" t="b">
        <v>0</v>
      </c>
      <c r="R409" s="4" t="b">
        <v>0</v>
      </c>
      <c r="S409" s="4" t="b">
        <v>0</v>
      </c>
      <c r="T409" s="3">
        <v>0</v>
      </c>
      <c r="U409" s="4" t="b">
        <v>0</v>
      </c>
      <c r="V409" s="8">
        <v>44858</v>
      </c>
      <c r="W409" s="7">
        <v>44868</v>
      </c>
    </row>
    <row r="410" spans="1:23" ht="14.4" x14ac:dyDescent="0.3">
      <c r="A410" s="3">
        <v>5050511</v>
      </c>
      <c r="B410" s="4" t="b">
        <v>1</v>
      </c>
      <c r="C410" s="1" t="s">
        <v>1482</v>
      </c>
      <c r="D410" s="1" t="s">
        <v>1483</v>
      </c>
      <c r="E410" s="5">
        <v>4168905</v>
      </c>
      <c r="F410" s="5">
        <v>24908</v>
      </c>
      <c r="G410" s="1" t="s">
        <v>1484</v>
      </c>
      <c r="H410" s="1" t="s">
        <v>1485</v>
      </c>
      <c r="I410" s="6">
        <v>44735.362813020831</v>
      </c>
      <c r="J410" s="1">
        <f>35938835858</f>
        <v>35938835858</v>
      </c>
      <c r="K410" s="3">
        <v>2</v>
      </c>
      <c r="L410" s="5">
        <v>3</v>
      </c>
      <c r="M410" s="1" t="s">
        <v>1486</v>
      </c>
      <c r="N410" s="3">
        <v>270</v>
      </c>
      <c r="O410" s="3">
        <v>2</v>
      </c>
      <c r="P410" s="1" t="s">
        <v>28</v>
      </c>
      <c r="Q410" s="4" t="b">
        <v>0</v>
      </c>
      <c r="R410" s="4" t="b">
        <v>1</v>
      </c>
      <c r="S410" s="4" t="b">
        <v>0</v>
      </c>
      <c r="T410" s="3" t="s">
        <v>1487</v>
      </c>
      <c r="U410" s="4" t="b">
        <v>0</v>
      </c>
      <c r="V410" s="8">
        <v>44858</v>
      </c>
      <c r="W410" s="7">
        <v>44828</v>
      </c>
    </row>
    <row r="411" spans="1:23" ht="14.4" x14ac:dyDescent="0.3">
      <c r="A411" s="3">
        <v>5050664</v>
      </c>
      <c r="B411" s="4" t="b">
        <v>0</v>
      </c>
      <c r="C411" s="1" t="s">
        <v>1451</v>
      </c>
      <c r="D411" s="1" t="s">
        <v>1452</v>
      </c>
      <c r="E411" s="5">
        <v>5150596</v>
      </c>
      <c r="F411" s="5">
        <v>-14745</v>
      </c>
      <c r="G411" s="1" t="s">
        <v>1367</v>
      </c>
      <c r="H411" s="1" t="s">
        <v>1453</v>
      </c>
      <c r="I411" s="6">
        <v>44728.437847604167</v>
      </c>
      <c r="J411" s="1">
        <f>553888358888</f>
        <v>553888358888</v>
      </c>
      <c r="K411" s="3">
        <v>1</v>
      </c>
      <c r="L411" s="5">
        <v>5</v>
      </c>
      <c r="M411" s="1"/>
      <c r="N411" s="3">
        <v>46</v>
      </c>
      <c r="O411" s="3">
        <v>2</v>
      </c>
      <c r="P411" s="1" t="s">
        <v>39</v>
      </c>
      <c r="Q411" s="4" t="b">
        <v>0</v>
      </c>
      <c r="R411" s="4" t="b">
        <v>1</v>
      </c>
      <c r="S411" s="4" t="b">
        <v>0</v>
      </c>
      <c r="T411" s="3" t="s">
        <v>192</v>
      </c>
      <c r="U411" s="4" t="b">
        <v>0</v>
      </c>
      <c r="V411" s="8">
        <v>44885</v>
      </c>
      <c r="W411" s="8">
        <v>44861</v>
      </c>
    </row>
    <row r="412" spans="1:23" ht="14.4" x14ac:dyDescent="0.3">
      <c r="A412" s="3">
        <v>5050740</v>
      </c>
      <c r="B412" s="4" t="b">
        <v>1</v>
      </c>
      <c r="C412" s="1" t="s">
        <v>1459</v>
      </c>
      <c r="D412" s="1" t="s">
        <v>1460</v>
      </c>
      <c r="E412" s="5">
        <v>4062235</v>
      </c>
      <c r="F412" s="5">
        <v>224436</v>
      </c>
      <c r="G412" s="1" t="s">
        <v>1461</v>
      </c>
      <c r="H412" s="1" t="s">
        <v>1462</v>
      </c>
      <c r="I412" s="6">
        <v>44732.575447002317</v>
      </c>
      <c r="J412" s="1">
        <f>308333305308</f>
        <v>308333305308</v>
      </c>
      <c r="K412" s="3">
        <v>0</v>
      </c>
      <c r="L412" s="5">
        <v>0</v>
      </c>
      <c r="M412" s="1">
        <v>7733763</v>
      </c>
      <c r="N412" s="3">
        <v>629</v>
      </c>
      <c r="O412" s="3">
        <v>2</v>
      </c>
      <c r="P412" s="1" t="s">
        <v>33</v>
      </c>
      <c r="Q412" s="4" t="b">
        <v>0</v>
      </c>
      <c r="R412" s="4" t="b">
        <v>1</v>
      </c>
      <c r="S412" s="4" t="b">
        <v>0</v>
      </c>
      <c r="T412" s="3">
        <v>0</v>
      </c>
      <c r="U412" s="4" t="b">
        <v>0</v>
      </c>
      <c r="V412" s="8">
        <v>44890</v>
      </c>
      <c r="W412" s="8">
        <v>44846</v>
      </c>
    </row>
    <row r="413" spans="1:23" ht="14.4" x14ac:dyDescent="0.3">
      <c r="A413" s="3">
        <v>5050745</v>
      </c>
      <c r="B413" s="4" t="b">
        <v>1</v>
      </c>
      <c r="C413" s="1" t="s">
        <v>1454</v>
      </c>
      <c r="D413" s="1" t="s">
        <v>1455</v>
      </c>
      <c r="E413" s="5">
        <v>4884581</v>
      </c>
      <c r="F413" s="5">
        <v>2402776</v>
      </c>
      <c r="G413" s="1" t="s">
        <v>365</v>
      </c>
      <c r="H413" s="1" t="s">
        <v>1456</v>
      </c>
      <c r="I413" s="6">
        <v>44732.330227708335</v>
      </c>
      <c r="J413" s="1">
        <f>33988383833</f>
        <v>33988383833</v>
      </c>
      <c r="K413" s="3">
        <v>12</v>
      </c>
      <c r="L413" s="5">
        <v>4083333</v>
      </c>
      <c r="M413" s="1" t="s">
        <v>1457</v>
      </c>
      <c r="N413" s="3">
        <v>124</v>
      </c>
      <c r="O413" s="3">
        <v>1</v>
      </c>
      <c r="P413" s="1" t="s">
        <v>33</v>
      </c>
      <c r="Q413" s="4" t="b">
        <v>0</v>
      </c>
      <c r="R413" s="4" t="b">
        <v>1</v>
      </c>
      <c r="S413" s="4" t="b">
        <v>0</v>
      </c>
      <c r="T413" s="3" t="s">
        <v>1458</v>
      </c>
      <c r="U413" s="4" t="b">
        <v>0</v>
      </c>
      <c r="V413" s="7">
        <v>44810</v>
      </c>
      <c r="W413" s="7">
        <v>44823</v>
      </c>
    </row>
    <row r="414" spans="1:23" ht="14.4" x14ac:dyDescent="0.3">
      <c r="A414" s="3">
        <v>5053010</v>
      </c>
      <c r="B414" s="4" t="b">
        <v>1</v>
      </c>
      <c r="C414" s="1" t="s">
        <v>1365</v>
      </c>
      <c r="D414" s="1" t="s">
        <v>1366</v>
      </c>
      <c r="E414" s="5">
        <v>5151726</v>
      </c>
      <c r="F414" s="5">
        <v>-8097</v>
      </c>
      <c r="G414" s="1" t="s">
        <v>1367</v>
      </c>
      <c r="H414" s="1" t="s">
        <v>1368</v>
      </c>
      <c r="I414" s="6">
        <v>44691.42441846065</v>
      </c>
      <c r="J414" s="1">
        <f>553589085355</f>
        <v>553589085355</v>
      </c>
      <c r="K414" s="3">
        <v>13</v>
      </c>
      <c r="L414" s="5">
        <v>5</v>
      </c>
      <c r="M414" s="1"/>
      <c r="N414" s="3">
        <v>152</v>
      </c>
      <c r="O414" s="3">
        <v>3</v>
      </c>
      <c r="P414" s="1" t="s">
        <v>28</v>
      </c>
      <c r="Q414" s="4" t="b">
        <v>0</v>
      </c>
      <c r="R414" s="4" t="b">
        <v>1</v>
      </c>
      <c r="S414" s="4" t="b">
        <v>0</v>
      </c>
      <c r="T414" s="3" t="s">
        <v>292</v>
      </c>
      <c r="U414" s="4" t="b">
        <v>0</v>
      </c>
      <c r="V414" s="7">
        <v>44866</v>
      </c>
      <c r="W414" s="7">
        <v>44867</v>
      </c>
    </row>
    <row r="415" spans="1:23" ht="14.4" x14ac:dyDescent="0.3">
      <c r="A415" s="3">
        <v>5054500</v>
      </c>
      <c r="B415" s="4" t="b">
        <v>1</v>
      </c>
      <c r="C415" s="1" t="s">
        <v>1356</v>
      </c>
      <c r="D415" s="1" t="s">
        <v>1357</v>
      </c>
      <c r="E415" s="5">
        <v>4532357</v>
      </c>
      <c r="F415" s="5">
        <v>8851795</v>
      </c>
      <c r="G415" s="1" t="s">
        <v>1358</v>
      </c>
      <c r="H415" s="1" t="s">
        <v>1359</v>
      </c>
      <c r="I415" s="6">
        <v>44687.325256631942</v>
      </c>
      <c r="J415" s="1">
        <f>39038335005</f>
        <v>39038335005</v>
      </c>
      <c r="K415" s="3">
        <v>0</v>
      </c>
      <c r="L415" s="5">
        <v>0</v>
      </c>
      <c r="M415" s="1">
        <v>733733333</v>
      </c>
      <c r="N415" s="3">
        <v>201</v>
      </c>
      <c r="O415" s="3">
        <v>4</v>
      </c>
      <c r="P415" s="1" t="s">
        <v>33</v>
      </c>
      <c r="Q415" s="4" t="b">
        <v>0</v>
      </c>
      <c r="R415" s="4" t="b">
        <v>1</v>
      </c>
      <c r="S415" s="4" t="b">
        <v>0</v>
      </c>
      <c r="T415" s="3">
        <v>0</v>
      </c>
      <c r="U415" s="4" t="b">
        <v>0</v>
      </c>
      <c r="V415" s="8">
        <v>44893</v>
      </c>
      <c r="W415" s="7">
        <v>44871</v>
      </c>
    </row>
    <row r="416" spans="1:23" ht="14.4" x14ac:dyDescent="0.3">
      <c r="A416" s="3">
        <v>5054650</v>
      </c>
      <c r="B416" s="4" t="b">
        <v>1</v>
      </c>
      <c r="C416" s="1" t="s">
        <v>1360</v>
      </c>
      <c r="D416" s="1" t="s">
        <v>1361</v>
      </c>
      <c r="E416" s="5">
        <v>3795061</v>
      </c>
      <c r="F416" s="5">
        <v>2400709</v>
      </c>
      <c r="G416" s="1" t="s">
        <v>1362</v>
      </c>
      <c r="H416" s="1" t="s">
        <v>1363</v>
      </c>
      <c r="I416" s="6">
        <v>44689.886704409721</v>
      </c>
      <c r="J416" s="1">
        <f>308895305390</f>
        <v>308895305390</v>
      </c>
      <c r="K416" s="3">
        <v>9</v>
      </c>
      <c r="L416" s="5">
        <v>4777778</v>
      </c>
      <c r="M416" s="1">
        <v>3737</v>
      </c>
      <c r="N416" s="3">
        <v>810</v>
      </c>
      <c r="O416" s="3">
        <v>4</v>
      </c>
      <c r="P416" s="1" t="s">
        <v>33</v>
      </c>
      <c r="Q416" s="4" t="b">
        <v>0</v>
      </c>
      <c r="R416" s="4" t="b">
        <v>1</v>
      </c>
      <c r="S416" s="4" t="b">
        <v>0</v>
      </c>
      <c r="T416" s="3" t="s">
        <v>1364</v>
      </c>
      <c r="U416" s="4" t="b">
        <v>0</v>
      </c>
      <c r="V416" s="7">
        <v>44806</v>
      </c>
      <c r="W416" s="8">
        <v>44888</v>
      </c>
    </row>
    <row r="417" spans="1:23" ht="14.4" x14ac:dyDescent="0.3">
      <c r="A417" s="3">
        <v>5055054</v>
      </c>
      <c r="B417" s="4" t="b">
        <v>1</v>
      </c>
      <c r="C417" s="1" t="s">
        <v>1352</v>
      </c>
      <c r="D417" s="1" t="s">
        <v>1353</v>
      </c>
      <c r="E417" s="5">
        <v>4448024</v>
      </c>
      <c r="F417" s="5">
        <v>7505368</v>
      </c>
      <c r="G417" s="1" t="s">
        <v>1354</v>
      </c>
      <c r="H417" s="1" t="s">
        <v>1355</v>
      </c>
      <c r="I417" s="6">
        <v>44686.555560856483</v>
      </c>
      <c r="J417" s="1">
        <f>393553039983</f>
        <v>393553039983</v>
      </c>
      <c r="K417" s="3">
        <v>1</v>
      </c>
      <c r="L417" s="5">
        <v>5</v>
      </c>
      <c r="M417" s="1">
        <v>7776373333</v>
      </c>
      <c r="N417" s="3">
        <v>154</v>
      </c>
      <c r="O417" s="3">
        <v>1</v>
      </c>
      <c r="P417" s="1" t="s">
        <v>28</v>
      </c>
      <c r="Q417" s="4" t="b">
        <v>0</v>
      </c>
      <c r="R417" s="4" t="b">
        <v>1</v>
      </c>
      <c r="S417" s="4" t="b">
        <v>0</v>
      </c>
      <c r="T417" s="3" t="s">
        <v>192</v>
      </c>
      <c r="U417" s="4" t="b">
        <v>1</v>
      </c>
      <c r="V417" s="8">
        <v>44894</v>
      </c>
      <c r="W417" s="7">
        <v>44838</v>
      </c>
    </row>
    <row r="418" spans="1:23" ht="14.4" x14ac:dyDescent="0.3">
      <c r="A418" s="3">
        <v>5055060</v>
      </c>
      <c r="B418" s="4" t="b">
        <v>1</v>
      </c>
      <c r="C418" s="1" t="s">
        <v>1347</v>
      </c>
      <c r="D418" s="1" t="s">
        <v>1348</v>
      </c>
      <c r="E418" s="5">
        <v>4587451</v>
      </c>
      <c r="F418" s="5">
        <v>1213216</v>
      </c>
      <c r="G418" s="1" t="s">
        <v>1349</v>
      </c>
      <c r="H418" s="1" t="s">
        <v>1350</v>
      </c>
      <c r="I418" s="6">
        <v>44686.341359745369</v>
      </c>
      <c r="J418" s="1">
        <f>393535099809</f>
        <v>393535099809</v>
      </c>
      <c r="K418" s="3">
        <v>2</v>
      </c>
      <c r="L418" s="5">
        <v>5</v>
      </c>
      <c r="M418" s="1" t="s">
        <v>1351</v>
      </c>
      <c r="N418" s="3">
        <v>271</v>
      </c>
      <c r="O418" s="3">
        <v>1</v>
      </c>
      <c r="P418" s="1" t="s">
        <v>28</v>
      </c>
      <c r="Q418" s="4" t="b">
        <v>0</v>
      </c>
      <c r="R418" s="4" t="b">
        <v>1</v>
      </c>
      <c r="S418" s="4" t="b">
        <v>0</v>
      </c>
      <c r="T418" s="3" t="s">
        <v>993</v>
      </c>
      <c r="U418" s="4" t="b">
        <v>0</v>
      </c>
      <c r="V418" s="8">
        <v>44857</v>
      </c>
      <c r="W418" s="7">
        <v>44827</v>
      </c>
    </row>
    <row r="419" spans="1:23" ht="14.4" x14ac:dyDescent="0.3">
      <c r="A419" s="3">
        <v>5056530</v>
      </c>
      <c r="B419" s="4" t="b">
        <v>1</v>
      </c>
      <c r="C419" s="1" t="s">
        <v>1369</v>
      </c>
      <c r="D419" s="1" t="s">
        <v>1370</v>
      </c>
      <c r="E419" s="5">
        <v>4183145</v>
      </c>
      <c r="F419" s="5">
        <v>1289913</v>
      </c>
      <c r="G419" s="1" t="s">
        <v>1240</v>
      </c>
      <c r="H419" s="1" t="s">
        <v>1371</v>
      </c>
      <c r="I419" s="6">
        <v>44693.40678824074</v>
      </c>
      <c r="J419" s="1">
        <f>393330988838</f>
        <v>393330988838</v>
      </c>
      <c r="K419" s="3">
        <v>16</v>
      </c>
      <c r="L419" s="5">
        <v>4875</v>
      </c>
      <c r="M419" s="1">
        <v>6376373333</v>
      </c>
      <c r="N419" s="3">
        <v>385</v>
      </c>
      <c r="O419" s="3">
        <v>7</v>
      </c>
      <c r="P419" s="1" t="s">
        <v>39</v>
      </c>
      <c r="Q419" s="4" t="b">
        <v>0</v>
      </c>
      <c r="R419" s="4" t="b">
        <v>0</v>
      </c>
      <c r="S419" s="4" t="b">
        <v>0</v>
      </c>
      <c r="T419" s="3" t="s">
        <v>174</v>
      </c>
      <c r="U419" s="4" t="b">
        <v>0</v>
      </c>
      <c r="V419" s="8">
        <v>44861</v>
      </c>
      <c r="W419" s="8">
        <v>44828</v>
      </c>
    </row>
    <row r="420" spans="1:23" ht="14.4" x14ac:dyDescent="0.3">
      <c r="A420" s="3">
        <v>5060150</v>
      </c>
      <c r="B420" s="4" t="b">
        <v>1</v>
      </c>
      <c r="C420" s="1" t="s">
        <v>1788</v>
      </c>
      <c r="D420" s="1" t="s">
        <v>1789</v>
      </c>
      <c r="E420" s="5">
        <v>5167397</v>
      </c>
      <c r="F420" s="5">
        <v>-33074</v>
      </c>
      <c r="G420" s="1" t="s">
        <v>1790</v>
      </c>
      <c r="H420" s="1" t="s">
        <v>1791</v>
      </c>
      <c r="I420" s="6">
        <v>44813.480383368056</v>
      </c>
      <c r="J420" s="1">
        <f>553833338339</f>
        <v>553833338339</v>
      </c>
      <c r="K420" s="3">
        <v>0</v>
      </c>
      <c r="L420" s="5">
        <v>0</v>
      </c>
      <c r="M420" s="1"/>
      <c r="N420" s="3">
        <v>0</v>
      </c>
      <c r="O420" s="3">
        <v>0</v>
      </c>
      <c r="P420" s="1" t="s">
        <v>28</v>
      </c>
      <c r="Q420" s="4" t="b">
        <v>1</v>
      </c>
      <c r="R420" s="4" t="b">
        <v>0</v>
      </c>
      <c r="S420" s="4" t="b">
        <v>0</v>
      </c>
      <c r="T420" s="3">
        <v>0</v>
      </c>
      <c r="U420" s="4" t="b">
        <v>0</v>
      </c>
      <c r="V420" s="7">
        <v>44900</v>
      </c>
      <c r="W420" s="7">
        <v>44900</v>
      </c>
    </row>
    <row r="421" spans="1:23" ht="14.4" x14ac:dyDescent="0.3">
      <c r="A421" s="3">
        <v>5061501</v>
      </c>
      <c r="B421" s="4" t="b">
        <v>1</v>
      </c>
      <c r="C421" s="1" t="s">
        <v>1811</v>
      </c>
      <c r="D421" s="1" t="s">
        <v>1812</v>
      </c>
      <c r="E421" s="5">
        <v>5337868</v>
      </c>
      <c r="F421" s="5">
        <v>-147057</v>
      </c>
      <c r="G421" s="1" t="s">
        <v>1813</v>
      </c>
      <c r="H421" s="1" t="s">
        <v>1814</v>
      </c>
      <c r="I421" s="6">
        <v>44818.561473518515</v>
      </c>
      <c r="J421" s="1">
        <f>553390900909</f>
        <v>553390900909</v>
      </c>
      <c r="K421" s="3">
        <v>2</v>
      </c>
      <c r="L421" s="5">
        <v>5</v>
      </c>
      <c r="M421" s="1"/>
      <c r="N421" s="3">
        <v>5</v>
      </c>
      <c r="O421" s="3">
        <v>2</v>
      </c>
      <c r="P421" s="1" t="s">
        <v>33</v>
      </c>
      <c r="Q421" s="4" t="b">
        <v>1</v>
      </c>
      <c r="R421" s="4" t="b">
        <v>0</v>
      </c>
      <c r="S421" s="4" t="b">
        <v>0</v>
      </c>
      <c r="T421" s="3">
        <v>0</v>
      </c>
      <c r="U421" s="4" t="b">
        <v>0</v>
      </c>
      <c r="V421" s="8">
        <v>44894</v>
      </c>
      <c r="W421" s="8">
        <v>44863</v>
      </c>
    </row>
    <row r="422" spans="1:23" ht="14.4" x14ac:dyDescent="0.3">
      <c r="A422" s="3">
        <v>5063014</v>
      </c>
      <c r="B422" s="4" t="b">
        <v>1</v>
      </c>
      <c r="C422" s="1" t="s">
        <v>1986</v>
      </c>
      <c r="D422" s="1" t="s">
        <v>1987</v>
      </c>
      <c r="E422" s="5">
        <v>5113434</v>
      </c>
      <c r="F422" s="5">
        <v>6452501</v>
      </c>
      <c r="G422" s="1" t="s">
        <v>1988</v>
      </c>
      <c r="H422" s="1" t="s">
        <v>1989</v>
      </c>
      <c r="I422" s="6">
        <v>44827.394705104169</v>
      </c>
      <c r="J422" s="1">
        <f>5933985338338</f>
        <v>5933985338338</v>
      </c>
      <c r="K422" s="3">
        <v>0</v>
      </c>
      <c r="L422" s="5">
        <v>0</v>
      </c>
      <c r="M422" s="1"/>
      <c r="N422" s="3">
        <v>0</v>
      </c>
      <c r="O422" s="3">
        <v>1</v>
      </c>
      <c r="P422" s="1" t="s">
        <v>39</v>
      </c>
      <c r="Q422" s="4" t="b">
        <v>1</v>
      </c>
      <c r="R422" s="4" t="b">
        <v>0</v>
      </c>
      <c r="S422" s="4" t="b">
        <v>0</v>
      </c>
      <c r="T422" s="3">
        <v>0</v>
      </c>
      <c r="U422" s="4" t="b">
        <v>0</v>
      </c>
      <c r="V422" s="7">
        <v>44874</v>
      </c>
      <c r="W422" s="8">
        <v>44883</v>
      </c>
    </row>
    <row r="423" spans="1:23" ht="14.4" x14ac:dyDescent="0.3">
      <c r="A423" s="3">
        <v>5063044</v>
      </c>
      <c r="B423" s="4" t="b">
        <v>1</v>
      </c>
      <c r="C423" s="1" t="s">
        <v>2029</v>
      </c>
      <c r="D423" s="1" t="s">
        <v>2030</v>
      </c>
      <c r="E423" s="5">
        <v>394703</v>
      </c>
      <c r="F423" s="5">
        <v>-34909</v>
      </c>
      <c r="G423" s="1" t="s">
        <v>417</v>
      </c>
      <c r="H423" s="1" t="s">
        <v>2031</v>
      </c>
      <c r="I423" s="6">
        <v>44831.407287303242</v>
      </c>
      <c r="J423" s="1">
        <f>35953953505</f>
        <v>35953953505</v>
      </c>
      <c r="K423" s="3">
        <v>0</v>
      </c>
      <c r="L423" s="5">
        <v>0</v>
      </c>
      <c r="M423" s="1" t="s">
        <v>2032</v>
      </c>
      <c r="N423" s="3">
        <v>0</v>
      </c>
      <c r="O423" s="3">
        <v>1</v>
      </c>
      <c r="P423" s="1" t="s">
        <v>39</v>
      </c>
      <c r="Q423" s="4" t="b">
        <v>1</v>
      </c>
      <c r="R423" s="4" t="b">
        <v>0</v>
      </c>
      <c r="S423" s="4" t="b">
        <v>0</v>
      </c>
      <c r="T423" s="3">
        <v>0</v>
      </c>
      <c r="U423" s="4" t="b">
        <v>0</v>
      </c>
      <c r="V423" s="8">
        <v>44857</v>
      </c>
      <c r="W423" s="7">
        <v>44898</v>
      </c>
    </row>
    <row r="424" spans="1:23" ht="14.4" x14ac:dyDescent="0.3">
      <c r="A424" s="3">
        <v>5063045</v>
      </c>
      <c r="B424" s="4" t="b">
        <v>1</v>
      </c>
      <c r="C424" s="1" t="s">
        <v>2033</v>
      </c>
      <c r="D424" s="1" t="s">
        <v>2034</v>
      </c>
      <c r="E424" s="5">
        <v>5153984</v>
      </c>
      <c r="F424" s="5">
        <v>-9689</v>
      </c>
      <c r="G424" s="1" t="s">
        <v>1367</v>
      </c>
      <c r="H424" s="1" t="s">
        <v>2035</v>
      </c>
      <c r="I424" s="6">
        <v>44831.408698194442</v>
      </c>
      <c r="J424" s="1">
        <f>553593939335</f>
        <v>553593939335</v>
      </c>
      <c r="K424" s="3">
        <v>0</v>
      </c>
      <c r="L424" s="5">
        <v>0</v>
      </c>
      <c r="M424" s="1"/>
      <c r="N424" s="3">
        <v>0</v>
      </c>
      <c r="O424" s="3">
        <v>1</v>
      </c>
      <c r="P424" s="1" t="s">
        <v>28</v>
      </c>
      <c r="Q424" s="4" t="b">
        <v>1</v>
      </c>
      <c r="R424" s="4" t="b">
        <v>0</v>
      </c>
      <c r="S424" s="4" t="b">
        <v>0</v>
      </c>
      <c r="T424" s="3">
        <v>0</v>
      </c>
      <c r="U424" s="4" t="b">
        <v>0</v>
      </c>
      <c r="V424" s="7">
        <v>44872</v>
      </c>
      <c r="W424" s="8">
        <v>44847</v>
      </c>
    </row>
    <row r="425" spans="1:23" ht="14.4" x14ac:dyDescent="0.3">
      <c r="A425" s="3">
        <v>5063054</v>
      </c>
      <c r="B425" s="4" t="b">
        <v>1</v>
      </c>
      <c r="C425" s="1" t="s">
        <v>1990</v>
      </c>
      <c r="D425" s="1" t="s">
        <v>1991</v>
      </c>
      <c r="E425" s="5">
        <v>3947121</v>
      </c>
      <c r="F425" s="5">
        <v>-36822</v>
      </c>
      <c r="G425" s="1" t="s">
        <v>417</v>
      </c>
      <c r="H425" s="1" t="s">
        <v>1992</v>
      </c>
      <c r="I425" s="6">
        <v>44827.454132557868</v>
      </c>
      <c r="J425" s="1">
        <f>35993583553</f>
        <v>35993583553</v>
      </c>
      <c r="K425" s="3">
        <v>0</v>
      </c>
      <c r="L425" s="5">
        <v>0</v>
      </c>
      <c r="M425" s="1" t="s">
        <v>1993</v>
      </c>
      <c r="N425" s="3">
        <v>0</v>
      </c>
      <c r="O425" s="3">
        <v>2</v>
      </c>
      <c r="P425" s="1" t="s">
        <v>39</v>
      </c>
      <c r="Q425" s="4" t="b">
        <v>0</v>
      </c>
      <c r="R425" s="4" t="b">
        <v>1</v>
      </c>
      <c r="S425" s="4" t="b">
        <v>0</v>
      </c>
      <c r="T425" s="3">
        <v>0</v>
      </c>
      <c r="U425" s="4" t="b">
        <v>0</v>
      </c>
      <c r="V425" s="7">
        <v>44885</v>
      </c>
      <c r="W425" s="7">
        <v>44881</v>
      </c>
    </row>
    <row r="426" spans="1:23" ht="14.4" x14ac:dyDescent="0.3">
      <c r="A426" s="3">
        <v>5063054</v>
      </c>
      <c r="B426" s="4" t="b">
        <v>1</v>
      </c>
      <c r="C426" s="1" t="s">
        <v>2040</v>
      </c>
      <c r="D426" s="1" t="s">
        <v>2041</v>
      </c>
      <c r="E426" s="5">
        <v>4884142</v>
      </c>
      <c r="F426" s="5">
        <v>2313337</v>
      </c>
      <c r="G426" s="1" t="s">
        <v>365</v>
      </c>
      <c r="H426" s="1" t="s">
        <v>2042</v>
      </c>
      <c r="I426" s="6">
        <v>44831.441980937503</v>
      </c>
      <c r="J426" s="1">
        <f>33953589530</f>
        <v>33953589530</v>
      </c>
      <c r="K426" s="3">
        <v>0</v>
      </c>
      <c r="L426" s="5">
        <v>0</v>
      </c>
      <c r="M426" s="1" t="s">
        <v>2043</v>
      </c>
      <c r="N426" s="3">
        <v>0</v>
      </c>
      <c r="O426" s="3">
        <v>2</v>
      </c>
      <c r="P426" s="1" t="s">
        <v>28</v>
      </c>
      <c r="Q426" s="4" t="b">
        <v>1</v>
      </c>
      <c r="R426" s="4" t="b">
        <v>0</v>
      </c>
      <c r="S426" s="4" t="b">
        <v>0</v>
      </c>
      <c r="T426" s="3">
        <v>0</v>
      </c>
      <c r="U426" s="4" t="b">
        <v>0</v>
      </c>
      <c r="V426" s="8">
        <v>44881</v>
      </c>
      <c r="W426" s="8">
        <v>44880</v>
      </c>
    </row>
    <row r="427" spans="1:23" ht="14.4" x14ac:dyDescent="0.3">
      <c r="A427" s="3">
        <v>5063055</v>
      </c>
      <c r="B427" s="4" t="b">
        <v>1</v>
      </c>
      <c r="C427" s="1" t="s">
        <v>1997</v>
      </c>
      <c r="D427" s="1" t="s">
        <v>1998</v>
      </c>
      <c r="E427" s="5">
        <v>5145778</v>
      </c>
      <c r="F427" s="5">
        <v>11124</v>
      </c>
      <c r="G427" s="1" t="s">
        <v>1367</v>
      </c>
      <c r="H427" s="1" t="s">
        <v>1999</v>
      </c>
      <c r="I427" s="6">
        <v>44827.480407129631</v>
      </c>
      <c r="J427" s="1">
        <f>553903305393</f>
        <v>553903305393</v>
      </c>
      <c r="K427" s="3">
        <v>0</v>
      </c>
      <c r="L427" s="5">
        <v>0</v>
      </c>
      <c r="M427" s="1"/>
      <c r="N427" s="3">
        <v>0</v>
      </c>
      <c r="O427" s="3">
        <v>1</v>
      </c>
      <c r="P427" s="1" t="s">
        <v>28</v>
      </c>
      <c r="Q427" s="4" t="b">
        <v>1</v>
      </c>
      <c r="R427" s="4" t="b">
        <v>0</v>
      </c>
      <c r="S427" s="4" t="b">
        <v>0</v>
      </c>
      <c r="T427" s="3">
        <v>0</v>
      </c>
      <c r="U427" s="4" t="b">
        <v>0</v>
      </c>
      <c r="V427" s="7">
        <v>44886</v>
      </c>
      <c r="W427" s="7">
        <v>44902</v>
      </c>
    </row>
    <row r="428" spans="1:23" ht="14.4" x14ac:dyDescent="0.3">
      <c r="A428" s="3">
        <v>5063057</v>
      </c>
      <c r="B428" s="4" t="b">
        <v>1</v>
      </c>
      <c r="C428" s="1" t="s">
        <v>1994</v>
      </c>
      <c r="D428" s="1" t="s">
        <v>1995</v>
      </c>
      <c r="E428" s="5">
        <v>4738717</v>
      </c>
      <c r="F428" s="5">
        <v>8539442</v>
      </c>
      <c r="G428" s="1" t="s">
        <v>1568</v>
      </c>
      <c r="H428" s="1" t="s">
        <v>1996</v>
      </c>
      <c r="I428" s="6">
        <v>44827.463502847226</v>
      </c>
      <c r="J428" s="1">
        <f>53398858530</f>
        <v>53398858530</v>
      </c>
      <c r="K428" s="3">
        <v>0</v>
      </c>
      <c r="L428" s="5">
        <v>0</v>
      </c>
      <c r="M428" s="1"/>
      <c r="N428" s="3">
        <v>0</v>
      </c>
      <c r="O428" s="3">
        <v>1</v>
      </c>
      <c r="P428" s="1" t="s">
        <v>28</v>
      </c>
      <c r="Q428" s="4" t="b">
        <v>1</v>
      </c>
      <c r="R428" s="4" t="b">
        <v>0</v>
      </c>
      <c r="S428" s="4" t="b">
        <v>0</v>
      </c>
      <c r="T428" s="3">
        <v>0</v>
      </c>
      <c r="U428" s="4" t="b">
        <v>0</v>
      </c>
      <c r="V428" s="8">
        <v>44886</v>
      </c>
      <c r="W428" s="7">
        <v>44870</v>
      </c>
    </row>
    <row r="429" spans="1:23" ht="14.4" x14ac:dyDescent="0.3">
      <c r="A429" s="3">
        <v>5063071</v>
      </c>
      <c r="B429" s="4" t="b">
        <v>1</v>
      </c>
      <c r="C429" s="1" t="s">
        <v>2011</v>
      </c>
      <c r="D429" s="1" t="s">
        <v>2012</v>
      </c>
      <c r="E429" s="5">
        <v>3957006</v>
      </c>
      <c r="F429" s="5">
        <v>264739</v>
      </c>
      <c r="G429" s="1" t="s">
        <v>534</v>
      </c>
      <c r="H429" s="1" t="s">
        <v>2013</v>
      </c>
      <c r="I429" s="6">
        <v>44831.317020949071</v>
      </c>
      <c r="J429" s="1">
        <f>35959853993</f>
        <v>35959853993</v>
      </c>
      <c r="K429" s="3">
        <v>0</v>
      </c>
      <c r="L429" s="5">
        <v>0</v>
      </c>
      <c r="M429" s="1" t="s">
        <v>2014</v>
      </c>
      <c r="N429" s="3">
        <v>0</v>
      </c>
      <c r="O429" s="3">
        <v>3</v>
      </c>
      <c r="P429" s="1" t="s">
        <v>39</v>
      </c>
      <c r="Q429" s="4" t="b">
        <v>0</v>
      </c>
      <c r="R429" s="4" t="b">
        <v>1</v>
      </c>
      <c r="S429" s="4" t="b">
        <v>0</v>
      </c>
      <c r="T429" s="3">
        <v>0</v>
      </c>
      <c r="U429" s="4" t="b">
        <v>0</v>
      </c>
      <c r="V429" s="8">
        <v>44886</v>
      </c>
      <c r="W429" s="8">
        <v>44891</v>
      </c>
    </row>
    <row r="430" spans="1:23" ht="14.4" x14ac:dyDescent="0.3">
      <c r="A430" s="3">
        <v>5063076</v>
      </c>
      <c r="B430" s="4" t="b">
        <v>1</v>
      </c>
      <c r="C430" s="1" t="s">
        <v>2019</v>
      </c>
      <c r="D430" s="1" t="s">
        <v>2020</v>
      </c>
      <c r="E430" s="5">
        <v>4706547</v>
      </c>
      <c r="F430" s="5">
        <v>3935101</v>
      </c>
      <c r="G430" s="1" t="s">
        <v>2021</v>
      </c>
      <c r="H430" s="1" t="s">
        <v>2022</v>
      </c>
      <c r="I430" s="6">
        <v>44831.351650069446</v>
      </c>
      <c r="J430" s="1">
        <f>33389858590</f>
        <v>33389858590</v>
      </c>
      <c r="K430" s="3">
        <v>0</v>
      </c>
      <c r="L430" s="5">
        <v>0</v>
      </c>
      <c r="M430" s="1" t="s">
        <v>2023</v>
      </c>
      <c r="N430" s="3">
        <v>0</v>
      </c>
      <c r="O430" s="3">
        <v>1</v>
      </c>
      <c r="P430" s="1" t="s">
        <v>28</v>
      </c>
      <c r="Q430" s="4" t="b">
        <v>1</v>
      </c>
      <c r="R430" s="4" t="b">
        <v>0</v>
      </c>
      <c r="S430" s="4" t="b">
        <v>0</v>
      </c>
      <c r="T430" s="3">
        <v>0</v>
      </c>
      <c r="U430" s="4" t="b">
        <v>0</v>
      </c>
      <c r="V430" s="8">
        <v>44862</v>
      </c>
      <c r="W430" s="8">
        <v>44883</v>
      </c>
    </row>
    <row r="431" spans="1:23" ht="14.4" x14ac:dyDescent="0.3">
      <c r="A431" s="3">
        <v>5064306</v>
      </c>
      <c r="B431" s="4" t="b">
        <v>1</v>
      </c>
      <c r="C431" s="1" t="s">
        <v>1942</v>
      </c>
      <c r="D431" s="1" t="s">
        <v>1943</v>
      </c>
      <c r="E431" s="5">
        <v>3814114</v>
      </c>
      <c r="F431" s="5">
        <v>1334939</v>
      </c>
      <c r="G431" s="1" t="s">
        <v>1869</v>
      </c>
      <c r="H431" s="1" t="s">
        <v>1944</v>
      </c>
      <c r="I431" s="6">
        <v>44826.526695046297</v>
      </c>
      <c r="J431" s="1">
        <f>393885895588</f>
        <v>393885895588</v>
      </c>
      <c r="K431" s="3">
        <v>0</v>
      </c>
      <c r="L431" s="5">
        <v>0</v>
      </c>
      <c r="M431" s="1">
        <v>6333333337</v>
      </c>
      <c r="N431" s="3">
        <v>38</v>
      </c>
      <c r="O431" s="3">
        <v>3</v>
      </c>
      <c r="P431" s="1" t="s">
        <v>28</v>
      </c>
      <c r="Q431" s="4" t="b">
        <v>1</v>
      </c>
      <c r="R431" s="4" t="b">
        <v>0</v>
      </c>
      <c r="S431" s="4" t="b">
        <v>0</v>
      </c>
      <c r="T431" s="3">
        <v>0</v>
      </c>
      <c r="U431" s="4" t="b">
        <v>0</v>
      </c>
      <c r="V431" s="8">
        <v>44894</v>
      </c>
      <c r="W431" s="7">
        <v>44874</v>
      </c>
    </row>
    <row r="432" spans="1:23" ht="14.4" x14ac:dyDescent="0.3">
      <c r="A432" s="3">
        <v>5064450</v>
      </c>
      <c r="B432" s="4" t="b">
        <v>1</v>
      </c>
      <c r="C432" s="1" t="s">
        <v>1968</v>
      </c>
      <c r="D432" s="1" t="s">
        <v>1969</v>
      </c>
      <c r="E432" s="5">
        <v>4367622</v>
      </c>
      <c r="F432" s="5">
        <v>4430167</v>
      </c>
      <c r="G432" s="1" t="s">
        <v>1970</v>
      </c>
      <c r="H432" s="1" t="s">
        <v>1971</v>
      </c>
      <c r="I432" s="6">
        <v>44827.298446712965</v>
      </c>
      <c r="J432" s="6"/>
      <c r="K432" s="3">
        <v>0</v>
      </c>
      <c r="L432" s="5">
        <v>0</v>
      </c>
      <c r="M432" s="1"/>
      <c r="N432" s="3">
        <v>0</v>
      </c>
      <c r="O432" s="3">
        <v>0</v>
      </c>
      <c r="P432" s="1" t="s">
        <v>33</v>
      </c>
      <c r="Q432" s="4" t="b">
        <v>1</v>
      </c>
      <c r="R432" s="4" t="b">
        <v>0</v>
      </c>
      <c r="S432" s="4" t="b">
        <v>0</v>
      </c>
      <c r="T432" s="3">
        <v>0</v>
      </c>
      <c r="U432" s="4" t="b">
        <v>0</v>
      </c>
      <c r="V432" s="8">
        <v>44892</v>
      </c>
      <c r="W432" s="8">
        <v>44882</v>
      </c>
    </row>
    <row r="433" spans="1:23" ht="14.4" x14ac:dyDescent="0.3">
      <c r="A433" s="3">
        <v>5064750</v>
      </c>
      <c r="B433" s="4" t="b">
        <v>1</v>
      </c>
      <c r="C433" s="1" t="s">
        <v>1955</v>
      </c>
      <c r="D433" s="1" t="s">
        <v>1956</v>
      </c>
      <c r="E433" s="5">
        <v>4886256</v>
      </c>
      <c r="F433" s="5">
        <v>2340004</v>
      </c>
      <c r="G433" s="1" t="s">
        <v>365</v>
      </c>
      <c r="H433" s="1" t="s">
        <v>1957</v>
      </c>
      <c r="I433" s="6">
        <v>44826.649784201392</v>
      </c>
      <c r="J433" s="1">
        <f>33935533850</f>
        <v>33935533850</v>
      </c>
      <c r="K433" s="3">
        <v>0</v>
      </c>
      <c r="L433" s="5">
        <v>0</v>
      </c>
      <c r="M433" s="1" t="s">
        <v>1958</v>
      </c>
      <c r="N433" s="3">
        <v>0</v>
      </c>
      <c r="O433" s="3">
        <v>1</v>
      </c>
      <c r="P433" s="1" t="s">
        <v>33</v>
      </c>
      <c r="Q433" s="4" t="b">
        <v>1</v>
      </c>
      <c r="R433" s="4" t="b">
        <v>0</v>
      </c>
      <c r="S433" s="4" t="b">
        <v>0</v>
      </c>
      <c r="T433" s="3">
        <v>0</v>
      </c>
      <c r="U433" s="4" t="b">
        <v>0</v>
      </c>
      <c r="V433" s="8">
        <v>44887</v>
      </c>
      <c r="W433" s="8">
        <v>44876</v>
      </c>
    </row>
    <row r="434" spans="1:23" ht="14.4" x14ac:dyDescent="0.3">
      <c r="A434" s="3">
        <v>5065045</v>
      </c>
      <c r="B434" s="4" t="b">
        <v>1</v>
      </c>
      <c r="C434" s="1" t="s">
        <v>1882</v>
      </c>
      <c r="D434" s="1" t="s">
        <v>1883</v>
      </c>
      <c r="E434" s="5">
        <v>4242579</v>
      </c>
      <c r="F434" s="5">
        <v>1418919</v>
      </c>
      <c r="G434" s="1" t="s">
        <v>1884</v>
      </c>
      <c r="H434" s="1" t="s">
        <v>1885</v>
      </c>
      <c r="I434" s="6">
        <v>44824.554507673609</v>
      </c>
      <c r="J434" s="1">
        <f>393893333303</f>
        <v>393893333303</v>
      </c>
      <c r="K434" s="3">
        <v>0</v>
      </c>
      <c r="L434" s="5">
        <v>0</v>
      </c>
      <c r="M434" s="1"/>
      <c r="N434" s="3">
        <v>1</v>
      </c>
      <c r="O434" s="3">
        <v>0</v>
      </c>
      <c r="P434" s="1" t="s">
        <v>33</v>
      </c>
      <c r="Q434" s="4" t="b">
        <v>1</v>
      </c>
      <c r="R434" s="4" t="b">
        <v>0</v>
      </c>
      <c r="S434" s="4" t="b">
        <v>0</v>
      </c>
      <c r="T434" s="3">
        <v>0</v>
      </c>
      <c r="U434" s="4" t="b">
        <v>0</v>
      </c>
      <c r="V434" s="8">
        <v>44878</v>
      </c>
      <c r="W434" s="7">
        <v>44868</v>
      </c>
    </row>
    <row r="435" spans="1:23" ht="14.4" x14ac:dyDescent="0.3">
      <c r="A435" s="3">
        <v>5065045</v>
      </c>
      <c r="B435" s="4" t="b">
        <v>1</v>
      </c>
      <c r="C435" s="1" t="s">
        <v>1907</v>
      </c>
      <c r="D435" s="1" t="s">
        <v>1908</v>
      </c>
      <c r="E435" s="5">
        <v>4040434</v>
      </c>
      <c r="F435" s="5">
        <v>-37039</v>
      </c>
      <c r="G435" s="1" t="s">
        <v>195</v>
      </c>
      <c r="H435" s="1" t="s">
        <v>1909</v>
      </c>
      <c r="I435" s="6">
        <v>44825.443113541667</v>
      </c>
      <c r="J435" s="1">
        <f>35993903859</f>
        <v>35993903859</v>
      </c>
      <c r="K435" s="3">
        <v>0</v>
      </c>
      <c r="L435" s="5">
        <v>0</v>
      </c>
      <c r="M435" s="1" t="s">
        <v>1910</v>
      </c>
      <c r="N435" s="3">
        <v>0</v>
      </c>
      <c r="O435" s="3">
        <v>1</v>
      </c>
      <c r="P435" s="1" t="s">
        <v>33</v>
      </c>
      <c r="Q435" s="4" t="b">
        <v>1</v>
      </c>
      <c r="R435" s="4" t="b">
        <v>0</v>
      </c>
      <c r="S435" s="4" t="b">
        <v>0</v>
      </c>
      <c r="T435" s="3">
        <v>0</v>
      </c>
      <c r="U435" s="4" t="b">
        <v>0</v>
      </c>
      <c r="V435" s="7">
        <v>44853</v>
      </c>
      <c r="W435" s="7">
        <v>44861</v>
      </c>
    </row>
    <row r="436" spans="1:23" ht="14.4" x14ac:dyDescent="0.3">
      <c r="A436" s="3">
        <v>5065047</v>
      </c>
      <c r="B436" s="4" t="b">
        <v>1</v>
      </c>
      <c r="C436" s="1" t="s">
        <v>1903</v>
      </c>
      <c r="D436" s="1" t="s">
        <v>1904</v>
      </c>
      <c r="E436" s="5">
        <v>3948883</v>
      </c>
      <c r="F436" s="5">
        <v>-36453</v>
      </c>
      <c r="G436" s="1" t="s">
        <v>417</v>
      </c>
      <c r="H436" s="1" t="s">
        <v>1905</v>
      </c>
      <c r="I436" s="6">
        <v>44825.433945428238</v>
      </c>
      <c r="J436" s="1">
        <f>35935958889</f>
        <v>35935958889</v>
      </c>
      <c r="K436" s="3">
        <v>1</v>
      </c>
      <c r="L436" s="5">
        <v>5</v>
      </c>
      <c r="M436" s="1" t="s">
        <v>1906</v>
      </c>
      <c r="N436" s="3">
        <v>33</v>
      </c>
      <c r="O436" s="3">
        <v>2</v>
      </c>
      <c r="P436" s="1" t="s">
        <v>39</v>
      </c>
      <c r="Q436" s="4" t="b">
        <v>0</v>
      </c>
      <c r="R436" s="4" t="b">
        <v>1</v>
      </c>
      <c r="S436" s="4" t="b">
        <v>0</v>
      </c>
      <c r="T436" s="3" t="s">
        <v>192</v>
      </c>
      <c r="U436" s="4" t="b">
        <v>0</v>
      </c>
      <c r="V436" s="8">
        <v>44876</v>
      </c>
      <c r="W436" s="8">
        <v>44858</v>
      </c>
    </row>
    <row r="437" spans="1:23" ht="14.4" x14ac:dyDescent="0.3">
      <c r="A437" s="3">
        <v>5065054</v>
      </c>
      <c r="B437" s="4" t="b">
        <v>1</v>
      </c>
      <c r="C437" s="1" t="s">
        <v>1916</v>
      </c>
      <c r="D437" s="1" t="s">
        <v>1917</v>
      </c>
      <c r="E437" s="5">
        <v>4793253</v>
      </c>
      <c r="F437" s="5">
        <v>2927277</v>
      </c>
      <c r="G437" s="1" t="s">
        <v>1918</v>
      </c>
      <c r="H437" s="1" t="s">
        <v>1919</v>
      </c>
      <c r="I437" s="6">
        <v>44825.501250486108</v>
      </c>
      <c r="J437" s="1">
        <f>33933309350</f>
        <v>33933309350</v>
      </c>
      <c r="K437" s="3">
        <v>0</v>
      </c>
      <c r="L437" s="5">
        <v>0</v>
      </c>
      <c r="M437" s="1" t="s">
        <v>1920</v>
      </c>
      <c r="N437" s="3">
        <v>0</v>
      </c>
      <c r="O437" s="3">
        <v>1</v>
      </c>
      <c r="P437" s="1" t="s">
        <v>28</v>
      </c>
      <c r="Q437" s="4" t="b">
        <v>1</v>
      </c>
      <c r="R437" s="4" t="b">
        <v>0</v>
      </c>
      <c r="S437" s="4" t="b">
        <v>0</v>
      </c>
      <c r="T437" s="3">
        <v>0</v>
      </c>
      <c r="U437" s="4" t="b">
        <v>0</v>
      </c>
      <c r="V437" s="8">
        <v>44880</v>
      </c>
      <c r="W437" s="7">
        <v>44843</v>
      </c>
    </row>
    <row r="438" spans="1:23" ht="14.4" x14ac:dyDescent="0.3">
      <c r="A438" s="3">
        <v>5065055</v>
      </c>
      <c r="B438" s="4" t="b">
        <v>1</v>
      </c>
      <c r="C438" s="1" t="s">
        <v>1867</v>
      </c>
      <c r="D438" s="1" t="s">
        <v>1868</v>
      </c>
      <c r="E438" s="5">
        <v>3817372</v>
      </c>
      <c r="F438" s="5">
        <v>1333015</v>
      </c>
      <c r="G438" s="1" t="s">
        <v>1869</v>
      </c>
      <c r="H438" s="1" t="s">
        <v>1870</v>
      </c>
      <c r="I438" s="6">
        <v>44824.41128216435</v>
      </c>
      <c r="J438" s="1">
        <f>390939880838</f>
        <v>390939880838</v>
      </c>
      <c r="K438" s="3">
        <v>0</v>
      </c>
      <c r="L438" s="5">
        <v>0</v>
      </c>
      <c r="M438" s="1">
        <v>6333333337</v>
      </c>
      <c r="N438" s="3">
        <v>67</v>
      </c>
      <c r="O438" s="3">
        <v>5</v>
      </c>
      <c r="P438" s="1" t="s">
        <v>39</v>
      </c>
      <c r="Q438" s="4" t="b">
        <v>1</v>
      </c>
      <c r="R438" s="4" t="b">
        <v>0</v>
      </c>
      <c r="S438" s="4" t="b">
        <v>0</v>
      </c>
      <c r="T438" s="3">
        <v>0</v>
      </c>
      <c r="U438" s="4" t="b">
        <v>0</v>
      </c>
      <c r="V438" s="8">
        <v>44882</v>
      </c>
      <c r="W438" s="8">
        <v>44853</v>
      </c>
    </row>
    <row r="439" spans="1:23" ht="14.4" x14ac:dyDescent="0.3">
      <c r="A439" s="3">
        <v>5065055</v>
      </c>
      <c r="B439" s="4" t="b">
        <v>1</v>
      </c>
      <c r="C439" s="1" t="s">
        <v>1873</v>
      </c>
      <c r="D439" s="1" t="s">
        <v>1874</v>
      </c>
      <c r="E439" s="5">
        <v>4730233</v>
      </c>
      <c r="F439" s="5">
        <v>65637</v>
      </c>
      <c r="G439" s="1" t="s">
        <v>1875</v>
      </c>
      <c r="H439" s="1" t="s">
        <v>1876</v>
      </c>
      <c r="I439" s="6">
        <v>44824.439010358794</v>
      </c>
      <c r="J439" s="1">
        <f>33390093059</f>
        <v>33390093059</v>
      </c>
      <c r="K439" s="3">
        <v>0</v>
      </c>
      <c r="L439" s="5">
        <v>0</v>
      </c>
      <c r="M439" s="1" t="s">
        <v>1877</v>
      </c>
      <c r="N439" s="3">
        <v>11</v>
      </c>
      <c r="O439" s="3">
        <v>2</v>
      </c>
      <c r="P439" s="1" t="s">
        <v>33</v>
      </c>
      <c r="Q439" s="4" t="b">
        <v>1</v>
      </c>
      <c r="R439" s="4" t="b">
        <v>0</v>
      </c>
      <c r="S439" s="4" t="b">
        <v>0</v>
      </c>
      <c r="T439" s="3">
        <v>0</v>
      </c>
      <c r="U439" s="4" t="b">
        <v>1</v>
      </c>
      <c r="V439" s="8">
        <v>44848</v>
      </c>
      <c r="W439" s="8">
        <v>44877</v>
      </c>
    </row>
    <row r="440" spans="1:23" ht="14.4" x14ac:dyDescent="0.3">
      <c r="A440" s="3">
        <v>5065056</v>
      </c>
      <c r="B440" s="4" t="b">
        <v>1</v>
      </c>
      <c r="C440" s="1" t="s">
        <v>1911</v>
      </c>
      <c r="D440" s="1" t="s">
        <v>1912</v>
      </c>
      <c r="E440" s="5">
        <v>5211847</v>
      </c>
      <c r="F440" s="5">
        <v>4638001</v>
      </c>
      <c r="G440" s="1" t="s">
        <v>1913</v>
      </c>
      <c r="H440" s="1" t="s">
        <v>1914</v>
      </c>
      <c r="I440" s="6">
        <v>44825.49626177083</v>
      </c>
      <c r="J440" s="1">
        <f>33983558589</f>
        <v>33983558589</v>
      </c>
      <c r="K440" s="3">
        <v>0</v>
      </c>
      <c r="L440" s="5">
        <v>0</v>
      </c>
      <c r="M440" s="1" t="s">
        <v>1915</v>
      </c>
      <c r="N440" s="3">
        <v>0</v>
      </c>
      <c r="O440" s="3">
        <v>1</v>
      </c>
      <c r="P440" s="1" t="s">
        <v>39</v>
      </c>
      <c r="Q440" s="4" t="b">
        <v>1</v>
      </c>
      <c r="R440" s="4" t="b">
        <v>0</v>
      </c>
      <c r="S440" s="4" t="b">
        <v>0</v>
      </c>
      <c r="T440" s="3">
        <v>0</v>
      </c>
      <c r="U440" s="4" t="b">
        <v>0</v>
      </c>
      <c r="V440" s="8">
        <v>44892</v>
      </c>
      <c r="W440" s="8">
        <v>44847</v>
      </c>
    </row>
    <row r="441" spans="1:23" ht="14.4" x14ac:dyDescent="0.3">
      <c r="A441" s="3">
        <v>5065065</v>
      </c>
      <c r="B441" s="4" t="b">
        <v>1</v>
      </c>
      <c r="C441" s="1" t="s">
        <v>1895</v>
      </c>
      <c r="D441" s="1" t="s">
        <v>1896</v>
      </c>
      <c r="E441" s="5">
        <v>4887101</v>
      </c>
      <c r="F441" s="5">
        <v>2354869</v>
      </c>
      <c r="G441" s="1" t="s">
        <v>365</v>
      </c>
      <c r="H441" s="1" t="s">
        <v>1897</v>
      </c>
      <c r="I441" s="6">
        <v>44825.35844171296</v>
      </c>
      <c r="J441" s="1">
        <f>33985830993</f>
        <v>33985830993</v>
      </c>
      <c r="K441" s="3">
        <v>0</v>
      </c>
      <c r="L441" s="5">
        <v>0</v>
      </c>
      <c r="M441" s="1"/>
      <c r="N441" s="3">
        <v>0</v>
      </c>
      <c r="O441" s="3">
        <v>2</v>
      </c>
      <c r="P441" s="1" t="s">
        <v>28</v>
      </c>
      <c r="Q441" s="4" t="b">
        <v>1</v>
      </c>
      <c r="R441" s="4" t="b">
        <v>0</v>
      </c>
      <c r="S441" s="4" t="b">
        <v>0</v>
      </c>
      <c r="T441" s="3">
        <v>0</v>
      </c>
      <c r="U441" s="4" t="b">
        <v>0</v>
      </c>
      <c r="V441" s="8">
        <v>44848</v>
      </c>
      <c r="W441" s="8">
        <v>44851</v>
      </c>
    </row>
    <row r="442" spans="1:23" ht="14.4" x14ac:dyDescent="0.3">
      <c r="A442" s="3">
        <v>5065074</v>
      </c>
      <c r="B442" s="4" t="b">
        <v>1</v>
      </c>
      <c r="C442" s="1" t="s">
        <v>1898</v>
      </c>
      <c r="D442" s="1" t="s">
        <v>1899</v>
      </c>
      <c r="E442" s="5">
        <v>4868086</v>
      </c>
      <c r="F442" s="5">
        <v>2535317</v>
      </c>
      <c r="G442" s="1" t="s">
        <v>1900</v>
      </c>
      <c r="H442" s="1" t="s">
        <v>1901</v>
      </c>
      <c r="I442" s="6">
        <v>44825.378897222225</v>
      </c>
      <c r="J442" s="1">
        <f>33933588385</f>
        <v>33933588385</v>
      </c>
      <c r="K442" s="3">
        <v>0</v>
      </c>
      <c r="L442" s="5">
        <v>0</v>
      </c>
      <c r="M442" s="1" t="s">
        <v>1902</v>
      </c>
      <c r="N442" s="3">
        <v>0</v>
      </c>
      <c r="O442" s="3">
        <v>5</v>
      </c>
      <c r="P442" s="1" t="s">
        <v>39</v>
      </c>
      <c r="Q442" s="4" t="b">
        <v>1</v>
      </c>
      <c r="R442" s="4" t="b">
        <v>0</v>
      </c>
      <c r="S442" s="4" t="b">
        <v>0</v>
      </c>
      <c r="T442" s="3">
        <v>0</v>
      </c>
      <c r="U442" s="4" t="b">
        <v>0</v>
      </c>
      <c r="V442" s="8">
        <v>44887</v>
      </c>
      <c r="W442" s="7">
        <v>44839</v>
      </c>
    </row>
    <row r="443" spans="1:23" ht="14.4" x14ac:dyDescent="0.3">
      <c r="A443" s="3">
        <v>5065306</v>
      </c>
      <c r="B443" s="4" t="b">
        <v>1</v>
      </c>
      <c r="C443" s="1" t="s">
        <v>1848</v>
      </c>
      <c r="D443" s="1" t="s">
        <v>1849</v>
      </c>
      <c r="E443" s="5">
        <v>4462957</v>
      </c>
      <c r="F443" s="5">
        <v>1096547</v>
      </c>
      <c r="G443" s="1" t="s">
        <v>1850</v>
      </c>
      <c r="H443" s="1" t="s">
        <v>1851</v>
      </c>
      <c r="I443" s="6">
        <v>44823.356976064817</v>
      </c>
      <c r="J443" s="1">
        <f>390598938933</f>
        <v>390598938933</v>
      </c>
      <c r="K443" s="3">
        <v>0</v>
      </c>
      <c r="L443" s="5">
        <v>0</v>
      </c>
      <c r="M443" s="1"/>
      <c r="N443" s="3">
        <v>20</v>
      </c>
      <c r="O443" s="3">
        <v>4</v>
      </c>
      <c r="P443" s="1" t="s">
        <v>28</v>
      </c>
      <c r="Q443" s="4" t="b">
        <v>0</v>
      </c>
      <c r="R443" s="4" t="b">
        <v>0</v>
      </c>
      <c r="S443" s="4" t="b">
        <v>0</v>
      </c>
      <c r="T443" s="3">
        <v>0</v>
      </c>
      <c r="U443" s="4" t="b">
        <v>0</v>
      </c>
      <c r="V443" s="8">
        <v>44858</v>
      </c>
      <c r="W443" s="7">
        <v>44866</v>
      </c>
    </row>
    <row r="444" spans="1:23" ht="14.4" x14ac:dyDescent="0.3">
      <c r="A444" s="3">
        <v>5065430</v>
      </c>
      <c r="B444" s="4" t="b">
        <v>1</v>
      </c>
      <c r="C444" s="1" t="s">
        <v>1839</v>
      </c>
      <c r="D444" s="1" t="s">
        <v>1840</v>
      </c>
      <c r="E444" s="5">
        <v>5137515</v>
      </c>
      <c r="F444" s="5">
        <v>6760862</v>
      </c>
      <c r="G444" s="1" t="s">
        <v>1841</v>
      </c>
      <c r="H444" s="1" t="s">
        <v>1842</v>
      </c>
      <c r="I444" s="6">
        <v>44823.3194883912</v>
      </c>
      <c r="J444" s="1">
        <f>5980358800830</f>
        <v>5980358800830</v>
      </c>
      <c r="K444" s="3">
        <v>0</v>
      </c>
      <c r="L444" s="5">
        <v>0</v>
      </c>
      <c r="M444" s="1"/>
      <c r="N444" s="3">
        <v>36</v>
      </c>
      <c r="O444" s="3">
        <v>1</v>
      </c>
      <c r="P444" s="1" t="s">
        <v>33</v>
      </c>
      <c r="Q444" s="4" t="b">
        <v>0</v>
      </c>
      <c r="R444" s="4" t="b">
        <v>0</v>
      </c>
      <c r="S444" s="4" t="b">
        <v>0</v>
      </c>
      <c r="T444" s="3">
        <v>0</v>
      </c>
      <c r="U444" s="4" t="b">
        <v>1</v>
      </c>
      <c r="V444" s="7">
        <v>44836</v>
      </c>
      <c r="W444" s="7">
        <v>44844</v>
      </c>
    </row>
    <row r="445" spans="1:23" ht="14.4" x14ac:dyDescent="0.3">
      <c r="A445" s="3">
        <v>5066030</v>
      </c>
      <c r="B445" s="4" t="b">
        <v>1</v>
      </c>
      <c r="C445" s="1" t="s">
        <v>2044</v>
      </c>
      <c r="D445" s="1" t="s">
        <v>2045</v>
      </c>
      <c r="E445" s="5">
        <v>4604297</v>
      </c>
      <c r="F445" s="5">
        <v>8931405</v>
      </c>
      <c r="G445" s="1" t="s">
        <v>2046</v>
      </c>
      <c r="H445" s="1" t="s">
        <v>2047</v>
      </c>
      <c r="I445" s="6">
        <v>44831.496342789353</v>
      </c>
      <c r="J445" s="1">
        <f>53383809353</f>
        <v>53383809353</v>
      </c>
      <c r="K445" s="3">
        <v>0</v>
      </c>
      <c r="L445" s="5">
        <v>0</v>
      </c>
      <c r="M445" s="1" t="s">
        <v>2048</v>
      </c>
      <c r="N445" s="3">
        <v>0</v>
      </c>
      <c r="O445" s="3">
        <v>4</v>
      </c>
      <c r="P445" s="1" t="s">
        <v>28</v>
      </c>
      <c r="Q445" s="4" t="b">
        <v>1</v>
      </c>
      <c r="R445" s="4" t="b">
        <v>0</v>
      </c>
      <c r="S445" s="4" t="b">
        <v>0</v>
      </c>
      <c r="T445" s="3">
        <v>0</v>
      </c>
      <c r="U445" s="4" t="b">
        <v>0</v>
      </c>
      <c r="V445" s="8">
        <v>44891</v>
      </c>
      <c r="W445" s="8">
        <v>44895</v>
      </c>
    </row>
    <row r="446" spans="1:23" ht="14.4" x14ac:dyDescent="0.3">
      <c r="A446" s="3">
        <v>5066300</v>
      </c>
      <c r="B446" s="4" t="b">
        <v>1</v>
      </c>
      <c r="C446" s="1" t="s">
        <v>2091</v>
      </c>
      <c r="D446" s="1" t="s">
        <v>2092</v>
      </c>
      <c r="E446" s="5">
        <v>4888645</v>
      </c>
      <c r="F446" s="5">
        <v>2348282</v>
      </c>
      <c r="G446" s="1" t="s">
        <v>365</v>
      </c>
      <c r="H446" s="1" t="s">
        <v>2093</v>
      </c>
      <c r="I446" s="6">
        <v>44832.382973819447</v>
      </c>
      <c r="J446" s="1">
        <f>33985889335</f>
        <v>33985889335</v>
      </c>
      <c r="K446" s="3">
        <v>0</v>
      </c>
      <c r="L446" s="5">
        <v>0</v>
      </c>
      <c r="M446" s="1" t="s">
        <v>2094</v>
      </c>
      <c r="N446" s="3">
        <v>0</v>
      </c>
      <c r="O446" s="3">
        <v>5</v>
      </c>
      <c r="P446" s="1" t="s">
        <v>39</v>
      </c>
      <c r="Q446" s="4" t="b">
        <v>1</v>
      </c>
      <c r="R446" s="4" t="b">
        <v>0</v>
      </c>
      <c r="S446" s="4" t="b">
        <v>0</v>
      </c>
      <c r="T446" s="3">
        <v>0</v>
      </c>
      <c r="U446" s="4" t="b">
        <v>0</v>
      </c>
      <c r="V446" s="8">
        <v>44885</v>
      </c>
      <c r="W446" s="7">
        <v>44902</v>
      </c>
    </row>
    <row r="447" spans="1:23" ht="14.4" x14ac:dyDescent="0.3">
      <c r="A447" s="3">
        <v>5066301</v>
      </c>
      <c r="B447" s="4" t="b">
        <v>1</v>
      </c>
      <c r="C447" s="1" t="s">
        <v>1454</v>
      </c>
      <c r="D447" s="1" t="s">
        <v>1455</v>
      </c>
      <c r="E447" s="5">
        <v>4822166</v>
      </c>
      <c r="F447" s="5">
        <v>114743</v>
      </c>
      <c r="G447" s="1" t="s">
        <v>2095</v>
      </c>
      <c r="H447" s="1" t="s">
        <v>2096</v>
      </c>
      <c r="I447" s="6">
        <v>44832.396552326391</v>
      </c>
      <c r="J447" s="1">
        <f>5935889300930</f>
        <v>5935889300930</v>
      </c>
      <c r="K447" s="3">
        <v>0</v>
      </c>
      <c r="L447" s="5">
        <v>0</v>
      </c>
      <c r="M447" s="1"/>
      <c r="N447" s="3">
        <v>0</v>
      </c>
      <c r="O447" s="3">
        <v>1</v>
      </c>
      <c r="P447" s="1" t="s">
        <v>28</v>
      </c>
      <c r="Q447" s="4" t="b">
        <v>1</v>
      </c>
      <c r="R447" s="4" t="b">
        <v>0</v>
      </c>
      <c r="S447" s="4" t="b">
        <v>0</v>
      </c>
      <c r="T447" s="3">
        <v>0</v>
      </c>
      <c r="U447" s="4" t="b">
        <v>0</v>
      </c>
      <c r="V447" s="7">
        <v>44897</v>
      </c>
      <c r="W447" s="7">
        <v>44902</v>
      </c>
    </row>
    <row r="448" spans="1:23" ht="14.4" x14ac:dyDescent="0.3">
      <c r="A448" s="3">
        <v>5066304</v>
      </c>
      <c r="B448" s="4" t="b">
        <v>1</v>
      </c>
      <c r="C448" s="1" t="s">
        <v>2097</v>
      </c>
      <c r="D448" s="1" t="s">
        <v>2098</v>
      </c>
      <c r="E448" s="5">
        <v>4137462</v>
      </c>
      <c r="F448" s="5">
        <v>2132909</v>
      </c>
      <c r="G448" s="1" t="s">
        <v>182</v>
      </c>
      <c r="H448" s="1" t="s">
        <v>2099</v>
      </c>
      <c r="I448" s="6">
        <v>44832.419445856482</v>
      </c>
      <c r="J448" s="1">
        <f>35933399330</f>
        <v>35933399330</v>
      </c>
      <c r="K448" s="3">
        <v>0</v>
      </c>
      <c r="L448" s="5">
        <v>0</v>
      </c>
      <c r="M448" s="1" t="s">
        <v>2100</v>
      </c>
      <c r="N448" s="3">
        <v>0</v>
      </c>
      <c r="O448" s="3">
        <v>2</v>
      </c>
      <c r="P448" s="1" t="s">
        <v>28</v>
      </c>
      <c r="Q448" s="4" t="b">
        <v>1</v>
      </c>
      <c r="R448" s="4" t="b">
        <v>0</v>
      </c>
      <c r="S448" s="4" t="b">
        <v>0</v>
      </c>
      <c r="T448" s="3">
        <v>0</v>
      </c>
      <c r="U448" s="4" t="b">
        <v>0</v>
      </c>
      <c r="V448" s="7">
        <v>44901</v>
      </c>
      <c r="W448" s="8">
        <v>44881</v>
      </c>
    </row>
    <row r="449" spans="1:23" ht="14.4" x14ac:dyDescent="0.3">
      <c r="A449" s="3">
        <v>5066304</v>
      </c>
      <c r="B449" s="4" t="b">
        <v>1</v>
      </c>
      <c r="C449" s="1" t="s">
        <v>2104</v>
      </c>
      <c r="D449" s="1" t="s">
        <v>2105</v>
      </c>
      <c r="E449" s="5">
        <v>4889162</v>
      </c>
      <c r="F449" s="5">
        <v>2346141</v>
      </c>
      <c r="G449" s="1" t="s">
        <v>365</v>
      </c>
      <c r="H449" s="1" t="s">
        <v>2106</v>
      </c>
      <c r="I449" s="6">
        <v>44832.450716805557</v>
      </c>
      <c r="J449" s="1">
        <f>33398533588</f>
        <v>33398533588</v>
      </c>
      <c r="K449" s="3">
        <v>0</v>
      </c>
      <c r="L449" s="5">
        <v>0</v>
      </c>
      <c r="M449" s="1" t="s">
        <v>2107</v>
      </c>
      <c r="N449" s="3">
        <v>0</v>
      </c>
      <c r="O449" s="3">
        <v>1</v>
      </c>
      <c r="P449" s="1" t="s">
        <v>28</v>
      </c>
      <c r="Q449" s="4" t="b">
        <v>1</v>
      </c>
      <c r="R449" s="4" t="b">
        <v>0</v>
      </c>
      <c r="S449" s="4" t="b">
        <v>0</v>
      </c>
      <c r="T449" s="3">
        <v>0</v>
      </c>
      <c r="U449" s="4" t="b">
        <v>0</v>
      </c>
      <c r="V449" s="7">
        <v>44899</v>
      </c>
      <c r="W449" s="8">
        <v>44894</v>
      </c>
    </row>
    <row r="450" spans="1:23" ht="14.4" x14ac:dyDescent="0.3">
      <c r="A450" s="3">
        <v>5066305</v>
      </c>
      <c r="B450" s="4" t="b">
        <v>1</v>
      </c>
      <c r="C450" s="1" t="s">
        <v>2108</v>
      </c>
      <c r="D450" s="1" t="s">
        <v>2109</v>
      </c>
      <c r="E450" s="5">
        <v>3864329</v>
      </c>
      <c r="F450" s="5">
        <v>46784</v>
      </c>
      <c r="G450" s="1" t="s">
        <v>2110</v>
      </c>
      <c r="H450" s="1" t="s">
        <v>2111</v>
      </c>
      <c r="I450" s="6">
        <v>44832.457572881947</v>
      </c>
      <c r="J450" s="1">
        <f>35909538338</f>
        <v>35909538338</v>
      </c>
      <c r="K450" s="3">
        <v>0</v>
      </c>
      <c r="L450" s="5">
        <v>0</v>
      </c>
      <c r="M450" s="1" t="s">
        <v>2112</v>
      </c>
      <c r="N450" s="3">
        <v>0</v>
      </c>
      <c r="O450" s="3">
        <v>2</v>
      </c>
      <c r="P450" s="1" t="s">
        <v>33</v>
      </c>
      <c r="Q450" s="4" t="b">
        <v>1</v>
      </c>
      <c r="R450" s="4" t="b">
        <v>0</v>
      </c>
      <c r="S450" s="4" t="b">
        <v>0</v>
      </c>
      <c r="T450" s="3">
        <v>0</v>
      </c>
      <c r="U450" s="4" t="b">
        <v>0</v>
      </c>
      <c r="V450" s="8">
        <v>44886</v>
      </c>
      <c r="W450" s="8">
        <v>44888</v>
      </c>
    </row>
    <row r="451" spans="1:23" ht="14.4" x14ac:dyDescent="0.3">
      <c r="A451" s="3">
        <v>5066430</v>
      </c>
      <c r="B451" s="4" t="b">
        <v>1</v>
      </c>
      <c r="C451" s="1" t="s">
        <v>2086</v>
      </c>
      <c r="D451" s="1" t="s">
        <v>2087</v>
      </c>
      <c r="E451" s="5">
        <v>3734521</v>
      </c>
      <c r="F451" s="5">
        <v>-235935</v>
      </c>
      <c r="G451" s="1" t="s">
        <v>2088</v>
      </c>
      <c r="H451" s="1" t="s">
        <v>2089</v>
      </c>
      <c r="I451" s="6">
        <v>44832.359465648151</v>
      </c>
      <c r="J451" s="1">
        <f>35980889590</f>
        <v>35980889590</v>
      </c>
      <c r="K451" s="3">
        <v>0</v>
      </c>
      <c r="L451" s="5">
        <v>0</v>
      </c>
      <c r="M451" s="1" t="s">
        <v>2090</v>
      </c>
      <c r="N451" s="3">
        <v>0</v>
      </c>
      <c r="O451" s="3">
        <v>1</v>
      </c>
      <c r="P451" s="1" t="s">
        <v>39</v>
      </c>
      <c r="Q451" s="4" t="b">
        <v>1</v>
      </c>
      <c r="R451" s="4" t="b">
        <v>0</v>
      </c>
      <c r="S451" s="4" t="b">
        <v>0</v>
      </c>
      <c r="T451" s="3">
        <v>0</v>
      </c>
      <c r="U451" s="4" t="b">
        <v>0</v>
      </c>
      <c r="V451" s="8">
        <v>44894</v>
      </c>
      <c r="W451" s="7">
        <v>44896</v>
      </c>
    </row>
    <row r="452" spans="1:23" ht="14.4" x14ac:dyDescent="0.3">
      <c r="A452" s="3">
        <v>5066450</v>
      </c>
      <c r="B452" s="4" t="b">
        <v>1</v>
      </c>
      <c r="C452" s="1" t="s">
        <v>2079</v>
      </c>
      <c r="D452" s="1" t="s">
        <v>2080</v>
      </c>
      <c r="E452" s="5">
        <v>4885666</v>
      </c>
      <c r="F452" s="5">
        <v>2284662</v>
      </c>
      <c r="G452" s="1" t="s">
        <v>365</v>
      </c>
      <c r="H452" s="1" t="s">
        <v>2081</v>
      </c>
      <c r="I452" s="6">
        <v>44832.35840665509</v>
      </c>
      <c r="J452" s="1">
        <f>33935993830</f>
        <v>33935993830</v>
      </c>
      <c r="K452" s="3">
        <v>0</v>
      </c>
      <c r="L452" s="5">
        <v>0</v>
      </c>
      <c r="M452" s="1" t="s">
        <v>2082</v>
      </c>
      <c r="N452" s="3">
        <v>0</v>
      </c>
      <c r="O452" s="3">
        <v>1</v>
      </c>
      <c r="P452" s="1" t="s">
        <v>28</v>
      </c>
      <c r="Q452" s="4" t="b">
        <v>1</v>
      </c>
      <c r="R452" s="4" t="b">
        <v>0</v>
      </c>
      <c r="S452" s="4" t="b">
        <v>0</v>
      </c>
      <c r="T452" s="3">
        <v>0</v>
      </c>
      <c r="U452" s="4" t="b">
        <v>0</v>
      </c>
      <c r="V452" s="8">
        <v>44891</v>
      </c>
      <c r="W452" s="8">
        <v>44886</v>
      </c>
    </row>
    <row r="453" spans="1:23" ht="14.4" x14ac:dyDescent="0.3">
      <c r="A453" s="3">
        <v>5066507</v>
      </c>
      <c r="B453" s="4" t="b">
        <v>0</v>
      </c>
      <c r="C453" s="1" t="s">
        <v>1867</v>
      </c>
      <c r="D453" s="1" t="s">
        <v>1868</v>
      </c>
      <c r="E453" s="5">
        <v>4115668</v>
      </c>
      <c r="F453" s="5">
        <v>1105422</v>
      </c>
      <c r="G453" s="1" t="s">
        <v>2076</v>
      </c>
      <c r="H453" s="1" t="s">
        <v>2077</v>
      </c>
      <c r="I453" s="6">
        <v>44832.329297824072</v>
      </c>
      <c r="J453" s="1">
        <f>35935893933</f>
        <v>35935893933</v>
      </c>
      <c r="K453" s="3">
        <v>0</v>
      </c>
      <c r="L453" s="5">
        <v>0</v>
      </c>
      <c r="M453" s="1" t="s">
        <v>2078</v>
      </c>
      <c r="N453" s="3">
        <v>0</v>
      </c>
      <c r="O453" s="3">
        <v>6</v>
      </c>
      <c r="P453" s="1" t="s">
        <v>28</v>
      </c>
      <c r="Q453" s="4" t="b">
        <v>1</v>
      </c>
      <c r="R453" s="4" t="b">
        <v>0</v>
      </c>
      <c r="S453" s="4" t="b">
        <v>0</v>
      </c>
      <c r="T453" s="3">
        <v>0</v>
      </c>
      <c r="U453" s="4" t="b">
        <v>0</v>
      </c>
      <c r="V453" s="8">
        <v>44888</v>
      </c>
      <c r="W453" s="7">
        <v>44898</v>
      </c>
    </row>
    <row r="454" spans="1:23" ht="14.4" x14ac:dyDescent="0.3">
      <c r="A454" s="3">
        <v>5066530</v>
      </c>
      <c r="B454" s="4" t="b">
        <v>1</v>
      </c>
      <c r="C454" s="1" t="s">
        <v>2173</v>
      </c>
      <c r="D454" s="1" t="s">
        <v>2174</v>
      </c>
      <c r="E454" s="5">
        <v>5250508</v>
      </c>
      <c r="F454" s="5">
        <v>1335597</v>
      </c>
      <c r="G454" s="1" t="s">
        <v>1524</v>
      </c>
      <c r="H454" s="1" t="s">
        <v>2175</v>
      </c>
      <c r="I454" s="6">
        <v>44833.349140659724</v>
      </c>
      <c r="J454" s="1">
        <f>593089393938</f>
        <v>593089393938</v>
      </c>
      <c r="K454" s="3">
        <v>0</v>
      </c>
      <c r="L454" s="5">
        <v>0</v>
      </c>
      <c r="M454" s="1"/>
      <c r="N454" s="3">
        <v>0</v>
      </c>
      <c r="O454" s="3">
        <v>0</v>
      </c>
      <c r="P454" s="1" t="s">
        <v>39</v>
      </c>
      <c r="Q454" s="4" t="b">
        <v>1</v>
      </c>
      <c r="R454" s="4" t="b">
        <v>0</v>
      </c>
      <c r="S454" s="4" t="b">
        <v>0</v>
      </c>
      <c r="T454" s="3">
        <v>0</v>
      </c>
      <c r="U454" s="4" t="b">
        <v>0</v>
      </c>
      <c r="V454" s="7">
        <v>44898</v>
      </c>
      <c r="W454" s="7">
        <v>44901</v>
      </c>
    </row>
    <row r="455" spans="1:23" ht="14.4" x14ac:dyDescent="0.3">
      <c r="A455" s="3">
        <v>5066550</v>
      </c>
      <c r="B455" s="4" t="b">
        <v>1</v>
      </c>
      <c r="C455" s="1" t="s">
        <v>2165</v>
      </c>
      <c r="D455" s="1" t="s">
        <v>2166</v>
      </c>
      <c r="E455" s="5">
        <v>413974</v>
      </c>
      <c r="F455" s="5">
        <v>2163884</v>
      </c>
      <c r="G455" s="1" t="s">
        <v>182</v>
      </c>
      <c r="H455" s="1" t="s">
        <v>2167</v>
      </c>
      <c r="I455" s="6">
        <v>44833.338557812502</v>
      </c>
      <c r="J455" s="1">
        <f>35905398939</f>
        <v>35905398939</v>
      </c>
      <c r="K455" s="3">
        <v>0</v>
      </c>
      <c r="L455" s="5">
        <v>0</v>
      </c>
      <c r="M455" s="1" t="s">
        <v>2168</v>
      </c>
      <c r="N455" s="3">
        <v>0</v>
      </c>
      <c r="O455" s="3">
        <v>0</v>
      </c>
      <c r="P455" s="1" t="s">
        <v>39</v>
      </c>
      <c r="Q455" s="4" t="b">
        <v>1</v>
      </c>
      <c r="R455" s="4" t="b">
        <v>0</v>
      </c>
      <c r="S455" s="4" t="b">
        <v>0</v>
      </c>
      <c r="T455" s="3">
        <v>0</v>
      </c>
      <c r="U455" s="4" t="b">
        <v>0</v>
      </c>
      <c r="V455" s="8">
        <v>44891</v>
      </c>
      <c r="W455" s="8">
        <v>44887</v>
      </c>
    </row>
    <row r="456" spans="1:23" ht="14.4" x14ac:dyDescent="0.3">
      <c r="A456" s="3">
        <v>5066630</v>
      </c>
      <c r="B456" s="4" t="b">
        <v>0</v>
      </c>
      <c r="C456" s="1" t="s">
        <v>2117</v>
      </c>
      <c r="D456" s="1" t="s">
        <v>2118</v>
      </c>
      <c r="E456" s="5">
        <v>4042335</v>
      </c>
      <c r="F456" s="5">
        <v>-370681</v>
      </c>
      <c r="G456" s="1" t="s">
        <v>195</v>
      </c>
      <c r="H456" s="1" t="s">
        <v>2119</v>
      </c>
      <c r="I456" s="6">
        <v>44832.532897789351</v>
      </c>
      <c r="J456" s="1">
        <f>35903355358</f>
        <v>35903355358</v>
      </c>
      <c r="K456" s="3">
        <v>0</v>
      </c>
      <c r="L456" s="5">
        <v>0</v>
      </c>
      <c r="M456" s="1" t="s">
        <v>2120</v>
      </c>
      <c r="N456" s="3">
        <v>0</v>
      </c>
      <c r="O456" s="3">
        <v>1</v>
      </c>
      <c r="P456" s="1" t="s">
        <v>28</v>
      </c>
      <c r="Q456" s="4" t="b">
        <v>0</v>
      </c>
      <c r="R456" s="4" t="b">
        <v>1</v>
      </c>
      <c r="S456" s="4" t="b">
        <v>0</v>
      </c>
      <c r="T456" s="3">
        <v>0</v>
      </c>
      <c r="U456" s="4" t="b">
        <v>0</v>
      </c>
      <c r="V456" s="7">
        <v>44897</v>
      </c>
      <c r="W456" s="7">
        <v>44899</v>
      </c>
    </row>
    <row r="457" spans="1:23" ht="14.4" x14ac:dyDescent="0.3">
      <c r="A457" s="3">
        <v>5067030</v>
      </c>
      <c r="B457" s="4" t="b">
        <v>1</v>
      </c>
      <c r="C457" s="1" t="s">
        <v>2212</v>
      </c>
      <c r="D457" s="1" t="s">
        <v>2213</v>
      </c>
      <c r="E457" s="5">
        <v>4190843</v>
      </c>
      <c r="F457" s="5">
        <v>1247613</v>
      </c>
      <c r="G457" s="1" t="s">
        <v>25</v>
      </c>
      <c r="H457" s="1" t="s">
        <v>2214</v>
      </c>
      <c r="I457" s="6">
        <v>44833.386441863426</v>
      </c>
      <c r="J457" s="1">
        <f>393895835333</f>
        <v>393895835333</v>
      </c>
      <c r="K457" s="3">
        <v>0</v>
      </c>
      <c r="L457" s="5">
        <v>0</v>
      </c>
      <c r="M457" s="1">
        <v>6333333337</v>
      </c>
      <c r="N457" s="3">
        <v>0</v>
      </c>
      <c r="O457" s="3">
        <v>0</v>
      </c>
      <c r="P457" s="1" t="s">
        <v>33</v>
      </c>
      <c r="Q457" s="4" t="b">
        <v>1</v>
      </c>
      <c r="R457" s="4" t="b">
        <v>0</v>
      </c>
      <c r="S457" s="4" t="b">
        <v>0</v>
      </c>
      <c r="T457" s="3">
        <v>0</v>
      </c>
      <c r="U457" s="4" t="b">
        <v>0</v>
      </c>
      <c r="V457" s="8">
        <v>44883</v>
      </c>
      <c r="W457" s="7">
        <v>44902</v>
      </c>
    </row>
    <row r="458" spans="1:23" ht="14.4" x14ac:dyDescent="0.3">
      <c r="A458" s="3">
        <v>5067050</v>
      </c>
      <c r="B458" s="4" t="b">
        <v>1</v>
      </c>
      <c r="C458" s="1" t="s">
        <v>2203</v>
      </c>
      <c r="D458" s="1" t="s">
        <v>2204</v>
      </c>
      <c r="E458" s="5">
        <v>4173028</v>
      </c>
      <c r="F458" s="5">
        <v>1821831</v>
      </c>
      <c r="G458" s="1" t="s">
        <v>2205</v>
      </c>
      <c r="H458" s="1" t="s">
        <v>2206</v>
      </c>
      <c r="I458" s="6">
        <v>44833.378539328703</v>
      </c>
      <c r="J458" s="1">
        <f>35993889959</f>
        <v>35993889959</v>
      </c>
      <c r="K458" s="3">
        <v>0</v>
      </c>
      <c r="L458" s="5">
        <v>0</v>
      </c>
      <c r="M458" s="1" t="s">
        <v>2207</v>
      </c>
      <c r="N458" s="3">
        <v>0</v>
      </c>
      <c r="O458" s="3">
        <v>0</v>
      </c>
      <c r="P458" s="1" t="s">
        <v>39</v>
      </c>
      <c r="Q458" s="4" t="b">
        <v>1</v>
      </c>
      <c r="R458" s="4" t="b">
        <v>0</v>
      </c>
      <c r="S458" s="4" t="b">
        <v>0</v>
      </c>
      <c r="T458" s="3">
        <v>0</v>
      </c>
      <c r="U458" s="4" t="b">
        <v>0</v>
      </c>
      <c r="V458" s="8">
        <v>44893</v>
      </c>
      <c r="W458" s="8">
        <v>44878</v>
      </c>
    </row>
    <row r="459" spans="1:23" ht="14.4" x14ac:dyDescent="0.3">
      <c r="A459" s="3">
        <v>5067150</v>
      </c>
      <c r="B459" s="4" t="b">
        <v>1</v>
      </c>
      <c r="C459" s="1" t="s">
        <v>2233</v>
      </c>
      <c r="D459" s="1" t="s">
        <v>2234</v>
      </c>
      <c r="E459" s="5">
        <v>2807835</v>
      </c>
      <c r="F459" s="5">
        <v>-166817</v>
      </c>
      <c r="G459" s="1" t="s">
        <v>2235</v>
      </c>
      <c r="H459" s="1" t="s">
        <v>2236</v>
      </c>
      <c r="I459" s="6">
        <v>44833.434188136576</v>
      </c>
      <c r="J459" s="1">
        <f>35985880898</f>
        <v>35985880898</v>
      </c>
      <c r="K459" s="3">
        <v>0</v>
      </c>
      <c r="L459" s="5">
        <v>0</v>
      </c>
      <c r="M459" s="1" t="s">
        <v>2237</v>
      </c>
      <c r="N459" s="3">
        <v>0</v>
      </c>
      <c r="O459" s="3">
        <v>0</v>
      </c>
      <c r="P459" s="1" t="s">
        <v>28</v>
      </c>
      <c r="Q459" s="4" t="b">
        <v>1</v>
      </c>
      <c r="R459" s="4" t="b">
        <v>0</v>
      </c>
      <c r="S459" s="4" t="b">
        <v>0</v>
      </c>
      <c r="T459" s="3">
        <v>0</v>
      </c>
      <c r="U459" s="4" t="b">
        <v>0</v>
      </c>
      <c r="V459" s="7">
        <v>44877</v>
      </c>
      <c r="W459" s="7">
        <v>44900</v>
      </c>
    </row>
    <row r="460" spans="1:23" ht="14.4" x14ac:dyDescent="0.3">
      <c r="A460" s="3">
        <v>5067430</v>
      </c>
      <c r="B460" s="4" t="b">
        <v>1</v>
      </c>
      <c r="C460" s="1" t="s">
        <v>2332</v>
      </c>
      <c r="D460" s="1" t="s">
        <v>2333</v>
      </c>
      <c r="E460" s="5">
        <v>5470726</v>
      </c>
      <c r="F460" s="5">
        <v>2517276</v>
      </c>
      <c r="G460" s="1" t="s">
        <v>1746</v>
      </c>
      <c r="H460" s="1" t="s">
        <v>2334</v>
      </c>
      <c r="I460" s="6">
        <v>44833.668972314816</v>
      </c>
      <c r="J460" s="1">
        <f>33090893088</f>
        <v>33090893088</v>
      </c>
      <c r="K460" s="3">
        <v>0</v>
      </c>
      <c r="L460" s="5">
        <v>0</v>
      </c>
      <c r="M460" s="1"/>
      <c r="N460" s="3">
        <v>0</v>
      </c>
      <c r="O460" s="3">
        <v>0</v>
      </c>
      <c r="P460" s="1" t="s">
        <v>39</v>
      </c>
      <c r="Q460" s="4" t="b">
        <v>1</v>
      </c>
      <c r="R460" s="4" t="b">
        <v>0</v>
      </c>
      <c r="S460" s="4" t="b">
        <v>0</v>
      </c>
      <c r="T460" s="3">
        <v>0</v>
      </c>
      <c r="U460" s="4" t="b">
        <v>0</v>
      </c>
      <c r="V460" s="8">
        <v>44880</v>
      </c>
      <c r="W460" s="8">
        <v>44879</v>
      </c>
    </row>
    <row r="461" spans="1:23" ht="14.4" x14ac:dyDescent="0.3">
      <c r="A461" s="3">
        <v>5067450</v>
      </c>
      <c r="B461" s="4" t="b">
        <v>1</v>
      </c>
      <c r="C461" s="1" t="s">
        <v>2324</v>
      </c>
      <c r="D461" s="1" t="s">
        <v>2325</v>
      </c>
      <c r="E461" s="5">
        <v>4495967</v>
      </c>
      <c r="F461" s="5">
        <v>7601545</v>
      </c>
      <c r="G461" s="1" t="s">
        <v>2326</v>
      </c>
      <c r="H461" s="1" t="s">
        <v>2327</v>
      </c>
      <c r="I461" s="6">
        <v>44833.653962303244</v>
      </c>
      <c r="J461" s="1">
        <f>393859930333</f>
        <v>393859930333</v>
      </c>
      <c r="K461" s="3">
        <v>0</v>
      </c>
      <c r="L461" s="5">
        <v>0</v>
      </c>
      <c r="M461" s="1">
        <v>363333333</v>
      </c>
      <c r="N461" s="3">
        <v>0</v>
      </c>
      <c r="O461" s="3">
        <v>0</v>
      </c>
      <c r="P461" s="1" t="s">
        <v>39</v>
      </c>
      <c r="Q461" s="4" t="b">
        <v>1</v>
      </c>
      <c r="R461" s="4" t="b">
        <v>0</v>
      </c>
      <c r="S461" s="4" t="b">
        <v>0</v>
      </c>
      <c r="T461" s="3">
        <v>0</v>
      </c>
      <c r="U461" s="4" t="b">
        <v>0</v>
      </c>
      <c r="V461" s="8">
        <v>44878</v>
      </c>
      <c r="W461" s="8">
        <v>44879</v>
      </c>
    </row>
    <row r="462" spans="1:23" ht="14.4" x14ac:dyDescent="0.3">
      <c r="A462" s="3">
        <v>5067500</v>
      </c>
      <c r="B462" s="4" t="b">
        <v>1</v>
      </c>
      <c r="C462" s="1" t="s">
        <v>2283</v>
      </c>
      <c r="D462" s="1" t="s">
        <v>2284</v>
      </c>
      <c r="E462" s="5">
        <v>5150845</v>
      </c>
      <c r="F462" s="5">
        <v>-33522</v>
      </c>
      <c r="G462" s="1" t="s">
        <v>1367</v>
      </c>
      <c r="H462" s="1" t="s">
        <v>2285</v>
      </c>
      <c r="I462" s="6">
        <v>44833.548826157406</v>
      </c>
      <c r="J462" s="1">
        <f>553580358950</f>
        <v>553580358950</v>
      </c>
      <c r="K462" s="3">
        <v>0</v>
      </c>
      <c r="L462" s="5">
        <v>0</v>
      </c>
      <c r="M462" s="1" t="s">
        <v>2286</v>
      </c>
      <c r="N462" s="3">
        <v>0</v>
      </c>
      <c r="O462" s="3">
        <v>0</v>
      </c>
      <c r="P462" s="1" t="s">
        <v>39</v>
      </c>
      <c r="Q462" s="4" t="b">
        <v>0</v>
      </c>
      <c r="R462" s="4" t="b">
        <v>1</v>
      </c>
      <c r="S462" s="4" t="b">
        <v>1</v>
      </c>
      <c r="T462" s="3">
        <v>0</v>
      </c>
      <c r="U462" s="4" t="b">
        <v>0</v>
      </c>
      <c r="V462" s="8">
        <v>44880</v>
      </c>
      <c r="W462" s="8">
        <v>44878</v>
      </c>
    </row>
    <row r="463" spans="1:23" ht="14.4" x14ac:dyDescent="0.3">
      <c r="A463" s="3">
        <v>5067501</v>
      </c>
      <c r="B463" s="4" t="b">
        <v>1</v>
      </c>
      <c r="C463" s="1" t="s">
        <v>2287</v>
      </c>
      <c r="D463" s="1" t="s">
        <v>2288</v>
      </c>
      <c r="E463" s="5">
        <v>4117861</v>
      </c>
      <c r="F463" s="5">
        <v>-838731</v>
      </c>
      <c r="G463" s="1" t="s">
        <v>2289</v>
      </c>
      <c r="H463" s="1" t="s">
        <v>2290</v>
      </c>
      <c r="I463" s="6">
        <v>44833.561384166664</v>
      </c>
      <c r="J463" s="1">
        <f>353885355335</f>
        <v>353885355335</v>
      </c>
      <c r="K463" s="3">
        <v>0</v>
      </c>
      <c r="L463" s="5">
        <v>0</v>
      </c>
      <c r="M463" s="1">
        <v>336336673</v>
      </c>
      <c r="N463" s="3">
        <v>0</v>
      </c>
      <c r="O463" s="3">
        <v>0</v>
      </c>
      <c r="P463" s="1" t="s">
        <v>33</v>
      </c>
      <c r="Q463" s="4" t="b">
        <v>1</v>
      </c>
      <c r="R463" s="4" t="b">
        <v>0</v>
      </c>
      <c r="S463" s="4" t="b">
        <v>0</v>
      </c>
      <c r="T463" s="3">
        <v>0</v>
      </c>
      <c r="U463" s="4" t="b">
        <v>0</v>
      </c>
      <c r="V463" s="8">
        <v>44894</v>
      </c>
      <c r="W463" s="8">
        <v>44884</v>
      </c>
    </row>
    <row r="464" spans="1:23" ht="14.4" x14ac:dyDescent="0.3">
      <c r="A464" s="3">
        <v>5067504</v>
      </c>
      <c r="B464" s="4" t="b">
        <v>1</v>
      </c>
      <c r="C464" s="1" t="s">
        <v>1684</v>
      </c>
      <c r="D464" s="1" t="s">
        <v>1685</v>
      </c>
      <c r="E464" s="5">
        <v>4548612</v>
      </c>
      <c r="F464" s="5">
        <v>9217382</v>
      </c>
      <c r="G464" s="1" t="s">
        <v>37</v>
      </c>
      <c r="H464" s="1" t="s">
        <v>2298</v>
      </c>
      <c r="I464" s="6">
        <v>44833.574849907411</v>
      </c>
      <c r="J464" s="1">
        <f>39089305899</f>
        <v>39089305899</v>
      </c>
      <c r="K464" s="3">
        <v>0</v>
      </c>
      <c r="L464" s="5">
        <v>0</v>
      </c>
      <c r="M464" s="1">
        <v>7336733766</v>
      </c>
      <c r="N464" s="3">
        <v>0</v>
      </c>
      <c r="O464" s="3">
        <v>0</v>
      </c>
      <c r="P464" s="1" t="s">
        <v>39</v>
      </c>
      <c r="Q464" s="4" t="b">
        <v>1</v>
      </c>
      <c r="R464" s="4" t="b">
        <v>0</v>
      </c>
      <c r="S464" s="4" t="b">
        <v>0</v>
      </c>
      <c r="T464" s="3">
        <v>0</v>
      </c>
      <c r="U464" s="4" t="b">
        <v>0</v>
      </c>
      <c r="V464" s="8">
        <v>44888</v>
      </c>
      <c r="W464" s="8">
        <v>44877</v>
      </c>
    </row>
    <row r="465" spans="1:23" ht="14.4" x14ac:dyDescent="0.3">
      <c r="A465" s="3">
        <v>5067504</v>
      </c>
      <c r="B465" s="4" t="b">
        <v>1</v>
      </c>
      <c r="C465" s="1" t="s">
        <v>2309</v>
      </c>
      <c r="D465" s="1" t="s">
        <v>2310</v>
      </c>
      <c r="E465" s="5">
        <v>4372371</v>
      </c>
      <c r="F465" s="5">
        <v>4025746</v>
      </c>
      <c r="G465" s="1" t="s">
        <v>2311</v>
      </c>
      <c r="H465" s="1" t="s">
        <v>2312</v>
      </c>
      <c r="I465" s="6">
        <v>44833.620948206022</v>
      </c>
      <c r="J465" s="1">
        <f>33909353803</f>
        <v>33909353803</v>
      </c>
      <c r="K465" s="3">
        <v>0</v>
      </c>
      <c r="L465" s="5">
        <v>0</v>
      </c>
      <c r="M465" s="1" t="s">
        <v>2313</v>
      </c>
      <c r="N465" s="3">
        <v>0</v>
      </c>
      <c r="O465" s="3">
        <v>0</v>
      </c>
      <c r="P465" s="1" t="s">
        <v>39</v>
      </c>
      <c r="Q465" s="4" t="b">
        <v>1</v>
      </c>
      <c r="R465" s="4" t="b">
        <v>0</v>
      </c>
      <c r="S465" s="4" t="b">
        <v>0</v>
      </c>
      <c r="T465" s="3">
        <v>0</v>
      </c>
      <c r="U465" s="4" t="b">
        <v>0</v>
      </c>
      <c r="V465" s="7">
        <v>44895</v>
      </c>
      <c r="W465" s="7">
        <v>44888</v>
      </c>
    </row>
    <row r="466" spans="1:23" ht="14.4" x14ac:dyDescent="0.3">
      <c r="A466" s="3">
        <v>5067505</v>
      </c>
      <c r="B466" s="4" t="b">
        <v>1</v>
      </c>
      <c r="C466" s="1" t="s">
        <v>2291</v>
      </c>
      <c r="D466" s="1" t="s">
        <v>2292</v>
      </c>
      <c r="E466" s="5">
        <v>418953</v>
      </c>
      <c r="F466" s="5">
        <v>1256602</v>
      </c>
      <c r="G466" s="1" t="s">
        <v>25</v>
      </c>
      <c r="H466" s="1" t="s">
        <v>2293</v>
      </c>
      <c r="I466" s="6">
        <v>44833.568594895834</v>
      </c>
      <c r="J466" s="1">
        <f>393538309535</f>
        <v>393538309535</v>
      </c>
      <c r="K466" s="3">
        <v>0</v>
      </c>
      <c r="L466" s="5">
        <v>0</v>
      </c>
      <c r="M466" s="1">
        <v>6373673337</v>
      </c>
      <c r="N466" s="3">
        <v>0</v>
      </c>
      <c r="O466" s="3">
        <v>0</v>
      </c>
      <c r="P466" s="1" t="s">
        <v>39</v>
      </c>
      <c r="Q466" s="4" t="b">
        <v>1</v>
      </c>
      <c r="R466" s="4" t="b">
        <v>0</v>
      </c>
      <c r="S466" s="4" t="b">
        <v>1</v>
      </c>
      <c r="T466" s="3">
        <v>0</v>
      </c>
      <c r="U466" s="4" t="b">
        <v>0</v>
      </c>
      <c r="V466" s="7">
        <v>44903</v>
      </c>
      <c r="W466" s="8">
        <v>44892</v>
      </c>
    </row>
    <row r="467" spans="1:23" ht="14.4" x14ac:dyDescent="0.3">
      <c r="A467" s="3">
        <v>5067505</v>
      </c>
      <c r="B467" s="4" t="b">
        <v>1</v>
      </c>
      <c r="C467" s="1" t="s">
        <v>2108</v>
      </c>
      <c r="D467" s="1" t="s">
        <v>2109</v>
      </c>
      <c r="E467" s="5">
        <v>3940958</v>
      </c>
      <c r="F467" s="5">
        <v>-913934</v>
      </c>
      <c r="G467" s="1" t="s">
        <v>2314</v>
      </c>
      <c r="H467" s="1" t="s">
        <v>2315</v>
      </c>
      <c r="I467" s="6">
        <v>44833.637543356483</v>
      </c>
      <c r="J467" s="1">
        <f>353933998938</f>
        <v>353933998938</v>
      </c>
      <c r="K467" s="3">
        <v>0</v>
      </c>
      <c r="L467" s="5">
        <v>0</v>
      </c>
      <c r="M467" s="1">
        <v>73367337</v>
      </c>
      <c r="N467" s="3">
        <v>0</v>
      </c>
      <c r="O467" s="3">
        <v>0</v>
      </c>
      <c r="P467" s="1" t="s">
        <v>33</v>
      </c>
      <c r="Q467" s="4" t="b">
        <v>1</v>
      </c>
      <c r="R467" s="4" t="b">
        <v>0</v>
      </c>
      <c r="S467" s="4" t="b">
        <v>0</v>
      </c>
      <c r="T467" s="3">
        <v>0</v>
      </c>
      <c r="U467" s="4" t="b">
        <v>0</v>
      </c>
      <c r="V467" s="7">
        <v>44902</v>
      </c>
      <c r="W467" s="7">
        <v>44897</v>
      </c>
    </row>
    <row r="468" spans="1:23" ht="14.4" x14ac:dyDescent="0.3">
      <c r="A468" s="3">
        <v>5067506</v>
      </c>
      <c r="B468" s="4" t="b">
        <v>1</v>
      </c>
      <c r="C468" s="1" t="s">
        <v>2302</v>
      </c>
      <c r="D468" s="1" t="s">
        <v>2303</v>
      </c>
      <c r="E468" s="5">
        <v>4907515</v>
      </c>
      <c r="F468" s="5">
        <v>4144174</v>
      </c>
      <c r="G468" s="1" t="s">
        <v>2304</v>
      </c>
      <c r="H468" s="1" t="s">
        <v>2305</v>
      </c>
      <c r="I468" s="6">
        <v>44833.58004847222</v>
      </c>
      <c r="J468" s="1">
        <f>33983393993</f>
        <v>33983393993</v>
      </c>
      <c r="K468" s="3">
        <v>0</v>
      </c>
      <c r="L468" s="5">
        <v>0</v>
      </c>
      <c r="M468" s="1"/>
      <c r="N468" s="3">
        <v>0</v>
      </c>
      <c r="O468" s="3">
        <v>0</v>
      </c>
      <c r="P468" s="1" t="s">
        <v>33</v>
      </c>
      <c r="Q468" s="4" t="b">
        <v>1</v>
      </c>
      <c r="R468" s="4" t="b">
        <v>0</v>
      </c>
      <c r="S468" s="4" t="b">
        <v>0</v>
      </c>
      <c r="T468" s="3">
        <v>0</v>
      </c>
      <c r="U468" s="4" t="b">
        <v>0</v>
      </c>
      <c r="V468" s="7">
        <v>44901</v>
      </c>
      <c r="W468" s="7">
        <v>44896</v>
      </c>
    </row>
    <row r="469" spans="1:23" ht="14.4" x14ac:dyDescent="0.3">
      <c r="A469" s="3">
        <v>5067507</v>
      </c>
      <c r="B469" s="4" t="b">
        <v>1</v>
      </c>
      <c r="C469" s="1" t="s">
        <v>2306</v>
      </c>
      <c r="D469" s="1" t="s">
        <v>2307</v>
      </c>
      <c r="E469" s="5">
        <v>4544495</v>
      </c>
      <c r="F469" s="5">
        <v>9129196</v>
      </c>
      <c r="G469" s="1" t="s">
        <v>37</v>
      </c>
      <c r="H469" s="1" t="s">
        <v>2308</v>
      </c>
      <c r="I469" s="6">
        <v>44833.607256099538</v>
      </c>
      <c r="J469" s="1">
        <f>393333893859</f>
        <v>393333893859</v>
      </c>
      <c r="K469" s="3">
        <v>0</v>
      </c>
      <c r="L469" s="5">
        <v>0</v>
      </c>
      <c r="M469" s="1">
        <v>7736363763</v>
      </c>
      <c r="N469" s="3">
        <v>0</v>
      </c>
      <c r="O469" s="3">
        <v>0</v>
      </c>
      <c r="P469" s="1" t="s">
        <v>28</v>
      </c>
      <c r="Q469" s="4" t="b">
        <v>1</v>
      </c>
      <c r="R469" s="4" t="b">
        <v>0</v>
      </c>
      <c r="S469" s="4" t="b">
        <v>0</v>
      </c>
      <c r="T469" s="3">
        <v>0</v>
      </c>
      <c r="U469" s="4" t="b">
        <v>0</v>
      </c>
      <c r="V469" s="8">
        <v>44891</v>
      </c>
      <c r="W469" s="8">
        <v>44891</v>
      </c>
    </row>
    <row r="470" spans="1:23" ht="14.4" x14ac:dyDescent="0.3">
      <c r="A470" s="3">
        <v>5067530</v>
      </c>
      <c r="B470" s="4" t="b">
        <v>1</v>
      </c>
      <c r="C470" s="1" t="s">
        <v>2263</v>
      </c>
      <c r="D470" s="1" t="s">
        <v>2264</v>
      </c>
      <c r="E470" s="5">
        <v>4621293</v>
      </c>
      <c r="F470" s="5">
        <v>1108943</v>
      </c>
      <c r="G470" s="1" t="s">
        <v>2265</v>
      </c>
      <c r="H470" s="1" t="s">
        <v>2266</v>
      </c>
      <c r="I470" s="6">
        <v>44833.527910972225</v>
      </c>
      <c r="J470" s="1">
        <f>393899083938</f>
        <v>393899083938</v>
      </c>
      <c r="K470" s="3">
        <v>0</v>
      </c>
      <c r="L470" s="5">
        <v>0</v>
      </c>
      <c r="M470" s="1"/>
      <c r="N470" s="3">
        <v>0</v>
      </c>
      <c r="O470" s="3">
        <v>0</v>
      </c>
      <c r="P470" s="1" t="s">
        <v>33</v>
      </c>
      <c r="Q470" s="4" t="b">
        <v>0</v>
      </c>
      <c r="R470" s="4" t="b">
        <v>0</v>
      </c>
      <c r="S470" s="4" t="b">
        <v>0</v>
      </c>
      <c r="T470" s="3">
        <v>0</v>
      </c>
      <c r="U470" s="4" t="b">
        <v>0</v>
      </c>
      <c r="V470" s="7">
        <v>44892</v>
      </c>
      <c r="W470" s="7">
        <v>44890</v>
      </c>
    </row>
    <row r="471" spans="1:23" ht="14.4" x14ac:dyDescent="0.3">
      <c r="A471" s="3">
        <v>5067550</v>
      </c>
      <c r="B471" s="4" t="b">
        <v>1</v>
      </c>
      <c r="C471" s="1" t="s">
        <v>1994</v>
      </c>
      <c r="D471" s="1" t="s">
        <v>1995</v>
      </c>
      <c r="E471" s="5">
        <v>4715573</v>
      </c>
      <c r="F471" s="5">
        <v>6570534</v>
      </c>
      <c r="G471" s="1" t="s">
        <v>2256</v>
      </c>
      <c r="H471" s="1" t="s">
        <v>2257</v>
      </c>
      <c r="I471" s="6">
        <v>44833.521899756946</v>
      </c>
      <c r="J471" s="1">
        <f>33938859338</f>
        <v>33938859338</v>
      </c>
      <c r="K471" s="3">
        <v>0</v>
      </c>
      <c r="L471" s="5">
        <v>0</v>
      </c>
      <c r="M471" s="1" t="s">
        <v>2258</v>
      </c>
      <c r="N471" s="3">
        <v>0</v>
      </c>
      <c r="O471" s="3">
        <v>0</v>
      </c>
      <c r="P471" s="1" t="s">
        <v>28</v>
      </c>
      <c r="Q471" s="4" t="b">
        <v>1</v>
      </c>
      <c r="R471" s="4" t="b">
        <v>0</v>
      </c>
      <c r="S471" s="4" t="b">
        <v>0</v>
      </c>
      <c r="T471" s="3">
        <v>0</v>
      </c>
      <c r="U471" s="4" t="b">
        <v>0</v>
      </c>
      <c r="V471" s="7">
        <v>44887</v>
      </c>
      <c r="W471" s="7">
        <v>44894</v>
      </c>
    </row>
    <row r="472" spans="1:23" ht="14.4" x14ac:dyDescent="0.3">
      <c r="A472" s="3">
        <v>5130504</v>
      </c>
      <c r="B472" s="4" t="b">
        <v>1</v>
      </c>
      <c r="C472" s="1" t="s">
        <v>565</v>
      </c>
      <c r="D472" s="1" t="s">
        <v>566</v>
      </c>
      <c r="E472" s="5">
        <v>3701887</v>
      </c>
      <c r="F472" s="5">
        <v>-45608</v>
      </c>
      <c r="G472" s="1" t="s">
        <v>567</v>
      </c>
      <c r="H472" s="1" t="s">
        <v>568</v>
      </c>
      <c r="I472" s="6">
        <v>44089.473662974538</v>
      </c>
      <c r="J472" s="1">
        <f>35958853838</f>
        <v>35958853838</v>
      </c>
      <c r="K472" s="3">
        <v>197</v>
      </c>
      <c r="L472" s="5">
        <v>4908629</v>
      </c>
      <c r="M472" s="1" t="s">
        <v>569</v>
      </c>
      <c r="N472" s="3">
        <v>3259</v>
      </c>
      <c r="O472" s="3">
        <v>9</v>
      </c>
      <c r="P472" s="1" t="s">
        <v>33</v>
      </c>
      <c r="Q472" s="4" t="b">
        <v>0</v>
      </c>
      <c r="R472" s="4" t="b">
        <v>1</v>
      </c>
      <c r="S472" s="4" t="b">
        <v>0</v>
      </c>
      <c r="T472" s="3" t="s">
        <v>570</v>
      </c>
      <c r="U472" s="4" t="b">
        <v>0</v>
      </c>
      <c r="V472" s="7">
        <v>44903</v>
      </c>
      <c r="W472" s="7">
        <v>44903</v>
      </c>
    </row>
    <row r="473" spans="1:23" ht="14.4" x14ac:dyDescent="0.3">
      <c r="A473" s="3">
        <v>5145050</v>
      </c>
      <c r="B473" s="4" t="b">
        <v>1</v>
      </c>
      <c r="C473" s="1" t="s">
        <v>556</v>
      </c>
      <c r="D473" s="1" t="s">
        <v>557</v>
      </c>
      <c r="E473" s="5">
        <v>3813805</v>
      </c>
      <c r="F473" s="5">
        <v>1496661</v>
      </c>
      <c r="G473" s="1" t="s">
        <v>558</v>
      </c>
      <c r="H473" s="1" t="s">
        <v>559</v>
      </c>
      <c r="I473" s="6">
        <v>44081.646806331017</v>
      </c>
      <c r="J473" s="1">
        <f>390953339553</f>
        <v>390953339553</v>
      </c>
      <c r="K473" s="3">
        <v>138</v>
      </c>
      <c r="L473" s="5">
        <v>4891304</v>
      </c>
      <c r="M473" s="1">
        <v>7637733373</v>
      </c>
      <c r="N473" s="3">
        <v>1885</v>
      </c>
      <c r="O473" s="3">
        <v>5</v>
      </c>
      <c r="P473" s="1" t="s">
        <v>39</v>
      </c>
      <c r="Q473" s="4" t="b">
        <v>0</v>
      </c>
      <c r="R473" s="4" t="b">
        <v>1</v>
      </c>
      <c r="S473" s="4" t="b">
        <v>0</v>
      </c>
      <c r="T473" s="3" t="s">
        <v>560</v>
      </c>
      <c r="U473" s="4" t="b">
        <v>0</v>
      </c>
      <c r="V473" s="7">
        <v>44903</v>
      </c>
      <c r="W473" s="7">
        <v>44903</v>
      </c>
    </row>
    <row r="474" spans="1:23" ht="14.4" x14ac:dyDescent="0.3">
      <c r="A474" s="3">
        <v>5150305</v>
      </c>
      <c r="B474" s="4" t="b">
        <v>1</v>
      </c>
      <c r="C474" s="1" t="s">
        <v>546</v>
      </c>
      <c r="D474" s="1" t="s">
        <v>547</v>
      </c>
      <c r="E474" s="5">
        <v>4047658</v>
      </c>
      <c r="F474" s="5">
        <v>-348045</v>
      </c>
      <c r="G474" s="1" t="s">
        <v>548</v>
      </c>
      <c r="H474" s="1" t="s">
        <v>549</v>
      </c>
      <c r="I474" s="6">
        <v>44075.461537592593</v>
      </c>
      <c r="J474" s="1">
        <f>35933338583</f>
        <v>35933338583</v>
      </c>
      <c r="K474" s="3">
        <v>130</v>
      </c>
      <c r="L474" s="5">
        <v>4646154</v>
      </c>
      <c r="M474" s="1" t="s">
        <v>550</v>
      </c>
      <c r="N474" s="3">
        <v>5550</v>
      </c>
      <c r="O474" s="3">
        <v>7</v>
      </c>
      <c r="P474" s="1" t="s">
        <v>28</v>
      </c>
      <c r="Q474" s="4" t="b">
        <v>0</v>
      </c>
      <c r="R474" s="4" t="b">
        <v>1</v>
      </c>
      <c r="S474" s="4" t="b">
        <v>0</v>
      </c>
      <c r="T474" s="3" t="s">
        <v>551</v>
      </c>
      <c r="U474" s="4" t="b">
        <v>0</v>
      </c>
      <c r="V474" s="7">
        <v>44890</v>
      </c>
      <c r="W474" s="7">
        <v>44871</v>
      </c>
    </row>
    <row r="475" spans="1:23" ht="14.4" x14ac:dyDescent="0.3">
      <c r="A475" s="3">
        <v>5150506</v>
      </c>
      <c r="B475" s="4" t="b">
        <v>1</v>
      </c>
      <c r="C475" s="1" t="s">
        <v>542</v>
      </c>
      <c r="D475" s="1" t="s">
        <v>543</v>
      </c>
      <c r="E475" s="5">
        <v>4366177</v>
      </c>
      <c r="F475" s="5">
        <v>1144881</v>
      </c>
      <c r="G475" s="1" t="s">
        <v>544</v>
      </c>
      <c r="H475" s="1" t="s">
        <v>545</v>
      </c>
      <c r="I475" s="6">
        <v>44074.578676655095</v>
      </c>
      <c r="J475" s="1">
        <f>390558339339</f>
        <v>390558339339</v>
      </c>
      <c r="K475" s="3">
        <v>0</v>
      </c>
      <c r="L475" s="5">
        <v>0</v>
      </c>
      <c r="M475" s="1">
        <v>7367333333</v>
      </c>
      <c r="N475" s="3">
        <v>1355</v>
      </c>
      <c r="O475" s="3">
        <v>7</v>
      </c>
      <c r="P475" s="1" t="s">
        <v>39</v>
      </c>
      <c r="Q475" s="4" t="b">
        <v>0</v>
      </c>
      <c r="R475" s="4" t="b">
        <v>1</v>
      </c>
      <c r="S475" s="4" t="b">
        <v>0</v>
      </c>
      <c r="T475" s="3">
        <v>0</v>
      </c>
      <c r="U475" s="4" t="b">
        <v>0</v>
      </c>
      <c r="V475" s="7">
        <v>44823</v>
      </c>
      <c r="W475" s="7">
        <v>44684</v>
      </c>
    </row>
    <row r="476" spans="1:23" ht="14.4" x14ac:dyDescent="0.3">
      <c r="A476" s="3">
        <v>5300450</v>
      </c>
      <c r="B476" s="4" t="b">
        <v>1</v>
      </c>
      <c r="C476" s="1" t="s">
        <v>658</v>
      </c>
      <c r="D476" s="1" t="s">
        <v>659</v>
      </c>
      <c r="E476" s="5">
        <v>4438093</v>
      </c>
      <c r="F476" s="5">
        <v>7538481</v>
      </c>
      <c r="G476" s="1" t="s">
        <v>660</v>
      </c>
      <c r="H476" s="1" t="s">
        <v>661</v>
      </c>
      <c r="I476" s="6">
        <v>44222.698709594908</v>
      </c>
      <c r="J476" s="1">
        <f>390333930898</f>
        <v>390333930898</v>
      </c>
      <c r="K476" s="3">
        <v>213</v>
      </c>
      <c r="L476" s="5">
        <v>4901408</v>
      </c>
      <c r="M476" s="1">
        <v>7376333333</v>
      </c>
      <c r="N476" s="3">
        <v>1218</v>
      </c>
      <c r="O476" s="3">
        <v>4</v>
      </c>
      <c r="P476" s="1" t="s">
        <v>33</v>
      </c>
      <c r="Q476" s="4" t="b">
        <v>0</v>
      </c>
      <c r="R476" s="4" t="b">
        <v>0</v>
      </c>
      <c r="S476" s="4" t="b">
        <v>0</v>
      </c>
      <c r="T476" s="3" t="s">
        <v>170</v>
      </c>
      <c r="U476" s="4" t="b">
        <v>0</v>
      </c>
      <c r="V476" s="7">
        <v>44644</v>
      </c>
      <c r="W476" s="7">
        <v>44687</v>
      </c>
    </row>
    <row r="477" spans="1:23" ht="14.4" x14ac:dyDescent="0.3">
      <c r="A477" s="3">
        <v>5303044</v>
      </c>
      <c r="B477" s="4" t="b">
        <v>1</v>
      </c>
      <c r="C477" s="1" t="s">
        <v>700</v>
      </c>
      <c r="D477" s="1" t="s">
        <v>701</v>
      </c>
      <c r="E477" s="5">
        <v>4543633</v>
      </c>
      <c r="F477" s="5">
        <v>9179008</v>
      </c>
      <c r="G477" s="1" t="s">
        <v>37</v>
      </c>
      <c r="H477" s="1" t="s">
        <v>702</v>
      </c>
      <c r="I477" s="6">
        <v>44270.396820196758</v>
      </c>
      <c r="J477" s="1">
        <f>393895903539</f>
        <v>393895903539</v>
      </c>
      <c r="K477" s="3">
        <v>0</v>
      </c>
      <c r="L477" s="5">
        <v>0</v>
      </c>
      <c r="M477" s="1">
        <v>637633333</v>
      </c>
      <c r="N477" s="3">
        <v>2373</v>
      </c>
      <c r="O477" s="3">
        <v>4</v>
      </c>
      <c r="P477" s="1" t="s">
        <v>39</v>
      </c>
      <c r="Q477" s="4" t="b">
        <v>0</v>
      </c>
      <c r="R477" s="4" t="b">
        <v>0</v>
      </c>
      <c r="S477" s="4" t="b">
        <v>0</v>
      </c>
      <c r="T477" s="3">
        <v>0</v>
      </c>
      <c r="U477" s="4" t="b">
        <v>0</v>
      </c>
      <c r="V477" s="8">
        <v>44890</v>
      </c>
      <c r="W477" s="8">
        <v>44850</v>
      </c>
    </row>
    <row r="478" spans="1:23" ht="14.4" x14ac:dyDescent="0.3">
      <c r="A478" s="3">
        <v>5303050</v>
      </c>
      <c r="B478" s="4" t="b">
        <v>1</v>
      </c>
      <c r="C478" s="1" t="s">
        <v>489</v>
      </c>
      <c r="D478" s="1" t="s">
        <v>490</v>
      </c>
      <c r="E478" s="5">
        <v>404005</v>
      </c>
      <c r="F478" s="5">
        <v>-371009</v>
      </c>
      <c r="G478" s="1" t="s">
        <v>195</v>
      </c>
      <c r="H478" s="1" t="s">
        <v>697</v>
      </c>
      <c r="I478" s="6">
        <v>44266.700161863424</v>
      </c>
      <c r="J478" s="1">
        <f>35935333059</f>
        <v>35935333059</v>
      </c>
      <c r="K478" s="3">
        <v>30</v>
      </c>
      <c r="L478" s="5">
        <v>5</v>
      </c>
      <c r="M478" s="1" t="s">
        <v>698</v>
      </c>
      <c r="N478" s="3">
        <v>5268</v>
      </c>
      <c r="O478" s="3">
        <v>6</v>
      </c>
      <c r="P478" s="1" t="s">
        <v>28</v>
      </c>
      <c r="Q478" s="4" t="b">
        <v>0</v>
      </c>
      <c r="R478" s="4" t="b">
        <v>1</v>
      </c>
      <c r="S478" s="4" t="b">
        <v>0</v>
      </c>
      <c r="T478" s="3" t="s">
        <v>699</v>
      </c>
      <c r="U478" s="4" t="b">
        <v>0</v>
      </c>
      <c r="V478" s="7">
        <v>44903</v>
      </c>
      <c r="W478" s="7">
        <v>44903</v>
      </c>
    </row>
    <row r="479" spans="1:23" ht="14.4" x14ac:dyDescent="0.3">
      <c r="A479" s="3">
        <v>5303056</v>
      </c>
      <c r="B479" s="4" t="b">
        <v>1</v>
      </c>
      <c r="C479" s="1" t="s">
        <v>703</v>
      </c>
      <c r="D479" s="1" t="s">
        <v>704</v>
      </c>
      <c r="E479" s="5">
        <v>4091008</v>
      </c>
      <c r="F479" s="5">
        <v>1439398</v>
      </c>
      <c r="G479" s="1" t="s">
        <v>705</v>
      </c>
      <c r="H479" s="1" t="s">
        <v>706</v>
      </c>
      <c r="I479" s="6">
        <v>44277.367886122687</v>
      </c>
      <c r="J479" s="1">
        <f>3908339339953</f>
        <v>3908339339953</v>
      </c>
      <c r="K479" s="3">
        <v>0</v>
      </c>
      <c r="L479" s="5">
        <v>0</v>
      </c>
      <c r="M479" s="1">
        <v>777773336</v>
      </c>
      <c r="N479" s="3">
        <v>667</v>
      </c>
      <c r="O479" s="3">
        <v>2</v>
      </c>
      <c r="P479" s="1" t="s">
        <v>33</v>
      </c>
      <c r="Q479" s="4" t="b">
        <v>0</v>
      </c>
      <c r="R479" s="4" t="b">
        <v>1</v>
      </c>
      <c r="S479" s="4" t="b">
        <v>0</v>
      </c>
      <c r="T479" s="3">
        <v>0</v>
      </c>
      <c r="U479" s="4" t="b">
        <v>0</v>
      </c>
      <c r="V479" s="7">
        <v>44793</v>
      </c>
      <c r="W479" s="7">
        <v>44598</v>
      </c>
    </row>
    <row r="480" spans="1:23" ht="14.4" x14ac:dyDescent="0.3">
      <c r="A480" s="3">
        <v>5304450</v>
      </c>
      <c r="B480" s="4" t="b">
        <v>1</v>
      </c>
      <c r="C480" s="1" t="s">
        <v>735</v>
      </c>
      <c r="D480" s="1" t="s">
        <v>736</v>
      </c>
      <c r="E480" s="5">
        <v>4189876</v>
      </c>
      <c r="F480" s="5">
        <v>1242696</v>
      </c>
      <c r="G480" s="1" t="s">
        <v>25</v>
      </c>
      <c r="H480" s="1" t="s">
        <v>737</v>
      </c>
      <c r="I480" s="6">
        <v>44302.392209375001</v>
      </c>
      <c r="J480" s="1">
        <f>390999035583</f>
        <v>390999035583</v>
      </c>
      <c r="K480" s="3">
        <v>143</v>
      </c>
      <c r="L480" s="5">
        <v>4965035</v>
      </c>
      <c r="M480" s="1">
        <v>7733333333</v>
      </c>
      <c r="N480" s="3">
        <v>1447</v>
      </c>
      <c r="O480" s="3">
        <v>4</v>
      </c>
      <c r="P480" s="1" t="s">
        <v>33</v>
      </c>
      <c r="Q480" s="4" t="b">
        <v>0</v>
      </c>
      <c r="R480" s="4" t="b">
        <v>1</v>
      </c>
      <c r="S480" s="4" t="b">
        <v>0</v>
      </c>
      <c r="T480" s="3" t="s">
        <v>420</v>
      </c>
      <c r="U480" s="4" t="b">
        <v>0</v>
      </c>
      <c r="V480" s="8">
        <v>44853</v>
      </c>
      <c r="W480" s="7">
        <v>44811</v>
      </c>
    </row>
    <row r="481" spans="1:23" ht="14.4" x14ac:dyDescent="0.3">
      <c r="A481" s="3">
        <v>5305040</v>
      </c>
      <c r="B481" s="4" t="b">
        <v>1</v>
      </c>
      <c r="C481" s="1" t="s">
        <v>690</v>
      </c>
      <c r="D481" s="1" t="s">
        <v>691</v>
      </c>
      <c r="E481" s="5">
        <v>448653</v>
      </c>
      <c r="F481" s="5">
        <v>1005974</v>
      </c>
      <c r="G481" s="1" t="s">
        <v>692</v>
      </c>
      <c r="H481" s="1" t="s">
        <v>693</v>
      </c>
      <c r="I481" s="6">
        <v>44253.422264259258</v>
      </c>
      <c r="J481" s="1">
        <f>393333389355</f>
        <v>393333389355</v>
      </c>
      <c r="K481" s="3">
        <v>5</v>
      </c>
      <c r="L481" s="5">
        <v>5</v>
      </c>
      <c r="M481" s="1">
        <v>773373733</v>
      </c>
      <c r="N481" s="3">
        <v>683</v>
      </c>
      <c r="O481" s="3">
        <v>5</v>
      </c>
      <c r="P481" s="1" t="s">
        <v>28</v>
      </c>
      <c r="Q481" s="4" t="b">
        <v>0</v>
      </c>
      <c r="R481" s="4" t="b">
        <v>0</v>
      </c>
      <c r="S481" s="4" t="b">
        <v>0</v>
      </c>
      <c r="T481" s="3" t="s">
        <v>689</v>
      </c>
      <c r="U481" s="4" t="b">
        <v>0</v>
      </c>
      <c r="V481" s="7">
        <v>44786</v>
      </c>
      <c r="W481" s="7">
        <v>44582</v>
      </c>
    </row>
    <row r="482" spans="1:23" ht="14.4" x14ac:dyDescent="0.3">
      <c r="A482" s="3">
        <v>5305050</v>
      </c>
      <c r="B482" s="4" t="b">
        <v>1</v>
      </c>
      <c r="C482" s="1" t="s">
        <v>666</v>
      </c>
      <c r="D482" s="1" t="s">
        <v>667</v>
      </c>
      <c r="E482" s="5">
        <v>3520646</v>
      </c>
      <c r="F482" s="5">
        <v>2610495</v>
      </c>
      <c r="G482" s="1" t="s">
        <v>668</v>
      </c>
      <c r="H482" s="1" t="s">
        <v>669</v>
      </c>
      <c r="I482" s="6">
        <v>44236.397547118053</v>
      </c>
      <c r="J482" s="1">
        <f>308853089803</f>
        <v>308853089803</v>
      </c>
      <c r="K482" s="3">
        <v>14</v>
      </c>
      <c r="L482" s="5">
        <v>4428571</v>
      </c>
      <c r="M482" s="1">
        <v>7373373</v>
      </c>
      <c r="N482" s="3">
        <v>1525</v>
      </c>
      <c r="O482" s="3">
        <v>3</v>
      </c>
      <c r="P482" s="1" t="s">
        <v>33</v>
      </c>
      <c r="Q482" s="4" t="b">
        <v>0</v>
      </c>
      <c r="R482" s="4" t="b">
        <v>0</v>
      </c>
      <c r="S482" s="4" t="b">
        <v>1</v>
      </c>
      <c r="T482" s="3" t="s">
        <v>670</v>
      </c>
      <c r="U482" s="4" t="b">
        <v>0</v>
      </c>
      <c r="V482" s="7">
        <v>44675</v>
      </c>
      <c r="W482" s="7">
        <v>44728</v>
      </c>
    </row>
    <row r="483" spans="1:23" ht="14.4" x14ac:dyDescent="0.3">
      <c r="A483" s="3">
        <v>5305054</v>
      </c>
      <c r="B483" s="4" t="b">
        <v>1</v>
      </c>
      <c r="C483" s="1" t="s">
        <v>674</v>
      </c>
      <c r="D483" s="1" t="s">
        <v>675</v>
      </c>
      <c r="E483" s="5">
        <v>3678648</v>
      </c>
      <c r="F483" s="5">
        <v>1490734</v>
      </c>
      <c r="G483" s="1" t="s">
        <v>676</v>
      </c>
      <c r="H483" s="1" t="s">
        <v>677</v>
      </c>
      <c r="I483" s="6">
        <v>44249.497110925928</v>
      </c>
      <c r="J483" s="1">
        <f>393353838930</f>
        <v>393353838930</v>
      </c>
      <c r="K483" s="3">
        <v>85</v>
      </c>
      <c r="L483" s="5">
        <v>4988235</v>
      </c>
      <c r="M483" s="1">
        <v>637733333</v>
      </c>
      <c r="N483" s="3">
        <v>1015</v>
      </c>
      <c r="O483" s="3">
        <v>3</v>
      </c>
      <c r="P483" s="1" t="s">
        <v>39</v>
      </c>
      <c r="Q483" s="4" t="b">
        <v>0</v>
      </c>
      <c r="R483" s="4" t="b">
        <v>1</v>
      </c>
      <c r="S483" s="4" t="b">
        <v>0</v>
      </c>
      <c r="T483" s="3" t="s">
        <v>429</v>
      </c>
      <c r="U483" s="4" t="b">
        <v>0</v>
      </c>
      <c r="V483" s="7">
        <v>44619</v>
      </c>
      <c r="W483" s="7">
        <v>44816</v>
      </c>
    </row>
    <row r="484" spans="1:23" ht="14.4" x14ac:dyDescent="0.3">
      <c r="A484" s="3">
        <v>5305064</v>
      </c>
      <c r="B484" s="4" t="b">
        <v>1</v>
      </c>
      <c r="C484" s="1" t="s">
        <v>678</v>
      </c>
      <c r="D484" s="1" t="s">
        <v>679</v>
      </c>
      <c r="E484" s="5">
        <v>4092727</v>
      </c>
      <c r="F484" s="5">
        <v>1420319</v>
      </c>
      <c r="G484" s="1" t="s">
        <v>680</v>
      </c>
      <c r="H484" s="1" t="s">
        <v>681</v>
      </c>
      <c r="I484" s="6">
        <v>44252.438896388892</v>
      </c>
      <c r="J484" s="1">
        <f>3908339380995</f>
        <v>3908339380995</v>
      </c>
      <c r="K484" s="3">
        <v>9</v>
      </c>
      <c r="L484" s="5">
        <v>5</v>
      </c>
      <c r="M484" s="1">
        <v>777773336</v>
      </c>
      <c r="N484" s="3">
        <v>759</v>
      </c>
      <c r="O484" s="3">
        <v>2</v>
      </c>
      <c r="P484" s="1" t="s">
        <v>33</v>
      </c>
      <c r="Q484" s="4" t="b">
        <v>0</v>
      </c>
      <c r="R484" s="4" t="b">
        <v>1</v>
      </c>
      <c r="S484" s="4" t="b">
        <v>0</v>
      </c>
      <c r="T484" s="3" t="s">
        <v>576</v>
      </c>
      <c r="U484" s="4" t="b">
        <v>0</v>
      </c>
      <c r="V484" s="8">
        <v>44878</v>
      </c>
      <c r="W484" s="7">
        <v>44805</v>
      </c>
    </row>
    <row r="485" spans="1:23" ht="14.4" x14ac:dyDescent="0.3">
      <c r="A485" s="3">
        <v>5305071</v>
      </c>
      <c r="B485" s="4" t="b">
        <v>1</v>
      </c>
      <c r="C485" s="1" t="s">
        <v>682</v>
      </c>
      <c r="D485" s="1" t="s">
        <v>683</v>
      </c>
      <c r="E485" s="5">
        <v>4107498</v>
      </c>
      <c r="F485" s="5">
        <v>1433377</v>
      </c>
      <c r="G485" s="1" t="s">
        <v>684</v>
      </c>
      <c r="H485" s="1" t="s">
        <v>685</v>
      </c>
      <c r="I485" s="6">
        <v>44252.641687523152</v>
      </c>
      <c r="J485" s="1">
        <f>3908833553393</f>
        <v>3908833553393</v>
      </c>
      <c r="K485" s="3">
        <v>11</v>
      </c>
      <c r="L485" s="5">
        <v>5</v>
      </c>
      <c r="M485" s="1">
        <v>777773336</v>
      </c>
      <c r="N485" s="3">
        <v>739</v>
      </c>
      <c r="O485" s="3">
        <v>2</v>
      </c>
      <c r="P485" s="1" t="s">
        <v>33</v>
      </c>
      <c r="Q485" s="4" t="b">
        <v>0</v>
      </c>
      <c r="R485" s="4" t="b">
        <v>0</v>
      </c>
      <c r="S485" s="4" t="b">
        <v>0</v>
      </c>
      <c r="T485" s="3" t="s">
        <v>358</v>
      </c>
      <c r="U485" s="4" t="b">
        <v>0</v>
      </c>
      <c r="V485" s="8">
        <v>44886</v>
      </c>
      <c r="W485" s="7">
        <v>44652</v>
      </c>
    </row>
    <row r="486" spans="1:23" ht="14.4" x14ac:dyDescent="0.3">
      <c r="A486" s="3">
        <v>5305075</v>
      </c>
      <c r="B486" s="4" t="b">
        <v>1</v>
      </c>
      <c r="C486" s="1" t="s">
        <v>686</v>
      </c>
      <c r="D486" s="1" t="s">
        <v>687</v>
      </c>
      <c r="E486" s="5">
        <v>4084737</v>
      </c>
      <c r="F486" s="5">
        <v>1419253</v>
      </c>
      <c r="G486" s="1" t="s">
        <v>143</v>
      </c>
      <c r="H486" s="1" t="s">
        <v>688</v>
      </c>
      <c r="I486" s="6">
        <v>44252.707742303239</v>
      </c>
      <c r="J486" s="1">
        <f>393390085388</f>
        <v>393390085388</v>
      </c>
      <c r="K486" s="3">
        <v>5</v>
      </c>
      <c r="L486" s="5">
        <v>5</v>
      </c>
      <c r="M486" s="1">
        <v>777773336</v>
      </c>
      <c r="N486" s="3">
        <v>701</v>
      </c>
      <c r="O486" s="3">
        <v>2</v>
      </c>
      <c r="P486" s="1" t="s">
        <v>28</v>
      </c>
      <c r="Q486" s="4" t="b">
        <v>0</v>
      </c>
      <c r="R486" s="4" t="b">
        <v>0</v>
      </c>
      <c r="S486" s="4" t="b">
        <v>0</v>
      </c>
      <c r="T486" s="3" t="s">
        <v>689</v>
      </c>
      <c r="U486" s="4" t="b">
        <v>0</v>
      </c>
      <c r="V486" s="7">
        <v>44640</v>
      </c>
      <c r="W486" s="7">
        <v>44621</v>
      </c>
    </row>
    <row r="487" spans="1:23" ht="14.4" x14ac:dyDescent="0.3">
      <c r="A487" s="3">
        <v>5305304</v>
      </c>
      <c r="B487" s="4" t="b">
        <v>1</v>
      </c>
      <c r="C487" s="1" t="s">
        <v>747</v>
      </c>
      <c r="D487" s="1" t="s">
        <v>748</v>
      </c>
      <c r="E487" s="5">
        <v>4145061</v>
      </c>
      <c r="F487" s="5">
        <v>2251437</v>
      </c>
      <c r="G487" s="1" t="s">
        <v>749</v>
      </c>
      <c r="H487" s="1" t="s">
        <v>750</v>
      </c>
      <c r="I487" s="6">
        <v>44313.340019016206</v>
      </c>
      <c r="J487" s="1">
        <f>35993008558</f>
        <v>35993008558</v>
      </c>
      <c r="K487" s="3">
        <v>118</v>
      </c>
      <c r="L487" s="5">
        <v>4813559</v>
      </c>
      <c r="M487" s="1" t="s">
        <v>751</v>
      </c>
      <c r="N487" s="3">
        <v>2243</v>
      </c>
      <c r="O487" s="3">
        <v>3</v>
      </c>
      <c r="P487" s="1" t="s">
        <v>39</v>
      </c>
      <c r="Q487" s="4" t="b">
        <v>0</v>
      </c>
      <c r="R487" s="4" t="b">
        <v>0</v>
      </c>
      <c r="S487" s="4" t="b">
        <v>0</v>
      </c>
      <c r="T487" s="3" t="s">
        <v>380</v>
      </c>
      <c r="U487" s="4" t="b">
        <v>0</v>
      </c>
      <c r="V487" s="7">
        <v>44669</v>
      </c>
      <c r="W487" s="7">
        <v>44722</v>
      </c>
    </row>
    <row r="488" spans="1:23" ht="14.4" x14ac:dyDescent="0.3">
      <c r="A488" s="3">
        <v>5307030</v>
      </c>
      <c r="B488" s="4" t="b">
        <v>1</v>
      </c>
      <c r="C488" s="1" t="s">
        <v>722</v>
      </c>
      <c r="D488" s="1" t="s">
        <v>723</v>
      </c>
      <c r="E488" s="5">
        <v>4337459</v>
      </c>
      <c r="F488" s="5">
        <v>1321612</v>
      </c>
      <c r="G488" s="1" t="s">
        <v>724</v>
      </c>
      <c r="H488" s="1" t="s">
        <v>725</v>
      </c>
      <c r="I488" s="6">
        <v>44286.307977418983</v>
      </c>
      <c r="J488" s="1">
        <f>390333903390</f>
        <v>390333903390</v>
      </c>
      <c r="K488" s="3">
        <v>15</v>
      </c>
      <c r="L488" s="5">
        <v>4733333</v>
      </c>
      <c r="M488" s="1">
        <v>63373373</v>
      </c>
      <c r="N488" s="3">
        <v>2199</v>
      </c>
      <c r="O488" s="3">
        <v>7</v>
      </c>
      <c r="P488" s="1" t="s">
        <v>39</v>
      </c>
      <c r="Q488" s="4" t="b">
        <v>0</v>
      </c>
      <c r="R488" s="4" t="b">
        <v>1</v>
      </c>
      <c r="S488" s="4" t="b">
        <v>0</v>
      </c>
      <c r="T488" s="3" t="s">
        <v>726</v>
      </c>
      <c r="U488" s="4" t="b">
        <v>0</v>
      </c>
      <c r="V488" s="7">
        <v>44889</v>
      </c>
      <c r="W488" s="7">
        <v>44870</v>
      </c>
    </row>
    <row r="489" spans="1:23" ht="14.4" x14ac:dyDescent="0.3">
      <c r="A489" s="3">
        <v>5450050</v>
      </c>
      <c r="B489" s="4" t="b">
        <v>1</v>
      </c>
      <c r="C489" s="1" t="s">
        <v>877</v>
      </c>
      <c r="D489" s="1" t="s">
        <v>878</v>
      </c>
      <c r="E489" s="5">
        <v>4190782</v>
      </c>
      <c r="F489" s="5">
        <v>1248804</v>
      </c>
      <c r="G489" s="1" t="s">
        <v>25</v>
      </c>
      <c r="H489" s="1" t="s">
        <v>879</v>
      </c>
      <c r="I489" s="6">
        <v>44490.793204178241</v>
      </c>
      <c r="J489" s="1">
        <f>393335959839</f>
        <v>393335959839</v>
      </c>
      <c r="K489" s="3">
        <v>0</v>
      </c>
      <c r="L489" s="5">
        <v>0</v>
      </c>
      <c r="M489" s="1"/>
      <c r="N489" s="3">
        <v>71</v>
      </c>
      <c r="O489" s="3">
        <v>1</v>
      </c>
      <c r="P489" s="1" t="s">
        <v>28</v>
      </c>
      <c r="Q489" s="4" t="b">
        <v>0</v>
      </c>
      <c r="R489" s="4" t="b">
        <v>0</v>
      </c>
      <c r="S489" s="4" t="b">
        <v>0</v>
      </c>
      <c r="T489" s="3">
        <v>0</v>
      </c>
      <c r="U489" s="4" t="b">
        <v>0</v>
      </c>
      <c r="V489" s="7">
        <v>44820</v>
      </c>
      <c r="W489" s="8">
        <v>44883</v>
      </c>
    </row>
    <row r="490" spans="1:23" ht="14.4" x14ac:dyDescent="0.3">
      <c r="A490" s="3">
        <v>5530306</v>
      </c>
      <c r="B490" s="4" t="b">
        <v>1</v>
      </c>
      <c r="C490" s="1" t="s">
        <v>607</v>
      </c>
      <c r="D490" s="1" t="s">
        <v>608</v>
      </c>
      <c r="E490" s="5">
        <v>4431484</v>
      </c>
      <c r="F490" s="5">
        <v>8474601</v>
      </c>
      <c r="G490" s="1" t="s">
        <v>609</v>
      </c>
      <c r="H490" s="1" t="s">
        <v>610</v>
      </c>
      <c r="I490" s="6">
        <v>44174.464636539349</v>
      </c>
      <c r="J490" s="1">
        <f>393595853588</f>
        <v>393595853588</v>
      </c>
      <c r="K490" s="3">
        <v>4</v>
      </c>
      <c r="L490" s="5">
        <v>5</v>
      </c>
      <c r="M490" s="1">
        <v>777373376</v>
      </c>
      <c r="N490" s="3">
        <v>408</v>
      </c>
      <c r="O490" s="3">
        <v>2</v>
      </c>
      <c r="P490" s="1" t="s">
        <v>28</v>
      </c>
      <c r="Q490" s="4" t="b">
        <v>0</v>
      </c>
      <c r="R490" s="4" t="b">
        <v>1</v>
      </c>
      <c r="S490" s="4" t="b">
        <v>1</v>
      </c>
      <c r="T490" s="3" t="s">
        <v>611</v>
      </c>
      <c r="U490" s="4" t="b">
        <v>0</v>
      </c>
      <c r="V490" s="7">
        <v>44659</v>
      </c>
      <c r="W490" s="7">
        <v>44611</v>
      </c>
    </row>
    <row r="491" spans="1:23" ht="14.4" x14ac:dyDescent="0.3">
      <c r="A491" s="3">
        <v>5530501</v>
      </c>
      <c r="B491" s="4" t="b">
        <v>1</v>
      </c>
      <c r="C491" s="1" t="s">
        <v>1042</v>
      </c>
      <c r="D491" s="1" t="s">
        <v>1043</v>
      </c>
      <c r="E491" s="5">
        <v>3950488</v>
      </c>
      <c r="F491" s="5">
        <v>-4397</v>
      </c>
      <c r="G491" s="1" t="s">
        <v>1044</v>
      </c>
      <c r="H491" s="1" t="s">
        <v>1045</v>
      </c>
      <c r="I491" s="6">
        <v>44558.614857905093</v>
      </c>
      <c r="J491" s="1">
        <f>35993889398</f>
        <v>35993889398</v>
      </c>
      <c r="K491" s="3">
        <v>23</v>
      </c>
      <c r="L491" s="5">
        <v>4869565</v>
      </c>
      <c r="M491" s="1" t="s">
        <v>1046</v>
      </c>
      <c r="N491" s="3">
        <v>514</v>
      </c>
      <c r="O491" s="3">
        <v>4</v>
      </c>
      <c r="P491" s="1" t="s">
        <v>33</v>
      </c>
      <c r="Q491" s="4" t="b">
        <v>0</v>
      </c>
      <c r="R491" s="4" t="b">
        <v>0</v>
      </c>
      <c r="S491" s="4" t="b">
        <v>0</v>
      </c>
      <c r="T491" s="3" t="s">
        <v>512</v>
      </c>
      <c r="U491" s="4" t="b">
        <v>0</v>
      </c>
      <c r="V491" s="7">
        <v>44610</v>
      </c>
      <c r="W491" s="7">
        <v>44807</v>
      </c>
    </row>
    <row r="492" spans="1:23" ht="14.4" x14ac:dyDescent="0.3">
      <c r="A492" s="3">
        <v>5530504</v>
      </c>
      <c r="B492" s="4" t="b">
        <v>1</v>
      </c>
      <c r="C492" s="1" t="s">
        <v>1047</v>
      </c>
      <c r="D492" s="1" t="s">
        <v>1048</v>
      </c>
      <c r="E492" s="5">
        <v>3717542</v>
      </c>
      <c r="F492" s="5">
        <v>-360749</v>
      </c>
      <c r="G492" s="1" t="s">
        <v>1049</v>
      </c>
      <c r="H492" s="1" t="s">
        <v>1050</v>
      </c>
      <c r="I492" s="6">
        <v>44559.478070810183</v>
      </c>
      <c r="J492" s="1">
        <f>35958053055</f>
        <v>35958053055</v>
      </c>
      <c r="K492" s="3">
        <v>28</v>
      </c>
      <c r="L492" s="5">
        <v>4785714</v>
      </c>
      <c r="M492" s="1" t="s">
        <v>1051</v>
      </c>
      <c r="N492" s="3">
        <v>2085</v>
      </c>
      <c r="O492" s="3">
        <v>5</v>
      </c>
      <c r="P492" s="1" t="s">
        <v>33</v>
      </c>
      <c r="Q492" s="4" t="b">
        <v>0</v>
      </c>
      <c r="R492" s="4" t="b">
        <v>1</v>
      </c>
      <c r="S492" s="4" t="b">
        <v>0</v>
      </c>
      <c r="T492" s="3" t="s">
        <v>1052</v>
      </c>
      <c r="U492" s="4" t="b">
        <v>0</v>
      </c>
      <c r="V492" s="7">
        <v>44842</v>
      </c>
      <c r="W492" s="7">
        <v>44871</v>
      </c>
    </row>
    <row r="493" spans="1:23" ht="14.4" x14ac:dyDescent="0.3">
      <c r="A493" s="3">
        <v>5655030</v>
      </c>
      <c r="B493" s="4" t="b">
        <v>1</v>
      </c>
      <c r="C493" s="1" t="s">
        <v>765</v>
      </c>
      <c r="D493" s="1" t="s">
        <v>766</v>
      </c>
      <c r="E493" s="5">
        <v>4336766</v>
      </c>
      <c r="F493" s="5">
        <v>-587264</v>
      </c>
      <c r="G493" s="1" t="s">
        <v>767</v>
      </c>
      <c r="H493" s="1" t="s">
        <v>768</v>
      </c>
      <c r="I493" s="6">
        <v>44337.588031620369</v>
      </c>
      <c r="J493" s="1">
        <f>35985988888</f>
        <v>35985988888</v>
      </c>
      <c r="K493" s="3">
        <v>186</v>
      </c>
      <c r="L493" s="5">
        <v>4973118</v>
      </c>
      <c r="M493" s="1" t="s">
        <v>769</v>
      </c>
      <c r="N493" s="3">
        <v>1104</v>
      </c>
      <c r="O493" s="3">
        <v>5</v>
      </c>
      <c r="P493" s="1" t="s">
        <v>28</v>
      </c>
      <c r="Q493" s="4" t="b">
        <v>0</v>
      </c>
      <c r="R493" s="4" t="b">
        <v>1</v>
      </c>
      <c r="S493" s="4" t="b">
        <v>0</v>
      </c>
      <c r="T493" s="3" t="s">
        <v>628</v>
      </c>
      <c r="U493" s="4" t="b">
        <v>0</v>
      </c>
      <c r="V493" s="7">
        <v>44594</v>
      </c>
      <c r="W493" s="7">
        <v>44627</v>
      </c>
    </row>
    <row r="494" spans="1:23" ht="14.4" x14ac:dyDescent="0.3">
      <c r="A494" s="3">
        <v>15063030</v>
      </c>
      <c r="B494" s="4" t="b">
        <v>1</v>
      </c>
      <c r="C494" s="1" t="s">
        <v>262</v>
      </c>
      <c r="D494" s="1" t="s">
        <v>263</v>
      </c>
      <c r="E494" s="5">
        <v>4194447</v>
      </c>
      <c r="F494" s="5">
        <v>1253467</v>
      </c>
      <c r="G494" s="1" t="s">
        <v>25</v>
      </c>
      <c r="H494" s="1" t="s">
        <v>264</v>
      </c>
      <c r="I494" s="6">
        <v>43563.376811527778</v>
      </c>
      <c r="J494" s="1">
        <f>390983303333</f>
        <v>390983303333</v>
      </c>
      <c r="K494" s="3">
        <v>25</v>
      </c>
      <c r="L494" s="5" t="s">
        <v>265</v>
      </c>
      <c r="M494" s="1">
        <v>3337373333</v>
      </c>
      <c r="N494" s="3">
        <v>1539</v>
      </c>
      <c r="O494" s="3">
        <v>2</v>
      </c>
      <c r="P494" s="1" t="s">
        <v>39</v>
      </c>
      <c r="Q494" s="4" t="b">
        <v>0</v>
      </c>
      <c r="R494" s="4" t="b">
        <v>0</v>
      </c>
      <c r="S494" s="4" t="b">
        <v>0</v>
      </c>
      <c r="T494" s="3" t="s">
        <v>266</v>
      </c>
      <c r="U494" s="4" t="b">
        <v>0</v>
      </c>
      <c r="V494" s="7">
        <v>44812</v>
      </c>
      <c r="W494" s="7">
        <v>44853</v>
      </c>
    </row>
    <row r="495" spans="1:23" ht="14.4" x14ac:dyDescent="0.3">
      <c r="A495" s="3">
        <v>50143050</v>
      </c>
      <c r="B495" s="4" t="b">
        <v>1</v>
      </c>
      <c r="C495" s="1" t="s">
        <v>1298</v>
      </c>
      <c r="D495" s="1" t="s">
        <v>1299</v>
      </c>
      <c r="E495" s="5">
        <v>3943702</v>
      </c>
      <c r="F495" s="5">
        <v>-46465</v>
      </c>
      <c r="G495" s="1" t="s">
        <v>1300</v>
      </c>
      <c r="H495" s="1" t="s">
        <v>1301</v>
      </c>
      <c r="I495" s="6">
        <v>44670.263777569446</v>
      </c>
      <c r="J495" s="1">
        <f>35935338983</f>
        <v>35935338983</v>
      </c>
      <c r="K495" s="3">
        <v>9</v>
      </c>
      <c r="L495" s="5">
        <v>5</v>
      </c>
      <c r="M495" s="1" t="s">
        <v>1302</v>
      </c>
      <c r="N495" s="3">
        <v>559</v>
      </c>
      <c r="O495" s="3">
        <v>4</v>
      </c>
      <c r="P495" s="1" t="s">
        <v>33</v>
      </c>
      <c r="Q495" s="4" t="b">
        <v>0</v>
      </c>
      <c r="R495" s="4" t="b">
        <v>1</v>
      </c>
      <c r="S495" s="4" t="b">
        <v>0</v>
      </c>
      <c r="T495" s="3" t="s">
        <v>576</v>
      </c>
      <c r="U495" s="4" t="b">
        <v>0</v>
      </c>
      <c r="V495" s="7">
        <v>44897</v>
      </c>
      <c r="W495" s="7">
        <v>44822</v>
      </c>
    </row>
    <row r="496" spans="1:23" ht="14.4" x14ac:dyDescent="0.3">
      <c r="A496" s="3">
        <v>50300304</v>
      </c>
      <c r="B496" s="4" t="b">
        <v>1</v>
      </c>
      <c r="C496" s="1" t="s">
        <v>1581</v>
      </c>
      <c r="D496" s="1" t="s">
        <v>1582</v>
      </c>
      <c r="E496" s="5">
        <v>4234097</v>
      </c>
      <c r="F496" s="5">
        <v>-786392</v>
      </c>
      <c r="G496" s="1" t="s">
        <v>1583</v>
      </c>
      <c r="H496" s="1" t="s">
        <v>1584</v>
      </c>
      <c r="I496" s="6">
        <v>44774.59005997685</v>
      </c>
      <c r="J496" s="1">
        <f>35993090383</f>
        <v>35993090383</v>
      </c>
      <c r="K496" s="3">
        <v>0</v>
      </c>
      <c r="L496" s="5">
        <v>0</v>
      </c>
      <c r="M496" s="1" t="s">
        <v>1585</v>
      </c>
      <c r="N496" s="3">
        <v>0</v>
      </c>
      <c r="O496" s="3">
        <v>2</v>
      </c>
      <c r="P496" s="1" t="s">
        <v>39</v>
      </c>
      <c r="Q496" s="4" t="b">
        <v>0</v>
      </c>
      <c r="R496" s="4" t="b">
        <v>1</v>
      </c>
      <c r="S496" s="4" t="b">
        <v>0</v>
      </c>
      <c r="T496" s="3">
        <v>0</v>
      </c>
      <c r="U496" s="4" t="b">
        <v>0</v>
      </c>
      <c r="V496" s="7">
        <v>44819</v>
      </c>
      <c r="W496" s="7">
        <v>44819</v>
      </c>
    </row>
    <row r="497" spans="1:23" ht="14.4" x14ac:dyDescent="0.3">
      <c r="A497" s="3">
        <v>50300450</v>
      </c>
      <c r="B497" s="4" t="b">
        <v>1</v>
      </c>
      <c r="C497" s="1" t="s">
        <v>1586</v>
      </c>
      <c r="D497" s="1" t="s">
        <v>1587</v>
      </c>
      <c r="E497" s="5">
        <v>5195508</v>
      </c>
      <c r="F497" s="5">
        <v>7631921</v>
      </c>
      <c r="G497" s="1" t="s">
        <v>1588</v>
      </c>
      <c r="H497" s="1" t="s">
        <v>1589</v>
      </c>
      <c r="I497" s="6">
        <v>44775.50791763889</v>
      </c>
      <c r="J497" s="1">
        <f>593385899985</f>
        <v>593385899985</v>
      </c>
      <c r="K497" s="3">
        <v>1</v>
      </c>
      <c r="L497" s="5">
        <v>5</v>
      </c>
      <c r="M497" s="1"/>
      <c r="N497" s="3">
        <v>4</v>
      </c>
      <c r="O497" s="3">
        <v>1</v>
      </c>
      <c r="P497" s="1" t="s">
        <v>39</v>
      </c>
      <c r="Q497" s="4" t="b">
        <v>1</v>
      </c>
      <c r="R497" s="4" t="b">
        <v>0</v>
      </c>
      <c r="S497" s="4" t="b">
        <v>0</v>
      </c>
      <c r="T497" s="3">
        <v>0</v>
      </c>
      <c r="U497" s="4" t="b">
        <v>0</v>
      </c>
      <c r="V497" s="7">
        <v>44820</v>
      </c>
      <c r="W497" s="7">
        <v>44820</v>
      </c>
    </row>
    <row r="498" spans="1:23" ht="14.4" x14ac:dyDescent="0.3">
      <c r="A498" s="3">
        <v>50301305</v>
      </c>
      <c r="B498" s="4" t="b">
        <v>1</v>
      </c>
      <c r="C498" s="1" t="s">
        <v>1602</v>
      </c>
      <c r="D498" s="1" t="s">
        <v>1603</v>
      </c>
      <c r="E498" s="5">
        <v>4242825</v>
      </c>
      <c r="F498" s="5">
        <v>-864097</v>
      </c>
      <c r="G498" s="1" t="s">
        <v>1604</v>
      </c>
      <c r="H498" s="1" t="s">
        <v>1605</v>
      </c>
      <c r="I498" s="6">
        <v>44777.350071516201</v>
      </c>
      <c r="J498" s="1">
        <f>35939383998</f>
        <v>35939383998</v>
      </c>
      <c r="K498" s="3">
        <v>4</v>
      </c>
      <c r="L498" s="5">
        <v>5</v>
      </c>
      <c r="M498" s="1" t="s">
        <v>1606</v>
      </c>
      <c r="N498" s="3">
        <v>4144</v>
      </c>
      <c r="O498" s="3">
        <v>4</v>
      </c>
      <c r="P498" s="1" t="s">
        <v>39</v>
      </c>
      <c r="Q498" s="4" t="b">
        <v>0</v>
      </c>
      <c r="R498" s="4" t="b">
        <v>1</v>
      </c>
      <c r="S498" s="4" t="b">
        <v>0</v>
      </c>
      <c r="T498" s="3" t="s">
        <v>611</v>
      </c>
      <c r="U498" s="4" t="b">
        <v>0</v>
      </c>
      <c r="V498" s="7">
        <v>44824</v>
      </c>
      <c r="W498" s="7">
        <v>44670</v>
      </c>
    </row>
    <row r="499" spans="1:23" ht="14.4" x14ac:dyDescent="0.3">
      <c r="A499" s="3">
        <v>50301507</v>
      </c>
      <c r="B499" s="4" t="b">
        <v>1</v>
      </c>
      <c r="C499" s="1" t="s">
        <v>1590</v>
      </c>
      <c r="D499" s="1" t="s">
        <v>1591</v>
      </c>
      <c r="E499" s="5">
        <v>435839</v>
      </c>
      <c r="F499" s="5">
        <v>1334307</v>
      </c>
      <c r="G499" s="1" t="s">
        <v>1592</v>
      </c>
      <c r="H499" s="1" t="s">
        <v>1593</v>
      </c>
      <c r="I499" s="6">
        <v>44776.618078819447</v>
      </c>
      <c r="J499" s="1">
        <f>33535598095</f>
        <v>33535598095</v>
      </c>
      <c r="K499" s="3">
        <v>9</v>
      </c>
      <c r="L499" s="5">
        <v>5</v>
      </c>
      <c r="M499" s="1">
        <v>33736373333336</v>
      </c>
      <c r="N499" s="3">
        <v>2507</v>
      </c>
      <c r="O499" s="3">
        <v>4</v>
      </c>
      <c r="P499" s="1" t="s">
        <v>28</v>
      </c>
      <c r="Q499" s="4" t="b">
        <v>0</v>
      </c>
      <c r="R499" s="4" t="b">
        <v>1</v>
      </c>
      <c r="S499" s="4" t="b">
        <v>0</v>
      </c>
      <c r="T499" s="3" t="s">
        <v>576</v>
      </c>
      <c r="U499" s="4" t="b">
        <v>0</v>
      </c>
      <c r="V499" s="7">
        <v>44821</v>
      </c>
      <c r="W499" s="7">
        <v>44667</v>
      </c>
    </row>
    <row r="500" spans="1:23" ht="14.4" x14ac:dyDescent="0.3">
      <c r="A500" s="3">
        <v>50301730</v>
      </c>
      <c r="B500" s="4" t="b">
        <v>1</v>
      </c>
      <c r="C500" s="1" t="s">
        <v>1612</v>
      </c>
      <c r="D500" s="1" t="s">
        <v>1613</v>
      </c>
      <c r="E500" s="5">
        <v>4181459</v>
      </c>
      <c r="F500" s="5">
        <v>1261741</v>
      </c>
      <c r="G500" s="1" t="s">
        <v>25</v>
      </c>
      <c r="H500" s="1" t="s">
        <v>1614</v>
      </c>
      <c r="I500" s="6">
        <v>44777.512316550929</v>
      </c>
      <c r="J500" s="6"/>
      <c r="K500" s="3">
        <v>0</v>
      </c>
      <c r="L500" s="5">
        <v>0</v>
      </c>
      <c r="M500" s="1">
        <v>6333773333</v>
      </c>
      <c r="N500" s="3">
        <v>95</v>
      </c>
      <c r="O500" s="3">
        <v>2</v>
      </c>
      <c r="P500" s="1" t="s">
        <v>28</v>
      </c>
      <c r="Q500" s="4" t="b">
        <v>0</v>
      </c>
      <c r="R500" s="4" t="b">
        <v>1</v>
      </c>
      <c r="S500" s="4" t="b">
        <v>0</v>
      </c>
      <c r="T500" s="3">
        <v>0</v>
      </c>
      <c r="U500" s="4" t="b">
        <v>0</v>
      </c>
      <c r="V500" s="7">
        <v>44826</v>
      </c>
      <c r="W500" s="8">
        <v>44855</v>
      </c>
    </row>
    <row r="501" spans="1:23" ht="14.4" x14ac:dyDescent="0.3">
      <c r="A501" s="3">
        <v>50303005</v>
      </c>
      <c r="B501" s="4" t="b">
        <v>1</v>
      </c>
      <c r="C501" s="1" t="s">
        <v>1664</v>
      </c>
      <c r="D501" s="1" t="s">
        <v>1665</v>
      </c>
      <c r="E501" s="5">
        <v>523741</v>
      </c>
      <c r="F501" s="5">
        <v>4874559</v>
      </c>
      <c r="G501" s="1" t="s">
        <v>1518</v>
      </c>
      <c r="H501" s="1" t="s">
        <v>1666</v>
      </c>
      <c r="I501" s="6">
        <v>44795.303114340277</v>
      </c>
      <c r="J501" s="1">
        <f>33955933533</f>
        <v>33955933533</v>
      </c>
      <c r="K501" s="3">
        <v>38</v>
      </c>
      <c r="L501" s="5">
        <v>5</v>
      </c>
      <c r="M501" s="1" t="s">
        <v>1667</v>
      </c>
      <c r="N501" s="3">
        <v>77</v>
      </c>
      <c r="O501" s="3">
        <v>1</v>
      </c>
      <c r="P501" s="1" t="s">
        <v>39</v>
      </c>
      <c r="Q501" s="4" t="b">
        <v>0</v>
      </c>
      <c r="R501" s="4" t="b">
        <v>1</v>
      </c>
      <c r="S501" s="4" t="b">
        <v>0</v>
      </c>
      <c r="T501" s="3" t="s">
        <v>976</v>
      </c>
      <c r="U501" s="4" t="b">
        <v>0</v>
      </c>
      <c r="V501" s="8">
        <v>44855</v>
      </c>
      <c r="W501" s="8">
        <v>44859</v>
      </c>
    </row>
    <row r="502" spans="1:23" ht="14.4" x14ac:dyDescent="0.3">
      <c r="A502" s="3">
        <v>50303016</v>
      </c>
      <c r="B502" s="4" t="b">
        <v>1</v>
      </c>
      <c r="C502" s="1" t="s">
        <v>1668</v>
      </c>
      <c r="D502" s="1" t="s">
        <v>1669</v>
      </c>
      <c r="E502" s="5">
        <v>4879829</v>
      </c>
      <c r="F502" s="5">
        <v>2482325</v>
      </c>
      <c r="G502" s="1" t="s">
        <v>1670</v>
      </c>
      <c r="H502" s="1" t="s">
        <v>1671</v>
      </c>
      <c r="I502" s="6">
        <v>44795.534188831021</v>
      </c>
      <c r="J502" s="1">
        <f>33353038800</f>
        <v>33353038800</v>
      </c>
      <c r="K502" s="3">
        <v>1</v>
      </c>
      <c r="L502" s="5">
        <v>5</v>
      </c>
      <c r="M502" s="1" t="s">
        <v>1672</v>
      </c>
      <c r="N502" s="3">
        <v>63</v>
      </c>
      <c r="O502" s="3">
        <v>2</v>
      </c>
      <c r="P502" s="1" t="s">
        <v>28</v>
      </c>
      <c r="Q502" s="4" t="b">
        <v>0</v>
      </c>
      <c r="R502" s="4" t="b">
        <v>1</v>
      </c>
      <c r="S502" s="4" t="b">
        <v>0</v>
      </c>
      <c r="T502" s="3" t="s">
        <v>192</v>
      </c>
      <c r="U502" s="4" t="b">
        <v>0</v>
      </c>
      <c r="V502" s="7">
        <v>44897</v>
      </c>
      <c r="W502" s="7">
        <v>44897</v>
      </c>
    </row>
    <row r="503" spans="1:23" ht="14.4" x14ac:dyDescent="0.3">
      <c r="A503" s="3">
        <v>50305017</v>
      </c>
      <c r="B503" s="4" t="b">
        <v>1</v>
      </c>
      <c r="C503" s="1" t="s">
        <v>1636</v>
      </c>
      <c r="D503" s="1" t="s">
        <v>1637</v>
      </c>
      <c r="E503" s="5">
        <v>5236033</v>
      </c>
      <c r="F503" s="5">
        <v>1406188</v>
      </c>
      <c r="G503" s="1" t="s">
        <v>1638</v>
      </c>
      <c r="H503" s="1" t="s">
        <v>1639</v>
      </c>
      <c r="I503" s="6">
        <v>44783.673541539349</v>
      </c>
      <c r="J503" s="1">
        <f>5935805953333</f>
        <v>5935805953333</v>
      </c>
      <c r="K503" s="3">
        <v>0</v>
      </c>
      <c r="L503" s="5">
        <v>0</v>
      </c>
      <c r="M503" s="1"/>
      <c r="N503" s="3">
        <v>93</v>
      </c>
      <c r="O503" s="3">
        <v>2</v>
      </c>
      <c r="P503" s="1" t="s">
        <v>33</v>
      </c>
      <c r="Q503" s="4" t="b">
        <v>0</v>
      </c>
      <c r="R503" s="4" t="b">
        <v>0</v>
      </c>
      <c r="S503" s="4" t="b">
        <v>0</v>
      </c>
      <c r="T503" s="3">
        <v>0</v>
      </c>
      <c r="U503" s="4" t="b">
        <v>0</v>
      </c>
      <c r="V503" s="7">
        <v>44832</v>
      </c>
      <c r="W503" s="8">
        <v>44856</v>
      </c>
    </row>
    <row r="504" spans="1:23" ht="14.4" x14ac:dyDescent="0.3">
      <c r="A504" s="3">
        <v>50305047</v>
      </c>
      <c r="B504" s="4" t="b">
        <v>0</v>
      </c>
      <c r="C504" s="1" t="s">
        <v>1645</v>
      </c>
      <c r="D504" s="1" t="s">
        <v>1646</v>
      </c>
      <c r="E504" s="5">
        <v>3948721</v>
      </c>
      <c r="F504" s="5">
        <v>-36268</v>
      </c>
      <c r="G504" s="1" t="s">
        <v>417</v>
      </c>
      <c r="H504" s="1" t="s">
        <v>1647</v>
      </c>
      <c r="I504" s="6">
        <v>44784.583335798612</v>
      </c>
      <c r="J504" s="6"/>
      <c r="K504" s="3">
        <v>0</v>
      </c>
      <c r="L504" s="5">
        <v>0</v>
      </c>
      <c r="M504" s="1" t="s">
        <v>1648</v>
      </c>
      <c r="N504" s="3">
        <v>10</v>
      </c>
      <c r="O504" s="3">
        <v>5</v>
      </c>
      <c r="P504" s="1" t="s">
        <v>33</v>
      </c>
      <c r="Q504" s="4" t="b">
        <v>0</v>
      </c>
      <c r="R504" s="4" t="b">
        <v>1</v>
      </c>
      <c r="S504" s="4" t="b">
        <v>0</v>
      </c>
      <c r="T504" s="3">
        <v>0</v>
      </c>
      <c r="U504" s="4" t="b">
        <v>0</v>
      </c>
      <c r="V504" s="7">
        <v>44834</v>
      </c>
      <c r="W504" s="8">
        <v>44856</v>
      </c>
    </row>
    <row r="505" spans="1:23" ht="14.4" x14ac:dyDescent="0.3">
      <c r="A505" s="3">
        <v>50305150</v>
      </c>
      <c r="B505" s="4" t="b">
        <v>1</v>
      </c>
      <c r="C505" s="1" t="s">
        <v>1749</v>
      </c>
      <c r="D505" s="1" t="s">
        <v>1750</v>
      </c>
      <c r="E505" s="5">
        <v>5160598</v>
      </c>
      <c r="F505" s="5">
        <v>52957</v>
      </c>
      <c r="G505" s="1" t="s">
        <v>1751</v>
      </c>
      <c r="H505" s="1" t="s">
        <v>1752</v>
      </c>
      <c r="I505" s="6">
        <v>44811.312705300923</v>
      </c>
      <c r="J505" s="1">
        <f>553383003593</f>
        <v>553383003593</v>
      </c>
      <c r="K505" s="3">
        <v>0</v>
      </c>
      <c r="L505" s="5">
        <v>0</v>
      </c>
      <c r="M505" s="1"/>
      <c r="N505" s="3">
        <v>14</v>
      </c>
      <c r="O505" s="3">
        <v>5</v>
      </c>
      <c r="P505" s="1" t="s">
        <v>33</v>
      </c>
      <c r="Q505" s="4" t="b">
        <v>1</v>
      </c>
      <c r="R505" s="4" t="b">
        <v>0</v>
      </c>
      <c r="S505" s="4" t="b">
        <v>0</v>
      </c>
      <c r="T505" s="3">
        <v>0</v>
      </c>
      <c r="U505" s="4" t="b">
        <v>0</v>
      </c>
      <c r="V505" s="7">
        <v>44866</v>
      </c>
      <c r="W505" s="8">
        <v>44894</v>
      </c>
    </row>
    <row r="506" spans="1:23" ht="14.4" x14ac:dyDescent="0.3">
      <c r="A506" s="3">
        <v>50305307</v>
      </c>
      <c r="B506" s="4" t="b">
        <v>1</v>
      </c>
      <c r="C506" s="1" t="s">
        <v>1627</v>
      </c>
      <c r="D506" s="1" t="s">
        <v>1628</v>
      </c>
      <c r="E506" s="5">
        <v>5013498</v>
      </c>
      <c r="F506" s="5">
        <v>4832272</v>
      </c>
      <c r="G506" s="1" t="s">
        <v>1629</v>
      </c>
      <c r="H506" s="1" t="s">
        <v>1630</v>
      </c>
      <c r="I506" s="6">
        <v>44782.369675023147</v>
      </c>
      <c r="J506" s="1">
        <f>33953055399</f>
        <v>33953055399</v>
      </c>
      <c r="K506" s="3">
        <v>43</v>
      </c>
      <c r="L506" s="5">
        <v>4976744</v>
      </c>
      <c r="M506" s="1" t="s">
        <v>1631</v>
      </c>
      <c r="N506" s="3">
        <v>4942</v>
      </c>
      <c r="O506" s="3">
        <v>2</v>
      </c>
      <c r="P506" s="1" t="s">
        <v>39</v>
      </c>
      <c r="Q506" s="4" t="b">
        <v>0</v>
      </c>
      <c r="R506" s="4" t="b">
        <v>0</v>
      </c>
      <c r="S506" s="4" t="b">
        <v>0</v>
      </c>
      <c r="T506" s="3">
        <v>0</v>
      </c>
      <c r="U506" s="4" t="b">
        <v>0</v>
      </c>
      <c r="V506" s="7">
        <v>44830</v>
      </c>
      <c r="W506" s="7">
        <v>44768</v>
      </c>
    </row>
    <row r="507" spans="1:23" ht="14.4" x14ac:dyDescent="0.3">
      <c r="A507" s="3">
        <v>50305430</v>
      </c>
      <c r="B507" s="4" t="b">
        <v>1</v>
      </c>
      <c r="C507" s="1" t="s">
        <v>1761</v>
      </c>
      <c r="D507" s="1" t="s">
        <v>1762</v>
      </c>
      <c r="E507" s="5">
        <v>5155359</v>
      </c>
      <c r="F507" s="5">
        <v>-4503</v>
      </c>
      <c r="G507" s="1" t="s">
        <v>1367</v>
      </c>
      <c r="H507" s="1" t="s">
        <v>1763</v>
      </c>
      <c r="I507" s="6">
        <v>44812.293743263886</v>
      </c>
      <c r="J507" s="1">
        <f>553858939330</f>
        <v>553858939330</v>
      </c>
      <c r="K507" s="3">
        <v>0</v>
      </c>
      <c r="L507" s="5">
        <v>0</v>
      </c>
      <c r="M507" s="1"/>
      <c r="N507" s="3">
        <v>21</v>
      </c>
      <c r="O507" s="3">
        <v>2</v>
      </c>
      <c r="P507" s="1" t="s">
        <v>39</v>
      </c>
      <c r="Q507" s="4" t="b">
        <v>0</v>
      </c>
      <c r="R507" s="4" t="b">
        <v>0</v>
      </c>
      <c r="S507" s="4" t="b">
        <v>0</v>
      </c>
      <c r="T507" s="3">
        <v>0</v>
      </c>
      <c r="U507" s="4" t="b">
        <v>0</v>
      </c>
      <c r="V507" s="7">
        <v>44862</v>
      </c>
      <c r="W507" s="7">
        <v>44839</v>
      </c>
    </row>
    <row r="508" spans="1:23" ht="14.4" x14ac:dyDescent="0.3">
      <c r="A508" s="3">
        <v>50305505</v>
      </c>
      <c r="B508" s="4" t="b">
        <v>1</v>
      </c>
      <c r="C508" s="1" t="s">
        <v>1624</v>
      </c>
      <c r="D508" s="1" t="s">
        <v>1625</v>
      </c>
      <c r="E508" s="5">
        <v>5153358</v>
      </c>
      <c r="F508" s="5">
        <v>-10943</v>
      </c>
      <c r="G508" s="1" t="s">
        <v>1367</v>
      </c>
      <c r="H508" s="1" t="s">
        <v>1626</v>
      </c>
      <c r="I508" s="6">
        <v>44781.509112094907</v>
      </c>
      <c r="J508" s="1">
        <f>553555885530</f>
        <v>553555885530</v>
      </c>
      <c r="K508" s="3">
        <v>24</v>
      </c>
      <c r="L508" s="5">
        <v>4916667</v>
      </c>
      <c r="M508" s="1"/>
      <c r="N508" s="3">
        <v>121</v>
      </c>
      <c r="O508" s="3">
        <v>1</v>
      </c>
      <c r="P508" s="1" t="s">
        <v>39</v>
      </c>
      <c r="Q508" s="4" t="b">
        <v>0</v>
      </c>
      <c r="R508" s="4" t="b">
        <v>0</v>
      </c>
      <c r="S508" s="4" t="b">
        <v>0</v>
      </c>
      <c r="T508" s="3" t="s">
        <v>1322</v>
      </c>
      <c r="U508" s="4" t="b">
        <v>0</v>
      </c>
      <c r="V508" s="7">
        <v>44829</v>
      </c>
      <c r="W508" s="8">
        <v>44858</v>
      </c>
    </row>
    <row r="509" spans="1:23" ht="14.4" x14ac:dyDescent="0.3">
      <c r="A509" s="3">
        <v>50305530</v>
      </c>
      <c r="B509" s="4" t="b">
        <v>1</v>
      </c>
      <c r="C509" s="1" t="s">
        <v>1632</v>
      </c>
      <c r="D509" s="1" t="s">
        <v>1633</v>
      </c>
      <c r="E509" s="5">
        <v>5073641</v>
      </c>
      <c r="F509" s="5">
        <v>7102525</v>
      </c>
      <c r="G509" s="1" t="s">
        <v>1634</v>
      </c>
      <c r="H509" s="1" t="s">
        <v>1635</v>
      </c>
      <c r="I509" s="6">
        <v>44783.427714016201</v>
      </c>
      <c r="J509" s="1">
        <f>5935358389095</f>
        <v>5935358389095</v>
      </c>
      <c r="K509" s="3">
        <v>0</v>
      </c>
      <c r="L509" s="5">
        <v>0</v>
      </c>
      <c r="M509" s="1"/>
      <c r="N509" s="3">
        <v>23</v>
      </c>
      <c r="O509" s="3">
        <v>2</v>
      </c>
      <c r="P509" s="1" t="s">
        <v>33</v>
      </c>
      <c r="Q509" s="4" t="b">
        <v>0</v>
      </c>
      <c r="R509" s="4" t="b">
        <v>0</v>
      </c>
      <c r="S509" s="4" t="b">
        <v>0</v>
      </c>
      <c r="T509" s="3">
        <v>0</v>
      </c>
      <c r="U509" s="4" t="b">
        <v>0</v>
      </c>
      <c r="V509" s="7">
        <v>44831</v>
      </c>
      <c r="W509" s="8">
        <v>44855</v>
      </c>
    </row>
    <row r="510" spans="1:23" ht="14.4" x14ac:dyDescent="0.3">
      <c r="A510" s="3">
        <v>50306505</v>
      </c>
      <c r="B510" s="4" t="b">
        <v>1</v>
      </c>
      <c r="C510" s="1" t="s">
        <v>1684</v>
      </c>
      <c r="D510" s="1" t="s">
        <v>1685</v>
      </c>
      <c r="E510" s="5">
        <v>4353735</v>
      </c>
      <c r="F510" s="5">
        <v>5420833</v>
      </c>
      <c r="G510" s="1" t="s">
        <v>1686</v>
      </c>
      <c r="H510" s="1" t="s">
        <v>1687</v>
      </c>
      <c r="I510" s="6">
        <v>44802.40665297454</v>
      </c>
      <c r="J510" s="1">
        <f>33938539385</f>
        <v>33938539385</v>
      </c>
      <c r="K510" s="3">
        <v>1</v>
      </c>
      <c r="L510" s="5">
        <v>5</v>
      </c>
      <c r="M510" s="1" t="s">
        <v>1688</v>
      </c>
      <c r="N510" s="3">
        <v>43</v>
      </c>
      <c r="O510" s="3">
        <v>1</v>
      </c>
      <c r="P510" s="1" t="s">
        <v>33</v>
      </c>
      <c r="Q510" s="4" t="b">
        <v>1</v>
      </c>
      <c r="R510" s="4" t="b">
        <v>0</v>
      </c>
      <c r="S510" s="4" t="b">
        <v>0</v>
      </c>
      <c r="T510" s="3">
        <v>0</v>
      </c>
      <c r="U510" s="4" t="b">
        <v>0</v>
      </c>
      <c r="V510" s="8">
        <v>44862</v>
      </c>
      <c r="W510" s="7">
        <v>44836</v>
      </c>
    </row>
    <row r="511" spans="1:23" ht="14.4" x14ac:dyDescent="0.3">
      <c r="A511" s="3">
        <v>50307050</v>
      </c>
      <c r="B511" s="4" t="b">
        <v>1</v>
      </c>
      <c r="C511" s="1" t="s">
        <v>1703</v>
      </c>
      <c r="D511" s="1" t="s">
        <v>1704</v>
      </c>
      <c r="E511" s="5">
        <v>4738011</v>
      </c>
      <c r="F511" s="5">
        <v>852724</v>
      </c>
      <c r="G511" s="1" t="s">
        <v>1568</v>
      </c>
      <c r="H511" s="1" t="s">
        <v>1705</v>
      </c>
      <c r="I511" s="6">
        <v>44804.605640092595</v>
      </c>
      <c r="J511" s="1">
        <f>53393033853</f>
        <v>53393033853</v>
      </c>
      <c r="K511" s="3">
        <v>0</v>
      </c>
      <c r="L511" s="5">
        <v>0</v>
      </c>
      <c r="M511" s="1"/>
      <c r="N511" s="3">
        <v>2</v>
      </c>
      <c r="O511" s="3">
        <v>1</v>
      </c>
      <c r="P511" s="1" t="s">
        <v>33</v>
      </c>
      <c r="Q511" s="4" t="b">
        <v>1</v>
      </c>
      <c r="R511" s="4" t="b">
        <v>0</v>
      </c>
      <c r="S511" s="4" t="b">
        <v>0</v>
      </c>
      <c r="T511" s="3">
        <v>0</v>
      </c>
      <c r="U511" s="4" t="b">
        <v>0</v>
      </c>
      <c r="V511" s="8">
        <v>44859</v>
      </c>
      <c r="W511" s="8">
        <v>44860</v>
      </c>
    </row>
    <row r="512" spans="1:23" ht="14.4" x14ac:dyDescent="0.3">
      <c r="A512" s="3">
        <v>50307304</v>
      </c>
      <c r="B512" s="4" t="b">
        <v>1</v>
      </c>
      <c r="C512" s="1" t="s">
        <v>1713</v>
      </c>
      <c r="D512" s="1" t="s">
        <v>1714</v>
      </c>
      <c r="E512" s="5">
        <v>423506</v>
      </c>
      <c r="F512" s="5">
        <v>1339364</v>
      </c>
      <c r="G512" s="1" t="s">
        <v>1715</v>
      </c>
      <c r="H512" s="1" t="s">
        <v>1716</v>
      </c>
      <c r="I512" s="6">
        <v>44806.345183368052</v>
      </c>
      <c r="J512" s="1">
        <f>393935989393</f>
        <v>393935989393</v>
      </c>
      <c r="K512" s="3">
        <v>0</v>
      </c>
      <c r="L512" s="5">
        <v>0</v>
      </c>
      <c r="M512" s="1">
        <v>7733663</v>
      </c>
      <c r="N512" s="3">
        <v>168</v>
      </c>
      <c r="O512" s="3">
        <v>7</v>
      </c>
      <c r="P512" s="1" t="s">
        <v>39</v>
      </c>
      <c r="Q512" s="4" t="b">
        <v>1</v>
      </c>
      <c r="R512" s="4" t="b">
        <v>0</v>
      </c>
      <c r="S512" s="4" t="b">
        <v>0</v>
      </c>
      <c r="T512" s="3">
        <v>0</v>
      </c>
      <c r="U512" s="4" t="b">
        <v>0</v>
      </c>
      <c r="V512" s="8">
        <v>44884</v>
      </c>
      <c r="W512" s="8">
        <v>44875</v>
      </c>
    </row>
    <row r="513" spans="1:23" ht="14.4" x14ac:dyDescent="0.3">
      <c r="A513" s="3">
        <v>50307530</v>
      </c>
      <c r="B513" s="4" t="b">
        <v>1</v>
      </c>
      <c r="C513" s="1" t="s">
        <v>1706</v>
      </c>
      <c r="D513" s="1" t="s">
        <v>1707</v>
      </c>
      <c r="E513" s="5">
        <v>5359439</v>
      </c>
      <c r="F513" s="5">
        <v>1000253</v>
      </c>
      <c r="G513" s="1" t="s">
        <v>1331</v>
      </c>
      <c r="H513" s="1" t="s">
        <v>1708</v>
      </c>
      <c r="I513" s="6">
        <v>44805.4050102662</v>
      </c>
      <c r="J513" s="1">
        <f>595083983995</f>
        <v>595083983995</v>
      </c>
      <c r="K513" s="3">
        <v>0</v>
      </c>
      <c r="L513" s="5">
        <v>0</v>
      </c>
      <c r="M513" s="1"/>
      <c r="N513" s="3">
        <v>23</v>
      </c>
      <c r="O513" s="3">
        <v>4</v>
      </c>
      <c r="P513" s="1" t="s">
        <v>39</v>
      </c>
      <c r="Q513" s="4" t="b">
        <v>0</v>
      </c>
      <c r="R513" s="4" t="b">
        <v>0</v>
      </c>
      <c r="S513" s="4" t="b">
        <v>0</v>
      </c>
      <c r="T513" s="3">
        <v>0</v>
      </c>
      <c r="U513" s="4" t="b">
        <v>0</v>
      </c>
      <c r="V513" s="7">
        <v>44891</v>
      </c>
      <c r="W513" s="7">
        <v>44869</v>
      </c>
    </row>
    <row r="514" spans="1:23" ht="14.4" x14ac:dyDescent="0.3">
      <c r="A514" s="3">
        <v>50307530</v>
      </c>
      <c r="B514" s="4" t="b">
        <v>1</v>
      </c>
      <c r="C514" s="1" t="s">
        <v>1725</v>
      </c>
      <c r="D514" s="1" t="s">
        <v>1726</v>
      </c>
      <c r="E514" s="5">
        <v>4551819</v>
      </c>
      <c r="F514" s="5">
        <v>1022325</v>
      </c>
      <c r="G514" s="1" t="s">
        <v>295</v>
      </c>
      <c r="H514" s="1" t="s">
        <v>1727</v>
      </c>
      <c r="I514" s="6">
        <v>44806.46236391204</v>
      </c>
      <c r="J514" s="1">
        <f>390303538555</f>
        <v>390303538555</v>
      </c>
      <c r="K514" s="3">
        <v>0</v>
      </c>
      <c r="L514" s="5">
        <v>0</v>
      </c>
      <c r="M514" s="1">
        <v>633737</v>
      </c>
      <c r="N514" s="3">
        <v>20</v>
      </c>
      <c r="O514" s="3">
        <v>2</v>
      </c>
      <c r="P514" s="1" t="s">
        <v>28</v>
      </c>
      <c r="Q514" s="4" t="b">
        <v>0</v>
      </c>
      <c r="R514" s="4" t="b">
        <v>1</v>
      </c>
      <c r="S514" s="4" t="b">
        <v>0</v>
      </c>
      <c r="T514" s="3">
        <v>0</v>
      </c>
      <c r="U514" s="4" t="b">
        <v>0</v>
      </c>
      <c r="V514" s="8">
        <v>44887</v>
      </c>
      <c r="W514" s="8">
        <v>44844</v>
      </c>
    </row>
    <row r="515" spans="1:23" ht="14.4" x14ac:dyDescent="0.3">
      <c r="A515" s="3">
        <v>50307750</v>
      </c>
      <c r="B515" s="4" t="b">
        <v>1</v>
      </c>
      <c r="C515" s="1" t="s">
        <v>1717</v>
      </c>
      <c r="D515" s="1" t="s">
        <v>1718</v>
      </c>
      <c r="E515" s="5">
        <v>4155708</v>
      </c>
      <c r="F515" s="5">
        <v>146661</v>
      </c>
      <c r="G515" s="1" t="s">
        <v>1719</v>
      </c>
      <c r="H515" s="1" t="s">
        <v>1720</v>
      </c>
      <c r="I515" s="6">
        <v>44806.39143935185</v>
      </c>
      <c r="J515" s="1">
        <f>3908353953383</f>
        <v>3908353953383</v>
      </c>
      <c r="K515" s="3">
        <v>2</v>
      </c>
      <c r="L515" s="5">
        <v>5</v>
      </c>
      <c r="M515" s="1">
        <v>7333733</v>
      </c>
      <c r="N515" s="3">
        <v>355</v>
      </c>
      <c r="O515" s="3">
        <v>7</v>
      </c>
      <c r="P515" s="1" t="s">
        <v>39</v>
      </c>
      <c r="Q515" s="4" t="b">
        <v>0</v>
      </c>
      <c r="R515" s="4" t="b">
        <v>0</v>
      </c>
      <c r="S515" s="4" t="b">
        <v>0</v>
      </c>
      <c r="T515" s="3" t="s">
        <v>1601</v>
      </c>
      <c r="U515" s="4" t="b">
        <v>0</v>
      </c>
      <c r="V515" s="8">
        <v>44848</v>
      </c>
      <c r="W515" s="8">
        <v>44876</v>
      </c>
    </row>
    <row r="516" spans="1:23" ht="14.4" x14ac:dyDescent="0.3">
      <c r="A516" s="3">
        <v>50463030</v>
      </c>
      <c r="B516" s="4" t="b">
        <v>1</v>
      </c>
      <c r="C516" s="1" t="s">
        <v>1533</v>
      </c>
      <c r="D516" s="1" t="s">
        <v>1534</v>
      </c>
      <c r="E516" s="5">
        <v>4126929</v>
      </c>
      <c r="F516" s="5">
        <v>1641956</v>
      </c>
      <c r="G516" s="1" t="s">
        <v>1535</v>
      </c>
      <c r="H516" s="1" t="s">
        <v>1536</v>
      </c>
      <c r="I516" s="6">
        <v>44761.39039951389</v>
      </c>
      <c r="J516" s="1">
        <f>390883580888</f>
        <v>390883580888</v>
      </c>
      <c r="K516" s="3">
        <v>8</v>
      </c>
      <c r="L516" s="5">
        <v>5</v>
      </c>
      <c r="M516" s="1">
        <v>6373733733</v>
      </c>
      <c r="N516" s="3">
        <v>1112</v>
      </c>
      <c r="O516" s="3">
        <v>12</v>
      </c>
      <c r="P516" s="1" t="s">
        <v>33</v>
      </c>
      <c r="Q516" s="4" t="b">
        <v>0</v>
      </c>
      <c r="R516" s="4" t="b">
        <v>0</v>
      </c>
      <c r="S516" s="4" t="b">
        <v>0</v>
      </c>
      <c r="T516" s="3" t="s">
        <v>1537</v>
      </c>
      <c r="U516" s="4" t="b">
        <v>0</v>
      </c>
      <c r="V516" s="8">
        <v>44818</v>
      </c>
      <c r="W516" s="7">
        <v>44851</v>
      </c>
    </row>
    <row r="517" spans="1:23" ht="14.4" x14ac:dyDescent="0.3">
      <c r="A517" s="3">
        <v>50500505</v>
      </c>
      <c r="B517" s="4" t="b">
        <v>1</v>
      </c>
      <c r="C517" s="1" t="s">
        <v>1393</v>
      </c>
      <c r="D517" s="1" t="s">
        <v>1394</v>
      </c>
      <c r="E517" s="5">
        <v>4074997</v>
      </c>
      <c r="F517" s="5">
        <v>1451808</v>
      </c>
      <c r="G517" s="1" t="s">
        <v>1395</v>
      </c>
      <c r="H517" s="1" t="s">
        <v>1396</v>
      </c>
      <c r="I517" s="6">
        <v>44705.55390486111</v>
      </c>
      <c r="J517" s="1">
        <f>393393855505</f>
        <v>393393855505</v>
      </c>
      <c r="K517" s="3">
        <v>23</v>
      </c>
      <c r="L517" s="5">
        <v>4826087</v>
      </c>
      <c r="M517" s="1">
        <v>777773336</v>
      </c>
      <c r="N517" s="3">
        <v>384</v>
      </c>
      <c r="O517" s="3">
        <v>2</v>
      </c>
      <c r="P517" s="1" t="s">
        <v>33</v>
      </c>
      <c r="Q517" s="4" t="b">
        <v>1</v>
      </c>
      <c r="R517" s="4" t="b">
        <v>0</v>
      </c>
      <c r="S517" s="4" t="b">
        <v>0</v>
      </c>
      <c r="T517" s="3" t="s">
        <v>73</v>
      </c>
      <c r="U517" s="4" t="b">
        <v>0</v>
      </c>
      <c r="V517" s="7">
        <v>44839</v>
      </c>
      <c r="W517" s="7">
        <v>44881</v>
      </c>
    </row>
    <row r="518" spans="1:23" ht="14.4" x14ac:dyDescent="0.3">
      <c r="A518" s="3">
        <v>50501430</v>
      </c>
      <c r="B518" s="4" t="b">
        <v>1</v>
      </c>
      <c r="C518" s="1" t="s">
        <v>1401</v>
      </c>
      <c r="D518" s="1" t="s">
        <v>1402</v>
      </c>
      <c r="E518" s="5">
        <v>3642264</v>
      </c>
      <c r="F518" s="5">
        <v>-514827</v>
      </c>
      <c r="G518" s="1" t="s">
        <v>1403</v>
      </c>
      <c r="H518" s="1" t="s">
        <v>1404</v>
      </c>
      <c r="I518" s="6">
        <v>44708.293952789354</v>
      </c>
      <c r="J518" s="1">
        <f>35953983083</f>
        <v>35953983083</v>
      </c>
      <c r="K518" s="3">
        <v>3</v>
      </c>
      <c r="L518" s="5">
        <v>5</v>
      </c>
      <c r="M518" s="1" t="s">
        <v>1405</v>
      </c>
      <c r="N518" s="3">
        <v>634</v>
      </c>
      <c r="O518" s="3">
        <v>3</v>
      </c>
      <c r="P518" s="1" t="s">
        <v>28</v>
      </c>
      <c r="Q518" s="4" t="b">
        <v>0</v>
      </c>
      <c r="R518" s="4" t="b">
        <v>1</v>
      </c>
      <c r="S518" s="4" t="b">
        <v>0</v>
      </c>
      <c r="T518" s="3" t="s">
        <v>354</v>
      </c>
      <c r="U518" s="4" t="b">
        <v>1</v>
      </c>
      <c r="V518" s="8">
        <v>44863</v>
      </c>
      <c r="W518" s="8">
        <v>44894</v>
      </c>
    </row>
    <row r="519" spans="1:23" ht="14.4" x14ac:dyDescent="0.3">
      <c r="A519" s="3">
        <v>50501430</v>
      </c>
      <c r="B519" s="4" t="b">
        <v>1</v>
      </c>
      <c r="C519" s="1" t="s">
        <v>1411</v>
      </c>
      <c r="D519" s="1" t="s">
        <v>1412</v>
      </c>
      <c r="E519" s="5">
        <v>3671933</v>
      </c>
      <c r="F519" s="5">
        <v>-441015</v>
      </c>
      <c r="G519" s="1" t="s">
        <v>1413</v>
      </c>
      <c r="H519" s="1" t="s">
        <v>1414</v>
      </c>
      <c r="I519" s="6">
        <v>44711.294488252315</v>
      </c>
      <c r="J519" s="1">
        <f>35958833933</f>
        <v>35958833933</v>
      </c>
      <c r="K519" s="3">
        <v>1</v>
      </c>
      <c r="L519" s="5">
        <v>5</v>
      </c>
      <c r="M519" s="1" t="s">
        <v>1415</v>
      </c>
      <c r="N519" s="3">
        <v>272</v>
      </c>
      <c r="O519" s="3">
        <v>2</v>
      </c>
      <c r="P519" s="1" t="s">
        <v>28</v>
      </c>
      <c r="Q519" s="4" t="b">
        <v>0</v>
      </c>
      <c r="R519" s="4" t="b">
        <v>1</v>
      </c>
      <c r="S519" s="4" t="b">
        <v>0</v>
      </c>
      <c r="T519" s="3" t="s">
        <v>192</v>
      </c>
      <c r="U519" s="4" t="b">
        <v>0</v>
      </c>
      <c r="V519" s="7">
        <v>44902</v>
      </c>
      <c r="W519" s="8">
        <v>44880</v>
      </c>
    </row>
    <row r="520" spans="1:23" ht="14.4" x14ac:dyDescent="0.3">
      <c r="A520" s="3">
        <v>50503054</v>
      </c>
      <c r="B520" s="4" t="b">
        <v>1</v>
      </c>
      <c r="C520" s="1" t="s">
        <v>1438</v>
      </c>
      <c r="D520" s="1" t="s">
        <v>1439</v>
      </c>
      <c r="E520" s="5">
        <v>5084707</v>
      </c>
      <c r="F520" s="5">
        <v>429809</v>
      </c>
      <c r="G520" s="1" t="s">
        <v>1440</v>
      </c>
      <c r="H520" s="1" t="s">
        <v>1441</v>
      </c>
      <c r="I520" s="6">
        <v>44722.532324756947</v>
      </c>
      <c r="J520" s="1">
        <f>38533889338</f>
        <v>38533889338</v>
      </c>
      <c r="K520" s="3">
        <v>0</v>
      </c>
      <c r="L520" s="5">
        <v>0</v>
      </c>
      <c r="M520" s="1" t="s">
        <v>1442</v>
      </c>
      <c r="N520" s="3">
        <v>8</v>
      </c>
      <c r="O520" s="3">
        <v>1</v>
      </c>
      <c r="P520" s="1" t="s">
        <v>39</v>
      </c>
      <c r="Q520" s="4" t="b">
        <v>0</v>
      </c>
      <c r="R520" s="4" t="b">
        <v>1</v>
      </c>
      <c r="S520" s="4" t="b">
        <v>0</v>
      </c>
      <c r="T520" s="3">
        <v>0</v>
      </c>
      <c r="U520" s="4" t="b">
        <v>0</v>
      </c>
      <c r="V520" s="7">
        <v>44824</v>
      </c>
      <c r="W520" s="7">
        <v>44828</v>
      </c>
    </row>
    <row r="521" spans="1:23" ht="14.4" x14ac:dyDescent="0.3">
      <c r="A521" s="3">
        <v>50504305</v>
      </c>
      <c r="B521" s="4" t="b">
        <v>1</v>
      </c>
      <c r="C521" s="1" t="s">
        <v>1471</v>
      </c>
      <c r="D521" s="1" t="s">
        <v>1472</v>
      </c>
      <c r="E521" s="5">
        <v>4864328</v>
      </c>
      <c r="F521" s="5">
        <v>244045</v>
      </c>
      <c r="G521" s="1" t="s">
        <v>1473</v>
      </c>
      <c r="H521" s="1" t="s">
        <v>1474</v>
      </c>
      <c r="I521" s="6">
        <v>44734.403702824071</v>
      </c>
      <c r="J521" s="1">
        <f>33359583398</f>
        <v>33359583398</v>
      </c>
      <c r="K521" s="3">
        <v>4</v>
      </c>
      <c r="L521" s="5" t="s">
        <v>1475</v>
      </c>
      <c r="M521" s="1" t="s">
        <v>1476</v>
      </c>
      <c r="N521" s="3">
        <v>56</v>
      </c>
      <c r="O521" s="3">
        <v>1</v>
      </c>
      <c r="P521" s="1" t="s">
        <v>28</v>
      </c>
      <c r="Q521" s="4" t="b">
        <v>0</v>
      </c>
      <c r="R521" s="4" t="b">
        <v>1</v>
      </c>
      <c r="S521" s="4" t="b">
        <v>0</v>
      </c>
      <c r="T521" s="3" t="s">
        <v>1477</v>
      </c>
      <c r="U521" s="4" t="b">
        <v>0</v>
      </c>
      <c r="V521" s="8">
        <v>44851</v>
      </c>
      <c r="W521" s="8">
        <v>44884</v>
      </c>
    </row>
    <row r="522" spans="1:23" ht="14.4" x14ac:dyDescent="0.3">
      <c r="A522" s="3">
        <v>50504550</v>
      </c>
      <c r="B522" s="4" t="b">
        <v>1</v>
      </c>
      <c r="C522" s="1" t="s">
        <v>1463</v>
      </c>
      <c r="D522" s="1" t="s">
        <v>1464</v>
      </c>
      <c r="E522" s="5">
        <v>5160079</v>
      </c>
      <c r="F522" s="5">
        <v>-19431</v>
      </c>
      <c r="G522" s="1" t="s">
        <v>1367</v>
      </c>
      <c r="H522" s="1" t="s">
        <v>1465</v>
      </c>
      <c r="I522" s="6">
        <v>44733.472089016206</v>
      </c>
      <c r="J522" s="1">
        <f>553555539833</f>
        <v>553555539833</v>
      </c>
      <c r="K522" s="3">
        <v>11</v>
      </c>
      <c r="L522" s="5">
        <v>5</v>
      </c>
      <c r="M522" s="1"/>
      <c r="N522" s="3">
        <v>19</v>
      </c>
      <c r="O522" s="3">
        <v>1</v>
      </c>
      <c r="P522" s="1" t="s">
        <v>39</v>
      </c>
      <c r="Q522" s="4" t="b">
        <v>0</v>
      </c>
      <c r="R522" s="4" t="b">
        <v>1</v>
      </c>
      <c r="S522" s="4" t="b">
        <v>0</v>
      </c>
      <c r="T522" s="3" t="s">
        <v>1148</v>
      </c>
      <c r="U522" s="4" t="b">
        <v>0</v>
      </c>
      <c r="V522" s="7">
        <v>44818</v>
      </c>
      <c r="W522" s="8">
        <v>44889</v>
      </c>
    </row>
    <row r="523" spans="1:23" ht="14.4" x14ac:dyDescent="0.3">
      <c r="A523" s="3">
        <v>50505014</v>
      </c>
      <c r="B523" s="4" t="b">
        <v>1</v>
      </c>
      <c r="C523" s="1" t="s">
        <v>1416</v>
      </c>
      <c r="D523" s="1" t="s">
        <v>1417</v>
      </c>
      <c r="E523" s="5">
        <v>4162733</v>
      </c>
      <c r="F523" s="5">
        <v>62935</v>
      </c>
      <c r="G523" s="1" t="s">
        <v>1418</v>
      </c>
      <c r="H523" s="1" t="s">
        <v>1419</v>
      </c>
      <c r="I523" s="6">
        <v>44713.451291504629</v>
      </c>
      <c r="J523" s="1">
        <f>35998359338</f>
        <v>35998359338</v>
      </c>
      <c r="K523" s="3">
        <v>0</v>
      </c>
      <c r="L523" s="5">
        <v>0</v>
      </c>
      <c r="M523" s="1" t="s">
        <v>1420</v>
      </c>
      <c r="N523" s="3">
        <v>0</v>
      </c>
      <c r="O523" s="3">
        <v>4</v>
      </c>
      <c r="P523" s="1" t="s">
        <v>28</v>
      </c>
      <c r="Q523" s="4" t="b">
        <v>1</v>
      </c>
      <c r="R523" s="4" t="b">
        <v>0</v>
      </c>
      <c r="S523" s="4" t="b">
        <v>0</v>
      </c>
      <c r="T523" s="3">
        <v>0</v>
      </c>
      <c r="U523" s="4" t="b">
        <v>0</v>
      </c>
      <c r="V523" s="7">
        <v>44820</v>
      </c>
      <c r="W523" s="8">
        <v>44858</v>
      </c>
    </row>
    <row r="524" spans="1:23" ht="14.4" x14ac:dyDescent="0.3">
      <c r="A524" s="3">
        <v>50505041</v>
      </c>
      <c r="B524" s="4" t="b">
        <v>1</v>
      </c>
      <c r="C524" s="1" t="s">
        <v>1434</v>
      </c>
      <c r="D524" s="1" t="s">
        <v>1435</v>
      </c>
      <c r="E524" s="5">
        <v>3797667</v>
      </c>
      <c r="F524" s="5">
        <v>1295981</v>
      </c>
      <c r="G524" s="1" t="s">
        <v>1436</v>
      </c>
      <c r="H524" s="1" t="s">
        <v>1437</v>
      </c>
      <c r="I524" s="6">
        <v>44715.426548842595</v>
      </c>
      <c r="J524" s="1">
        <f>393393599933</f>
        <v>393393599933</v>
      </c>
      <c r="K524" s="3">
        <v>0</v>
      </c>
      <c r="L524" s="5">
        <v>0</v>
      </c>
      <c r="M524" s="1">
        <v>733333337</v>
      </c>
      <c r="N524" s="3">
        <v>345</v>
      </c>
      <c r="O524" s="3">
        <v>9</v>
      </c>
      <c r="P524" s="1" t="s">
        <v>28</v>
      </c>
      <c r="Q524" s="4" t="b">
        <v>0</v>
      </c>
      <c r="R524" s="4" t="b">
        <v>1</v>
      </c>
      <c r="S524" s="4" t="b">
        <v>0</v>
      </c>
      <c r="T524" s="3">
        <v>0</v>
      </c>
      <c r="U524" s="4" t="b">
        <v>0</v>
      </c>
      <c r="V524" s="7">
        <v>44833</v>
      </c>
      <c r="W524" s="8">
        <v>44882</v>
      </c>
    </row>
    <row r="525" spans="1:23" ht="14.4" x14ac:dyDescent="0.3">
      <c r="A525" s="3">
        <v>50505060</v>
      </c>
      <c r="B525" s="4" t="b">
        <v>1</v>
      </c>
      <c r="C525" s="1" t="s">
        <v>1421</v>
      </c>
      <c r="D525" s="1" t="s">
        <v>1422</v>
      </c>
      <c r="E525" s="5">
        <v>538374</v>
      </c>
      <c r="F525" s="5">
        <v>-162075</v>
      </c>
      <c r="G525" s="1" t="s">
        <v>1423</v>
      </c>
      <c r="H525" s="1" t="s">
        <v>1424</v>
      </c>
      <c r="I525" s="6">
        <v>44714.473593449075</v>
      </c>
      <c r="J525" s="1">
        <f>553953958983</f>
        <v>553953958983</v>
      </c>
      <c r="K525" s="3">
        <v>16</v>
      </c>
      <c r="L525" s="5">
        <v>5</v>
      </c>
      <c r="M525" s="1"/>
      <c r="N525" s="3">
        <v>139</v>
      </c>
      <c r="O525" s="3">
        <v>1</v>
      </c>
      <c r="P525" s="1" t="s">
        <v>28</v>
      </c>
      <c r="Q525" s="4" t="b">
        <v>0</v>
      </c>
      <c r="R525" s="4" t="b">
        <v>0</v>
      </c>
      <c r="S525" s="4" t="b">
        <v>0</v>
      </c>
      <c r="T525" s="3" t="s">
        <v>266</v>
      </c>
      <c r="U525" s="4" t="b">
        <v>0</v>
      </c>
      <c r="V525" s="8">
        <v>44864</v>
      </c>
      <c r="W525" s="8">
        <v>44890</v>
      </c>
    </row>
    <row r="526" spans="1:23" ht="14.4" x14ac:dyDescent="0.3">
      <c r="A526" s="3">
        <v>50505074</v>
      </c>
      <c r="B526" s="4" t="b">
        <v>1</v>
      </c>
      <c r="C526" s="1" t="s">
        <v>1430</v>
      </c>
      <c r="D526" s="1" t="s">
        <v>1431</v>
      </c>
      <c r="E526" s="5">
        <v>3946777</v>
      </c>
      <c r="F526" s="5">
        <v>-36824</v>
      </c>
      <c r="G526" s="1" t="s">
        <v>417</v>
      </c>
      <c r="H526" s="1" t="s">
        <v>1432</v>
      </c>
      <c r="I526" s="6">
        <v>44714.668923622688</v>
      </c>
      <c r="J526" s="1">
        <f>35983880955</f>
        <v>35983880955</v>
      </c>
      <c r="K526" s="3">
        <v>0</v>
      </c>
      <c r="L526" s="5">
        <v>0</v>
      </c>
      <c r="M526" s="1" t="s">
        <v>1433</v>
      </c>
      <c r="N526" s="3">
        <v>0</v>
      </c>
      <c r="O526" s="3">
        <v>4</v>
      </c>
      <c r="P526" s="1" t="s">
        <v>33</v>
      </c>
      <c r="Q526" s="4" t="b">
        <v>0</v>
      </c>
      <c r="R526" s="4" t="b">
        <v>1</v>
      </c>
      <c r="S526" s="4" t="b">
        <v>0</v>
      </c>
      <c r="T526" s="3">
        <v>0</v>
      </c>
      <c r="U526" s="4" t="b">
        <v>0</v>
      </c>
      <c r="V526" s="7">
        <v>44896</v>
      </c>
      <c r="W526" s="8">
        <v>44846</v>
      </c>
    </row>
    <row r="527" spans="1:23" ht="14.4" x14ac:dyDescent="0.3">
      <c r="A527" s="3">
        <v>50506504</v>
      </c>
      <c r="B527" s="4" t="b">
        <v>1</v>
      </c>
      <c r="C527" s="1" t="s">
        <v>1448</v>
      </c>
      <c r="D527" s="1" t="s">
        <v>1449</v>
      </c>
      <c r="E527" s="5">
        <v>4431041</v>
      </c>
      <c r="F527" s="5">
        <v>8484848</v>
      </c>
      <c r="G527" s="1" t="s">
        <v>609</v>
      </c>
      <c r="H527" s="1" t="s">
        <v>1450</v>
      </c>
      <c r="I527" s="6">
        <v>44727.43407935185</v>
      </c>
      <c r="J527" s="1">
        <f>393399939353</f>
        <v>393399939353</v>
      </c>
      <c r="K527" s="3">
        <v>4</v>
      </c>
      <c r="L527" s="5">
        <v>5</v>
      </c>
      <c r="M527" s="1">
        <v>733373</v>
      </c>
      <c r="N527" s="3">
        <v>525</v>
      </c>
      <c r="O527" s="3">
        <v>2</v>
      </c>
      <c r="P527" s="1" t="s">
        <v>33</v>
      </c>
      <c r="Q527" s="4" t="b">
        <v>0</v>
      </c>
      <c r="R527" s="4" t="b">
        <v>1</v>
      </c>
      <c r="S527" s="4" t="b">
        <v>0</v>
      </c>
      <c r="T527" s="3" t="s">
        <v>611</v>
      </c>
      <c r="U527" s="4" t="b">
        <v>0</v>
      </c>
      <c r="V527" s="8">
        <v>44844</v>
      </c>
      <c r="W527" s="8">
        <v>44895</v>
      </c>
    </row>
    <row r="528" spans="1:23" ht="14.4" x14ac:dyDescent="0.3">
      <c r="A528" s="3">
        <v>50603050</v>
      </c>
      <c r="B528" s="4" t="b">
        <v>1</v>
      </c>
      <c r="C528" s="1" t="s">
        <v>1792</v>
      </c>
      <c r="D528" s="1" t="s">
        <v>1793</v>
      </c>
      <c r="E528" s="5">
        <v>3805542</v>
      </c>
      <c r="F528" s="5">
        <v>2380421</v>
      </c>
      <c r="G528" s="1" t="s">
        <v>903</v>
      </c>
      <c r="H528" s="1" t="s">
        <v>1794</v>
      </c>
      <c r="I528" s="6">
        <v>44816.571914837965</v>
      </c>
      <c r="J528" s="1">
        <f>308309353385</f>
        <v>308309353385</v>
      </c>
      <c r="K528" s="3">
        <v>0</v>
      </c>
      <c r="L528" s="5">
        <v>0</v>
      </c>
      <c r="M528" s="1">
        <v>73736377</v>
      </c>
      <c r="N528" s="3">
        <v>1156</v>
      </c>
      <c r="O528" s="3">
        <v>2</v>
      </c>
      <c r="P528" s="1" t="s">
        <v>39</v>
      </c>
      <c r="Q528" s="4" t="b">
        <v>0</v>
      </c>
      <c r="R528" s="4" t="b">
        <v>1</v>
      </c>
      <c r="S528" s="4" t="b">
        <v>0</v>
      </c>
      <c r="T528" s="3">
        <v>0</v>
      </c>
      <c r="U528" s="4" t="b">
        <v>0</v>
      </c>
      <c r="V528" s="8">
        <v>44894</v>
      </c>
      <c r="W528" s="8">
        <v>44851</v>
      </c>
    </row>
    <row r="529" spans="1:23" ht="14.4" x14ac:dyDescent="0.3">
      <c r="A529" s="3">
        <v>50630150</v>
      </c>
      <c r="B529" s="4" t="b">
        <v>1</v>
      </c>
      <c r="C529" s="1" t="s">
        <v>1981</v>
      </c>
      <c r="D529" s="1" t="s">
        <v>1982</v>
      </c>
      <c r="E529" s="5">
        <v>4884365</v>
      </c>
      <c r="F529" s="5">
        <v>2218737</v>
      </c>
      <c r="G529" s="1" t="s">
        <v>1983</v>
      </c>
      <c r="H529" s="1" t="s">
        <v>1984</v>
      </c>
      <c r="I529" s="6">
        <v>44827.374077858796</v>
      </c>
      <c r="J529" s="1">
        <f>33989535383</f>
        <v>33989535383</v>
      </c>
      <c r="K529" s="3">
        <v>0</v>
      </c>
      <c r="L529" s="5">
        <v>0</v>
      </c>
      <c r="M529" s="1" t="s">
        <v>1985</v>
      </c>
      <c r="N529" s="3">
        <v>0</v>
      </c>
      <c r="O529" s="3">
        <v>2</v>
      </c>
      <c r="P529" s="1" t="s">
        <v>39</v>
      </c>
      <c r="Q529" s="4" t="b">
        <v>1</v>
      </c>
      <c r="R529" s="4" t="b">
        <v>0</v>
      </c>
      <c r="S529" s="4" t="b">
        <v>0</v>
      </c>
      <c r="T529" s="3">
        <v>0</v>
      </c>
      <c r="U529" s="4" t="b">
        <v>0</v>
      </c>
      <c r="V529" s="8">
        <v>44848</v>
      </c>
      <c r="W529" s="7">
        <v>44835</v>
      </c>
    </row>
    <row r="530" spans="1:23" ht="14.4" x14ac:dyDescent="0.3">
      <c r="A530" s="3">
        <v>50630450</v>
      </c>
      <c r="B530" s="4" t="b">
        <v>1</v>
      </c>
      <c r="C530" s="1" t="s">
        <v>2024</v>
      </c>
      <c r="D530" s="1" t="s">
        <v>2025</v>
      </c>
      <c r="E530" s="5">
        <v>3977229</v>
      </c>
      <c r="F530" s="5">
        <v>303007</v>
      </c>
      <c r="G530" s="1" t="s">
        <v>2026</v>
      </c>
      <c r="H530" s="1" t="s">
        <v>2027</v>
      </c>
      <c r="I530" s="6">
        <v>44831.382886504631</v>
      </c>
      <c r="J530" s="1">
        <f>35933939355</f>
        <v>35933939355</v>
      </c>
      <c r="K530" s="3">
        <v>0</v>
      </c>
      <c r="L530" s="5">
        <v>0</v>
      </c>
      <c r="M530" s="1" t="s">
        <v>2028</v>
      </c>
      <c r="N530" s="3">
        <v>0</v>
      </c>
      <c r="O530" s="3">
        <v>2</v>
      </c>
      <c r="P530" s="1" t="s">
        <v>28</v>
      </c>
      <c r="Q530" s="4" t="b">
        <v>0</v>
      </c>
      <c r="R530" s="4" t="b">
        <v>1</v>
      </c>
      <c r="S530" s="4" t="b">
        <v>0</v>
      </c>
      <c r="T530" s="3">
        <v>0</v>
      </c>
      <c r="U530" s="4" t="b">
        <v>0</v>
      </c>
      <c r="V530" s="7">
        <v>44874</v>
      </c>
      <c r="W530" s="7">
        <v>44883</v>
      </c>
    </row>
    <row r="531" spans="1:23" ht="14.4" x14ac:dyDescent="0.3">
      <c r="A531" s="3">
        <v>50630500</v>
      </c>
      <c r="B531" s="4" t="b">
        <v>1</v>
      </c>
      <c r="C531" s="1" t="s">
        <v>2000</v>
      </c>
      <c r="D531" s="1" t="s">
        <v>2001</v>
      </c>
      <c r="E531" s="5">
        <v>4880823</v>
      </c>
      <c r="F531" s="5">
        <v>9211917</v>
      </c>
      <c r="G531" s="1" t="s">
        <v>2002</v>
      </c>
      <c r="H531" s="1" t="s">
        <v>2003</v>
      </c>
      <c r="I531" s="6">
        <v>44827.482358692127</v>
      </c>
      <c r="J531" s="1">
        <f>5933393803008</f>
        <v>5933393803008</v>
      </c>
      <c r="K531" s="3">
        <v>0</v>
      </c>
      <c r="L531" s="5">
        <v>0</v>
      </c>
      <c r="M531" s="1"/>
      <c r="N531" s="3">
        <v>0</v>
      </c>
      <c r="O531" s="3">
        <v>2</v>
      </c>
      <c r="P531" s="1" t="s">
        <v>28</v>
      </c>
      <c r="Q531" s="4" t="b">
        <v>1</v>
      </c>
      <c r="R531" s="4" t="b">
        <v>0</v>
      </c>
      <c r="S531" s="4" t="b">
        <v>0</v>
      </c>
      <c r="T531" s="3">
        <v>0</v>
      </c>
      <c r="U531" s="4" t="b">
        <v>0</v>
      </c>
      <c r="V531" s="7">
        <v>44839</v>
      </c>
      <c r="W531" s="8">
        <v>44847</v>
      </c>
    </row>
    <row r="532" spans="1:23" ht="14.4" x14ac:dyDescent="0.3">
      <c r="A532" s="3">
        <v>50630505</v>
      </c>
      <c r="B532" s="4" t="b">
        <v>0</v>
      </c>
      <c r="C532" s="1" t="s">
        <v>2006</v>
      </c>
      <c r="D532" s="1" t="s">
        <v>2007</v>
      </c>
      <c r="E532" s="5">
        <v>5224742</v>
      </c>
      <c r="F532" s="5">
        <v>5256329</v>
      </c>
      <c r="G532" s="1" t="s">
        <v>2008</v>
      </c>
      <c r="H532" s="1" t="s">
        <v>2009</v>
      </c>
      <c r="I532" s="6">
        <v>44827.606839918983</v>
      </c>
      <c r="J532" s="1">
        <f>33983335838</f>
        <v>33983335838</v>
      </c>
      <c r="K532" s="3">
        <v>0</v>
      </c>
      <c r="L532" s="5">
        <v>0</v>
      </c>
      <c r="M532" s="1" t="s">
        <v>2010</v>
      </c>
      <c r="N532" s="3">
        <v>0</v>
      </c>
      <c r="O532" s="3">
        <v>1</v>
      </c>
      <c r="P532" s="1" t="s">
        <v>28</v>
      </c>
      <c r="Q532" s="4" t="b">
        <v>1</v>
      </c>
      <c r="R532" s="4" t="b">
        <v>0</v>
      </c>
      <c r="S532" s="4" t="b">
        <v>0</v>
      </c>
      <c r="T532" s="3">
        <v>0</v>
      </c>
      <c r="U532" s="4" t="b">
        <v>0</v>
      </c>
      <c r="V532" s="8">
        <v>44853</v>
      </c>
      <c r="W532" s="7">
        <v>44836</v>
      </c>
    </row>
    <row r="533" spans="1:23" ht="14.4" x14ac:dyDescent="0.3">
      <c r="A533" s="3">
        <v>50630530</v>
      </c>
      <c r="B533" s="4" t="b">
        <v>1</v>
      </c>
      <c r="C533" s="1" t="s">
        <v>2036</v>
      </c>
      <c r="D533" s="1" t="s">
        <v>2037</v>
      </c>
      <c r="E533" s="5">
        <v>5597445</v>
      </c>
      <c r="F533" s="5">
        <v>-318582</v>
      </c>
      <c r="G533" s="1" t="s">
        <v>2038</v>
      </c>
      <c r="H533" s="1" t="s">
        <v>2039</v>
      </c>
      <c r="I533" s="6">
        <v>44831.426367581022</v>
      </c>
      <c r="J533" s="1">
        <f>553939535583</f>
        <v>553939535583</v>
      </c>
      <c r="K533" s="3">
        <v>0</v>
      </c>
      <c r="L533" s="5">
        <v>0</v>
      </c>
      <c r="M533" s="1"/>
      <c r="N533" s="3">
        <v>0</v>
      </c>
      <c r="O533" s="3">
        <v>2</v>
      </c>
      <c r="P533" s="1" t="s">
        <v>39</v>
      </c>
      <c r="Q533" s="4" t="b">
        <v>1</v>
      </c>
      <c r="R533" s="4" t="b">
        <v>0</v>
      </c>
      <c r="S533" s="4" t="b">
        <v>0</v>
      </c>
      <c r="T533" s="3">
        <v>0</v>
      </c>
      <c r="U533" s="4" t="b">
        <v>0</v>
      </c>
      <c r="V533" s="8">
        <v>44887</v>
      </c>
      <c r="W533" s="8">
        <v>44878</v>
      </c>
    </row>
    <row r="534" spans="1:23" ht="14.4" x14ac:dyDescent="0.3">
      <c r="A534" s="3">
        <v>50630750</v>
      </c>
      <c r="B534" s="4" t="b">
        <v>1</v>
      </c>
      <c r="C534" s="1" t="s">
        <v>2015</v>
      </c>
      <c r="D534" s="1" t="s">
        <v>2016</v>
      </c>
      <c r="E534" s="5">
        <v>4360382</v>
      </c>
      <c r="F534" s="5">
        <v>144854</v>
      </c>
      <c r="G534" s="1" t="s">
        <v>1215</v>
      </c>
      <c r="H534" s="1" t="s">
        <v>2017</v>
      </c>
      <c r="I534" s="6">
        <v>44831.332244097219</v>
      </c>
      <c r="J534" s="1">
        <f>33358533098</f>
        <v>33358533098</v>
      </c>
      <c r="K534" s="3">
        <v>0</v>
      </c>
      <c r="L534" s="5">
        <v>0</v>
      </c>
      <c r="M534" s="1" t="s">
        <v>2018</v>
      </c>
      <c r="N534" s="3">
        <v>0</v>
      </c>
      <c r="O534" s="3">
        <v>5</v>
      </c>
      <c r="P534" s="1" t="s">
        <v>33</v>
      </c>
      <c r="Q534" s="4" t="b">
        <v>1</v>
      </c>
      <c r="R534" s="4" t="b">
        <v>0</v>
      </c>
      <c r="S534" s="4" t="b">
        <v>0</v>
      </c>
      <c r="T534" s="3">
        <v>0</v>
      </c>
      <c r="U534" s="4" t="b">
        <v>0</v>
      </c>
      <c r="V534" s="8">
        <v>44890</v>
      </c>
      <c r="W534" s="8">
        <v>44892</v>
      </c>
    </row>
    <row r="535" spans="1:23" ht="14.4" x14ac:dyDescent="0.3">
      <c r="A535" s="3">
        <v>50650030</v>
      </c>
      <c r="B535" s="4" t="b">
        <v>1</v>
      </c>
      <c r="C535" s="1" t="s">
        <v>1863</v>
      </c>
      <c r="D535" s="1" t="s">
        <v>1864</v>
      </c>
      <c r="E535" s="5">
        <v>4080744</v>
      </c>
      <c r="F535" s="5">
        <v>1461611</v>
      </c>
      <c r="G535" s="1" t="s">
        <v>1865</v>
      </c>
      <c r="H535" s="1" t="s">
        <v>1866</v>
      </c>
      <c r="I535" s="6">
        <v>44824.325219016202</v>
      </c>
      <c r="J535" s="1">
        <f>393883538939</f>
        <v>393883538939</v>
      </c>
      <c r="K535" s="3">
        <v>0</v>
      </c>
      <c r="L535" s="5">
        <v>0</v>
      </c>
      <c r="M535" s="1">
        <v>3336673636</v>
      </c>
      <c r="N535" s="3">
        <v>141</v>
      </c>
      <c r="O535" s="3">
        <v>4</v>
      </c>
      <c r="P535" s="1" t="s">
        <v>39</v>
      </c>
      <c r="Q535" s="4" t="b">
        <v>0</v>
      </c>
      <c r="R535" s="4" t="b">
        <v>1</v>
      </c>
      <c r="S535" s="4" t="b">
        <v>0</v>
      </c>
      <c r="T535" s="3">
        <v>0</v>
      </c>
      <c r="U535" s="4" t="b">
        <v>0</v>
      </c>
      <c r="V535" s="8">
        <v>44895</v>
      </c>
      <c r="W535" s="8">
        <v>44861</v>
      </c>
    </row>
    <row r="536" spans="1:23" ht="14.4" x14ac:dyDescent="0.3">
      <c r="A536" s="3">
        <v>50650307</v>
      </c>
      <c r="B536" s="4" t="b">
        <v>1</v>
      </c>
      <c r="C536" s="1" t="s">
        <v>1886</v>
      </c>
      <c r="D536" s="1" t="s">
        <v>1887</v>
      </c>
      <c r="E536" s="5">
        <v>5196831</v>
      </c>
      <c r="F536" s="5">
        <v>4588419</v>
      </c>
      <c r="G536" s="1" t="s">
        <v>1888</v>
      </c>
      <c r="H536" s="1" t="s">
        <v>1889</v>
      </c>
      <c r="I536" s="6">
        <v>44825.28212019676</v>
      </c>
      <c r="J536" s="1">
        <f>33933399330</f>
        <v>33933399330</v>
      </c>
      <c r="K536" s="3">
        <v>0</v>
      </c>
      <c r="L536" s="5">
        <v>0</v>
      </c>
      <c r="M536" s="1" t="s">
        <v>1890</v>
      </c>
      <c r="N536" s="3">
        <v>0</v>
      </c>
      <c r="O536" s="3">
        <v>1</v>
      </c>
      <c r="P536" s="1" t="s">
        <v>39</v>
      </c>
      <c r="Q536" s="4" t="b">
        <v>1</v>
      </c>
      <c r="R536" s="4" t="b">
        <v>0</v>
      </c>
      <c r="S536" s="4" t="b">
        <v>0</v>
      </c>
      <c r="T536" s="3">
        <v>0</v>
      </c>
      <c r="U536" s="4" t="b">
        <v>0</v>
      </c>
      <c r="V536" s="8">
        <v>44876</v>
      </c>
      <c r="W536" s="8">
        <v>44895</v>
      </c>
    </row>
    <row r="537" spans="1:23" ht="14.4" x14ac:dyDescent="0.3">
      <c r="A537" s="3">
        <v>50650506</v>
      </c>
      <c r="B537" s="4" t="b">
        <v>1</v>
      </c>
      <c r="C537" s="1" t="s">
        <v>1878</v>
      </c>
      <c r="D537" s="1" t="s">
        <v>1879</v>
      </c>
      <c r="E537" s="5">
        <v>4569229</v>
      </c>
      <c r="F537" s="5">
        <v>8817722</v>
      </c>
      <c r="G537" s="1" t="s">
        <v>1880</v>
      </c>
      <c r="H537" s="1" t="s">
        <v>1881</v>
      </c>
      <c r="I537" s="6">
        <v>44824.508219791664</v>
      </c>
      <c r="J537" s="1">
        <f>393538833033</f>
        <v>393538833033</v>
      </c>
      <c r="K537" s="3">
        <v>0</v>
      </c>
      <c r="L537" s="5">
        <v>0</v>
      </c>
      <c r="M537" s="1">
        <v>7336733333</v>
      </c>
      <c r="N537" s="3">
        <v>0</v>
      </c>
      <c r="O537" s="3">
        <v>4</v>
      </c>
      <c r="P537" s="1" t="s">
        <v>28</v>
      </c>
      <c r="Q537" s="4" t="b">
        <v>1</v>
      </c>
      <c r="R537" s="4" t="b">
        <v>0</v>
      </c>
      <c r="S537" s="4" t="b">
        <v>0</v>
      </c>
      <c r="T537" s="3">
        <v>0</v>
      </c>
      <c r="U537" s="4" t="b">
        <v>0</v>
      </c>
      <c r="V537" s="8">
        <v>44892</v>
      </c>
      <c r="W537" s="7">
        <v>44902</v>
      </c>
    </row>
    <row r="538" spans="1:23" ht="14.4" x14ac:dyDescent="0.3">
      <c r="A538" s="3">
        <v>50650550</v>
      </c>
      <c r="B538" s="4" t="b">
        <v>1</v>
      </c>
      <c r="C538" s="1" t="s">
        <v>1430</v>
      </c>
      <c r="D538" s="1" t="s">
        <v>1431</v>
      </c>
      <c r="E538" s="5">
        <v>3803602</v>
      </c>
      <c r="F538" s="5">
        <v>2382661</v>
      </c>
      <c r="G538" s="1" t="s">
        <v>1871</v>
      </c>
      <c r="H538" s="1" t="s">
        <v>1872</v>
      </c>
      <c r="I538" s="6">
        <v>44824.415379305552</v>
      </c>
      <c r="J538" s="1">
        <f>308330333858</f>
        <v>308330333858</v>
      </c>
      <c r="K538" s="3">
        <v>0</v>
      </c>
      <c r="L538" s="5">
        <v>0</v>
      </c>
      <c r="M538" s="1">
        <v>333337</v>
      </c>
      <c r="N538" s="3">
        <v>0</v>
      </c>
      <c r="O538" s="3">
        <v>3</v>
      </c>
      <c r="P538" s="1" t="s">
        <v>39</v>
      </c>
      <c r="Q538" s="4" t="b">
        <v>1</v>
      </c>
      <c r="R538" s="4" t="b">
        <v>0</v>
      </c>
      <c r="S538" s="4" t="b">
        <v>0</v>
      </c>
      <c r="T538" s="3">
        <v>0</v>
      </c>
      <c r="U538" s="4" t="b">
        <v>0</v>
      </c>
      <c r="V538" s="8">
        <v>44891</v>
      </c>
      <c r="W538" s="8">
        <v>44864</v>
      </c>
    </row>
    <row r="539" spans="1:23" ht="14.4" x14ac:dyDescent="0.3">
      <c r="A539" s="3">
        <v>50650630</v>
      </c>
      <c r="B539" s="4" t="b">
        <v>1</v>
      </c>
      <c r="C539" s="1" t="s">
        <v>1891</v>
      </c>
      <c r="D539" s="1" t="s">
        <v>1892</v>
      </c>
      <c r="E539" s="5">
        <v>4488247</v>
      </c>
      <c r="F539" s="5">
        <v>7332139</v>
      </c>
      <c r="G539" s="1" t="s">
        <v>1893</v>
      </c>
      <c r="H539" s="1" t="s">
        <v>1894</v>
      </c>
      <c r="I539" s="6">
        <v>44825.331793344907</v>
      </c>
      <c r="J539" s="1">
        <f>393339355588</f>
        <v>393339355588</v>
      </c>
      <c r="K539" s="3">
        <v>0</v>
      </c>
      <c r="L539" s="5">
        <v>0</v>
      </c>
      <c r="M539" s="1">
        <v>73733333</v>
      </c>
      <c r="N539" s="3">
        <v>57</v>
      </c>
      <c r="O539" s="3">
        <v>4</v>
      </c>
      <c r="P539" s="1" t="s">
        <v>39</v>
      </c>
      <c r="Q539" s="4" t="b">
        <v>0</v>
      </c>
      <c r="R539" s="4" t="b">
        <v>0</v>
      </c>
      <c r="S539" s="4" t="b">
        <v>0</v>
      </c>
      <c r="T539" s="3">
        <v>0</v>
      </c>
      <c r="U539" s="4" t="b">
        <v>0</v>
      </c>
      <c r="V539" s="7">
        <v>44846</v>
      </c>
      <c r="W539" s="7">
        <v>44856</v>
      </c>
    </row>
    <row r="540" spans="1:23" ht="14.4" x14ac:dyDescent="0.3">
      <c r="A540" s="3">
        <v>50663030</v>
      </c>
      <c r="B540" s="4" t="b">
        <v>1</v>
      </c>
      <c r="C540" s="1" t="s">
        <v>2101</v>
      </c>
      <c r="D540" s="1" t="s">
        <v>2102</v>
      </c>
      <c r="E540" s="5">
        <v>5146523</v>
      </c>
      <c r="F540" s="5">
        <v>-18059</v>
      </c>
      <c r="G540" s="1" t="s">
        <v>1367</v>
      </c>
      <c r="H540" s="1" t="s">
        <v>2103</v>
      </c>
      <c r="I540" s="6">
        <v>44832.424969409723</v>
      </c>
      <c r="J540" s="1">
        <f>553889998535</f>
        <v>553889998535</v>
      </c>
      <c r="K540" s="3">
        <v>0</v>
      </c>
      <c r="L540" s="5">
        <v>0</v>
      </c>
      <c r="M540" s="1"/>
      <c r="N540" s="3">
        <v>0</v>
      </c>
      <c r="O540" s="3">
        <v>2</v>
      </c>
      <c r="P540" s="1" t="s">
        <v>28</v>
      </c>
      <c r="Q540" s="4" t="b">
        <v>1</v>
      </c>
      <c r="R540" s="4" t="b">
        <v>0</v>
      </c>
      <c r="S540" s="4" t="b">
        <v>0</v>
      </c>
      <c r="T540" s="3">
        <v>0</v>
      </c>
      <c r="U540" s="4" t="b">
        <v>0</v>
      </c>
      <c r="V540" s="8">
        <v>44893</v>
      </c>
      <c r="W540" s="7">
        <v>44897</v>
      </c>
    </row>
    <row r="541" spans="1:23" ht="14.4" x14ac:dyDescent="0.3">
      <c r="A541" s="3">
        <v>50675030</v>
      </c>
      <c r="B541" s="4" t="b">
        <v>1</v>
      </c>
      <c r="C541" s="1" t="s">
        <v>2299</v>
      </c>
      <c r="D541" s="1" t="s">
        <v>2300</v>
      </c>
      <c r="E541" s="5">
        <v>4448598</v>
      </c>
      <c r="F541" s="5">
        <v>1133939</v>
      </c>
      <c r="G541" s="1" t="s">
        <v>1575</v>
      </c>
      <c r="H541" s="1" t="s">
        <v>2301</v>
      </c>
      <c r="I541" s="6">
        <v>44833.578930335651</v>
      </c>
      <c r="J541" s="1">
        <f>393359553533</f>
        <v>393359553533</v>
      </c>
      <c r="K541" s="3">
        <v>0</v>
      </c>
      <c r="L541" s="5">
        <v>0</v>
      </c>
      <c r="M541" s="1">
        <v>7333333333</v>
      </c>
      <c r="N541" s="3">
        <v>0</v>
      </c>
      <c r="O541" s="3">
        <v>0</v>
      </c>
      <c r="P541" s="1" t="s">
        <v>28</v>
      </c>
      <c r="Q541" s="4" t="b">
        <v>1</v>
      </c>
      <c r="R541" s="4" t="b">
        <v>0</v>
      </c>
      <c r="S541" s="4" t="b">
        <v>0</v>
      </c>
      <c r="T541" s="3">
        <v>0</v>
      </c>
      <c r="U541" s="4" t="b">
        <v>0</v>
      </c>
      <c r="V541" s="7">
        <v>44897</v>
      </c>
      <c r="W541" s="8">
        <v>44892</v>
      </c>
    </row>
    <row r="542" spans="1:23" ht="14.4" x14ac:dyDescent="0.3">
      <c r="A542" s="3">
        <v>50675050</v>
      </c>
      <c r="B542" s="4" t="b">
        <v>1</v>
      </c>
      <c r="C542" s="1" t="s">
        <v>2294</v>
      </c>
      <c r="D542" s="1" t="s">
        <v>2295</v>
      </c>
      <c r="E542" s="5">
        <v>4811223</v>
      </c>
      <c r="F542" s="5">
        <v>1157027</v>
      </c>
      <c r="G542" s="1" t="s">
        <v>2296</v>
      </c>
      <c r="H542" s="1" t="s">
        <v>2297</v>
      </c>
      <c r="I542" s="6">
        <v>44833.56917732639</v>
      </c>
      <c r="J542" s="6"/>
      <c r="K542" s="3">
        <v>0</v>
      </c>
      <c r="L542" s="5">
        <v>0</v>
      </c>
      <c r="M542" s="1"/>
      <c r="N542" s="3">
        <v>0</v>
      </c>
      <c r="O542" s="3">
        <v>0</v>
      </c>
      <c r="P542" s="1" t="s">
        <v>33</v>
      </c>
      <c r="Q542" s="4" t="b">
        <v>0</v>
      </c>
      <c r="R542" s="4" t="b">
        <v>0</v>
      </c>
      <c r="S542" s="4" t="b">
        <v>0</v>
      </c>
      <c r="T542" s="3">
        <v>0</v>
      </c>
      <c r="U542" s="4" t="b">
        <v>0</v>
      </c>
      <c r="V542" s="7">
        <v>44900</v>
      </c>
      <c r="W542" s="8">
        <v>44877</v>
      </c>
    </row>
    <row r="543" spans="1:23" ht="14.4" x14ac:dyDescent="0.3">
      <c r="A543" s="3">
        <v>53050430</v>
      </c>
      <c r="B543" s="4" t="b">
        <v>1</v>
      </c>
      <c r="C543" s="1" t="s">
        <v>694</v>
      </c>
      <c r="D543" s="1" t="s">
        <v>695</v>
      </c>
      <c r="E543" s="5">
        <v>4190084</v>
      </c>
      <c r="F543" s="5">
        <v>1249265</v>
      </c>
      <c r="G543" s="1" t="s">
        <v>25</v>
      </c>
      <c r="H543" s="1" t="s">
        <v>696</v>
      </c>
      <c r="I543" s="6">
        <v>44253.467653148145</v>
      </c>
      <c r="J543" s="6"/>
      <c r="K543" s="3">
        <v>787</v>
      </c>
      <c r="L543" s="5">
        <v>4866582</v>
      </c>
      <c r="M543" s="1">
        <v>333673763</v>
      </c>
      <c r="N543" s="3">
        <v>5166</v>
      </c>
      <c r="O543" s="3">
        <v>6</v>
      </c>
      <c r="P543" s="1" t="s">
        <v>28</v>
      </c>
      <c r="Q543" s="4" t="b">
        <v>0</v>
      </c>
      <c r="R543" s="4" t="b">
        <v>0</v>
      </c>
      <c r="S543" s="4" t="b">
        <v>0</v>
      </c>
      <c r="T543" s="3" t="s">
        <v>170</v>
      </c>
      <c r="U543" s="4" t="b">
        <v>0</v>
      </c>
      <c r="V543" s="7">
        <v>44899</v>
      </c>
      <c r="W543" s="7">
        <v>44880</v>
      </c>
    </row>
    <row r="544" spans="1:23" ht="14.4" x14ac:dyDescent="0.3">
      <c r="A544" s="3">
        <v>500303050</v>
      </c>
      <c r="B544" s="4" t="b">
        <v>1</v>
      </c>
      <c r="C544" s="1" t="s">
        <v>1169</v>
      </c>
      <c r="D544" s="1" t="s">
        <v>1170</v>
      </c>
      <c r="E544" s="5">
        <v>4141918</v>
      </c>
      <c r="F544" s="5">
        <v>217257</v>
      </c>
      <c r="G544" s="1" t="s">
        <v>182</v>
      </c>
      <c r="H544" s="1" t="s">
        <v>1171</v>
      </c>
      <c r="I544" s="6">
        <v>44615.590151469907</v>
      </c>
      <c r="J544" s="1">
        <f>35938583383</f>
        <v>35938583383</v>
      </c>
      <c r="K544" s="3">
        <v>52</v>
      </c>
      <c r="L544" s="5">
        <v>5</v>
      </c>
      <c r="M544" s="1" t="s">
        <v>1172</v>
      </c>
      <c r="N544" s="3">
        <v>477</v>
      </c>
      <c r="O544" s="3">
        <v>3</v>
      </c>
      <c r="P544" s="1" t="s">
        <v>28</v>
      </c>
      <c r="Q544" s="4" t="b">
        <v>0</v>
      </c>
      <c r="R544" s="4" t="b">
        <v>1</v>
      </c>
      <c r="S544" s="4" t="b">
        <v>0</v>
      </c>
      <c r="T544" s="3" t="s">
        <v>1173</v>
      </c>
      <c r="U544" s="4" t="b">
        <v>0</v>
      </c>
      <c r="V544" s="7">
        <v>44760</v>
      </c>
      <c r="W544" s="7">
        <v>44799</v>
      </c>
    </row>
    <row r="545" spans="1:23" ht="14.4" x14ac:dyDescent="0.3">
      <c r="A545" s="3">
        <v>503030505</v>
      </c>
      <c r="B545" s="4" t="b">
        <v>1</v>
      </c>
      <c r="C545" s="1" t="s">
        <v>1673</v>
      </c>
      <c r="D545" s="1" t="s">
        <v>1674</v>
      </c>
      <c r="E545" s="5">
        <v>4889923</v>
      </c>
      <c r="F545" s="5">
        <v>2344619</v>
      </c>
      <c r="G545" s="1" t="s">
        <v>365</v>
      </c>
      <c r="H545" s="1" t="s">
        <v>1675</v>
      </c>
      <c r="I545" s="6">
        <v>44796.58523178241</v>
      </c>
      <c r="J545" s="1">
        <f>33998899588</f>
        <v>33998899588</v>
      </c>
      <c r="K545" s="3">
        <v>0</v>
      </c>
      <c r="L545" s="5">
        <v>0</v>
      </c>
      <c r="M545" s="1"/>
      <c r="N545" s="3">
        <v>1</v>
      </c>
      <c r="O545" s="3">
        <v>1</v>
      </c>
      <c r="P545" s="1" t="s">
        <v>39</v>
      </c>
      <c r="Q545" s="4" t="b">
        <v>0</v>
      </c>
      <c r="R545" s="4" t="b">
        <v>1</v>
      </c>
      <c r="S545" s="4" t="b">
        <v>0</v>
      </c>
      <c r="T545" s="3">
        <v>0</v>
      </c>
      <c r="U545" s="4" t="b">
        <v>0</v>
      </c>
      <c r="V545" s="8">
        <v>44861</v>
      </c>
      <c r="W545" s="8">
        <v>44850</v>
      </c>
    </row>
    <row r="546" spans="1:23" ht="14.4" x14ac:dyDescent="0.3">
      <c r="A546" s="3">
        <v>503050300</v>
      </c>
      <c r="B546" s="4" t="b">
        <v>1</v>
      </c>
      <c r="C546" s="1" t="s">
        <v>1649</v>
      </c>
      <c r="D546" s="1" t="s">
        <v>1650</v>
      </c>
      <c r="E546" s="5">
        <v>483085</v>
      </c>
      <c r="F546" s="5">
        <v>1186367</v>
      </c>
      <c r="G546" s="1" t="s">
        <v>1651</v>
      </c>
      <c r="H546" s="1" t="s">
        <v>1652</v>
      </c>
      <c r="I546" s="6">
        <v>44784.624150138887</v>
      </c>
      <c r="J546" s="1">
        <f>5935903858993</f>
        <v>5935903858993</v>
      </c>
      <c r="K546" s="3">
        <v>0</v>
      </c>
      <c r="L546" s="5">
        <v>0</v>
      </c>
      <c r="M546" s="1"/>
      <c r="N546" s="3">
        <v>13</v>
      </c>
      <c r="O546" s="3">
        <v>1</v>
      </c>
      <c r="P546" s="1" t="s">
        <v>39</v>
      </c>
      <c r="Q546" s="4" t="b">
        <v>0</v>
      </c>
      <c r="R546" s="4" t="b">
        <v>0</v>
      </c>
      <c r="S546" s="4" t="b">
        <v>0</v>
      </c>
      <c r="T546" s="3">
        <v>0</v>
      </c>
      <c r="U546" s="4" t="b">
        <v>0</v>
      </c>
      <c r="V546" s="7">
        <v>44835</v>
      </c>
      <c r="W546" s="7">
        <v>44826</v>
      </c>
    </row>
    <row r="547" spans="1:23" ht="14.4" x14ac:dyDescent="0.3">
      <c r="A547" s="3">
        <v>503050550</v>
      </c>
      <c r="B547" s="4" t="b">
        <v>1</v>
      </c>
      <c r="C547" s="1" t="s">
        <v>1640</v>
      </c>
      <c r="D547" s="1" t="s">
        <v>1641</v>
      </c>
      <c r="E547" s="5">
        <v>4881379</v>
      </c>
      <c r="F547" s="5">
        <v>2360732</v>
      </c>
      <c r="G547" s="1" t="s">
        <v>1642</v>
      </c>
      <c r="H547" s="1" t="s">
        <v>1643</v>
      </c>
      <c r="I547" s="6">
        <v>44784.321322187498</v>
      </c>
      <c r="J547" s="1">
        <f>33995393805</f>
        <v>33995393805</v>
      </c>
      <c r="K547" s="3">
        <v>0</v>
      </c>
      <c r="L547" s="5">
        <v>0</v>
      </c>
      <c r="M547" s="1" t="s">
        <v>1644</v>
      </c>
      <c r="N547" s="3">
        <v>1</v>
      </c>
      <c r="O547" s="3">
        <v>4</v>
      </c>
      <c r="P547" s="1" t="s">
        <v>39</v>
      </c>
      <c r="Q547" s="4" t="b">
        <v>1</v>
      </c>
      <c r="R547" s="4" t="b">
        <v>0</v>
      </c>
      <c r="S547" s="4" t="b">
        <v>0</v>
      </c>
      <c r="T547" s="3">
        <v>0</v>
      </c>
      <c r="U547" s="4" t="b">
        <v>0</v>
      </c>
      <c r="V547" s="7">
        <v>44833</v>
      </c>
      <c r="W547" s="8">
        <v>44857</v>
      </c>
    </row>
    <row r="548" spans="1:23" ht="14.4" x14ac:dyDescent="0.3">
      <c r="A548" s="3">
        <v>505030504</v>
      </c>
      <c r="B548" s="4" t="b">
        <v>1</v>
      </c>
      <c r="C548" s="1" t="s">
        <v>1443</v>
      </c>
      <c r="D548" s="1" t="s">
        <v>1444</v>
      </c>
      <c r="E548" s="5">
        <v>4140665</v>
      </c>
      <c r="F548" s="5">
        <v>219082</v>
      </c>
      <c r="G548" s="1" t="s">
        <v>182</v>
      </c>
      <c r="H548" s="1" t="s">
        <v>1445</v>
      </c>
      <c r="I548" s="6">
        <v>44722.632160416666</v>
      </c>
      <c r="J548" s="1">
        <f>35985333350</f>
        <v>35985333350</v>
      </c>
      <c r="K548" s="3">
        <v>1</v>
      </c>
      <c r="L548" s="5">
        <v>4</v>
      </c>
      <c r="M548" s="1" t="s">
        <v>1446</v>
      </c>
      <c r="N548" s="3">
        <v>1111</v>
      </c>
      <c r="O548" s="3">
        <v>3</v>
      </c>
      <c r="P548" s="1" t="s">
        <v>28</v>
      </c>
      <c r="Q548" s="4" t="b">
        <v>0</v>
      </c>
      <c r="R548" s="4" t="b">
        <v>1</v>
      </c>
      <c r="S548" s="4" t="b">
        <v>0</v>
      </c>
      <c r="T548" s="3" t="s">
        <v>1447</v>
      </c>
      <c r="U548" s="4" t="b">
        <v>0</v>
      </c>
      <c r="V548" s="8">
        <v>44884</v>
      </c>
      <c r="W548" s="8">
        <v>44857</v>
      </c>
    </row>
    <row r="549" spans="1:23" ht="14.4" x14ac:dyDescent="0.3">
      <c r="A549" s="3">
        <v>505050630</v>
      </c>
      <c r="B549" s="4" t="b">
        <v>1</v>
      </c>
      <c r="C549" s="1" t="s">
        <v>1425</v>
      </c>
      <c r="D549" s="1" t="s">
        <v>1426</v>
      </c>
      <c r="E549" s="5">
        <v>412362</v>
      </c>
      <c r="F549" s="5">
        <v>18114</v>
      </c>
      <c r="G549" s="1" t="s">
        <v>1427</v>
      </c>
      <c r="H549" s="1" t="s">
        <v>1428</v>
      </c>
      <c r="I549" s="6">
        <v>44714.577840300924</v>
      </c>
      <c r="J549" s="1">
        <f>35935303883</f>
        <v>35935303883</v>
      </c>
      <c r="K549" s="3">
        <v>2</v>
      </c>
      <c r="L549" s="5">
        <v>5</v>
      </c>
      <c r="M549" s="1" t="s">
        <v>1429</v>
      </c>
      <c r="N549" s="3">
        <v>283</v>
      </c>
      <c r="O549" s="3">
        <v>1</v>
      </c>
      <c r="P549" s="1" t="s">
        <v>28</v>
      </c>
      <c r="Q549" s="4" t="b">
        <v>0</v>
      </c>
      <c r="R549" s="4" t="b">
        <v>1</v>
      </c>
      <c r="S549" s="4" t="b">
        <v>0</v>
      </c>
      <c r="T549" s="3" t="s">
        <v>993</v>
      </c>
      <c r="U549" s="4" t="b">
        <v>0</v>
      </c>
      <c r="V549" s="7">
        <v>44840</v>
      </c>
      <c r="W549" s="8">
        <v>44848</v>
      </c>
    </row>
    <row r="550" spans="1:23" ht="14.4" x14ac:dyDescent="0.3">
      <c r="A550" s="3">
        <v>506305050</v>
      </c>
      <c r="B550" s="4" t="b">
        <v>0</v>
      </c>
      <c r="C550" s="1" t="s">
        <v>222</v>
      </c>
      <c r="D550" s="1" t="s">
        <v>223</v>
      </c>
      <c r="E550" s="5">
        <v>4133453</v>
      </c>
      <c r="F550" s="5">
        <v>-872686</v>
      </c>
      <c r="G550" s="1" t="s">
        <v>2004</v>
      </c>
      <c r="H550" s="1" t="s">
        <v>2005</v>
      </c>
      <c r="I550" s="6">
        <v>44827.528145081022</v>
      </c>
      <c r="J550" s="1">
        <f>353998339389</f>
        <v>353998339389</v>
      </c>
      <c r="K550" s="3">
        <v>0</v>
      </c>
      <c r="L550" s="5">
        <v>0</v>
      </c>
      <c r="M550" s="1">
        <v>7733</v>
      </c>
      <c r="N550" s="3">
        <v>33</v>
      </c>
      <c r="O550" s="3">
        <v>5</v>
      </c>
      <c r="P550" s="1" t="s">
        <v>33</v>
      </c>
      <c r="Q550" s="4" t="b">
        <v>0</v>
      </c>
      <c r="R550" s="4" t="b">
        <v>1</v>
      </c>
      <c r="S550" s="4" t="b">
        <v>0</v>
      </c>
      <c r="T550" s="3">
        <v>0</v>
      </c>
      <c r="U550" s="4" t="b">
        <v>1</v>
      </c>
      <c r="V550" s="8">
        <v>44861</v>
      </c>
      <c r="W550" s="7">
        <v>44866</v>
      </c>
    </row>
    <row r="551" spans="1:23" ht="14.4" x14ac:dyDescent="0.3">
      <c r="A551" s="3"/>
      <c r="B551" s="4"/>
      <c r="C551" s="1"/>
      <c r="D551" s="1"/>
      <c r="E551" s="5"/>
      <c r="F551" s="5"/>
      <c r="G551" s="1"/>
      <c r="H551" s="1"/>
      <c r="I551" s="6"/>
      <c r="J551" s="1"/>
      <c r="K551" s="3"/>
      <c r="L551" s="5"/>
      <c r="M551" s="1"/>
      <c r="N551" s="3"/>
      <c r="O551" s="3"/>
      <c r="P551" s="1"/>
      <c r="Q551" s="4"/>
      <c r="R551" s="4"/>
      <c r="S551" s="4"/>
      <c r="T551" s="3"/>
      <c r="U551" s="4"/>
      <c r="V551" s="9"/>
      <c r="W551" s="9"/>
    </row>
    <row r="552" spans="1:23" ht="14.4" x14ac:dyDescent="0.3">
      <c r="A552" s="3"/>
      <c r="B552" s="4"/>
      <c r="C552" s="1"/>
      <c r="D552" s="1"/>
      <c r="E552" s="5"/>
      <c r="F552" s="5"/>
      <c r="G552" s="1"/>
      <c r="H552" s="1"/>
      <c r="I552" s="6"/>
      <c r="J552" s="1"/>
      <c r="K552" s="3"/>
      <c r="L552" s="5"/>
      <c r="M552" s="1"/>
      <c r="N552" s="3"/>
      <c r="O552" s="3"/>
      <c r="P552" s="1"/>
      <c r="Q552" s="4"/>
      <c r="R552" s="4"/>
      <c r="S552" s="4"/>
      <c r="T552" s="3"/>
      <c r="U552" s="4"/>
      <c r="V552" s="9"/>
      <c r="W552" s="9"/>
    </row>
  </sheetData>
  <autoFilter ref="A1:W550" xr:uid="{00000000-0001-0000-0000-000000000000}">
    <sortState xmlns:xlrd2="http://schemas.microsoft.com/office/spreadsheetml/2017/richdata2" ref="A2:W550">
      <sortCondition sortBy="cellColor" ref="A1:A550" dxfId="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52"/>
  <sheetViews>
    <sheetView workbookViewId="0">
      <selection activeCell="L2" sqref="L2"/>
    </sheetView>
  </sheetViews>
  <sheetFormatPr baseColWidth="10" defaultColWidth="12.6640625" defaultRowHeight="15.75" customHeight="1" x14ac:dyDescent="0.25"/>
  <cols>
    <col min="2" max="2" width="28" customWidth="1"/>
    <col min="3" max="3" width="25.77734375" customWidth="1"/>
    <col min="4" max="4" width="65.77734375" customWidth="1"/>
    <col min="5" max="5" width="26.5546875" style="16" customWidth="1"/>
    <col min="6" max="6" width="14.6640625" customWidth="1"/>
    <col min="8" max="8" width="17.77734375" customWidth="1"/>
    <col min="10" max="10" width="0" hidden="1" customWidth="1"/>
  </cols>
  <sheetData>
    <row r="1" spans="1:11" ht="15.75" customHeight="1" x14ac:dyDescent="0.3">
      <c r="A1" s="10" t="s">
        <v>0</v>
      </c>
      <c r="B1" s="20" t="s">
        <v>2344</v>
      </c>
      <c r="C1" s="10" t="s">
        <v>6</v>
      </c>
      <c r="D1" s="25" t="s">
        <v>7</v>
      </c>
      <c r="E1" s="15" t="s">
        <v>2346</v>
      </c>
      <c r="F1" s="14" t="s">
        <v>2347</v>
      </c>
      <c r="G1" s="14" t="s">
        <v>2348</v>
      </c>
      <c r="H1" s="14" t="s">
        <v>2353</v>
      </c>
      <c r="I1" s="14" t="s">
        <v>2356</v>
      </c>
      <c r="K1" s="10" t="s">
        <v>0</v>
      </c>
    </row>
    <row r="2" spans="1:11" ht="15.75" customHeight="1" x14ac:dyDescent="0.3">
      <c r="A2" s="3">
        <v>530</v>
      </c>
      <c r="B2" s="3">
        <v>130382</v>
      </c>
      <c r="C2" s="1" t="s">
        <v>25</v>
      </c>
      <c r="D2" s="1" t="s">
        <v>26</v>
      </c>
      <c r="E2" s="16">
        <f>VLOOKUP(A2,'Case 1'!A:W,23,FALSE)</f>
        <v>44903</v>
      </c>
      <c r="F2" s="16">
        <v>44897</v>
      </c>
      <c r="G2" s="17">
        <f t="shared" ref="G2:G65" si="0">F2-E2</f>
        <v>-6</v>
      </c>
      <c r="H2" t="str">
        <f t="shared" ref="H2:H65" si="1">+IF(AND(B2&gt;40,G2&lt;30),"Heavy SAAS","No Heavy SAAS")</f>
        <v>Heavy SAAS</v>
      </c>
      <c r="I2" t="str">
        <f>VLOOKUP(A2,'Case 1'!A:P,16,FALSE )</f>
        <v>Premium</v>
      </c>
      <c r="J2" s="13"/>
      <c r="K2" s="3">
        <v>530</v>
      </c>
    </row>
    <row r="3" spans="1:11" ht="15.75" customHeight="1" x14ac:dyDescent="0.3">
      <c r="A3" s="3">
        <v>570</v>
      </c>
      <c r="B3" s="3">
        <v>129748</v>
      </c>
      <c r="C3" s="1" t="s">
        <v>25</v>
      </c>
      <c r="D3" s="1" t="s">
        <v>32</v>
      </c>
      <c r="E3" s="16">
        <f>VLOOKUP(A3,'Case 1'!A:W,23,FALSE)</f>
        <v>44903</v>
      </c>
      <c r="F3" s="16">
        <v>44897</v>
      </c>
      <c r="G3" s="17">
        <f t="shared" si="0"/>
        <v>-6</v>
      </c>
      <c r="H3" t="str">
        <f t="shared" si="1"/>
        <v>Heavy SAAS</v>
      </c>
      <c r="I3" t="str">
        <f>VLOOKUP(A3,'Case 1'!A:P,16,FALSE )</f>
        <v>Advanced</v>
      </c>
      <c r="J3" s="13"/>
      <c r="K3" s="3">
        <v>570</v>
      </c>
    </row>
    <row r="4" spans="1:11" ht="15.75" customHeight="1" x14ac:dyDescent="0.3">
      <c r="A4" s="3">
        <v>655</v>
      </c>
      <c r="B4" s="3">
        <v>70784</v>
      </c>
      <c r="C4" s="1" t="s">
        <v>25</v>
      </c>
      <c r="D4" s="1" t="s">
        <v>47</v>
      </c>
      <c r="E4" s="16">
        <f>VLOOKUP(A4,'Case 1'!A:W,23,FALSE)</f>
        <v>44903</v>
      </c>
      <c r="F4" s="16">
        <v>44897</v>
      </c>
      <c r="G4" s="17">
        <f t="shared" si="0"/>
        <v>-6</v>
      </c>
      <c r="H4" t="str">
        <f t="shared" si="1"/>
        <v>Heavy SAAS</v>
      </c>
      <c r="I4" t="str">
        <f>VLOOKUP(A4,'Case 1'!A:P,16,FALSE )</f>
        <v>Advanced</v>
      </c>
      <c r="K4" s="3">
        <v>655</v>
      </c>
    </row>
    <row r="5" spans="1:11" ht="15.75" customHeight="1" x14ac:dyDescent="0.3">
      <c r="A5" s="3">
        <v>767</v>
      </c>
      <c r="B5" s="3">
        <v>54365</v>
      </c>
      <c r="C5" s="1" t="s">
        <v>50</v>
      </c>
      <c r="D5" s="1" t="s">
        <v>51</v>
      </c>
      <c r="E5" s="16">
        <f>VLOOKUP(A5,'Case 1'!A:W,23,FALSE)</f>
        <v>44903</v>
      </c>
      <c r="F5" s="16">
        <v>44897</v>
      </c>
      <c r="G5" s="17">
        <f t="shared" si="0"/>
        <v>-6</v>
      </c>
      <c r="H5" t="str">
        <f t="shared" si="1"/>
        <v>Heavy SAAS</v>
      </c>
      <c r="I5" t="str">
        <f>VLOOKUP(A5,'Case 1'!A:P,16,FALSE )</f>
        <v>Starter</v>
      </c>
      <c r="K5" s="3">
        <v>767</v>
      </c>
    </row>
    <row r="6" spans="1:11" ht="15.75" customHeight="1" x14ac:dyDescent="0.3">
      <c r="A6" s="3">
        <v>1104</v>
      </c>
      <c r="B6" s="3">
        <v>0</v>
      </c>
      <c r="C6" s="1" t="s">
        <v>67</v>
      </c>
      <c r="D6" s="1" t="s">
        <v>68</v>
      </c>
      <c r="E6" s="16">
        <f>VLOOKUP(A6,'Case 1'!A:W,23,FALSE)</f>
        <v>44801</v>
      </c>
      <c r="F6" s="16">
        <v>44897</v>
      </c>
      <c r="G6" s="17">
        <f t="shared" si="0"/>
        <v>96</v>
      </c>
      <c r="H6" t="str">
        <f t="shared" si="1"/>
        <v>No Heavy SAAS</v>
      </c>
      <c r="I6" t="str">
        <f>VLOOKUP(A6,'Case 1'!A:P,16,FALSE )</f>
        <v>Starter</v>
      </c>
      <c r="K6" s="3">
        <v>1104</v>
      </c>
    </row>
    <row r="7" spans="1:11" s="24" customFormat="1" ht="15.75" customHeight="1" x14ac:dyDescent="0.3">
      <c r="A7" s="21">
        <v>1140</v>
      </c>
      <c r="B7" s="21">
        <v>0</v>
      </c>
      <c r="C7" s="22" t="s">
        <v>71</v>
      </c>
      <c r="D7" s="22" t="s">
        <v>72</v>
      </c>
      <c r="E7" s="16">
        <f>VLOOKUP(A7,'Case 1'!A:W,23,FALSE)</f>
        <v>44815</v>
      </c>
      <c r="F7" s="16">
        <v>44897</v>
      </c>
      <c r="G7" s="23">
        <f t="shared" si="0"/>
        <v>82</v>
      </c>
      <c r="H7" s="24" t="str">
        <f t="shared" si="1"/>
        <v>No Heavy SAAS</v>
      </c>
      <c r="I7" t="str">
        <f>VLOOKUP(A7,'Case 1'!A:P,16,FALSE )</f>
        <v>Premium</v>
      </c>
      <c r="K7" s="21">
        <v>1140</v>
      </c>
    </row>
    <row r="8" spans="1:11" ht="15.75" customHeight="1" x14ac:dyDescent="0.3">
      <c r="A8" s="3">
        <v>1445</v>
      </c>
      <c r="B8" s="3">
        <v>0</v>
      </c>
      <c r="C8" s="1" t="s">
        <v>81</v>
      </c>
      <c r="D8" s="1" t="s">
        <v>82</v>
      </c>
      <c r="E8" s="16">
        <f>VLOOKUP(A8,'Case 1'!A:W,23,FALSE)</f>
        <v>44879</v>
      </c>
      <c r="F8" s="16">
        <v>44897</v>
      </c>
      <c r="G8" s="17">
        <f t="shared" si="0"/>
        <v>18</v>
      </c>
      <c r="H8" t="str">
        <f t="shared" si="1"/>
        <v>No Heavy SAAS</v>
      </c>
      <c r="I8" t="str">
        <f>VLOOKUP(A8,'Case 1'!A:P,16,FALSE )</f>
        <v>Premium</v>
      </c>
      <c r="K8" s="3">
        <v>1445</v>
      </c>
    </row>
    <row r="9" spans="1:11" ht="15.75" customHeight="1" x14ac:dyDescent="0.3">
      <c r="A9" s="3">
        <v>1450</v>
      </c>
      <c r="B9" s="3">
        <v>0</v>
      </c>
      <c r="C9" s="1" t="s">
        <v>109</v>
      </c>
      <c r="D9" s="1" t="s">
        <v>110</v>
      </c>
      <c r="E9" s="16">
        <f>VLOOKUP(A9,'Case 1'!A:W,23,FALSE)</f>
        <v>44758</v>
      </c>
      <c r="F9" s="16">
        <v>44897</v>
      </c>
      <c r="G9" s="17">
        <f t="shared" si="0"/>
        <v>139</v>
      </c>
      <c r="H9" t="str">
        <f t="shared" si="1"/>
        <v>No Heavy SAAS</v>
      </c>
      <c r="I9" t="str">
        <f>VLOOKUP(A9,'Case 1'!A:P,16,FALSE )</f>
        <v>Premium</v>
      </c>
      <c r="K9" s="3">
        <v>1450</v>
      </c>
    </row>
    <row r="10" spans="1:11" ht="15.75" customHeight="1" x14ac:dyDescent="0.3">
      <c r="A10" s="3">
        <v>1514</v>
      </c>
      <c r="B10" s="3">
        <v>0</v>
      </c>
      <c r="C10" s="1" t="s">
        <v>115</v>
      </c>
      <c r="D10" s="1" t="s">
        <v>116</v>
      </c>
      <c r="E10" s="16">
        <f>VLOOKUP(A10,'Case 1'!A:W,23,FALSE)</f>
        <v>44624</v>
      </c>
      <c r="F10" s="16">
        <v>44897</v>
      </c>
      <c r="G10" s="17">
        <f t="shared" si="0"/>
        <v>273</v>
      </c>
      <c r="H10" t="str">
        <f t="shared" si="1"/>
        <v>No Heavy SAAS</v>
      </c>
      <c r="I10" t="str">
        <f>VLOOKUP(A10,'Case 1'!A:P,16,FALSE )</f>
        <v>Premium</v>
      </c>
      <c r="K10" s="3">
        <v>1514</v>
      </c>
    </row>
    <row r="11" spans="1:11" ht="15.75" customHeight="1" x14ac:dyDescent="0.3">
      <c r="A11" s="3">
        <v>1605</v>
      </c>
      <c r="B11" s="3">
        <v>13512</v>
      </c>
      <c r="C11" s="1" t="s">
        <v>25</v>
      </c>
      <c r="D11" s="1" t="s">
        <v>91</v>
      </c>
      <c r="E11" s="16">
        <f>VLOOKUP(A11,'Case 1'!A:W,23,FALSE)</f>
        <v>44797</v>
      </c>
      <c r="F11" s="16">
        <v>44897</v>
      </c>
      <c r="G11" s="17">
        <f t="shared" si="0"/>
        <v>100</v>
      </c>
      <c r="H11" t="str">
        <f t="shared" si="1"/>
        <v>No Heavy SAAS</v>
      </c>
      <c r="I11" t="str">
        <f>VLOOKUP(A11,'Case 1'!A:P,16,FALSE )</f>
        <v>Advanced</v>
      </c>
      <c r="K11" s="3">
        <v>1605</v>
      </c>
    </row>
    <row r="12" spans="1:11" ht="15.75" customHeight="1" x14ac:dyDescent="0.3">
      <c r="A12" s="3">
        <v>1701</v>
      </c>
      <c r="B12" s="3">
        <v>0</v>
      </c>
      <c r="C12" s="1" t="s">
        <v>94</v>
      </c>
      <c r="D12" s="1" t="s">
        <v>95</v>
      </c>
      <c r="E12" s="16">
        <f>VLOOKUP(A12,'Case 1'!A:W,23,FALSE)</f>
        <v>44733</v>
      </c>
      <c r="F12" s="16">
        <v>44897</v>
      </c>
      <c r="G12" s="17">
        <f t="shared" si="0"/>
        <v>164</v>
      </c>
      <c r="H12" t="str">
        <f t="shared" si="1"/>
        <v>No Heavy SAAS</v>
      </c>
      <c r="I12" t="str">
        <f>VLOOKUP(A12,'Case 1'!A:P,16,FALSE )</f>
        <v>Premium</v>
      </c>
      <c r="K12" s="3">
        <v>1701</v>
      </c>
    </row>
    <row r="13" spans="1:11" ht="15.75" customHeight="1" x14ac:dyDescent="0.3">
      <c r="A13" s="3">
        <v>1775</v>
      </c>
      <c r="B13" s="3">
        <v>0</v>
      </c>
      <c r="C13" s="1" t="s">
        <v>100</v>
      </c>
      <c r="D13" s="1" t="s">
        <v>101</v>
      </c>
      <c r="E13" s="16">
        <f>VLOOKUP(A13,'Case 1'!A:W,23,FALSE)</f>
        <v>44823</v>
      </c>
      <c r="F13" s="16">
        <v>44897</v>
      </c>
      <c r="G13" s="17">
        <f t="shared" si="0"/>
        <v>74</v>
      </c>
      <c r="H13" t="str">
        <f t="shared" si="1"/>
        <v>No Heavy SAAS</v>
      </c>
      <c r="I13" t="str">
        <f>VLOOKUP(A13,'Case 1'!A:P,16,FALSE )</f>
        <v>Advanced</v>
      </c>
      <c r="K13" s="3">
        <v>1775</v>
      </c>
    </row>
    <row r="14" spans="1:11" ht="15.75" customHeight="1" x14ac:dyDescent="0.3">
      <c r="A14" s="3">
        <v>4530</v>
      </c>
      <c r="B14" s="3">
        <v>25027</v>
      </c>
      <c r="C14" s="1" t="s">
        <v>25</v>
      </c>
      <c r="D14" s="1" t="s">
        <v>43</v>
      </c>
      <c r="E14" s="16">
        <f>VLOOKUP(A14,'Case 1'!A:W,23,FALSE)</f>
        <v>44878</v>
      </c>
      <c r="F14" s="16">
        <v>44897</v>
      </c>
      <c r="G14" s="17">
        <f t="shared" si="0"/>
        <v>19</v>
      </c>
      <c r="H14" t="str">
        <f t="shared" si="1"/>
        <v>Heavy SAAS</v>
      </c>
      <c r="I14" t="str">
        <f>VLOOKUP(A14,'Case 1'!A:P,16,FALSE )</f>
        <v>Starter</v>
      </c>
      <c r="K14" s="3">
        <v>4530</v>
      </c>
    </row>
    <row r="15" spans="1:11" ht="15.75" customHeight="1" x14ac:dyDescent="0.3">
      <c r="A15" s="3">
        <v>5047</v>
      </c>
      <c r="B15" s="3">
        <v>56227</v>
      </c>
      <c r="C15" s="1" t="s">
        <v>37</v>
      </c>
      <c r="D15" s="1" t="s">
        <v>38</v>
      </c>
      <c r="E15" s="16">
        <f>VLOOKUP(A15,'Case 1'!A:W,23,FALSE)</f>
        <v>44903</v>
      </c>
      <c r="F15" s="16">
        <v>44897</v>
      </c>
      <c r="G15" s="17">
        <f t="shared" si="0"/>
        <v>-6</v>
      </c>
      <c r="H15" t="str">
        <f t="shared" si="1"/>
        <v>Heavy SAAS</v>
      </c>
      <c r="I15" t="str">
        <f>VLOOKUP(A15,'Case 1'!A:P,16,FALSE )</f>
        <v>Starter</v>
      </c>
      <c r="K15" s="3">
        <v>5047</v>
      </c>
    </row>
    <row r="16" spans="1:11" ht="15.75" customHeight="1" x14ac:dyDescent="0.3">
      <c r="A16" s="3">
        <v>5051</v>
      </c>
      <c r="B16" s="3">
        <v>0</v>
      </c>
      <c r="C16" s="1" t="s">
        <v>121</v>
      </c>
      <c r="D16" s="1" t="s">
        <v>122</v>
      </c>
      <c r="E16" s="16">
        <f>VLOOKUP(A16,'Case 1'!A:W,23,FALSE)</f>
        <v>44627</v>
      </c>
      <c r="F16" s="16">
        <v>44897</v>
      </c>
      <c r="G16" s="17">
        <f t="shared" si="0"/>
        <v>270</v>
      </c>
      <c r="H16" t="str">
        <f t="shared" si="1"/>
        <v>No Heavy SAAS</v>
      </c>
      <c r="I16" t="str">
        <f>VLOOKUP(A16,'Case 1'!A:P,16,FALSE )</f>
        <v>Starter</v>
      </c>
      <c r="K16" s="3">
        <v>5051</v>
      </c>
    </row>
    <row r="17" spans="1:11" ht="15.75" customHeight="1" x14ac:dyDescent="0.3">
      <c r="A17" s="3">
        <v>5544</v>
      </c>
      <c r="B17" s="3">
        <v>17</v>
      </c>
      <c r="C17" s="1" t="s">
        <v>139</v>
      </c>
      <c r="D17" s="1" t="s">
        <v>140</v>
      </c>
      <c r="E17" s="16">
        <f>VLOOKUP(A17,'Case 1'!A:W,23,FALSE)</f>
        <v>44810</v>
      </c>
      <c r="F17" s="16">
        <v>44897</v>
      </c>
      <c r="G17" s="17">
        <f t="shared" si="0"/>
        <v>87</v>
      </c>
      <c r="H17" t="str">
        <f t="shared" si="1"/>
        <v>No Heavy SAAS</v>
      </c>
      <c r="I17" t="str">
        <f>VLOOKUP(A17,'Case 1'!A:P,16,FALSE )</f>
        <v>Advanced</v>
      </c>
      <c r="K17" s="3">
        <v>5544</v>
      </c>
    </row>
    <row r="18" spans="1:11" ht="15.75" customHeight="1" x14ac:dyDescent="0.3">
      <c r="A18" s="3">
        <v>5565</v>
      </c>
      <c r="B18" s="3">
        <v>23437</v>
      </c>
      <c r="C18" s="1" t="s">
        <v>228</v>
      </c>
      <c r="D18" s="1" t="s">
        <v>229</v>
      </c>
      <c r="E18" s="16">
        <f>VLOOKUP(A18,'Case 1'!A:W,23,FALSE)</f>
        <v>44874</v>
      </c>
      <c r="F18" s="16">
        <v>44897</v>
      </c>
      <c r="G18" s="17">
        <f t="shared" si="0"/>
        <v>23</v>
      </c>
      <c r="H18" t="str">
        <f t="shared" si="1"/>
        <v>Heavy SAAS</v>
      </c>
      <c r="I18" t="str">
        <f>VLOOKUP(A18,'Case 1'!A:P,16,FALSE )</f>
        <v>Premium</v>
      </c>
      <c r="K18" s="3">
        <v>5565</v>
      </c>
    </row>
    <row r="19" spans="1:11" ht="15.75" customHeight="1" x14ac:dyDescent="0.3">
      <c r="A19" s="3">
        <v>5764</v>
      </c>
      <c r="B19" s="3">
        <v>0</v>
      </c>
      <c r="C19" s="1" t="s">
        <v>152</v>
      </c>
      <c r="D19" s="1" t="s">
        <v>153</v>
      </c>
      <c r="E19" s="16">
        <f>VLOOKUP(A19,'Case 1'!A:W,23,FALSE)</f>
        <v>44592</v>
      </c>
      <c r="F19" s="16">
        <v>44897</v>
      </c>
      <c r="G19" s="17">
        <f t="shared" si="0"/>
        <v>305</v>
      </c>
      <c r="H19" t="str">
        <f t="shared" si="1"/>
        <v>No Heavy SAAS</v>
      </c>
      <c r="I19" t="str">
        <f>VLOOKUP(A19,'Case 1'!A:P,16,FALSE )</f>
        <v>Premium</v>
      </c>
      <c r="K19" s="3">
        <v>5764</v>
      </c>
    </row>
    <row r="20" spans="1:11" ht="15.75" customHeight="1" x14ac:dyDescent="0.3">
      <c r="A20" s="3">
        <v>6456</v>
      </c>
      <c r="B20" s="3">
        <v>40</v>
      </c>
      <c r="C20" s="1" t="s">
        <v>195</v>
      </c>
      <c r="D20" s="1" t="s">
        <v>201</v>
      </c>
      <c r="E20" s="16">
        <f>VLOOKUP(A20,'Case 1'!A:W,23,FALSE)</f>
        <v>44681</v>
      </c>
      <c r="F20" s="16">
        <v>44897</v>
      </c>
      <c r="G20" s="17">
        <f t="shared" si="0"/>
        <v>216</v>
      </c>
      <c r="H20" t="str">
        <f t="shared" si="1"/>
        <v>No Heavy SAAS</v>
      </c>
      <c r="I20" t="str">
        <f>VLOOKUP(A20,'Case 1'!A:P,16,FALSE )</f>
        <v>Advanced</v>
      </c>
      <c r="K20" s="3">
        <v>6456</v>
      </c>
    </row>
    <row r="21" spans="1:11" ht="15.75" customHeight="1" x14ac:dyDescent="0.3">
      <c r="A21" s="3">
        <v>6617</v>
      </c>
      <c r="B21" s="3">
        <v>48</v>
      </c>
      <c r="C21" s="1" t="s">
        <v>195</v>
      </c>
      <c r="D21" s="1" t="s">
        <v>196</v>
      </c>
      <c r="E21" s="16">
        <f>VLOOKUP(A21,'Case 1'!A:W,23,FALSE)</f>
        <v>44660</v>
      </c>
      <c r="F21" s="16">
        <v>44897</v>
      </c>
      <c r="G21" s="17">
        <f t="shared" si="0"/>
        <v>237</v>
      </c>
      <c r="H21" t="str">
        <f t="shared" si="1"/>
        <v>No Heavy SAAS</v>
      </c>
      <c r="I21" t="str">
        <f>VLOOKUP(A21,'Case 1'!A:P,16,FALSE )</f>
        <v>Premium</v>
      </c>
      <c r="K21" s="3">
        <v>6617</v>
      </c>
    </row>
    <row r="22" spans="1:11" ht="15.75" customHeight="1" x14ac:dyDescent="0.3">
      <c r="A22" s="3">
        <v>7146</v>
      </c>
      <c r="B22" s="3">
        <v>8811</v>
      </c>
      <c r="C22" s="1" t="s">
        <v>205</v>
      </c>
      <c r="D22" s="1" t="s">
        <v>206</v>
      </c>
      <c r="E22" s="16">
        <f>VLOOKUP(A22,'Case 1'!A:W,23,FALSE)</f>
        <v>44726</v>
      </c>
      <c r="F22" s="16">
        <v>44897</v>
      </c>
      <c r="G22" s="17">
        <f t="shared" si="0"/>
        <v>171</v>
      </c>
      <c r="H22" t="str">
        <f t="shared" si="1"/>
        <v>No Heavy SAAS</v>
      </c>
      <c r="I22" t="str">
        <f>VLOOKUP(A22,'Case 1'!A:P,16,FALSE )</f>
        <v>Advanced</v>
      </c>
      <c r="K22" s="3">
        <v>7146</v>
      </c>
    </row>
    <row r="23" spans="1:11" ht="15.75" customHeight="1" x14ac:dyDescent="0.3">
      <c r="A23" s="3">
        <v>7605</v>
      </c>
      <c r="B23" s="3">
        <v>28</v>
      </c>
      <c r="C23" s="1" t="s">
        <v>210</v>
      </c>
      <c r="D23" s="1" t="s">
        <v>211</v>
      </c>
      <c r="E23" s="16">
        <f>VLOOKUP(A23,'Case 1'!A:W,23,FALSE)</f>
        <v>44622</v>
      </c>
      <c r="F23" s="16">
        <v>44897</v>
      </c>
      <c r="G23" s="17">
        <f t="shared" si="0"/>
        <v>275</v>
      </c>
      <c r="H23" t="str">
        <f t="shared" si="1"/>
        <v>No Heavy SAAS</v>
      </c>
      <c r="I23" t="str">
        <f>VLOOKUP(A23,'Case 1'!A:P,16,FALSE )</f>
        <v>Starter</v>
      </c>
      <c r="K23" s="3">
        <v>7605</v>
      </c>
    </row>
    <row r="24" spans="1:11" ht="15.75" customHeight="1" x14ac:dyDescent="0.3">
      <c r="A24" s="3">
        <v>7757</v>
      </c>
      <c r="B24" s="3">
        <v>8</v>
      </c>
      <c r="C24" s="1" t="s">
        <v>182</v>
      </c>
      <c r="D24" s="1" t="s">
        <v>216</v>
      </c>
      <c r="E24" s="16">
        <f>VLOOKUP(A24,'Case 1'!A:W,23,FALSE)</f>
        <v>44690</v>
      </c>
      <c r="F24" s="16">
        <v>44897</v>
      </c>
      <c r="G24" s="17">
        <f t="shared" si="0"/>
        <v>207</v>
      </c>
      <c r="H24" t="str">
        <f t="shared" si="1"/>
        <v>No Heavy SAAS</v>
      </c>
      <c r="I24" t="str">
        <f>VLOOKUP(A24,'Case 1'!A:P,16,FALSE )</f>
        <v>Starter</v>
      </c>
      <c r="K24" s="3">
        <v>7757</v>
      </c>
    </row>
    <row r="25" spans="1:11" ht="15.75" customHeight="1" x14ac:dyDescent="0.3">
      <c r="A25" s="3">
        <v>10545</v>
      </c>
      <c r="B25" s="3">
        <v>32913</v>
      </c>
      <c r="C25" s="1" t="s">
        <v>236</v>
      </c>
      <c r="D25" s="1" t="s">
        <v>237</v>
      </c>
      <c r="E25" s="16">
        <f>VLOOKUP(A25,'Case 1'!A:W,23,FALSE)</f>
        <v>44903</v>
      </c>
      <c r="F25" s="16">
        <v>44897</v>
      </c>
      <c r="G25" s="17">
        <f t="shared" si="0"/>
        <v>-6</v>
      </c>
      <c r="H25" t="str">
        <f t="shared" si="1"/>
        <v>Heavy SAAS</v>
      </c>
      <c r="I25" t="str">
        <f>VLOOKUP(A25,'Case 1'!A:P,16,FALSE )</f>
        <v>Starter</v>
      </c>
      <c r="K25" s="3">
        <v>10545</v>
      </c>
    </row>
    <row r="26" spans="1:11" ht="15.75" customHeight="1" x14ac:dyDescent="0.3">
      <c r="A26" s="3">
        <v>11061</v>
      </c>
      <c r="B26" s="3">
        <v>16534</v>
      </c>
      <c r="C26" s="1" t="s">
        <v>244</v>
      </c>
      <c r="D26" s="1" t="s">
        <v>245</v>
      </c>
      <c r="E26" s="16">
        <f>VLOOKUP(A26,'Case 1'!A:W,23,FALSE)</f>
        <v>44852</v>
      </c>
      <c r="F26" s="16">
        <v>44897</v>
      </c>
      <c r="G26" s="17">
        <f t="shared" si="0"/>
        <v>45</v>
      </c>
      <c r="H26" t="str">
        <f t="shared" si="1"/>
        <v>No Heavy SAAS</v>
      </c>
      <c r="I26" t="str">
        <f>VLOOKUP(A26,'Case 1'!A:P,16,FALSE )</f>
        <v>Advanced</v>
      </c>
      <c r="K26" s="3">
        <v>11061</v>
      </c>
    </row>
    <row r="27" spans="1:11" ht="14.4" x14ac:dyDescent="0.3">
      <c r="A27" s="3">
        <v>13055</v>
      </c>
      <c r="B27" s="3">
        <v>0</v>
      </c>
      <c r="C27" s="1" t="s">
        <v>86</v>
      </c>
      <c r="D27" s="1" t="s">
        <v>87</v>
      </c>
      <c r="E27" s="16">
        <f>VLOOKUP(A27,'Case 1'!A:W,23,FALSE)</f>
        <v>44687</v>
      </c>
      <c r="F27" s="16">
        <v>44897</v>
      </c>
      <c r="G27" s="17">
        <f t="shared" si="0"/>
        <v>210</v>
      </c>
      <c r="H27" t="str">
        <f t="shared" si="1"/>
        <v>No Heavy SAAS</v>
      </c>
      <c r="I27" t="str">
        <f>VLOOKUP(A27,'Case 1'!A:P,16,FALSE )</f>
        <v>Starter</v>
      </c>
      <c r="K27" s="3">
        <v>13055</v>
      </c>
    </row>
    <row r="28" spans="1:11" ht="14.4" x14ac:dyDescent="0.3">
      <c r="A28" s="3">
        <v>14044</v>
      </c>
      <c r="B28" s="3">
        <v>76</v>
      </c>
      <c r="C28" s="1" t="s">
        <v>370</v>
      </c>
      <c r="D28" s="1" t="s">
        <v>371</v>
      </c>
      <c r="E28" s="16">
        <f>VLOOKUP(A28,'Case 1'!A:W,23,FALSE)</f>
        <v>44562</v>
      </c>
      <c r="F28" s="16">
        <v>44897</v>
      </c>
      <c r="G28" s="17">
        <f t="shared" si="0"/>
        <v>335</v>
      </c>
      <c r="H28" t="str">
        <f t="shared" si="1"/>
        <v>No Heavy SAAS</v>
      </c>
      <c r="I28" t="str">
        <f>VLOOKUP(A28,'Case 1'!A:P,16,FALSE )</f>
        <v>Advanced</v>
      </c>
      <c r="K28" s="3">
        <v>14044</v>
      </c>
    </row>
    <row r="29" spans="1:11" ht="14.4" x14ac:dyDescent="0.3">
      <c r="A29" s="3">
        <v>14155</v>
      </c>
      <c r="B29" s="3">
        <v>7633</v>
      </c>
      <c r="C29" s="1" t="s">
        <v>37</v>
      </c>
      <c r="D29" s="1" t="s">
        <v>374</v>
      </c>
      <c r="E29" s="16">
        <f>VLOOKUP(A29,'Case 1'!A:W,23,FALSE)</f>
        <v>44780</v>
      </c>
      <c r="F29" s="16">
        <v>44897</v>
      </c>
      <c r="G29" s="17">
        <f t="shared" si="0"/>
        <v>117</v>
      </c>
      <c r="H29" t="str">
        <f t="shared" si="1"/>
        <v>No Heavy SAAS</v>
      </c>
      <c r="I29" t="str">
        <f>VLOOKUP(A29,'Case 1'!A:P,16,FALSE )</f>
        <v>Premium</v>
      </c>
      <c r="K29" s="3">
        <v>14155</v>
      </c>
    </row>
    <row r="30" spans="1:11" ht="14.4" x14ac:dyDescent="0.3">
      <c r="A30" s="3">
        <v>14405</v>
      </c>
      <c r="B30" s="3">
        <v>14612</v>
      </c>
      <c r="C30" s="1" t="s">
        <v>280</v>
      </c>
      <c r="D30" s="1" t="s">
        <v>281</v>
      </c>
      <c r="E30" s="16">
        <f>VLOOKUP(A30,'Case 1'!A:W,23,FALSE)</f>
        <v>44856</v>
      </c>
      <c r="F30" s="16">
        <v>44897</v>
      </c>
      <c r="G30" s="17">
        <f t="shared" si="0"/>
        <v>41</v>
      </c>
      <c r="H30" t="str">
        <f t="shared" si="1"/>
        <v>No Heavy SAAS</v>
      </c>
      <c r="I30" t="str">
        <f>VLOOKUP(A30,'Case 1'!A:P,16,FALSE )</f>
        <v>Starter</v>
      </c>
      <c r="K30" s="3">
        <v>14405</v>
      </c>
    </row>
    <row r="31" spans="1:11" ht="14.4" x14ac:dyDescent="0.3">
      <c r="A31" s="3">
        <v>14441</v>
      </c>
      <c r="B31" s="3">
        <v>1379</v>
      </c>
      <c r="C31" s="1" t="s">
        <v>383</v>
      </c>
      <c r="D31" s="1" t="s">
        <v>388</v>
      </c>
      <c r="E31" s="16">
        <f>VLOOKUP(A31,'Case 1'!A:W,23,FALSE)</f>
        <v>44698</v>
      </c>
      <c r="F31" s="16">
        <v>44897</v>
      </c>
      <c r="G31" s="17">
        <f t="shared" si="0"/>
        <v>199</v>
      </c>
      <c r="H31" t="str">
        <f t="shared" si="1"/>
        <v>No Heavy SAAS</v>
      </c>
      <c r="I31" t="str">
        <f>VLOOKUP(A31,'Case 1'!A:P,16,FALSE )</f>
        <v>Advanced</v>
      </c>
      <c r="K31" s="3">
        <v>14441</v>
      </c>
    </row>
    <row r="32" spans="1:11" ht="14.4" x14ac:dyDescent="0.3">
      <c r="A32" s="3">
        <v>14504</v>
      </c>
      <c r="B32" s="3">
        <v>0</v>
      </c>
      <c r="C32" s="1" t="s">
        <v>76</v>
      </c>
      <c r="D32" s="1" t="s">
        <v>105</v>
      </c>
      <c r="E32" s="16">
        <f>VLOOKUP(A32,'Case 1'!A:W,23,FALSE)</f>
        <v>44803</v>
      </c>
      <c r="F32" s="16">
        <v>44897</v>
      </c>
      <c r="G32" s="17">
        <f t="shared" si="0"/>
        <v>94</v>
      </c>
      <c r="H32" t="str">
        <f t="shared" si="1"/>
        <v>No Heavy SAAS</v>
      </c>
      <c r="I32" t="str">
        <f>VLOOKUP(A32,'Case 1'!A:P,16,FALSE )</f>
        <v>Starter</v>
      </c>
      <c r="K32" s="3">
        <v>14504</v>
      </c>
    </row>
    <row r="33" spans="1:11" ht="14.4" x14ac:dyDescent="0.3">
      <c r="A33" s="3">
        <v>14515</v>
      </c>
      <c r="B33" s="3">
        <v>13965</v>
      </c>
      <c r="C33" s="1" t="s">
        <v>300</v>
      </c>
      <c r="D33" s="1" t="s">
        <v>301</v>
      </c>
      <c r="E33" s="16">
        <f>VLOOKUP(A33,'Case 1'!A:W,23,FALSE)</f>
        <v>44850</v>
      </c>
      <c r="F33" s="16">
        <v>44897</v>
      </c>
      <c r="G33" s="17">
        <f t="shared" si="0"/>
        <v>47</v>
      </c>
      <c r="H33" t="str">
        <f t="shared" si="1"/>
        <v>No Heavy SAAS</v>
      </c>
      <c r="I33" t="str">
        <f>VLOOKUP(A33,'Case 1'!A:P,16,FALSE )</f>
        <v>Advanced</v>
      </c>
      <c r="K33" s="3">
        <v>14515</v>
      </c>
    </row>
    <row r="34" spans="1:11" ht="14.4" x14ac:dyDescent="0.3">
      <c r="A34" s="3">
        <v>15441</v>
      </c>
      <c r="B34" s="3">
        <v>25629</v>
      </c>
      <c r="C34" s="1" t="s">
        <v>412</v>
      </c>
      <c r="D34" s="1" t="s">
        <v>413</v>
      </c>
      <c r="E34" s="16">
        <f>VLOOKUP(A34,'Case 1'!A:W,23,FALSE)</f>
        <v>44879</v>
      </c>
      <c r="F34" s="16">
        <v>44897</v>
      </c>
      <c r="G34" s="17">
        <f t="shared" si="0"/>
        <v>18</v>
      </c>
      <c r="H34" t="str">
        <f t="shared" si="1"/>
        <v>Heavy SAAS</v>
      </c>
      <c r="I34" t="str">
        <f>VLOOKUP(A34,'Case 1'!A:P,16,FALSE )</f>
        <v>Advanced</v>
      </c>
      <c r="K34" s="3">
        <v>15441</v>
      </c>
    </row>
    <row r="35" spans="1:11" ht="14.4" x14ac:dyDescent="0.3">
      <c r="A35" s="3">
        <v>15446</v>
      </c>
      <c r="B35" s="3">
        <v>15061</v>
      </c>
      <c r="C35" s="1" t="s">
        <v>403</v>
      </c>
      <c r="D35" s="1" t="s">
        <v>404</v>
      </c>
      <c r="E35" s="16">
        <f>VLOOKUP(A35,'Case 1'!A:W,23,FALSE)</f>
        <v>44861</v>
      </c>
      <c r="F35" s="16">
        <v>44897</v>
      </c>
      <c r="G35" s="17">
        <f t="shared" si="0"/>
        <v>36</v>
      </c>
      <c r="H35" t="str">
        <f t="shared" si="1"/>
        <v>No Heavy SAAS</v>
      </c>
      <c r="I35" t="str">
        <f>VLOOKUP(A35,'Case 1'!A:P,16,FALSE )</f>
        <v>Advanced</v>
      </c>
      <c r="K35" s="3">
        <v>15446</v>
      </c>
    </row>
    <row r="36" spans="1:11" ht="14.4" x14ac:dyDescent="0.3">
      <c r="A36" s="3">
        <v>15447</v>
      </c>
      <c r="B36" s="3">
        <v>15180</v>
      </c>
      <c r="C36" s="1" t="s">
        <v>417</v>
      </c>
      <c r="D36" s="1" t="s">
        <v>418</v>
      </c>
      <c r="E36" s="16">
        <f>VLOOKUP(A36,'Case 1'!A:W,23,FALSE)</f>
        <v>44849</v>
      </c>
      <c r="F36" s="16">
        <v>44897</v>
      </c>
      <c r="G36" s="17">
        <f t="shared" si="0"/>
        <v>48</v>
      </c>
      <c r="H36" t="str">
        <f t="shared" si="1"/>
        <v>No Heavy SAAS</v>
      </c>
      <c r="I36" t="str">
        <f>VLOOKUP(A36,'Case 1'!A:P,16,FALSE )</f>
        <v>Premium</v>
      </c>
      <c r="K36" s="3">
        <v>15447</v>
      </c>
    </row>
    <row r="37" spans="1:11" ht="14.4" x14ac:dyDescent="0.3">
      <c r="A37" s="3">
        <v>15556</v>
      </c>
      <c r="B37" s="3">
        <v>13905</v>
      </c>
      <c r="C37" s="1" t="s">
        <v>423</v>
      </c>
      <c r="D37" s="1" t="s">
        <v>424</v>
      </c>
      <c r="E37" s="16">
        <f>VLOOKUP(A37,'Case 1'!A:W,23,FALSE)</f>
        <v>44589</v>
      </c>
      <c r="F37" s="16">
        <v>44897</v>
      </c>
      <c r="G37" s="17">
        <f t="shared" si="0"/>
        <v>308</v>
      </c>
      <c r="H37" t="str">
        <f t="shared" si="1"/>
        <v>No Heavy SAAS</v>
      </c>
      <c r="I37" t="str">
        <f>VLOOKUP(A37,'Case 1'!A:P,16,FALSE )</f>
        <v>Premium</v>
      </c>
      <c r="K37" s="3">
        <v>15556</v>
      </c>
    </row>
    <row r="38" spans="1:11" ht="14.4" x14ac:dyDescent="0.3">
      <c r="A38" s="3">
        <v>16040</v>
      </c>
      <c r="B38" s="3">
        <v>5841</v>
      </c>
      <c r="C38" s="1" t="s">
        <v>321</v>
      </c>
      <c r="D38" s="1" t="s">
        <v>322</v>
      </c>
      <c r="E38" s="16">
        <f>VLOOKUP(A38,'Case 1'!A:W,23,FALSE)</f>
        <v>44715</v>
      </c>
      <c r="F38" s="16">
        <v>44897</v>
      </c>
      <c r="G38" s="17">
        <f t="shared" si="0"/>
        <v>182</v>
      </c>
      <c r="H38" t="str">
        <f t="shared" si="1"/>
        <v>No Heavy SAAS</v>
      </c>
      <c r="I38" t="str">
        <f>VLOOKUP(A38,'Case 1'!A:P,16,FALSE )</f>
        <v>Starter</v>
      </c>
      <c r="K38" s="3">
        <v>16040</v>
      </c>
    </row>
    <row r="39" spans="1:11" ht="14.4" x14ac:dyDescent="0.3">
      <c r="A39" s="3">
        <v>16041</v>
      </c>
      <c r="B39" s="3">
        <v>38097</v>
      </c>
      <c r="C39" s="1" t="s">
        <v>326</v>
      </c>
      <c r="D39" s="1" t="s">
        <v>327</v>
      </c>
      <c r="E39" s="16">
        <f>VLOOKUP(A39,'Case 1'!A:W,23,FALSE)</f>
        <v>44903</v>
      </c>
      <c r="F39" s="16">
        <v>44897</v>
      </c>
      <c r="G39" s="17">
        <f t="shared" si="0"/>
        <v>-6</v>
      </c>
      <c r="H39" t="str">
        <f t="shared" si="1"/>
        <v>Heavy SAAS</v>
      </c>
      <c r="I39" t="str">
        <f>VLOOKUP(A39,'Case 1'!A:P,16,FALSE )</f>
        <v>Starter</v>
      </c>
      <c r="K39" s="3">
        <v>16041</v>
      </c>
    </row>
    <row r="40" spans="1:11" ht="14.4" x14ac:dyDescent="0.3">
      <c r="A40" s="3">
        <v>16064</v>
      </c>
      <c r="B40" s="3">
        <v>27247</v>
      </c>
      <c r="C40" s="1" t="s">
        <v>330</v>
      </c>
      <c r="D40" s="1" t="s">
        <v>331</v>
      </c>
      <c r="E40" s="16">
        <f>VLOOKUP(A40,'Case 1'!A:W,23,FALSE)</f>
        <v>44881</v>
      </c>
      <c r="F40" s="16">
        <v>44897</v>
      </c>
      <c r="G40" s="17">
        <f t="shared" si="0"/>
        <v>16</v>
      </c>
      <c r="H40" t="str">
        <f t="shared" si="1"/>
        <v>Heavy SAAS</v>
      </c>
      <c r="I40" t="str">
        <f>VLOOKUP(A40,'Case 1'!A:P,16,FALSE )</f>
        <v>Premium</v>
      </c>
      <c r="K40" s="3">
        <v>16064</v>
      </c>
    </row>
    <row r="41" spans="1:11" ht="14.4" x14ac:dyDescent="0.3">
      <c r="A41" s="3">
        <v>16144</v>
      </c>
      <c r="B41" s="3">
        <v>9240</v>
      </c>
      <c r="C41" s="1" t="s">
        <v>334</v>
      </c>
      <c r="D41" s="1" t="s">
        <v>335</v>
      </c>
      <c r="E41" s="16">
        <f>VLOOKUP(A41,'Case 1'!A:W,23,FALSE)</f>
        <v>44805</v>
      </c>
      <c r="F41" s="16">
        <v>44897</v>
      </c>
      <c r="G41" s="17">
        <f t="shared" si="0"/>
        <v>92</v>
      </c>
      <c r="H41" t="str">
        <f t="shared" si="1"/>
        <v>No Heavy SAAS</v>
      </c>
      <c r="I41" t="str">
        <f>VLOOKUP(A41,'Case 1'!A:P,16,FALSE )</f>
        <v>Starter</v>
      </c>
      <c r="K41" s="3">
        <v>16144</v>
      </c>
    </row>
    <row r="42" spans="1:11" ht="14.4" x14ac:dyDescent="0.3">
      <c r="A42" s="3">
        <v>16740</v>
      </c>
      <c r="B42" s="3">
        <v>3475</v>
      </c>
      <c r="C42" s="1" t="s">
        <v>285</v>
      </c>
      <c r="D42" s="1" t="s">
        <v>357</v>
      </c>
      <c r="E42" s="16">
        <f>VLOOKUP(A42,'Case 1'!A:W,23,FALSE)</f>
        <v>44698</v>
      </c>
      <c r="F42" s="16">
        <v>44897</v>
      </c>
      <c r="G42" s="17">
        <f t="shared" si="0"/>
        <v>199</v>
      </c>
      <c r="H42" t="str">
        <f t="shared" si="1"/>
        <v>No Heavy SAAS</v>
      </c>
      <c r="I42" t="str">
        <f>VLOOKUP(A42,'Case 1'!A:P,16,FALSE )</f>
        <v>Premium</v>
      </c>
      <c r="K42" s="3">
        <v>16740</v>
      </c>
    </row>
    <row r="43" spans="1:11" ht="14.4" x14ac:dyDescent="0.3">
      <c r="A43" s="3">
        <v>16765</v>
      </c>
      <c r="B43" s="3">
        <v>8529</v>
      </c>
      <c r="C43" s="1" t="s">
        <v>54</v>
      </c>
      <c r="D43" s="1" t="s">
        <v>361</v>
      </c>
      <c r="E43" s="16">
        <f>VLOOKUP(A43,'Case 1'!A:W,23,FALSE)</f>
        <v>44608</v>
      </c>
      <c r="F43" s="16">
        <v>44897</v>
      </c>
      <c r="G43" s="17">
        <f t="shared" si="0"/>
        <v>289</v>
      </c>
      <c r="H43" t="str">
        <f t="shared" si="1"/>
        <v>No Heavy SAAS</v>
      </c>
      <c r="I43" t="str">
        <f>VLOOKUP(A43,'Case 1'!A:P,16,FALSE )</f>
        <v>Advanced</v>
      </c>
      <c r="K43" s="3">
        <v>16765</v>
      </c>
    </row>
    <row r="44" spans="1:11" ht="14.4" x14ac:dyDescent="0.3">
      <c r="A44" s="3">
        <v>17665</v>
      </c>
      <c r="B44" s="3">
        <v>38</v>
      </c>
      <c r="C44" s="1" t="s">
        <v>365</v>
      </c>
      <c r="D44" s="1" t="s">
        <v>366</v>
      </c>
      <c r="E44" s="16">
        <f>VLOOKUP(A44,'Case 1'!A:W,23,FALSE)</f>
        <v>44588</v>
      </c>
      <c r="F44" s="16">
        <v>44897</v>
      </c>
      <c r="G44" s="17">
        <f t="shared" si="0"/>
        <v>309</v>
      </c>
      <c r="H44" t="str">
        <f t="shared" si="1"/>
        <v>No Heavy SAAS</v>
      </c>
      <c r="I44" t="str">
        <f>VLOOKUP(A44,'Case 1'!A:P,16,FALSE )</f>
        <v>Advanced</v>
      </c>
      <c r="K44" s="3">
        <v>17665</v>
      </c>
    </row>
    <row r="45" spans="1:11" ht="14.4" x14ac:dyDescent="0.3">
      <c r="A45" s="3">
        <v>40430</v>
      </c>
      <c r="B45" s="3">
        <v>2766</v>
      </c>
      <c r="C45" s="1" t="s">
        <v>220</v>
      </c>
      <c r="D45" s="1" t="s">
        <v>221</v>
      </c>
      <c r="E45" s="16">
        <f>VLOOKUP(A45,'Case 1'!A:W,23,FALSE)</f>
        <v>44797</v>
      </c>
      <c r="F45" s="16">
        <v>44897</v>
      </c>
      <c r="G45" s="17">
        <f t="shared" si="0"/>
        <v>100</v>
      </c>
      <c r="H45" t="str">
        <f t="shared" si="1"/>
        <v>No Heavy SAAS</v>
      </c>
      <c r="I45" t="str">
        <f>VLOOKUP(A45,'Case 1'!A:P,16,FALSE )</f>
        <v>Advanced</v>
      </c>
      <c r="K45" s="3">
        <v>40430</v>
      </c>
    </row>
    <row r="46" spans="1:11" ht="14.4" x14ac:dyDescent="0.3">
      <c r="A46" s="3">
        <v>41504</v>
      </c>
      <c r="B46" s="3">
        <v>12187</v>
      </c>
      <c r="C46" s="1" t="s">
        <v>25</v>
      </c>
      <c r="D46" s="1" t="s">
        <v>224</v>
      </c>
      <c r="E46" s="16">
        <f>VLOOKUP(A46,'Case 1'!A:W,23,FALSE)</f>
        <v>44864</v>
      </c>
      <c r="F46" s="16">
        <v>44897</v>
      </c>
      <c r="G46" s="17">
        <f t="shared" si="0"/>
        <v>33</v>
      </c>
      <c r="H46" t="str">
        <f t="shared" si="1"/>
        <v>No Heavy SAAS</v>
      </c>
      <c r="I46" t="str">
        <f>VLOOKUP(A46,'Case 1'!A:P,16,FALSE )</f>
        <v>Premium</v>
      </c>
      <c r="K46" s="3">
        <v>41504</v>
      </c>
    </row>
    <row r="47" spans="1:11" ht="14.4" x14ac:dyDescent="0.3">
      <c r="A47" s="3">
        <v>50016</v>
      </c>
      <c r="B47" s="3">
        <v>8274</v>
      </c>
      <c r="C47" s="1" t="s">
        <v>432</v>
      </c>
      <c r="D47" s="1" t="s">
        <v>433</v>
      </c>
      <c r="E47" s="16">
        <f>VLOOKUP(A47,'Case 1'!A:W,23,FALSE)</f>
        <v>44741</v>
      </c>
      <c r="F47" s="16">
        <v>44897</v>
      </c>
      <c r="G47" s="17">
        <f t="shared" si="0"/>
        <v>156</v>
      </c>
      <c r="H47" t="str">
        <f t="shared" si="1"/>
        <v>No Heavy SAAS</v>
      </c>
      <c r="I47" t="str">
        <f>VLOOKUP(A47,'Case 1'!A:P,16,FALSE )</f>
        <v>Premium</v>
      </c>
      <c r="K47" s="3">
        <v>50016</v>
      </c>
    </row>
    <row r="48" spans="1:11" ht="14.4" x14ac:dyDescent="0.3">
      <c r="A48" s="3">
        <v>50057</v>
      </c>
      <c r="B48" s="3">
        <v>12142</v>
      </c>
      <c r="C48" s="1" t="s">
        <v>436</v>
      </c>
      <c r="D48" s="1" t="s">
        <v>437</v>
      </c>
      <c r="E48" s="16">
        <f>VLOOKUP(A48,'Case 1'!A:W,23,FALSE)</f>
        <v>44877</v>
      </c>
      <c r="F48" s="16">
        <v>44897</v>
      </c>
      <c r="G48" s="17">
        <f t="shared" si="0"/>
        <v>20</v>
      </c>
      <c r="H48" t="str">
        <f t="shared" si="1"/>
        <v>Heavy SAAS</v>
      </c>
      <c r="I48" t="str">
        <f>VLOOKUP(A48,'Case 1'!A:P,16,FALSE )</f>
        <v>Starter</v>
      </c>
      <c r="K48" s="3">
        <v>50057</v>
      </c>
    </row>
    <row r="49" spans="1:11" ht="14.4" x14ac:dyDescent="0.3">
      <c r="A49" s="3">
        <v>50440</v>
      </c>
      <c r="B49" s="3">
        <v>4320</v>
      </c>
      <c r="C49" s="1" t="s">
        <v>447</v>
      </c>
      <c r="D49" s="1" t="s">
        <v>448</v>
      </c>
      <c r="E49" s="16">
        <f>VLOOKUP(A49,'Case 1'!A:W,23,FALSE)</f>
        <v>44729</v>
      </c>
      <c r="F49" s="16">
        <v>44897</v>
      </c>
      <c r="G49" s="17">
        <f t="shared" si="0"/>
        <v>168</v>
      </c>
      <c r="H49" t="str">
        <f t="shared" si="1"/>
        <v>No Heavy SAAS</v>
      </c>
      <c r="I49" t="str">
        <f>VLOOKUP(A49,'Case 1'!A:P,16,FALSE )</f>
        <v>Starter</v>
      </c>
      <c r="K49" s="3">
        <v>50440</v>
      </c>
    </row>
    <row r="50" spans="1:11" ht="14.4" x14ac:dyDescent="0.3">
      <c r="A50" s="3">
        <v>50445</v>
      </c>
      <c r="B50" s="3">
        <v>19832</v>
      </c>
      <c r="C50" s="1" t="s">
        <v>25</v>
      </c>
      <c r="D50" s="1" t="s">
        <v>173</v>
      </c>
      <c r="E50" s="16">
        <f>VLOOKUP(A50,'Case 1'!A:W,23,FALSE)</f>
        <v>44850</v>
      </c>
      <c r="F50" s="16">
        <v>44897</v>
      </c>
      <c r="G50" s="17">
        <f t="shared" si="0"/>
        <v>47</v>
      </c>
      <c r="H50" t="str">
        <f t="shared" si="1"/>
        <v>No Heavy SAAS</v>
      </c>
      <c r="I50" t="str">
        <f>VLOOKUP(A50,'Case 1'!A:P,16,FALSE )</f>
        <v>Premium</v>
      </c>
      <c r="K50" s="3">
        <v>50445</v>
      </c>
    </row>
    <row r="51" spans="1:11" ht="14.4" x14ac:dyDescent="0.3">
      <c r="A51" s="3">
        <v>50457</v>
      </c>
      <c r="B51" s="3">
        <v>14900</v>
      </c>
      <c r="C51" s="1" t="s">
        <v>473</v>
      </c>
      <c r="D51" s="1" t="s">
        <v>474</v>
      </c>
      <c r="E51" s="16">
        <f>VLOOKUP(A51,'Case 1'!A:W,23,FALSE)</f>
        <v>44720</v>
      </c>
      <c r="F51" s="16">
        <v>44897</v>
      </c>
      <c r="G51" s="17">
        <f t="shared" si="0"/>
        <v>177</v>
      </c>
      <c r="H51" t="str">
        <f t="shared" si="1"/>
        <v>No Heavy SAAS</v>
      </c>
      <c r="I51" t="str">
        <f>VLOOKUP(A51,'Case 1'!A:P,16,FALSE )</f>
        <v>Starter</v>
      </c>
      <c r="K51" s="3">
        <v>50457</v>
      </c>
    </row>
    <row r="52" spans="1:11" ht="14.4" x14ac:dyDescent="0.3">
      <c r="A52" s="3">
        <v>50505</v>
      </c>
      <c r="B52" s="3">
        <v>44405</v>
      </c>
      <c r="C52" s="1" t="s">
        <v>37</v>
      </c>
      <c r="D52" s="1" t="s">
        <v>444</v>
      </c>
      <c r="E52" s="16">
        <f>VLOOKUP(A52,'Case 1'!A:W,23,FALSE)</f>
        <v>44903</v>
      </c>
      <c r="F52" s="16">
        <v>44897</v>
      </c>
      <c r="G52" s="17">
        <f t="shared" si="0"/>
        <v>-6</v>
      </c>
      <c r="H52" t="str">
        <f t="shared" si="1"/>
        <v>Heavy SAAS</v>
      </c>
      <c r="I52" t="str">
        <f>VLOOKUP(A52,'Case 1'!A:P,16,FALSE )</f>
        <v>Premium</v>
      </c>
      <c r="K52" s="3">
        <v>50505</v>
      </c>
    </row>
    <row r="53" spans="1:11" ht="14.4" x14ac:dyDescent="0.3">
      <c r="A53" s="3">
        <v>50506</v>
      </c>
      <c r="B53" s="3">
        <v>11828</v>
      </c>
      <c r="C53" s="1" t="s">
        <v>483</v>
      </c>
      <c r="D53" s="1" t="s">
        <v>484</v>
      </c>
      <c r="E53" s="16">
        <f>VLOOKUP(A53,'Case 1'!A:W,23,FALSE)</f>
        <v>44801</v>
      </c>
      <c r="F53" s="16">
        <v>44897</v>
      </c>
      <c r="G53" s="17">
        <f t="shared" si="0"/>
        <v>96</v>
      </c>
      <c r="H53" t="str">
        <f t="shared" si="1"/>
        <v>No Heavy SAAS</v>
      </c>
      <c r="I53" t="str">
        <f>VLOOKUP(A53,'Case 1'!A:P,16,FALSE )</f>
        <v>Premium</v>
      </c>
      <c r="K53" s="3">
        <v>50506</v>
      </c>
    </row>
    <row r="54" spans="1:11" ht="14.4" x14ac:dyDescent="0.3">
      <c r="A54" s="3">
        <v>50541</v>
      </c>
      <c r="B54" s="3">
        <v>4829</v>
      </c>
      <c r="C54" s="1" t="s">
        <v>157</v>
      </c>
      <c r="D54" s="1" t="s">
        <v>487</v>
      </c>
      <c r="E54" s="16">
        <f>VLOOKUP(A54,'Case 1'!A:W,23,FALSE)</f>
        <v>44851</v>
      </c>
      <c r="F54" s="16">
        <v>44897</v>
      </c>
      <c r="G54" s="17">
        <f t="shared" si="0"/>
        <v>46</v>
      </c>
      <c r="H54" t="str">
        <f t="shared" si="1"/>
        <v>No Heavy SAAS</v>
      </c>
      <c r="I54" t="str">
        <f>VLOOKUP(A54,'Case 1'!A:P,16,FALSE )</f>
        <v>Starter</v>
      </c>
      <c r="K54" s="3">
        <v>50541</v>
      </c>
    </row>
    <row r="55" spans="1:11" ht="14.4" x14ac:dyDescent="0.3">
      <c r="A55" s="3">
        <v>50547</v>
      </c>
      <c r="B55" s="3">
        <v>14814</v>
      </c>
      <c r="C55" s="1" t="s">
        <v>491</v>
      </c>
      <c r="D55" s="1" t="s">
        <v>492</v>
      </c>
      <c r="E55" s="16">
        <f>VLOOKUP(A55,'Case 1'!A:W,23,FALSE)</f>
        <v>44873</v>
      </c>
      <c r="F55" s="16">
        <v>44897</v>
      </c>
      <c r="G55" s="17">
        <f t="shared" si="0"/>
        <v>24</v>
      </c>
      <c r="H55" t="str">
        <f t="shared" si="1"/>
        <v>Heavy SAAS</v>
      </c>
      <c r="I55" t="str">
        <f>VLOOKUP(A55,'Case 1'!A:P,16,FALSE )</f>
        <v>Advanced</v>
      </c>
      <c r="K55" s="3">
        <v>50547</v>
      </c>
    </row>
    <row r="56" spans="1:11" ht="14.4" x14ac:dyDescent="0.3">
      <c r="A56" s="3">
        <v>50644</v>
      </c>
      <c r="B56" s="3">
        <v>23306</v>
      </c>
      <c r="C56" s="1" t="s">
        <v>423</v>
      </c>
      <c r="D56" s="1" t="s">
        <v>468</v>
      </c>
      <c r="E56" s="16">
        <f>VLOOKUP(A56,'Case 1'!A:W,23,FALSE)</f>
        <v>44868</v>
      </c>
      <c r="F56" s="16">
        <v>44897</v>
      </c>
      <c r="G56" s="17">
        <f t="shared" si="0"/>
        <v>29</v>
      </c>
      <c r="H56" t="str">
        <f t="shared" si="1"/>
        <v>Heavy SAAS</v>
      </c>
      <c r="I56" t="str">
        <f>VLOOKUP(A56,'Case 1'!A:P,16,FALSE )</f>
        <v>Starter</v>
      </c>
      <c r="K56" s="3">
        <v>50644</v>
      </c>
    </row>
    <row r="57" spans="1:11" ht="14.4" x14ac:dyDescent="0.3">
      <c r="A57" s="3">
        <v>51040</v>
      </c>
      <c r="B57" s="3">
        <v>8940</v>
      </c>
      <c r="C57" s="1" t="s">
        <v>505</v>
      </c>
      <c r="D57" s="1" t="s">
        <v>506</v>
      </c>
      <c r="E57" s="16">
        <f>VLOOKUP(A57,'Case 1'!A:W,23,FALSE)</f>
        <v>44867</v>
      </c>
      <c r="F57" s="16">
        <v>44897</v>
      </c>
      <c r="G57" s="17">
        <f t="shared" si="0"/>
        <v>30</v>
      </c>
      <c r="H57" t="str">
        <f t="shared" si="1"/>
        <v>No Heavy SAAS</v>
      </c>
      <c r="I57" t="str">
        <f>VLOOKUP(A57,'Case 1'!A:P,16,FALSE )</f>
        <v>Premium</v>
      </c>
      <c r="K57" s="3">
        <v>51040</v>
      </c>
    </row>
    <row r="58" spans="1:11" ht="14.4" x14ac:dyDescent="0.3">
      <c r="A58" s="3">
        <v>51055</v>
      </c>
      <c r="B58" s="3">
        <v>7883</v>
      </c>
      <c r="C58" s="1" t="s">
        <v>519</v>
      </c>
      <c r="D58" s="1" t="s">
        <v>520</v>
      </c>
      <c r="E58" s="16">
        <f>VLOOKUP(A58,'Case 1'!A:W,23,FALSE)</f>
        <v>44734</v>
      </c>
      <c r="F58" s="16">
        <v>44897</v>
      </c>
      <c r="G58" s="17">
        <f t="shared" si="0"/>
        <v>163</v>
      </c>
      <c r="H58" t="str">
        <f t="shared" si="1"/>
        <v>No Heavy SAAS</v>
      </c>
      <c r="I58" t="str">
        <f>VLOOKUP(A58,'Case 1'!A:P,16,FALSE )</f>
        <v>Advanced</v>
      </c>
      <c r="K58" s="3">
        <v>51055</v>
      </c>
    </row>
    <row r="59" spans="1:11" ht="14.4" x14ac:dyDescent="0.3">
      <c r="A59" s="3">
        <v>51056</v>
      </c>
      <c r="B59" s="3">
        <v>17585</v>
      </c>
      <c r="C59" s="1" t="s">
        <v>495</v>
      </c>
      <c r="D59" s="1" t="s">
        <v>496</v>
      </c>
      <c r="E59" s="16">
        <f>VLOOKUP(A59,'Case 1'!A:W,23,FALSE)</f>
        <v>44860</v>
      </c>
      <c r="F59" s="16">
        <v>44897</v>
      </c>
      <c r="G59" s="17">
        <f t="shared" si="0"/>
        <v>37</v>
      </c>
      <c r="H59" t="str">
        <f t="shared" si="1"/>
        <v>No Heavy SAAS</v>
      </c>
      <c r="I59" t="str">
        <f>VLOOKUP(A59,'Case 1'!A:P,16,FALSE )</f>
        <v>Premium</v>
      </c>
      <c r="K59" s="3">
        <v>51056</v>
      </c>
    </row>
    <row r="60" spans="1:11" ht="14.4" x14ac:dyDescent="0.3">
      <c r="A60" s="3">
        <v>51067</v>
      </c>
      <c r="B60" s="3">
        <v>12492</v>
      </c>
      <c r="C60" s="1" t="s">
        <v>510</v>
      </c>
      <c r="D60" s="1" t="s">
        <v>511</v>
      </c>
      <c r="E60" s="16">
        <f>VLOOKUP(A60,'Case 1'!A:W,23,FALSE)</f>
        <v>44852</v>
      </c>
      <c r="F60" s="16">
        <v>44897</v>
      </c>
      <c r="G60" s="17">
        <f t="shared" si="0"/>
        <v>45</v>
      </c>
      <c r="H60" t="str">
        <f t="shared" si="1"/>
        <v>No Heavy SAAS</v>
      </c>
      <c r="I60" t="str">
        <f>VLOOKUP(A60,'Case 1'!A:P,16,FALSE )</f>
        <v>Starter</v>
      </c>
      <c r="K60" s="3">
        <v>51067</v>
      </c>
    </row>
    <row r="61" spans="1:11" ht="14.4" x14ac:dyDescent="0.3">
      <c r="A61" s="3">
        <v>51400</v>
      </c>
      <c r="B61" s="3">
        <v>13816</v>
      </c>
      <c r="C61" s="1" t="s">
        <v>554</v>
      </c>
      <c r="D61" s="1" t="s">
        <v>555</v>
      </c>
      <c r="E61" s="16">
        <f>VLOOKUP(A61,'Case 1'!A:W,23,FALSE)</f>
        <v>44757</v>
      </c>
      <c r="F61" s="16">
        <v>44897</v>
      </c>
      <c r="G61" s="17">
        <f t="shared" si="0"/>
        <v>140</v>
      </c>
      <c r="H61" t="str">
        <f t="shared" si="1"/>
        <v>No Heavy SAAS</v>
      </c>
      <c r="I61" t="str">
        <f>VLOOKUP(A61,'Case 1'!A:P,16,FALSE )</f>
        <v>Advanced</v>
      </c>
      <c r="K61" s="3">
        <v>51400</v>
      </c>
    </row>
    <row r="62" spans="1:11" ht="14.4" x14ac:dyDescent="0.3">
      <c r="A62" s="3">
        <v>51441</v>
      </c>
      <c r="B62" s="3">
        <v>2887</v>
      </c>
      <c r="C62" s="1" t="s">
        <v>563</v>
      </c>
      <c r="D62" s="1" t="s">
        <v>564</v>
      </c>
      <c r="E62" s="16">
        <f>VLOOKUP(A62,'Case 1'!A:W,23,FALSE)</f>
        <v>44714</v>
      </c>
      <c r="F62" s="16">
        <v>44897</v>
      </c>
      <c r="G62" s="17">
        <f t="shared" si="0"/>
        <v>183</v>
      </c>
      <c r="H62" t="str">
        <f t="shared" si="1"/>
        <v>No Heavy SAAS</v>
      </c>
      <c r="I62" t="str">
        <f>VLOOKUP(A62,'Case 1'!A:P,16,FALSE )</f>
        <v>Advanced</v>
      </c>
      <c r="K62" s="3">
        <v>51441</v>
      </c>
    </row>
    <row r="63" spans="1:11" ht="14.4" x14ac:dyDescent="0.3">
      <c r="A63" s="3">
        <v>51466</v>
      </c>
      <c r="B63" s="3">
        <v>8030</v>
      </c>
      <c r="C63" s="1" t="s">
        <v>534</v>
      </c>
      <c r="D63" s="1" t="s">
        <v>583</v>
      </c>
      <c r="E63" s="16">
        <f>VLOOKUP(A63,'Case 1'!A:W,23,FALSE)</f>
        <v>44825</v>
      </c>
      <c r="F63" s="16">
        <v>44897</v>
      </c>
      <c r="G63" s="17">
        <f t="shared" si="0"/>
        <v>72</v>
      </c>
      <c r="H63" t="str">
        <f t="shared" si="1"/>
        <v>No Heavy SAAS</v>
      </c>
      <c r="I63" t="str">
        <f>VLOOKUP(A63,'Case 1'!A:P,16,FALSE )</f>
        <v>Starter</v>
      </c>
      <c r="K63" s="3">
        <v>51466</v>
      </c>
    </row>
    <row r="64" spans="1:11" ht="14.4" x14ac:dyDescent="0.3">
      <c r="A64" s="3">
        <v>51550</v>
      </c>
      <c r="B64" s="3">
        <v>5891</v>
      </c>
      <c r="C64" s="1" t="s">
        <v>530</v>
      </c>
      <c r="D64" s="1" t="s">
        <v>531</v>
      </c>
      <c r="E64" s="16">
        <f>VLOOKUP(A64,'Case 1'!A:W,23,FALSE)</f>
        <v>44721</v>
      </c>
      <c r="F64" s="16">
        <v>44897</v>
      </c>
      <c r="G64" s="17">
        <f t="shared" si="0"/>
        <v>176</v>
      </c>
      <c r="H64" t="str">
        <f t="shared" si="1"/>
        <v>No Heavy SAAS</v>
      </c>
      <c r="I64" t="str">
        <f>VLOOKUP(A64,'Case 1'!A:P,16,FALSE )</f>
        <v>Advanced</v>
      </c>
      <c r="K64" s="3">
        <v>51550</v>
      </c>
    </row>
    <row r="65" spans="1:11" ht="14.4" x14ac:dyDescent="0.3">
      <c r="A65" s="3">
        <v>54146</v>
      </c>
      <c r="B65" s="3">
        <v>4446</v>
      </c>
      <c r="C65" s="1" t="s">
        <v>857</v>
      </c>
      <c r="D65" s="1" t="s">
        <v>858</v>
      </c>
      <c r="E65" s="16">
        <f>VLOOKUP(A65,'Case 1'!A:W,23,FALSE)</f>
        <v>44808</v>
      </c>
      <c r="F65" s="16">
        <v>44897</v>
      </c>
      <c r="G65" s="17">
        <f t="shared" si="0"/>
        <v>89</v>
      </c>
      <c r="H65" t="str">
        <f t="shared" si="1"/>
        <v>No Heavy SAAS</v>
      </c>
      <c r="I65" t="str">
        <f>VLOOKUP(A65,'Case 1'!A:P,16,FALSE )</f>
        <v>Premium</v>
      </c>
      <c r="K65" s="3">
        <v>54146</v>
      </c>
    </row>
    <row r="66" spans="1:11" ht="14.4" x14ac:dyDescent="0.3">
      <c r="A66" s="3">
        <v>54160</v>
      </c>
      <c r="B66" s="3">
        <v>2894</v>
      </c>
      <c r="C66" s="1" t="s">
        <v>861</v>
      </c>
      <c r="D66" s="1" t="s">
        <v>862</v>
      </c>
      <c r="E66" s="16">
        <f>VLOOKUP(A66,'Case 1'!A:W,23,FALSE)</f>
        <v>44846</v>
      </c>
      <c r="F66" s="16">
        <v>44897</v>
      </c>
      <c r="G66" s="17">
        <f t="shared" ref="G66:G129" si="2">F66-E66</f>
        <v>51</v>
      </c>
      <c r="H66" t="str">
        <f t="shared" ref="H66:H129" si="3">+IF(AND(B66&gt;40,G66&lt;30),"Heavy SAAS","No Heavy SAAS")</f>
        <v>No Heavy SAAS</v>
      </c>
      <c r="I66" t="str">
        <f>VLOOKUP(A66,'Case 1'!A:P,16,FALSE )</f>
        <v>Advanced</v>
      </c>
      <c r="K66" s="3">
        <v>54160</v>
      </c>
    </row>
    <row r="67" spans="1:11" ht="14.4" x14ac:dyDescent="0.3">
      <c r="A67" s="3">
        <v>54170</v>
      </c>
      <c r="B67" s="3">
        <v>8670</v>
      </c>
      <c r="C67" s="1" t="s">
        <v>865</v>
      </c>
      <c r="D67" s="1" t="s">
        <v>866</v>
      </c>
      <c r="E67" s="16">
        <f>VLOOKUP(A67,'Case 1'!A:W,23,FALSE)</f>
        <v>44591</v>
      </c>
      <c r="F67" s="16">
        <v>44897</v>
      </c>
      <c r="G67" s="17">
        <f t="shared" si="2"/>
        <v>306</v>
      </c>
      <c r="H67" t="str">
        <f t="shared" si="3"/>
        <v>No Heavy SAAS</v>
      </c>
      <c r="I67" t="str">
        <f>VLOOKUP(A67,'Case 1'!A:P,16,FALSE )</f>
        <v>Advanced</v>
      </c>
      <c r="K67" s="3">
        <v>54170</v>
      </c>
    </row>
    <row r="68" spans="1:11" ht="14.4" x14ac:dyDescent="0.3">
      <c r="A68" s="3">
        <v>54176</v>
      </c>
      <c r="B68" s="3">
        <v>17094</v>
      </c>
      <c r="C68" s="1" t="s">
        <v>625</v>
      </c>
      <c r="D68" s="1" t="s">
        <v>626</v>
      </c>
      <c r="E68" s="16">
        <f>VLOOKUP(A68,'Case 1'!A:W,23,FALSE)</f>
        <v>44851</v>
      </c>
      <c r="F68" s="16">
        <v>44897</v>
      </c>
      <c r="G68" s="17">
        <f t="shared" si="2"/>
        <v>46</v>
      </c>
      <c r="H68" t="str">
        <f t="shared" si="3"/>
        <v>No Heavy SAAS</v>
      </c>
      <c r="I68" t="str">
        <f>VLOOKUP(A68,'Case 1'!A:P,16,FALSE )</f>
        <v>Premium</v>
      </c>
      <c r="K68" s="3">
        <v>54176</v>
      </c>
    </row>
    <row r="69" spans="1:11" ht="14.4" x14ac:dyDescent="0.3">
      <c r="A69" s="3">
        <v>54414</v>
      </c>
      <c r="B69" s="3">
        <v>83</v>
      </c>
      <c r="C69" s="1" t="s">
        <v>182</v>
      </c>
      <c r="D69" s="1" t="s">
        <v>886</v>
      </c>
      <c r="E69" s="16">
        <f>VLOOKUP(A69,'Case 1'!A:W,23,FALSE)</f>
        <v>44804</v>
      </c>
      <c r="F69" s="16">
        <v>44897</v>
      </c>
      <c r="G69" s="17">
        <f t="shared" si="2"/>
        <v>93</v>
      </c>
      <c r="H69" t="str">
        <f t="shared" si="3"/>
        <v>No Heavy SAAS</v>
      </c>
      <c r="I69" t="str">
        <f>VLOOKUP(A69,'Case 1'!A:P,16,FALSE )</f>
        <v>Starter</v>
      </c>
      <c r="K69" s="3">
        <v>54414</v>
      </c>
    </row>
    <row r="70" spans="1:11" ht="14.4" x14ac:dyDescent="0.3">
      <c r="A70" s="3">
        <v>54460</v>
      </c>
      <c r="B70" s="3">
        <v>4496</v>
      </c>
      <c r="C70" s="1" t="s">
        <v>890</v>
      </c>
      <c r="D70" s="1" t="s">
        <v>891</v>
      </c>
      <c r="E70" s="16">
        <f>VLOOKUP(A70,'Case 1'!A:W,23,FALSE)</f>
        <v>44887</v>
      </c>
      <c r="F70" s="16">
        <v>44897</v>
      </c>
      <c r="G70" s="17">
        <f t="shared" si="2"/>
        <v>10</v>
      </c>
      <c r="H70" t="str">
        <f t="shared" si="3"/>
        <v>Heavy SAAS</v>
      </c>
      <c r="I70" t="str">
        <f>VLOOKUP(A70,'Case 1'!A:P,16,FALSE )</f>
        <v>Advanced</v>
      </c>
      <c r="K70" s="3">
        <v>54460</v>
      </c>
    </row>
    <row r="71" spans="1:11" ht="14.4" x14ac:dyDescent="0.3">
      <c r="A71" s="3">
        <v>54465</v>
      </c>
      <c r="B71" s="3">
        <v>4936</v>
      </c>
      <c r="C71" s="1" t="s">
        <v>912</v>
      </c>
      <c r="D71" s="1" t="s">
        <v>913</v>
      </c>
      <c r="E71" s="16">
        <f>VLOOKUP(A71,'Case 1'!A:W,23,FALSE)</f>
        <v>44801</v>
      </c>
      <c r="F71" s="16">
        <v>44897</v>
      </c>
      <c r="G71" s="17">
        <f t="shared" si="2"/>
        <v>96</v>
      </c>
      <c r="H71" t="str">
        <f t="shared" si="3"/>
        <v>No Heavy SAAS</v>
      </c>
      <c r="I71" t="str">
        <f>VLOOKUP(A71,'Case 1'!A:P,16,FALSE )</f>
        <v>Premium</v>
      </c>
      <c r="K71" s="3">
        <v>54465</v>
      </c>
    </row>
    <row r="72" spans="1:11" ht="14.4" x14ac:dyDescent="0.3">
      <c r="A72" s="3">
        <v>54470</v>
      </c>
      <c r="B72" s="3">
        <v>43908</v>
      </c>
      <c r="C72" s="1" t="s">
        <v>631</v>
      </c>
      <c r="D72" s="1" t="s">
        <v>632</v>
      </c>
      <c r="E72" s="16">
        <f>VLOOKUP(A72,'Case 1'!A:W,23,FALSE)</f>
        <v>44903</v>
      </c>
      <c r="F72" s="16">
        <v>44897</v>
      </c>
      <c r="G72" s="17">
        <f t="shared" si="2"/>
        <v>-6</v>
      </c>
      <c r="H72" t="str">
        <f t="shared" si="3"/>
        <v>Heavy SAAS</v>
      </c>
      <c r="I72" t="str">
        <f>VLOOKUP(A72,'Case 1'!A:P,16,FALSE )</f>
        <v>Premium</v>
      </c>
      <c r="K72" s="3">
        <v>54470</v>
      </c>
    </row>
    <row r="73" spans="1:11" ht="14.4" x14ac:dyDescent="0.3">
      <c r="A73" s="3">
        <v>54504</v>
      </c>
      <c r="B73" s="3">
        <v>11307</v>
      </c>
      <c r="C73" s="1" t="s">
        <v>926</v>
      </c>
      <c r="D73" s="1" t="s">
        <v>927</v>
      </c>
      <c r="E73" s="16">
        <f>VLOOKUP(A73,'Case 1'!A:W,23,FALSE)</f>
        <v>44798</v>
      </c>
      <c r="F73" s="16">
        <v>44897</v>
      </c>
      <c r="G73" s="17">
        <f t="shared" si="2"/>
        <v>99</v>
      </c>
      <c r="H73" t="str">
        <f t="shared" si="3"/>
        <v>No Heavy SAAS</v>
      </c>
      <c r="I73" t="str">
        <f>VLOOKUP(A73,'Case 1'!A:P,16,FALSE )</f>
        <v>Premium</v>
      </c>
      <c r="K73" s="3">
        <v>54504</v>
      </c>
    </row>
    <row r="74" spans="1:11" ht="14.4" x14ac:dyDescent="0.3">
      <c r="A74" s="3">
        <v>54505</v>
      </c>
      <c r="B74" s="3">
        <v>11040</v>
      </c>
      <c r="C74" s="1" t="s">
        <v>157</v>
      </c>
      <c r="D74" s="1" t="s">
        <v>158</v>
      </c>
      <c r="E74" s="16">
        <f>VLOOKUP(A74,'Case 1'!A:W,23,FALSE)</f>
        <v>44868</v>
      </c>
      <c r="F74" s="16">
        <v>44897</v>
      </c>
      <c r="G74" s="17">
        <f t="shared" si="2"/>
        <v>29</v>
      </c>
      <c r="H74" t="str">
        <f t="shared" si="3"/>
        <v>Heavy SAAS</v>
      </c>
      <c r="I74" t="str">
        <f>VLOOKUP(A74,'Case 1'!A:P,16,FALSE )</f>
        <v>Premium</v>
      </c>
      <c r="K74" s="3">
        <v>54505</v>
      </c>
    </row>
    <row r="75" spans="1:11" ht="14.4" x14ac:dyDescent="0.3">
      <c r="A75" s="3">
        <v>54506</v>
      </c>
      <c r="B75" s="3">
        <v>23764</v>
      </c>
      <c r="C75" s="1" t="s">
        <v>25</v>
      </c>
      <c r="D75" s="1" t="s">
        <v>930</v>
      </c>
      <c r="E75" s="16">
        <f>VLOOKUP(A75,'Case 1'!A:W,23,FALSE)</f>
        <v>44877</v>
      </c>
      <c r="F75" s="16">
        <v>44897</v>
      </c>
      <c r="G75" s="17">
        <f t="shared" si="2"/>
        <v>20</v>
      </c>
      <c r="H75" t="str">
        <f t="shared" si="3"/>
        <v>Heavy SAAS</v>
      </c>
      <c r="I75" t="str">
        <f>VLOOKUP(A75,'Case 1'!A:P,16,FALSE )</f>
        <v>Advanced</v>
      </c>
      <c r="K75" s="3">
        <v>54506</v>
      </c>
    </row>
    <row r="76" spans="1:11" ht="14.4" x14ac:dyDescent="0.3">
      <c r="A76" s="3">
        <v>54544</v>
      </c>
      <c r="B76" s="3">
        <v>9624</v>
      </c>
      <c r="C76" s="1" t="s">
        <v>58</v>
      </c>
      <c r="D76" s="1" t="s">
        <v>876</v>
      </c>
      <c r="E76" s="16">
        <f>VLOOKUP(A76,'Case 1'!A:W,23,FALSE)</f>
        <v>44856</v>
      </c>
      <c r="F76" s="16">
        <v>44897</v>
      </c>
      <c r="G76" s="17">
        <f t="shared" si="2"/>
        <v>41</v>
      </c>
      <c r="H76" t="str">
        <f t="shared" si="3"/>
        <v>No Heavy SAAS</v>
      </c>
      <c r="I76" t="str">
        <f>VLOOKUP(A76,'Case 1'!A:P,16,FALSE )</f>
        <v>Starter</v>
      </c>
      <c r="K76" s="3">
        <v>54544</v>
      </c>
    </row>
    <row r="77" spans="1:11" ht="14.4" x14ac:dyDescent="0.3">
      <c r="A77" s="3">
        <v>54544</v>
      </c>
      <c r="B77" s="3">
        <v>2645</v>
      </c>
      <c r="C77" s="1" t="s">
        <v>939</v>
      </c>
      <c r="D77" s="1" t="s">
        <v>940</v>
      </c>
      <c r="E77" s="16">
        <f>VLOOKUP(A77,'Case 1'!A:W,23,FALSE)</f>
        <v>44856</v>
      </c>
      <c r="F77" s="16">
        <v>44897</v>
      </c>
      <c r="G77" s="17">
        <f t="shared" si="2"/>
        <v>41</v>
      </c>
      <c r="H77" t="str">
        <f t="shared" si="3"/>
        <v>No Heavy SAAS</v>
      </c>
      <c r="I77" t="str">
        <f>VLOOKUP(A77,'Case 1'!A:P,16,FALSE )</f>
        <v>Starter</v>
      </c>
      <c r="K77" s="3">
        <v>54550</v>
      </c>
    </row>
    <row r="78" spans="1:11" ht="14.4" x14ac:dyDescent="0.3">
      <c r="A78" s="3">
        <v>54550</v>
      </c>
      <c r="B78" s="3">
        <v>78065</v>
      </c>
      <c r="C78" s="1" t="s">
        <v>143</v>
      </c>
      <c r="D78" s="1" t="s">
        <v>144</v>
      </c>
      <c r="E78" s="16">
        <f>VLOOKUP(A78,'Case 1'!A:W,23,FALSE)</f>
        <v>44903</v>
      </c>
      <c r="F78" s="16">
        <v>44897</v>
      </c>
      <c r="G78" s="17">
        <f t="shared" si="2"/>
        <v>-6</v>
      </c>
      <c r="H78" t="str">
        <f t="shared" si="3"/>
        <v>Heavy SAAS</v>
      </c>
      <c r="I78" t="str">
        <f>VLOOKUP(A78,'Case 1'!A:P,16,FALSE )</f>
        <v>Advanced</v>
      </c>
      <c r="K78" s="3">
        <v>54561</v>
      </c>
    </row>
    <row r="79" spans="1:11" ht="14.4" x14ac:dyDescent="0.3">
      <c r="A79" s="3">
        <v>54561</v>
      </c>
      <c r="B79" s="3">
        <v>13684</v>
      </c>
      <c r="C79" s="1" t="s">
        <v>642</v>
      </c>
      <c r="D79" s="1" t="s">
        <v>643</v>
      </c>
      <c r="E79" s="16">
        <f>VLOOKUP(A79,'Case 1'!A:W,23,FALSE)</f>
        <v>44821</v>
      </c>
      <c r="F79" s="16">
        <v>44897</v>
      </c>
      <c r="G79" s="17">
        <f t="shared" si="2"/>
        <v>76</v>
      </c>
      <c r="H79" t="str">
        <f t="shared" si="3"/>
        <v>No Heavy SAAS</v>
      </c>
      <c r="I79" t="str">
        <f>VLOOKUP(A79,'Case 1'!A:P,16,FALSE )</f>
        <v>Premium</v>
      </c>
      <c r="K79" s="3">
        <v>54574</v>
      </c>
    </row>
    <row r="80" spans="1:11" ht="14.4" x14ac:dyDescent="0.3">
      <c r="A80" s="3">
        <v>54574</v>
      </c>
      <c r="B80" s="3">
        <v>3624</v>
      </c>
      <c r="C80" s="1" t="s">
        <v>934</v>
      </c>
      <c r="D80" s="1" t="s">
        <v>935</v>
      </c>
      <c r="E80" s="16">
        <f>VLOOKUP(A80,'Case 1'!A:W,23,FALSE)</f>
        <v>44674</v>
      </c>
      <c r="F80" s="16">
        <v>44897</v>
      </c>
      <c r="G80" s="17">
        <f t="shared" si="2"/>
        <v>223</v>
      </c>
      <c r="H80" t="str">
        <f t="shared" si="3"/>
        <v>No Heavy SAAS</v>
      </c>
      <c r="I80" t="str">
        <f>VLOOKUP(A80,'Case 1'!A:P,16,FALSE )</f>
        <v>Premium</v>
      </c>
      <c r="K80" s="3">
        <v>54756</v>
      </c>
    </row>
    <row r="81" spans="1:11" ht="14.4" x14ac:dyDescent="0.3">
      <c r="A81" s="3">
        <v>54756</v>
      </c>
      <c r="B81" s="3">
        <v>3815</v>
      </c>
      <c r="C81" s="1" t="s">
        <v>143</v>
      </c>
      <c r="D81" s="1" t="s">
        <v>899</v>
      </c>
      <c r="E81" s="16">
        <f>VLOOKUP(A81,'Case 1'!A:W,23,FALSE)</f>
        <v>44838</v>
      </c>
      <c r="F81" s="16">
        <v>44897</v>
      </c>
      <c r="G81" s="17">
        <f t="shared" si="2"/>
        <v>59</v>
      </c>
      <c r="H81" t="str">
        <f t="shared" si="3"/>
        <v>No Heavy SAAS</v>
      </c>
      <c r="I81" t="str">
        <f>VLOOKUP(A81,'Case 1'!A:P,16,FALSE )</f>
        <v>Premium</v>
      </c>
      <c r="K81" s="3">
        <v>55016</v>
      </c>
    </row>
    <row r="82" spans="1:11" ht="14.4" x14ac:dyDescent="0.3">
      <c r="A82" s="3">
        <v>55016</v>
      </c>
      <c r="B82" s="3">
        <v>13091</v>
      </c>
      <c r="C82" s="1" t="s">
        <v>37</v>
      </c>
      <c r="D82" s="1" t="s">
        <v>944</v>
      </c>
      <c r="E82" s="16">
        <f>VLOOKUP(A82,'Case 1'!A:W,23,FALSE)</f>
        <v>44835</v>
      </c>
      <c r="F82" s="16">
        <v>44897</v>
      </c>
      <c r="G82" s="17">
        <f t="shared" si="2"/>
        <v>62</v>
      </c>
      <c r="H82" t="str">
        <f t="shared" si="3"/>
        <v>No Heavy SAAS</v>
      </c>
      <c r="I82" t="str">
        <f>VLOOKUP(A82,'Case 1'!A:P,16,FALSE )</f>
        <v>Advanced</v>
      </c>
      <c r="K82" s="3">
        <v>55017</v>
      </c>
    </row>
    <row r="83" spans="1:11" ht="14.4" x14ac:dyDescent="0.3">
      <c r="A83" s="3">
        <v>55017</v>
      </c>
      <c r="B83" s="3">
        <v>19737</v>
      </c>
      <c r="C83" s="1" t="s">
        <v>947</v>
      </c>
      <c r="D83" s="1" t="s">
        <v>948</v>
      </c>
      <c r="E83" s="16">
        <f>VLOOKUP(A83,'Case 1'!A:W,23,FALSE)</f>
        <v>44855</v>
      </c>
      <c r="F83" s="16">
        <v>44897</v>
      </c>
      <c r="G83" s="17">
        <f t="shared" si="2"/>
        <v>42</v>
      </c>
      <c r="H83" t="str">
        <f t="shared" si="3"/>
        <v>No Heavy SAAS</v>
      </c>
      <c r="I83" t="str">
        <f>VLOOKUP(A83,'Case 1'!A:P,16,FALSE )</f>
        <v>Premium</v>
      </c>
      <c r="K83" s="3">
        <v>55150</v>
      </c>
    </row>
    <row r="84" spans="1:11" ht="14.4" x14ac:dyDescent="0.3">
      <c r="A84" s="3">
        <v>55150</v>
      </c>
      <c r="B84" s="3">
        <v>0</v>
      </c>
      <c r="C84" s="1" t="s">
        <v>127</v>
      </c>
      <c r="D84" s="1" t="s">
        <v>128</v>
      </c>
      <c r="E84" s="16">
        <f>VLOOKUP(A84,'Case 1'!A:W,23,FALSE)</f>
        <v>44626</v>
      </c>
      <c r="F84" s="16">
        <v>44897</v>
      </c>
      <c r="G84" s="17">
        <f t="shared" si="2"/>
        <v>271</v>
      </c>
      <c r="H84" t="str">
        <f t="shared" si="3"/>
        <v>No Heavy SAAS</v>
      </c>
      <c r="I84" t="str">
        <f>VLOOKUP(A84,'Case 1'!A:P,16,FALSE )</f>
        <v>Advanced</v>
      </c>
      <c r="K84" s="3">
        <v>55405</v>
      </c>
    </row>
    <row r="85" spans="1:11" ht="14.4" x14ac:dyDescent="0.3">
      <c r="A85" s="3">
        <v>55405</v>
      </c>
      <c r="B85" s="3">
        <v>1943</v>
      </c>
      <c r="C85" s="1" t="s">
        <v>195</v>
      </c>
      <c r="D85" s="1" t="s">
        <v>969</v>
      </c>
      <c r="E85" s="16">
        <f>VLOOKUP(A85,'Case 1'!A:W,23,FALSE)</f>
        <v>44809</v>
      </c>
      <c r="F85" s="16">
        <v>44897</v>
      </c>
      <c r="G85" s="17">
        <f t="shared" si="2"/>
        <v>88</v>
      </c>
      <c r="H85" t="str">
        <f t="shared" si="3"/>
        <v>No Heavy SAAS</v>
      </c>
      <c r="I85" t="str">
        <f>VLOOKUP(A85,'Case 1'!A:P,16,FALSE )</f>
        <v>Advanced</v>
      </c>
      <c r="K85" s="3">
        <v>55407</v>
      </c>
    </row>
    <row r="86" spans="1:11" ht="14.4" x14ac:dyDescent="0.3">
      <c r="A86" s="3">
        <v>55405</v>
      </c>
      <c r="B86" s="3">
        <v>9134</v>
      </c>
      <c r="C86" s="1" t="s">
        <v>143</v>
      </c>
      <c r="D86" s="1" t="s">
        <v>1106</v>
      </c>
      <c r="E86" s="16">
        <f>VLOOKUP(A86,'Case 1'!A:W,23,FALSE)</f>
        <v>44809</v>
      </c>
      <c r="F86" s="16">
        <v>44897</v>
      </c>
      <c r="G86" s="17">
        <f t="shared" si="2"/>
        <v>88</v>
      </c>
      <c r="H86" t="str">
        <f t="shared" si="3"/>
        <v>No Heavy SAAS</v>
      </c>
      <c r="I86" t="str">
        <f>VLOOKUP(A86,'Case 1'!A:P,16,FALSE )</f>
        <v>Advanced</v>
      </c>
      <c r="K86" s="3">
        <v>55410</v>
      </c>
    </row>
    <row r="87" spans="1:11" ht="14.4" x14ac:dyDescent="0.3">
      <c r="A87" s="3">
        <v>55407</v>
      </c>
      <c r="B87" s="3">
        <v>5657</v>
      </c>
      <c r="C87" s="1" t="s">
        <v>963</v>
      </c>
      <c r="D87" s="1" t="s">
        <v>964</v>
      </c>
      <c r="E87" s="16">
        <f>VLOOKUP(A87,'Case 1'!A:W,23,FALSE)</f>
        <v>44886</v>
      </c>
      <c r="F87" s="16">
        <v>44897</v>
      </c>
      <c r="G87" s="17">
        <f t="shared" si="2"/>
        <v>11</v>
      </c>
      <c r="H87" t="str">
        <f t="shared" si="3"/>
        <v>Heavy SAAS</v>
      </c>
      <c r="I87" t="str">
        <f>VLOOKUP(A87,'Case 1'!A:P,16,FALSE )</f>
        <v>Advanced</v>
      </c>
      <c r="K87" s="3">
        <v>55416</v>
      </c>
    </row>
    <row r="88" spans="1:11" ht="14.4" x14ac:dyDescent="0.3">
      <c r="A88" s="3">
        <v>55410</v>
      </c>
      <c r="B88" s="3">
        <v>1086</v>
      </c>
      <c r="C88" s="1" t="s">
        <v>195</v>
      </c>
      <c r="D88" s="1" t="s">
        <v>974</v>
      </c>
      <c r="E88" s="16">
        <f>VLOOKUP(A88,'Case 1'!A:W,23,FALSE)</f>
        <v>44879</v>
      </c>
      <c r="F88" s="16">
        <v>44897</v>
      </c>
      <c r="G88" s="17">
        <f t="shared" si="2"/>
        <v>18</v>
      </c>
      <c r="H88" t="str">
        <f t="shared" si="3"/>
        <v>Heavy SAAS</v>
      </c>
      <c r="I88" t="str">
        <f>VLOOKUP(A88,'Case 1'!A:P,16,FALSE )</f>
        <v>Premium</v>
      </c>
      <c r="K88" s="3">
        <v>55444</v>
      </c>
    </row>
    <row r="89" spans="1:11" ht="14.4" x14ac:dyDescent="0.3">
      <c r="A89" s="3">
        <v>55416</v>
      </c>
      <c r="B89" s="3">
        <v>466</v>
      </c>
      <c r="C89" s="1" t="s">
        <v>979</v>
      </c>
      <c r="D89" s="1" t="s">
        <v>980</v>
      </c>
      <c r="E89" s="16">
        <f>VLOOKUP(A89,'Case 1'!A:W,23,FALSE)</f>
        <v>44861</v>
      </c>
      <c r="F89" s="16">
        <v>44897</v>
      </c>
      <c r="G89" s="17">
        <f t="shared" si="2"/>
        <v>36</v>
      </c>
      <c r="H89" t="str">
        <f t="shared" si="3"/>
        <v>No Heavy SAAS</v>
      </c>
      <c r="I89" t="str">
        <f>VLOOKUP(A89,'Case 1'!A:P,16,FALSE )</f>
        <v>Premium</v>
      </c>
      <c r="K89" s="3">
        <v>55447</v>
      </c>
    </row>
    <row r="90" spans="1:11" ht="14.4" x14ac:dyDescent="0.3">
      <c r="A90" s="3">
        <v>55444</v>
      </c>
      <c r="B90" s="3">
        <v>7285</v>
      </c>
      <c r="C90" s="1" t="s">
        <v>195</v>
      </c>
      <c r="D90" s="1" t="s">
        <v>1023</v>
      </c>
      <c r="E90" s="16">
        <f>VLOOKUP(A90,'Case 1'!A:W,23,FALSE)</f>
        <v>44893</v>
      </c>
      <c r="F90" s="16">
        <v>44897</v>
      </c>
      <c r="G90" s="17">
        <f t="shared" si="2"/>
        <v>4</v>
      </c>
      <c r="H90" t="str">
        <f t="shared" si="3"/>
        <v>Heavy SAAS</v>
      </c>
      <c r="I90" t="str">
        <f>VLOOKUP(A90,'Case 1'!A:P,16,FALSE )</f>
        <v>Premium</v>
      </c>
      <c r="K90" s="3">
        <v>55455</v>
      </c>
    </row>
    <row r="91" spans="1:11" ht="14.4" x14ac:dyDescent="0.3">
      <c r="A91" s="3">
        <v>55447</v>
      </c>
      <c r="B91" s="3">
        <v>12059</v>
      </c>
      <c r="C91" s="1" t="s">
        <v>604</v>
      </c>
      <c r="D91" s="1" t="s">
        <v>605</v>
      </c>
      <c r="E91" s="16">
        <f>VLOOKUP(A91,'Case 1'!A:W,23,FALSE)</f>
        <v>44710</v>
      </c>
      <c r="F91" s="16">
        <v>44897</v>
      </c>
      <c r="G91" s="17">
        <f t="shared" si="2"/>
        <v>187</v>
      </c>
      <c r="H91" t="str">
        <f t="shared" si="3"/>
        <v>No Heavy SAAS</v>
      </c>
      <c r="I91" t="str">
        <f>VLOOKUP(A91,'Case 1'!A:P,16,FALSE )</f>
        <v>Premium</v>
      </c>
      <c r="K91" s="3">
        <v>55457</v>
      </c>
    </row>
    <row r="92" spans="1:11" ht="14.4" x14ac:dyDescent="0.3">
      <c r="A92" s="3">
        <v>55455</v>
      </c>
      <c r="B92" s="3">
        <v>106</v>
      </c>
      <c r="C92" s="1" t="s">
        <v>1028</v>
      </c>
      <c r="D92" s="1" t="s">
        <v>1029</v>
      </c>
      <c r="E92" s="16">
        <f>VLOOKUP(A92,'Case 1'!A:W,23,FALSE)</f>
        <v>44903</v>
      </c>
      <c r="F92" s="16">
        <v>44897</v>
      </c>
      <c r="G92" s="17">
        <f t="shared" si="2"/>
        <v>-6</v>
      </c>
      <c r="H92" t="str">
        <f t="shared" si="3"/>
        <v>Heavy SAAS</v>
      </c>
      <c r="I92" t="str">
        <f>VLOOKUP(A92,'Case 1'!A:P,16,FALSE )</f>
        <v>Advanced</v>
      </c>
      <c r="K92" s="3">
        <v>55461</v>
      </c>
    </row>
    <row r="93" spans="1:11" ht="14.4" x14ac:dyDescent="0.3">
      <c r="A93" s="3">
        <v>55457</v>
      </c>
      <c r="B93" s="3">
        <v>2384</v>
      </c>
      <c r="C93" s="1" t="s">
        <v>417</v>
      </c>
      <c r="D93" s="1" t="s">
        <v>1118</v>
      </c>
      <c r="E93" s="16">
        <f>VLOOKUP(A93,'Case 1'!A:W,23,FALSE)</f>
        <v>44664</v>
      </c>
      <c r="F93" s="16">
        <v>44897</v>
      </c>
      <c r="G93" s="17">
        <f t="shared" si="2"/>
        <v>233</v>
      </c>
      <c r="H93" t="str">
        <f t="shared" si="3"/>
        <v>No Heavy SAAS</v>
      </c>
      <c r="I93" t="str">
        <f>VLOOKUP(A93,'Case 1'!A:P,16,FALSE )</f>
        <v>Advanced</v>
      </c>
      <c r="K93" s="3">
        <v>55464</v>
      </c>
    </row>
    <row r="94" spans="1:11" ht="14.4" x14ac:dyDescent="0.3">
      <c r="A94" s="3">
        <v>55461</v>
      </c>
      <c r="B94" s="3">
        <v>260</v>
      </c>
      <c r="C94" s="1" t="s">
        <v>195</v>
      </c>
      <c r="D94" s="1" t="s">
        <v>996</v>
      </c>
      <c r="E94" s="16">
        <f>VLOOKUP(A94,'Case 1'!A:W,23,FALSE)</f>
        <v>44883</v>
      </c>
      <c r="F94" s="16">
        <v>44897</v>
      </c>
      <c r="G94" s="17">
        <f t="shared" si="2"/>
        <v>14</v>
      </c>
      <c r="H94" t="str">
        <f t="shared" si="3"/>
        <v>Heavy SAAS</v>
      </c>
      <c r="I94" t="str">
        <f>VLOOKUP(A94,'Case 1'!A:P,16,FALSE )</f>
        <v>Premium</v>
      </c>
      <c r="K94" s="3">
        <v>55465</v>
      </c>
    </row>
    <row r="95" spans="1:11" ht="14.4" x14ac:dyDescent="0.3">
      <c r="A95" s="3">
        <v>55464</v>
      </c>
      <c r="B95" s="3">
        <v>2688</v>
      </c>
      <c r="C95" s="1" t="s">
        <v>195</v>
      </c>
      <c r="D95" s="1" t="s">
        <v>599</v>
      </c>
      <c r="E95" s="16">
        <f>VLOOKUP(A95,'Case 1'!A:W,23,FALSE)</f>
        <v>44770</v>
      </c>
      <c r="F95" s="16">
        <v>44897</v>
      </c>
      <c r="G95" s="17">
        <f t="shared" si="2"/>
        <v>127</v>
      </c>
      <c r="H95" t="str">
        <f t="shared" si="3"/>
        <v>No Heavy SAAS</v>
      </c>
      <c r="I95" t="str">
        <f>VLOOKUP(A95,'Case 1'!A:P,16,FALSE )</f>
        <v>Premium</v>
      </c>
      <c r="K95" s="3">
        <v>55470</v>
      </c>
    </row>
    <row r="96" spans="1:11" ht="14.4" x14ac:dyDescent="0.3">
      <c r="A96" s="3">
        <v>55464</v>
      </c>
      <c r="B96" s="3">
        <v>721</v>
      </c>
      <c r="C96" s="1" t="s">
        <v>1001</v>
      </c>
      <c r="D96" s="1" t="s">
        <v>1002</v>
      </c>
      <c r="E96" s="16">
        <f>VLOOKUP(A96,'Case 1'!A:W,23,FALSE)</f>
        <v>44770</v>
      </c>
      <c r="F96" s="16">
        <v>44897</v>
      </c>
      <c r="G96" s="17">
        <f t="shared" si="2"/>
        <v>127</v>
      </c>
      <c r="H96" t="str">
        <f t="shared" si="3"/>
        <v>No Heavy SAAS</v>
      </c>
      <c r="I96" t="str">
        <f>VLOOKUP(A96,'Case 1'!A:P,16,FALSE )</f>
        <v>Premium</v>
      </c>
      <c r="K96" s="3">
        <v>55505</v>
      </c>
    </row>
    <row r="97" spans="1:11" ht="14.4" x14ac:dyDescent="0.3">
      <c r="A97" s="3">
        <v>55465</v>
      </c>
      <c r="B97" s="3">
        <v>351</v>
      </c>
      <c r="C97" s="1" t="s">
        <v>182</v>
      </c>
      <c r="D97" s="1" t="s">
        <v>1013</v>
      </c>
      <c r="E97" s="16">
        <f>VLOOKUP(A97,'Case 1'!A:W,23,FALSE)</f>
        <v>44810</v>
      </c>
      <c r="F97" s="16">
        <v>44897</v>
      </c>
      <c r="G97" s="17">
        <f t="shared" si="2"/>
        <v>87</v>
      </c>
      <c r="H97" t="str">
        <f t="shared" si="3"/>
        <v>No Heavy SAAS</v>
      </c>
      <c r="I97" t="str">
        <f>VLOOKUP(A97,'Case 1'!A:P,16,FALSE )</f>
        <v>Advanced</v>
      </c>
      <c r="K97" s="3">
        <v>55506</v>
      </c>
    </row>
    <row r="98" spans="1:11" ht="14.4" x14ac:dyDescent="0.3">
      <c r="A98" s="3">
        <v>55470</v>
      </c>
      <c r="B98" s="3">
        <v>3583</v>
      </c>
      <c r="C98" s="1" t="s">
        <v>1017</v>
      </c>
      <c r="D98" s="1" t="s">
        <v>1018</v>
      </c>
      <c r="E98" s="16">
        <f>VLOOKUP(A98,'Case 1'!A:W,23,FALSE)</f>
        <v>44876</v>
      </c>
      <c r="F98" s="16">
        <v>44897</v>
      </c>
      <c r="G98" s="17">
        <f t="shared" si="2"/>
        <v>21</v>
      </c>
      <c r="H98" t="str">
        <f t="shared" si="3"/>
        <v>Heavy SAAS</v>
      </c>
      <c r="I98" t="str">
        <f>VLOOKUP(A98,'Case 1'!A:P,16,FALSE )</f>
        <v>Advanced</v>
      </c>
      <c r="K98" s="3">
        <v>55545</v>
      </c>
    </row>
    <row r="99" spans="1:11" ht="14.4" x14ac:dyDescent="0.3">
      <c r="A99" s="3">
        <v>55505</v>
      </c>
      <c r="B99" s="3">
        <v>4839</v>
      </c>
      <c r="C99" s="1" t="s">
        <v>326</v>
      </c>
      <c r="D99" s="1" t="s">
        <v>590</v>
      </c>
      <c r="E99" s="16">
        <f>VLOOKUP(A99,'Case 1'!A:W,23,FALSE)</f>
        <v>44607</v>
      </c>
      <c r="F99" s="16">
        <v>44897</v>
      </c>
      <c r="G99" s="17">
        <f t="shared" si="2"/>
        <v>290</v>
      </c>
      <c r="H99" t="str">
        <f t="shared" si="3"/>
        <v>No Heavy SAAS</v>
      </c>
      <c r="I99" t="str">
        <f>VLOOKUP(A99,'Case 1'!A:P,16,FALSE )</f>
        <v>Advanced</v>
      </c>
      <c r="K99" s="3">
        <v>55555</v>
      </c>
    </row>
    <row r="100" spans="1:11" ht="14.4" x14ac:dyDescent="0.3">
      <c r="A100" s="3">
        <v>55506</v>
      </c>
      <c r="B100" s="3">
        <v>0</v>
      </c>
      <c r="C100" s="1" t="s">
        <v>133</v>
      </c>
      <c r="D100" s="1" t="s">
        <v>134</v>
      </c>
      <c r="E100" s="16">
        <f>VLOOKUP(A100,'Case 1'!A:W,23,FALSE)</f>
        <v>44650</v>
      </c>
      <c r="F100" s="16">
        <v>44897</v>
      </c>
      <c r="G100" s="17">
        <f t="shared" si="2"/>
        <v>247</v>
      </c>
      <c r="H100" t="str">
        <f t="shared" si="3"/>
        <v>No Heavy SAAS</v>
      </c>
      <c r="I100" t="str">
        <f>VLOOKUP(A100,'Case 1'!A:P,16,FALSE )</f>
        <v>Starter</v>
      </c>
      <c r="K100" s="3">
        <v>55617</v>
      </c>
    </row>
    <row r="101" spans="1:11" ht="14.4" x14ac:dyDescent="0.3">
      <c r="A101" s="3">
        <v>55545</v>
      </c>
      <c r="B101" s="3">
        <v>1807</v>
      </c>
      <c r="C101" s="1" t="s">
        <v>952</v>
      </c>
      <c r="D101" s="1" t="s">
        <v>953</v>
      </c>
      <c r="E101" s="16">
        <f>VLOOKUP(A101,'Case 1'!A:W,23,FALSE)</f>
        <v>44896</v>
      </c>
      <c r="F101" s="16">
        <v>44897</v>
      </c>
      <c r="G101" s="17">
        <f t="shared" si="2"/>
        <v>1</v>
      </c>
      <c r="H101" t="str">
        <f t="shared" si="3"/>
        <v>Heavy SAAS</v>
      </c>
      <c r="I101" t="str">
        <f>VLOOKUP(A101,'Case 1'!A:P,16,FALSE )</f>
        <v>Premium</v>
      </c>
      <c r="K101" s="3">
        <v>55630</v>
      </c>
    </row>
    <row r="102" spans="1:11" ht="14.4" x14ac:dyDescent="0.3">
      <c r="A102" s="3">
        <v>55555</v>
      </c>
      <c r="B102" s="3">
        <v>19764</v>
      </c>
      <c r="C102" s="1" t="s">
        <v>594</v>
      </c>
      <c r="D102" s="1" t="s">
        <v>595</v>
      </c>
      <c r="E102" s="16">
        <f>VLOOKUP(A102,'Case 1'!A:W,23,FALSE)</f>
        <v>44859</v>
      </c>
      <c r="F102" s="16">
        <v>44897</v>
      </c>
      <c r="G102" s="17">
        <f t="shared" si="2"/>
        <v>38</v>
      </c>
      <c r="H102" t="str">
        <f t="shared" si="3"/>
        <v>No Heavy SAAS</v>
      </c>
      <c r="I102" t="str">
        <f>VLOOKUP(A102,'Case 1'!A:P,16,FALSE )</f>
        <v>Premium</v>
      </c>
      <c r="K102" s="3">
        <v>55644</v>
      </c>
    </row>
    <row r="103" spans="1:11" ht="14.4" x14ac:dyDescent="0.3">
      <c r="A103" s="3">
        <v>55617</v>
      </c>
      <c r="B103" s="3">
        <v>1499</v>
      </c>
      <c r="C103" s="1" t="s">
        <v>195</v>
      </c>
      <c r="D103" s="1" t="s">
        <v>1070</v>
      </c>
      <c r="E103" s="16">
        <f>VLOOKUP(A103,'Case 1'!A:W,23,FALSE)</f>
        <v>44627</v>
      </c>
      <c r="F103" s="16">
        <v>44897</v>
      </c>
      <c r="G103" s="17">
        <f t="shared" si="2"/>
        <v>270</v>
      </c>
      <c r="H103" t="str">
        <f t="shared" si="3"/>
        <v>No Heavy SAAS</v>
      </c>
      <c r="I103" t="str">
        <f>VLOOKUP(A103,'Case 1'!A:P,16,FALSE )</f>
        <v>Starter</v>
      </c>
      <c r="K103" s="3">
        <v>55646</v>
      </c>
    </row>
    <row r="104" spans="1:11" ht="14.4" x14ac:dyDescent="0.3">
      <c r="A104" s="3">
        <v>55630</v>
      </c>
      <c r="B104" s="3">
        <v>10104</v>
      </c>
      <c r="C104" s="1" t="s">
        <v>162</v>
      </c>
      <c r="D104" s="1" t="s">
        <v>163</v>
      </c>
      <c r="E104" s="16">
        <f>VLOOKUP(A104,'Case 1'!A:W,23,FALSE)</f>
        <v>44762</v>
      </c>
      <c r="F104" s="16">
        <v>44897</v>
      </c>
      <c r="G104" s="17">
        <f t="shared" si="2"/>
        <v>135</v>
      </c>
      <c r="H104" t="str">
        <f t="shared" si="3"/>
        <v>No Heavy SAAS</v>
      </c>
      <c r="I104" t="str">
        <f>VLOOKUP(A104,'Case 1'!A:P,16,FALSE )</f>
        <v>Starter</v>
      </c>
      <c r="K104" s="3">
        <v>55664</v>
      </c>
    </row>
    <row r="105" spans="1:11" ht="14.4" x14ac:dyDescent="0.3">
      <c r="A105" s="3">
        <v>55644</v>
      </c>
      <c r="B105" s="3">
        <v>10453</v>
      </c>
      <c r="C105" s="1" t="s">
        <v>617</v>
      </c>
      <c r="D105" s="1" t="s">
        <v>618</v>
      </c>
      <c r="E105" s="16">
        <f>VLOOKUP(A105,'Case 1'!A:W,23,FALSE)</f>
        <v>44849</v>
      </c>
      <c r="F105" s="16">
        <v>44897</v>
      </c>
      <c r="G105" s="17">
        <f t="shared" si="2"/>
        <v>48</v>
      </c>
      <c r="H105" t="str">
        <f t="shared" si="3"/>
        <v>No Heavy SAAS</v>
      </c>
      <c r="I105" t="str">
        <f>VLOOKUP(A105,'Case 1'!A:P,16,FALSE )</f>
        <v>Starter</v>
      </c>
      <c r="K105" s="3">
        <v>55665</v>
      </c>
    </row>
    <row r="106" spans="1:11" ht="14.4" x14ac:dyDescent="0.3">
      <c r="A106" s="3">
        <v>55646</v>
      </c>
      <c r="B106" s="3">
        <v>649</v>
      </c>
      <c r="C106" s="1" t="s">
        <v>195</v>
      </c>
      <c r="D106" s="1" t="s">
        <v>1080</v>
      </c>
      <c r="E106" s="16">
        <f>VLOOKUP(A106,'Case 1'!A:W,23,FALSE)</f>
        <v>44810</v>
      </c>
      <c r="F106" s="16">
        <v>44897</v>
      </c>
      <c r="G106" s="17">
        <f t="shared" si="2"/>
        <v>87</v>
      </c>
      <c r="H106" t="str">
        <f t="shared" si="3"/>
        <v>No Heavy SAAS</v>
      </c>
      <c r="I106" t="str">
        <f>VLOOKUP(A106,'Case 1'!A:P,16,FALSE )</f>
        <v>Starter</v>
      </c>
      <c r="K106" s="3">
        <v>55666</v>
      </c>
    </row>
    <row r="107" spans="1:11" ht="14.4" x14ac:dyDescent="0.3">
      <c r="A107" s="3">
        <v>55664</v>
      </c>
      <c r="B107" s="3">
        <v>42</v>
      </c>
      <c r="C107" s="1" t="s">
        <v>182</v>
      </c>
      <c r="D107" s="1" t="s">
        <v>1093</v>
      </c>
      <c r="E107" s="16">
        <f>VLOOKUP(A107,'Case 1'!A:W,23,FALSE)</f>
        <v>44802</v>
      </c>
      <c r="F107" s="16">
        <v>44897</v>
      </c>
      <c r="G107" s="17">
        <f t="shared" si="2"/>
        <v>95</v>
      </c>
      <c r="H107" t="str">
        <f t="shared" si="3"/>
        <v>No Heavy SAAS</v>
      </c>
      <c r="I107" t="str">
        <f>VLOOKUP(A107,'Case 1'!A:P,16,FALSE )</f>
        <v>Starter</v>
      </c>
      <c r="K107" s="3">
        <v>55754</v>
      </c>
    </row>
    <row r="108" spans="1:11" ht="14.4" x14ac:dyDescent="0.3">
      <c r="A108" s="3">
        <v>55665</v>
      </c>
      <c r="B108" s="3">
        <v>1131</v>
      </c>
      <c r="C108" s="1" t="s">
        <v>182</v>
      </c>
      <c r="D108" s="1" t="s">
        <v>1084</v>
      </c>
      <c r="E108" s="16">
        <f>VLOOKUP(A108,'Case 1'!A:W,23,FALSE)</f>
        <v>44752</v>
      </c>
      <c r="F108" s="16">
        <v>44897</v>
      </c>
      <c r="G108" s="17">
        <f t="shared" si="2"/>
        <v>145</v>
      </c>
      <c r="H108" t="str">
        <f t="shared" si="3"/>
        <v>No Heavy SAAS</v>
      </c>
      <c r="I108" t="str">
        <f>VLOOKUP(A108,'Case 1'!A:P,16,FALSE )</f>
        <v>Starter</v>
      </c>
      <c r="K108" s="3">
        <v>55767</v>
      </c>
    </row>
    <row r="109" spans="1:11" ht="14.4" x14ac:dyDescent="0.3">
      <c r="A109" s="3">
        <v>55666</v>
      </c>
      <c r="B109" s="3">
        <v>1379</v>
      </c>
      <c r="C109" s="1" t="s">
        <v>1089</v>
      </c>
      <c r="D109" s="1" t="s">
        <v>1090</v>
      </c>
      <c r="E109" s="16">
        <f>VLOOKUP(A109,'Case 1'!A:W,23,FALSE)</f>
        <v>44890</v>
      </c>
      <c r="F109" s="16">
        <v>44897</v>
      </c>
      <c r="G109" s="17">
        <f t="shared" si="2"/>
        <v>7</v>
      </c>
      <c r="H109" t="str">
        <f t="shared" si="3"/>
        <v>Heavy SAAS</v>
      </c>
      <c r="I109" t="str">
        <f>VLOOKUP(A109,'Case 1'!A:P,16,FALSE )</f>
        <v>Advanced</v>
      </c>
      <c r="K109" s="3">
        <v>56005</v>
      </c>
    </row>
    <row r="110" spans="1:11" ht="14.4" x14ac:dyDescent="0.3">
      <c r="A110" s="3">
        <v>55754</v>
      </c>
      <c r="B110" s="3">
        <v>6284</v>
      </c>
      <c r="C110" s="1" t="s">
        <v>1097</v>
      </c>
      <c r="D110" s="1" t="s">
        <v>1098</v>
      </c>
      <c r="E110" s="16">
        <f>VLOOKUP(A110,'Case 1'!A:W,23,FALSE)</f>
        <v>44756</v>
      </c>
      <c r="F110" s="16">
        <v>44897</v>
      </c>
      <c r="G110" s="17">
        <f t="shared" si="2"/>
        <v>141</v>
      </c>
      <c r="H110" t="str">
        <f t="shared" si="3"/>
        <v>No Heavy SAAS</v>
      </c>
      <c r="I110" t="str">
        <f>VLOOKUP(A110,'Case 1'!A:P,16,FALSE )</f>
        <v>Starter</v>
      </c>
      <c r="K110" s="3">
        <v>56115</v>
      </c>
    </row>
    <row r="111" spans="1:11" ht="14.4" x14ac:dyDescent="0.3">
      <c r="A111" s="3">
        <v>55767</v>
      </c>
      <c r="B111" s="3">
        <v>533</v>
      </c>
      <c r="C111" s="1" t="s">
        <v>524</v>
      </c>
      <c r="D111" s="1" t="s">
        <v>1101</v>
      </c>
      <c r="E111" s="16">
        <f>VLOOKUP(A111,'Case 1'!A:W,23,FALSE)</f>
        <v>44796</v>
      </c>
      <c r="F111" s="16">
        <v>44897</v>
      </c>
      <c r="G111" s="17">
        <f t="shared" si="2"/>
        <v>101</v>
      </c>
      <c r="H111" t="str">
        <f t="shared" si="3"/>
        <v>No Heavy SAAS</v>
      </c>
      <c r="I111" t="str">
        <f>VLOOKUP(A111,'Case 1'!A:P,16,FALSE )</f>
        <v>Starter</v>
      </c>
      <c r="K111" s="3">
        <v>56555</v>
      </c>
    </row>
    <row r="112" spans="1:11" ht="14.4" x14ac:dyDescent="0.3">
      <c r="A112" s="3">
        <v>56005</v>
      </c>
      <c r="B112" s="3">
        <v>14483</v>
      </c>
      <c r="C112" s="1" t="s">
        <v>195</v>
      </c>
      <c r="D112" s="1" t="s">
        <v>754</v>
      </c>
      <c r="E112" s="16">
        <f>VLOOKUP(A112,'Case 1'!A:W,23,FALSE)</f>
        <v>44817</v>
      </c>
      <c r="F112" s="16">
        <v>44897</v>
      </c>
      <c r="G112" s="17">
        <f t="shared" si="2"/>
        <v>80</v>
      </c>
      <c r="H112" t="str">
        <f t="shared" si="3"/>
        <v>No Heavy SAAS</v>
      </c>
      <c r="I112" t="str">
        <f>VLOOKUP(A112,'Case 1'!A:P,16,FALSE )</f>
        <v>Advanced</v>
      </c>
      <c r="K112" s="3">
        <v>56556</v>
      </c>
    </row>
    <row r="113" spans="1:11" ht="14.4" x14ac:dyDescent="0.3">
      <c r="A113" s="3">
        <v>56115</v>
      </c>
      <c r="B113" s="3">
        <v>2368</v>
      </c>
      <c r="C113" s="1" t="s">
        <v>759</v>
      </c>
      <c r="D113" s="1" t="s">
        <v>760</v>
      </c>
      <c r="E113" s="16">
        <f>VLOOKUP(A113,'Case 1'!A:W,23,FALSE)</f>
        <v>44659</v>
      </c>
      <c r="F113" s="16">
        <v>44897</v>
      </c>
      <c r="G113" s="17">
        <f t="shared" si="2"/>
        <v>238</v>
      </c>
      <c r="H113" t="str">
        <f t="shared" si="3"/>
        <v>No Heavy SAAS</v>
      </c>
      <c r="I113" t="str">
        <f>VLOOKUP(A113,'Case 1'!A:P,16,FALSE )</f>
        <v>Advanced</v>
      </c>
      <c r="K113" s="3">
        <v>56750</v>
      </c>
    </row>
    <row r="114" spans="1:11" ht="14.4" x14ac:dyDescent="0.3">
      <c r="A114" s="3">
        <v>56555</v>
      </c>
      <c r="B114" s="3">
        <v>7815</v>
      </c>
      <c r="C114" s="1" t="s">
        <v>76</v>
      </c>
      <c r="D114" s="1" t="s">
        <v>796</v>
      </c>
      <c r="E114" s="16">
        <f>VLOOKUP(A114,'Case 1'!A:W,23,FALSE)</f>
        <v>44770</v>
      </c>
      <c r="F114" s="16">
        <v>44897</v>
      </c>
      <c r="G114" s="17">
        <f t="shared" si="2"/>
        <v>127</v>
      </c>
      <c r="H114" t="str">
        <f t="shared" si="3"/>
        <v>No Heavy SAAS</v>
      </c>
      <c r="I114" t="str">
        <f>VLOOKUP(A114,'Case 1'!A:P,16,FALSE )</f>
        <v>Premium</v>
      </c>
      <c r="K114" s="3">
        <v>57004</v>
      </c>
    </row>
    <row r="115" spans="1:11" ht="14.4" x14ac:dyDescent="0.3">
      <c r="A115" s="3">
        <v>56556</v>
      </c>
      <c r="B115" s="3">
        <v>3173</v>
      </c>
      <c r="C115" s="1" t="s">
        <v>772</v>
      </c>
      <c r="D115" s="1" t="s">
        <v>773</v>
      </c>
      <c r="E115" s="16">
        <f>VLOOKUP(A115,'Case 1'!A:W,23,FALSE)</f>
        <v>44675</v>
      </c>
      <c r="F115" s="16">
        <v>44897</v>
      </c>
      <c r="G115" s="17">
        <f t="shared" si="2"/>
        <v>222</v>
      </c>
      <c r="H115" t="str">
        <f t="shared" si="3"/>
        <v>No Heavy SAAS</v>
      </c>
      <c r="I115" t="str">
        <f>VLOOKUP(A115,'Case 1'!A:P,16,FALSE )</f>
        <v>Advanced</v>
      </c>
      <c r="K115" s="3">
        <v>57044</v>
      </c>
    </row>
    <row r="116" spans="1:11" ht="14.4" x14ac:dyDescent="0.3">
      <c r="A116" s="3">
        <v>56750</v>
      </c>
      <c r="B116" s="3">
        <v>3205</v>
      </c>
      <c r="C116" s="1" t="s">
        <v>37</v>
      </c>
      <c r="D116" s="1" t="s">
        <v>148</v>
      </c>
      <c r="E116" s="16">
        <f>VLOOKUP(A116,'Case 1'!A:W,23,FALSE)</f>
        <v>44741</v>
      </c>
      <c r="F116" s="16">
        <v>44897</v>
      </c>
      <c r="G116" s="17">
        <f t="shared" si="2"/>
        <v>156</v>
      </c>
      <c r="H116" t="str">
        <f t="shared" si="3"/>
        <v>No Heavy SAAS</v>
      </c>
      <c r="I116" t="str">
        <f>VLOOKUP(A116,'Case 1'!A:P,16,FALSE )</f>
        <v>Starter</v>
      </c>
      <c r="K116" s="3">
        <v>57065</v>
      </c>
    </row>
    <row r="117" spans="1:11" ht="14.4" x14ac:dyDescent="0.3">
      <c r="A117" s="3">
        <v>57004</v>
      </c>
      <c r="B117" s="3">
        <v>39</v>
      </c>
      <c r="C117" s="1" t="s">
        <v>383</v>
      </c>
      <c r="D117" s="1" t="s">
        <v>799</v>
      </c>
      <c r="E117" s="16">
        <f>VLOOKUP(A117,'Case 1'!A:W,23,FALSE)</f>
        <v>44845</v>
      </c>
      <c r="F117" s="16">
        <v>44897</v>
      </c>
      <c r="G117" s="17">
        <f t="shared" si="2"/>
        <v>52</v>
      </c>
      <c r="H117" t="str">
        <f t="shared" si="3"/>
        <v>No Heavy SAAS</v>
      </c>
      <c r="I117" t="str">
        <f>VLOOKUP(A117,'Case 1'!A:P,16,FALSE )</f>
        <v>Premium</v>
      </c>
      <c r="K117" s="3">
        <v>57141</v>
      </c>
    </row>
    <row r="118" spans="1:11" ht="14.4" x14ac:dyDescent="0.3">
      <c r="A118" s="3">
        <v>57044</v>
      </c>
      <c r="B118" s="3">
        <v>4522</v>
      </c>
      <c r="C118" s="1" t="s">
        <v>804</v>
      </c>
      <c r="D118" s="1" t="s">
        <v>805</v>
      </c>
      <c r="E118" s="16">
        <f>VLOOKUP(A118,'Case 1'!A:W,23,FALSE)</f>
        <v>44584</v>
      </c>
      <c r="F118" s="16">
        <v>44897</v>
      </c>
      <c r="G118" s="17">
        <f t="shared" si="2"/>
        <v>313</v>
      </c>
      <c r="H118" t="str">
        <f t="shared" si="3"/>
        <v>No Heavy SAAS</v>
      </c>
      <c r="I118" t="str">
        <f>VLOOKUP(A118,'Case 1'!A:P,16,FALSE )</f>
        <v>Premium</v>
      </c>
      <c r="K118" s="3">
        <v>57444</v>
      </c>
    </row>
    <row r="119" spans="1:11" ht="14.4" x14ac:dyDescent="0.3">
      <c r="A119" s="3">
        <v>57065</v>
      </c>
      <c r="B119" s="3">
        <v>4299</v>
      </c>
      <c r="C119" s="1" t="s">
        <v>808</v>
      </c>
      <c r="D119" s="1" t="s">
        <v>809</v>
      </c>
      <c r="E119" s="16">
        <f>VLOOKUP(A119,'Case 1'!A:W,23,FALSE)</f>
        <v>44596</v>
      </c>
      <c r="F119" s="16">
        <v>44897</v>
      </c>
      <c r="G119" s="17">
        <f t="shared" si="2"/>
        <v>301</v>
      </c>
      <c r="H119" t="str">
        <f t="shared" si="3"/>
        <v>No Heavy SAAS</v>
      </c>
      <c r="I119" t="str">
        <f>VLOOKUP(A119,'Case 1'!A:P,16,FALSE )</f>
        <v>Premium</v>
      </c>
      <c r="K119" s="3">
        <v>57504</v>
      </c>
    </row>
    <row r="120" spans="1:11" ht="14.4" x14ac:dyDescent="0.3">
      <c r="A120" s="3">
        <v>57141</v>
      </c>
      <c r="B120" s="3">
        <v>1157</v>
      </c>
      <c r="C120" s="1" t="s">
        <v>812</v>
      </c>
      <c r="D120" s="1" t="s">
        <v>813</v>
      </c>
      <c r="E120" s="16">
        <f>VLOOKUP(A120,'Case 1'!A:W,23,FALSE)</f>
        <v>44769</v>
      </c>
      <c r="F120" s="16">
        <v>44897</v>
      </c>
      <c r="G120" s="17">
        <f t="shared" si="2"/>
        <v>128</v>
      </c>
      <c r="H120" t="str">
        <f t="shared" si="3"/>
        <v>No Heavy SAAS</v>
      </c>
      <c r="I120" t="str">
        <f>VLOOKUP(A120,'Case 1'!A:P,16,FALSE )</f>
        <v>Premium</v>
      </c>
      <c r="K120" s="3">
        <v>57544</v>
      </c>
    </row>
    <row r="121" spans="1:11" ht="14.4" x14ac:dyDescent="0.3">
      <c r="A121" s="3">
        <v>57444</v>
      </c>
      <c r="B121" s="3">
        <v>313</v>
      </c>
      <c r="C121" s="1" t="s">
        <v>838</v>
      </c>
      <c r="D121" s="1" t="s">
        <v>839</v>
      </c>
      <c r="E121" s="16">
        <f>VLOOKUP(A121,'Case 1'!A:W,23,FALSE)</f>
        <v>44808</v>
      </c>
      <c r="F121" s="16">
        <v>44897</v>
      </c>
      <c r="G121" s="17">
        <f t="shared" si="2"/>
        <v>89</v>
      </c>
      <c r="H121" t="str">
        <f t="shared" si="3"/>
        <v>No Heavy SAAS</v>
      </c>
      <c r="I121" t="str">
        <f>VLOOKUP(A121,'Case 1'!A:P,16,FALSE )</f>
        <v>Starter</v>
      </c>
      <c r="K121" s="3">
        <v>57615</v>
      </c>
    </row>
    <row r="122" spans="1:11" ht="14.4" x14ac:dyDescent="0.3">
      <c r="A122" s="3">
        <v>57504</v>
      </c>
      <c r="B122" s="3">
        <v>392</v>
      </c>
      <c r="C122" s="1" t="s">
        <v>843</v>
      </c>
      <c r="D122" s="1" t="s">
        <v>844</v>
      </c>
      <c r="E122" s="16">
        <f>VLOOKUP(A122,'Case 1'!A:W,23,FALSE)</f>
        <v>44711</v>
      </c>
      <c r="F122" s="16">
        <v>44897</v>
      </c>
      <c r="G122" s="17">
        <f t="shared" si="2"/>
        <v>186</v>
      </c>
      <c r="H122" t="str">
        <f t="shared" si="3"/>
        <v>No Heavy SAAS</v>
      </c>
      <c r="I122" t="str">
        <f>VLOOKUP(A122,'Case 1'!A:P,16,FALSE )</f>
        <v>Starter</v>
      </c>
      <c r="K122" s="3">
        <v>103050</v>
      </c>
    </row>
    <row r="123" spans="1:11" ht="14.4" x14ac:dyDescent="0.3">
      <c r="A123" s="3">
        <v>57544</v>
      </c>
      <c r="B123" s="3">
        <v>3642</v>
      </c>
      <c r="C123" s="1" t="s">
        <v>847</v>
      </c>
      <c r="D123" s="1" t="s">
        <v>848</v>
      </c>
      <c r="E123" s="16">
        <f>VLOOKUP(A123,'Case 1'!A:W,23,FALSE)</f>
        <v>44792</v>
      </c>
      <c r="F123" s="16">
        <v>44897</v>
      </c>
      <c r="G123" s="17">
        <f t="shared" si="2"/>
        <v>105</v>
      </c>
      <c r="H123" t="str">
        <f t="shared" si="3"/>
        <v>No Heavy SAAS</v>
      </c>
      <c r="I123" t="str">
        <f>VLOOKUP(A123,'Case 1'!A:P,16,FALSE )</f>
        <v>Advanced</v>
      </c>
      <c r="K123" s="3">
        <v>105505</v>
      </c>
    </row>
    <row r="124" spans="1:11" ht="14.4" x14ac:dyDescent="0.3">
      <c r="A124" s="3">
        <v>57615</v>
      </c>
      <c r="B124" s="3">
        <v>4184</v>
      </c>
      <c r="C124" s="1" t="s">
        <v>25</v>
      </c>
      <c r="D124" s="1" t="s">
        <v>835</v>
      </c>
      <c r="E124" s="16">
        <f>VLOOKUP(A124,'Case 1'!A:W,23,FALSE)</f>
        <v>44825</v>
      </c>
      <c r="F124" s="16">
        <v>44897</v>
      </c>
      <c r="G124" s="17">
        <f t="shared" si="2"/>
        <v>72</v>
      </c>
      <c r="H124" t="str">
        <f t="shared" si="3"/>
        <v>No Heavy SAAS</v>
      </c>
      <c r="I124" t="str">
        <f>VLOOKUP(A124,'Case 1'!A:P,16,FALSE )</f>
        <v>Premium</v>
      </c>
      <c r="K124" s="3">
        <v>115045</v>
      </c>
    </row>
    <row r="125" spans="1:11" ht="14.4" x14ac:dyDescent="0.3">
      <c r="A125" s="3">
        <v>103050</v>
      </c>
      <c r="B125" s="3">
        <v>83570</v>
      </c>
      <c r="C125" s="1" t="s">
        <v>37</v>
      </c>
      <c r="D125" s="1" t="s">
        <v>63</v>
      </c>
      <c r="E125" s="16">
        <f>VLOOKUP(A125,'Case 1'!A:W,23,FALSE)</f>
        <v>44903</v>
      </c>
      <c r="F125" s="16">
        <v>44897</v>
      </c>
      <c r="G125" s="17">
        <f t="shared" si="2"/>
        <v>-6</v>
      </c>
      <c r="H125" t="str">
        <f t="shared" si="3"/>
        <v>Heavy SAAS</v>
      </c>
      <c r="I125" t="str">
        <f>VLOOKUP(A125,'Case 1'!A:P,16,FALSE )</f>
        <v>Starter</v>
      </c>
      <c r="K125" s="3">
        <v>130515</v>
      </c>
    </row>
    <row r="126" spans="1:11" ht="14.4" x14ac:dyDescent="0.3">
      <c r="A126" s="3">
        <v>105505</v>
      </c>
      <c r="B126" s="3">
        <v>128</v>
      </c>
      <c r="C126" s="1" t="s">
        <v>232</v>
      </c>
      <c r="D126" s="1" t="s">
        <v>233</v>
      </c>
      <c r="E126" s="16">
        <f>VLOOKUP(A126,'Case 1'!A:W,23,FALSE)</f>
        <v>44669</v>
      </c>
      <c r="F126" s="16">
        <v>44897</v>
      </c>
      <c r="G126" s="17">
        <f t="shared" si="2"/>
        <v>228</v>
      </c>
      <c r="H126" t="str">
        <f t="shared" si="3"/>
        <v>No Heavy SAAS</v>
      </c>
      <c r="I126" t="str">
        <f>VLOOKUP(A126,'Case 1'!A:P,16,FALSE )</f>
        <v>Premium</v>
      </c>
      <c r="K126" s="3">
        <v>143001</v>
      </c>
    </row>
    <row r="127" spans="1:11" ht="14.4" x14ac:dyDescent="0.3">
      <c r="A127" s="3">
        <v>115045</v>
      </c>
      <c r="B127" s="3">
        <v>13040</v>
      </c>
      <c r="C127" s="1" t="s">
        <v>249</v>
      </c>
      <c r="D127" s="1" t="s">
        <v>250</v>
      </c>
      <c r="E127" s="16">
        <f>VLOOKUP(A127,'Case 1'!A:W,23,FALSE)</f>
        <v>44595</v>
      </c>
      <c r="F127" s="16">
        <v>44897</v>
      </c>
      <c r="G127" s="17">
        <f t="shared" si="2"/>
        <v>302</v>
      </c>
      <c r="H127" t="str">
        <f t="shared" si="3"/>
        <v>No Heavy SAAS</v>
      </c>
      <c r="I127" t="str">
        <f>VLOOKUP(A127,'Case 1'!A:P,16,FALSE )</f>
        <v>Starter</v>
      </c>
      <c r="K127" s="3">
        <v>144305</v>
      </c>
    </row>
    <row r="128" spans="1:11" ht="14.4" x14ac:dyDescent="0.3">
      <c r="A128" s="3">
        <v>130515</v>
      </c>
      <c r="B128" s="3">
        <v>8356</v>
      </c>
      <c r="C128" s="1" t="s">
        <v>311</v>
      </c>
      <c r="D128" s="1" t="s">
        <v>312</v>
      </c>
      <c r="E128" s="16">
        <f>VLOOKUP(A128,'Case 1'!A:W,23,FALSE)</f>
        <v>44841</v>
      </c>
      <c r="F128" s="16">
        <v>44897</v>
      </c>
      <c r="G128" s="17">
        <f t="shared" si="2"/>
        <v>56</v>
      </c>
      <c r="H128" t="str">
        <f t="shared" si="3"/>
        <v>No Heavy SAAS</v>
      </c>
      <c r="I128" t="str">
        <f>VLOOKUP(A128,'Case 1'!A:P,16,FALSE )</f>
        <v>Advanced</v>
      </c>
      <c r="K128" s="3">
        <v>144550</v>
      </c>
    </row>
    <row r="129" spans="1:11" ht="14.4" x14ac:dyDescent="0.3">
      <c r="A129" s="3">
        <v>143001</v>
      </c>
      <c r="B129" s="3">
        <v>6589</v>
      </c>
      <c r="C129" s="1" t="s">
        <v>285</v>
      </c>
      <c r="D129" s="1" t="s">
        <v>286</v>
      </c>
      <c r="E129" s="16">
        <f>VLOOKUP(A129,'Case 1'!A:W,23,FALSE)</f>
        <v>44571</v>
      </c>
      <c r="F129" s="16">
        <v>44897</v>
      </c>
      <c r="G129" s="17">
        <f t="shared" si="2"/>
        <v>326</v>
      </c>
      <c r="H129" t="str">
        <f t="shared" si="3"/>
        <v>No Heavy SAAS</v>
      </c>
      <c r="I129" t="str">
        <f>VLOOKUP(A129,'Case 1'!A:P,16,FALSE )</f>
        <v>Advanced</v>
      </c>
      <c r="K129" s="3">
        <v>145004</v>
      </c>
    </row>
    <row r="130" spans="1:11" ht="14.4" x14ac:dyDescent="0.3">
      <c r="A130" s="3">
        <v>144305</v>
      </c>
      <c r="B130" s="3">
        <v>14988</v>
      </c>
      <c r="C130" s="1" t="s">
        <v>295</v>
      </c>
      <c r="D130" s="1" t="s">
        <v>296</v>
      </c>
      <c r="E130" s="16">
        <f>VLOOKUP(A130,'Case 1'!A:W,23,FALSE)</f>
        <v>44668</v>
      </c>
      <c r="F130" s="16">
        <v>44897</v>
      </c>
      <c r="G130" s="17">
        <f t="shared" ref="G130:G193" si="4">F130-E130</f>
        <v>229</v>
      </c>
      <c r="H130" t="str">
        <f t="shared" ref="H130:H193" si="5">+IF(AND(B130&gt;40,G130&lt;30),"Heavy SAAS","No Heavy SAAS")</f>
        <v>No Heavy SAAS</v>
      </c>
      <c r="I130" t="str">
        <f>VLOOKUP(A130,'Case 1'!A:P,16,FALSE )</f>
        <v>Premium</v>
      </c>
      <c r="K130" s="3">
        <v>145056</v>
      </c>
    </row>
    <row r="131" spans="1:11" ht="14.4" x14ac:dyDescent="0.3">
      <c r="A131" s="3">
        <v>144550</v>
      </c>
      <c r="B131" s="3">
        <v>517</v>
      </c>
      <c r="C131" s="1" t="s">
        <v>195</v>
      </c>
      <c r="D131" s="1" t="s">
        <v>290</v>
      </c>
      <c r="E131" s="16">
        <f>VLOOKUP(A131,'Case 1'!A:W,23,FALSE)</f>
        <v>44594</v>
      </c>
      <c r="F131" s="16">
        <v>44897</v>
      </c>
      <c r="G131" s="17">
        <f t="shared" si="4"/>
        <v>303</v>
      </c>
      <c r="H131" t="str">
        <f t="shared" si="5"/>
        <v>No Heavy SAAS</v>
      </c>
      <c r="I131" t="str">
        <f>VLOOKUP(A131,'Case 1'!A:P,16,FALSE )</f>
        <v>Starter</v>
      </c>
      <c r="K131" s="3">
        <v>145307</v>
      </c>
    </row>
    <row r="132" spans="1:11" ht="14.4" x14ac:dyDescent="0.3">
      <c r="A132" s="3">
        <v>145004</v>
      </c>
      <c r="B132" s="3">
        <v>20065</v>
      </c>
      <c r="C132" s="1" t="s">
        <v>269</v>
      </c>
      <c r="D132" s="1" t="s">
        <v>270</v>
      </c>
      <c r="E132" s="16">
        <f>VLOOKUP(A132,'Case 1'!A:W,23,FALSE)</f>
        <v>44873</v>
      </c>
      <c r="F132" s="16">
        <v>44897</v>
      </c>
      <c r="G132" s="17">
        <f t="shared" si="4"/>
        <v>24</v>
      </c>
      <c r="H132" t="str">
        <f t="shared" si="5"/>
        <v>Heavy SAAS</v>
      </c>
      <c r="I132" t="str">
        <f>VLOOKUP(A132,'Case 1'!A:P,16,FALSE )</f>
        <v>Starter</v>
      </c>
      <c r="K132" s="3">
        <v>150514</v>
      </c>
    </row>
    <row r="133" spans="1:11" ht="14.4" x14ac:dyDescent="0.3">
      <c r="A133" s="3">
        <v>145004</v>
      </c>
      <c r="B133" s="3">
        <v>17438</v>
      </c>
      <c r="C133" s="1" t="s">
        <v>378</v>
      </c>
      <c r="D133" s="1" t="s">
        <v>379</v>
      </c>
      <c r="E133" s="16">
        <f>VLOOKUP(A133,'Case 1'!A:W,23,FALSE)</f>
        <v>44873</v>
      </c>
      <c r="F133" s="16">
        <v>44897</v>
      </c>
      <c r="G133" s="17">
        <f t="shared" si="4"/>
        <v>24</v>
      </c>
      <c r="H133" t="str">
        <f t="shared" si="5"/>
        <v>Heavy SAAS</v>
      </c>
      <c r="I133" t="str">
        <f>VLOOKUP(A133,'Case 1'!A:P,16,FALSE )</f>
        <v>Starter</v>
      </c>
      <c r="K133" s="3">
        <v>150530</v>
      </c>
    </row>
    <row r="134" spans="1:11" ht="14.4" x14ac:dyDescent="0.3">
      <c r="A134" s="3">
        <v>145056</v>
      </c>
      <c r="B134" s="3">
        <v>6160</v>
      </c>
      <c r="C134" s="1" t="s">
        <v>383</v>
      </c>
      <c r="D134" s="1" t="s">
        <v>384</v>
      </c>
      <c r="E134" s="16">
        <f>VLOOKUP(A134,'Case 1'!A:W,23,FALSE)</f>
        <v>44686</v>
      </c>
      <c r="F134" s="16">
        <v>44897</v>
      </c>
      <c r="G134" s="17">
        <f t="shared" si="4"/>
        <v>211</v>
      </c>
      <c r="H134" t="str">
        <f t="shared" si="5"/>
        <v>No Heavy SAAS</v>
      </c>
      <c r="I134" t="str">
        <f>VLOOKUP(A134,'Case 1'!A:P,16,FALSE )</f>
        <v>Advanced</v>
      </c>
      <c r="K134" s="3">
        <v>150571</v>
      </c>
    </row>
    <row r="135" spans="1:11" ht="14.4" x14ac:dyDescent="0.3">
      <c r="A135" s="3">
        <v>145307</v>
      </c>
      <c r="B135" s="3">
        <v>9598</v>
      </c>
      <c r="C135" s="1" t="s">
        <v>305</v>
      </c>
      <c r="D135" s="1" t="s">
        <v>306</v>
      </c>
      <c r="E135" s="16">
        <f>VLOOKUP(A135,'Case 1'!A:W,23,FALSE)</f>
        <v>44796</v>
      </c>
      <c r="F135" s="16">
        <v>44897</v>
      </c>
      <c r="G135" s="17">
        <f t="shared" si="4"/>
        <v>101</v>
      </c>
      <c r="H135" t="str">
        <f t="shared" si="5"/>
        <v>No Heavy SAAS</v>
      </c>
      <c r="I135" t="str">
        <f>VLOOKUP(A135,'Case 1'!A:P,16,FALSE )</f>
        <v>Premium</v>
      </c>
      <c r="K135" s="3">
        <v>154550</v>
      </c>
    </row>
    <row r="136" spans="1:11" ht="14.4" x14ac:dyDescent="0.3">
      <c r="A136" s="3">
        <v>150514</v>
      </c>
      <c r="B136" s="3">
        <v>14275</v>
      </c>
      <c r="C136" s="1" t="s">
        <v>37</v>
      </c>
      <c r="D136" s="1" t="s">
        <v>255</v>
      </c>
      <c r="E136" s="16">
        <f>VLOOKUP(A136,'Case 1'!A:W,23,FALSE)</f>
        <v>44566</v>
      </c>
      <c r="F136" s="16">
        <v>44897</v>
      </c>
      <c r="G136" s="17">
        <f t="shared" si="4"/>
        <v>331</v>
      </c>
      <c r="H136" t="str">
        <f t="shared" si="5"/>
        <v>No Heavy SAAS</v>
      </c>
      <c r="I136" t="str">
        <f>VLOOKUP(A136,'Case 1'!A:P,16,FALSE )</f>
        <v>Starter</v>
      </c>
      <c r="K136" s="3">
        <v>154630</v>
      </c>
    </row>
    <row r="137" spans="1:11" ht="14.4" x14ac:dyDescent="0.3">
      <c r="A137" s="3">
        <v>150530</v>
      </c>
      <c r="B137" s="3">
        <v>10771</v>
      </c>
      <c r="C137" s="1" t="s">
        <v>76</v>
      </c>
      <c r="D137" s="1" t="s">
        <v>77</v>
      </c>
      <c r="E137" s="16">
        <f>VLOOKUP(A137,'Case 1'!A:W,23,FALSE)</f>
        <v>44734</v>
      </c>
      <c r="F137" s="16">
        <v>44897</v>
      </c>
      <c r="G137" s="17">
        <f t="shared" si="4"/>
        <v>163</v>
      </c>
      <c r="H137" t="str">
        <f t="shared" si="5"/>
        <v>No Heavy SAAS</v>
      </c>
      <c r="I137" t="str">
        <f>VLOOKUP(A137,'Case 1'!A:P,16,FALSE )</f>
        <v>Premium</v>
      </c>
      <c r="K137" s="3">
        <v>155505</v>
      </c>
    </row>
    <row r="138" spans="1:11" ht="14.4" x14ac:dyDescent="0.3">
      <c r="A138" s="3">
        <v>150571</v>
      </c>
      <c r="B138" s="3">
        <v>55801</v>
      </c>
      <c r="C138" s="1" t="s">
        <v>258</v>
      </c>
      <c r="D138" s="1" t="s">
        <v>259</v>
      </c>
      <c r="E138" s="16">
        <f>VLOOKUP(A138,'Case 1'!A:W,23,FALSE)</f>
        <v>44903</v>
      </c>
      <c r="F138" s="16">
        <v>44897</v>
      </c>
      <c r="G138" s="17">
        <f t="shared" si="4"/>
        <v>-6</v>
      </c>
      <c r="H138" t="str">
        <f t="shared" si="5"/>
        <v>Heavy SAAS</v>
      </c>
      <c r="I138" t="str">
        <f>VLOOKUP(A138,'Case 1'!A:P,16,FALSE )</f>
        <v>Starter</v>
      </c>
      <c r="K138" s="3">
        <v>155550</v>
      </c>
    </row>
    <row r="139" spans="1:11" ht="14.4" x14ac:dyDescent="0.3">
      <c r="A139" s="3">
        <v>154550</v>
      </c>
      <c r="B139" s="3">
        <v>14650</v>
      </c>
      <c r="C139" s="1" t="s">
        <v>398</v>
      </c>
      <c r="D139" s="1" t="s">
        <v>399</v>
      </c>
      <c r="E139" s="16">
        <f>VLOOKUP(A139,'Case 1'!A:W,23,FALSE)</f>
        <v>44580</v>
      </c>
      <c r="F139" s="16">
        <v>44897</v>
      </c>
      <c r="G139" s="17">
        <f t="shared" si="4"/>
        <v>317</v>
      </c>
      <c r="H139" t="str">
        <f t="shared" si="5"/>
        <v>No Heavy SAAS</v>
      </c>
      <c r="I139" t="str">
        <f>VLOOKUP(A139,'Case 1'!A:P,16,FALSE )</f>
        <v>Premium</v>
      </c>
      <c r="K139" s="3">
        <v>161430</v>
      </c>
    </row>
    <row r="140" spans="1:11" ht="14.4" x14ac:dyDescent="0.3">
      <c r="A140" s="3">
        <v>154630</v>
      </c>
      <c r="B140" s="3">
        <v>18936</v>
      </c>
      <c r="C140" s="1" t="s">
        <v>408</v>
      </c>
      <c r="D140" s="1" t="s">
        <v>409</v>
      </c>
      <c r="E140" s="16">
        <f>VLOOKUP(A140,'Case 1'!A:W,23,FALSE)</f>
        <v>44847</v>
      </c>
      <c r="F140" s="16">
        <v>44897</v>
      </c>
      <c r="G140" s="17">
        <f t="shared" si="4"/>
        <v>50</v>
      </c>
      <c r="H140" t="str">
        <f t="shared" si="5"/>
        <v>No Heavy SAAS</v>
      </c>
      <c r="I140" t="str">
        <f>VLOOKUP(A140,'Case 1'!A:P,16,FALSE )</f>
        <v>Advanced</v>
      </c>
      <c r="K140" s="3">
        <v>165074</v>
      </c>
    </row>
    <row r="141" spans="1:11" ht="14.4" x14ac:dyDescent="0.3">
      <c r="A141" s="3">
        <v>155505</v>
      </c>
      <c r="B141" s="3">
        <v>31770</v>
      </c>
      <c r="C141" s="1" t="s">
        <v>427</v>
      </c>
      <c r="D141" s="1" t="s">
        <v>428</v>
      </c>
      <c r="E141" s="16">
        <f>VLOOKUP(A141,'Case 1'!A:W,23,FALSE)</f>
        <v>44903</v>
      </c>
      <c r="F141" s="16">
        <v>44897</v>
      </c>
      <c r="G141" s="17">
        <f t="shared" si="4"/>
        <v>-6</v>
      </c>
      <c r="H141" t="str">
        <f t="shared" si="5"/>
        <v>Heavy SAAS</v>
      </c>
      <c r="I141" t="str">
        <f>VLOOKUP(A141,'Case 1'!A:P,16,FALSE )</f>
        <v>Starter</v>
      </c>
      <c r="K141" s="3">
        <v>306507</v>
      </c>
    </row>
    <row r="142" spans="1:11" ht="14.4" x14ac:dyDescent="0.3">
      <c r="A142" s="3">
        <v>155550</v>
      </c>
      <c r="B142" s="3">
        <v>10657</v>
      </c>
      <c r="C142" s="1" t="s">
        <v>392</v>
      </c>
      <c r="D142" s="1" t="s">
        <v>393</v>
      </c>
      <c r="E142" s="16">
        <f>VLOOKUP(A142,'Case 1'!A:W,23,FALSE)</f>
        <v>44891</v>
      </c>
      <c r="F142" s="16">
        <v>44897</v>
      </c>
      <c r="G142" s="17">
        <f t="shared" si="4"/>
        <v>6</v>
      </c>
      <c r="H142" t="str">
        <f t="shared" si="5"/>
        <v>Heavy SAAS</v>
      </c>
      <c r="I142" t="str">
        <f>VLOOKUP(A142,'Case 1'!A:P,16,FALSE )</f>
        <v>Starter</v>
      </c>
      <c r="K142" s="3">
        <v>430450</v>
      </c>
    </row>
    <row r="143" spans="1:11" ht="14.4" x14ac:dyDescent="0.3">
      <c r="A143" s="3">
        <v>161430</v>
      </c>
      <c r="B143" s="3">
        <v>16982</v>
      </c>
      <c r="C143" s="1" t="s">
        <v>339</v>
      </c>
      <c r="D143" s="1" t="s">
        <v>340</v>
      </c>
      <c r="E143" s="16">
        <f>VLOOKUP(A143,'Case 1'!A:W,23,FALSE)</f>
        <v>44858</v>
      </c>
      <c r="F143" s="16">
        <v>44897</v>
      </c>
      <c r="G143" s="17">
        <f t="shared" si="4"/>
        <v>39</v>
      </c>
      <c r="H143" t="str">
        <f t="shared" si="5"/>
        <v>No Heavy SAAS</v>
      </c>
      <c r="I143" t="str">
        <f>VLOOKUP(A143,'Case 1'!A:P,16,FALSE )</f>
        <v>Advanced</v>
      </c>
      <c r="K143" s="3">
        <v>500141</v>
      </c>
    </row>
    <row r="144" spans="1:11" ht="14.4" x14ac:dyDescent="0.3">
      <c r="A144" s="3">
        <v>165074</v>
      </c>
      <c r="B144" s="3">
        <v>13286</v>
      </c>
      <c r="C144" s="1" t="s">
        <v>348</v>
      </c>
      <c r="D144" s="1" t="s">
        <v>349</v>
      </c>
      <c r="E144" s="16">
        <f>VLOOKUP(A144,'Case 1'!A:W,23,FALSE)</f>
        <v>44590</v>
      </c>
      <c r="F144" s="16">
        <v>44897</v>
      </c>
      <c r="G144" s="17">
        <f t="shared" si="4"/>
        <v>307</v>
      </c>
      <c r="H144" t="str">
        <f t="shared" si="5"/>
        <v>No Heavy SAAS</v>
      </c>
      <c r="I144" t="str">
        <f>VLOOKUP(A144,'Case 1'!A:P,16,FALSE )</f>
        <v>Premium</v>
      </c>
      <c r="K144" s="3">
        <v>500401</v>
      </c>
    </row>
    <row r="145" spans="1:11" ht="14.4" x14ac:dyDescent="0.3">
      <c r="A145" s="3">
        <v>306507</v>
      </c>
      <c r="B145" s="3">
        <v>15</v>
      </c>
      <c r="C145" s="1" t="s">
        <v>189</v>
      </c>
      <c r="D145" s="1" t="s">
        <v>190</v>
      </c>
      <c r="E145" s="16">
        <f>VLOOKUP(A145,'Case 1'!A:W,23,FALSE)</f>
        <v>44884</v>
      </c>
      <c r="F145" s="16">
        <v>44897</v>
      </c>
      <c r="G145" s="17">
        <f t="shared" si="4"/>
        <v>13</v>
      </c>
      <c r="H145" t="str">
        <f t="shared" si="5"/>
        <v>No Heavy SAAS</v>
      </c>
      <c r="I145" t="str">
        <f>VLOOKUP(A145,'Case 1'!A:P,16,FALSE )</f>
        <v>Premium</v>
      </c>
      <c r="K145" s="3">
        <v>500430</v>
      </c>
    </row>
    <row r="146" spans="1:11" ht="14.4" x14ac:dyDescent="0.3">
      <c r="A146" s="3">
        <v>430450</v>
      </c>
      <c r="B146" s="3">
        <v>25614</v>
      </c>
      <c r="C146" s="1" t="s">
        <v>177</v>
      </c>
      <c r="D146" s="1" t="s">
        <v>178</v>
      </c>
      <c r="E146" s="16">
        <f>VLOOKUP(A146,'Case 1'!A:W,23,FALSE)</f>
        <v>44875</v>
      </c>
      <c r="F146" s="16">
        <v>44897</v>
      </c>
      <c r="G146" s="17">
        <f t="shared" si="4"/>
        <v>22</v>
      </c>
      <c r="H146" t="str">
        <f t="shared" si="5"/>
        <v>Heavy SAAS</v>
      </c>
      <c r="I146" t="str">
        <f>VLOOKUP(A146,'Case 1'!A:P,16,FALSE )</f>
        <v>Premium</v>
      </c>
      <c r="K146" s="3">
        <v>500444</v>
      </c>
    </row>
    <row r="147" spans="1:11" ht="14.4" x14ac:dyDescent="0.3">
      <c r="A147" s="3">
        <v>500141</v>
      </c>
      <c r="B147" s="3">
        <v>4555</v>
      </c>
      <c r="C147" s="1" t="s">
        <v>37</v>
      </c>
      <c r="D147" s="1" t="s">
        <v>1127</v>
      </c>
      <c r="E147" s="16">
        <f>VLOOKUP(A147,'Case 1'!A:W,23,FALSE)</f>
        <v>44862</v>
      </c>
      <c r="F147" s="16">
        <v>44897</v>
      </c>
      <c r="G147" s="17">
        <f t="shared" si="4"/>
        <v>35</v>
      </c>
      <c r="H147" t="str">
        <f t="shared" si="5"/>
        <v>No Heavy SAAS</v>
      </c>
      <c r="I147" t="str">
        <f>VLOOKUP(A147,'Case 1'!A:P,16,FALSE )</f>
        <v>Premium</v>
      </c>
      <c r="K147" s="3">
        <v>500447</v>
      </c>
    </row>
    <row r="148" spans="1:11" ht="14.4" x14ac:dyDescent="0.3">
      <c r="A148" s="3">
        <v>500401</v>
      </c>
      <c r="B148" s="3">
        <v>795</v>
      </c>
      <c r="C148" s="1" t="s">
        <v>505</v>
      </c>
      <c r="D148" s="1" t="s">
        <v>1151</v>
      </c>
      <c r="E148" s="16">
        <f>VLOOKUP(A148,'Case 1'!A:W,23,FALSE)</f>
        <v>44646</v>
      </c>
      <c r="F148" s="16">
        <v>44897</v>
      </c>
      <c r="G148" s="17">
        <f t="shared" si="4"/>
        <v>251</v>
      </c>
      <c r="H148" t="str">
        <f t="shared" si="5"/>
        <v>No Heavy SAAS</v>
      </c>
      <c r="I148" t="str">
        <f>VLOOKUP(A148,'Case 1'!A:P,16,FALSE )</f>
        <v>Premium</v>
      </c>
      <c r="K148" s="3">
        <v>500450</v>
      </c>
    </row>
    <row r="149" spans="1:11" ht="14.4" x14ac:dyDescent="0.3">
      <c r="A149" s="3">
        <v>500430</v>
      </c>
      <c r="B149" s="3">
        <v>61100</v>
      </c>
      <c r="C149" s="1" t="s">
        <v>269</v>
      </c>
      <c r="D149" s="1" t="s">
        <v>440</v>
      </c>
      <c r="E149" s="16">
        <f>VLOOKUP(A149,'Case 1'!A:W,23,FALSE)</f>
        <v>44903</v>
      </c>
      <c r="F149" s="16">
        <v>44897</v>
      </c>
      <c r="G149" s="17">
        <f t="shared" si="4"/>
        <v>-6</v>
      </c>
      <c r="H149" t="str">
        <f t="shared" si="5"/>
        <v>Heavy SAAS</v>
      </c>
      <c r="I149" t="str">
        <f>VLOOKUP(A149,'Case 1'!A:P,16,FALSE )</f>
        <v>Advanced</v>
      </c>
      <c r="K149" s="3">
        <v>500457</v>
      </c>
    </row>
    <row r="150" spans="1:11" ht="14.4" x14ac:dyDescent="0.3">
      <c r="A150" s="3">
        <v>500444</v>
      </c>
      <c r="B150" s="3">
        <v>4874</v>
      </c>
      <c r="C150" s="1" t="s">
        <v>1198</v>
      </c>
      <c r="D150" s="1" t="s">
        <v>1199</v>
      </c>
      <c r="E150" s="16">
        <f>VLOOKUP(A150,'Case 1'!A:W,23,FALSE)</f>
        <v>44833</v>
      </c>
      <c r="F150" s="16">
        <v>44897</v>
      </c>
      <c r="G150" s="17">
        <f t="shared" si="4"/>
        <v>64</v>
      </c>
      <c r="H150" t="str">
        <f t="shared" si="5"/>
        <v>No Heavy SAAS</v>
      </c>
      <c r="I150" t="str">
        <f>VLOOKUP(A150,'Case 1'!A:P,16,FALSE )</f>
        <v>Premium</v>
      </c>
      <c r="K150" s="3">
        <v>500510</v>
      </c>
    </row>
    <row r="151" spans="1:11" ht="14.4" x14ac:dyDescent="0.3">
      <c r="A151" s="3">
        <v>500447</v>
      </c>
      <c r="B151" s="3">
        <v>805</v>
      </c>
      <c r="C151" s="1" t="s">
        <v>37</v>
      </c>
      <c r="D151" s="1" t="s">
        <v>1195</v>
      </c>
      <c r="E151" s="16">
        <f>VLOOKUP(A151,'Case 1'!A:W,23,FALSE)</f>
        <v>44840</v>
      </c>
      <c r="F151" s="16">
        <v>44897</v>
      </c>
      <c r="G151" s="17">
        <f t="shared" si="4"/>
        <v>57</v>
      </c>
      <c r="H151" t="str">
        <f t="shared" si="5"/>
        <v>No Heavy SAAS</v>
      </c>
      <c r="I151" t="str">
        <f>VLOOKUP(A151,'Case 1'!A:P,16,FALSE )</f>
        <v>Advanced</v>
      </c>
      <c r="K151" s="3">
        <v>500515</v>
      </c>
    </row>
    <row r="152" spans="1:11" ht="14.4" x14ac:dyDescent="0.3">
      <c r="A152" s="3">
        <v>500450</v>
      </c>
      <c r="B152" s="3">
        <v>42234</v>
      </c>
      <c r="C152" s="1" t="s">
        <v>168</v>
      </c>
      <c r="D152" s="1" t="s">
        <v>169</v>
      </c>
      <c r="E152" s="16">
        <f>VLOOKUP(A152,'Case 1'!A:W,23,FALSE)</f>
        <v>44903</v>
      </c>
      <c r="F152" s="16">
        <v>44897</v>
      </c>
      <c r="G152" s="17">
        <f t="shared" si="4"/>
        <v>-6</v>
      </c>
      <c r="H152" t="str">
        <f t="shared" si="5"/>
        <v>Heavy SAAS</v>
      </c>
      <c r="I152" t="str">
        <f>VLOOKUP(A152,'Case 1'!A:P,16,FALSE )</f>
        <v>Premium</v>
      </c>
      <c r="K152" s="3">
        <v>500547</v>
      </c>
    </row>
    <row r="153" spans="1:11" ht="14.4" x14ac:dyDescent="0.3">
      <c r="A153" s="3">
        <v>500457</v>
      </c>
      <c r="B153" s="3">
        <v>2438</v>
      </c>
      <c r="C153" s="1" t="s">
        <v>81</v>
      </c>
      <c r="D153" s="1" t="s">
        <v>1162</v>
      </c>
      <c r="E153" s="16">
        <f>VLOOKUP(A153,'Case 1'!A:W,23,FALSE)</f>
        <v>44686</v>
      </c>
      <c r="F153" s="16">
        <v>44897</v>
      </c>
      <c r="G153" s="17">
        <f t="shared" si="4"/>
        <v>211</v>
      </c>
      <c r="H153" t="str">
        <f t="shared" si="5"/>
        <v>No Heavy SAAS</v>
      </c>
      <c r="I153" t="str">
        <f>VLOOKUP(A153,'Case 1'!A:P,16,FALSE )</f>
        <v>Advanced</v>
      </c>
      <c r="K153" s="3">
        <v>500554</v>
      </c>
    </row>
    <row r="154" spans="1:11" ht="14.4" x14ac:dyDescent="0.3">
      <c r="A154" s="3">
        <v>500510</v>
      </c>
      <c r="B154" s="3">
        <v>191</v>
      </c>
      <c r="C154" s="1" t="s">
        <v>195</v>
      </c>
      <c r="D154" s="1" t="s">
        <v>1130</v>
      </c>
      <c r="E154" s="16">
        <f>VLOOKUP(A154,'Case 1'!A:W,23,FALSE)</f>
        <v>44860</v>
      </c>
      <c r="F154" s="16">
        <v>44897</v>
      </c>
      <c r="G154" s="17">
        <f t="shared" si="4"/>
        <v>37</v>
      </c>
      <c r="H154" t="str">
        <f t="shared" si="5"/>
        <v>No Heavy SAAS</v>
      </c>
      <c r="I154" t="str">
        <f>VLOOKUP(A154,'Case 1'!A:P,16,FALSE )</f>
        <v>Premium</v>
      </c>
      <c r="K154" s="3">
        <v>500571</v>
      </c>
    </row>
    <row r="155" spans="1:11" ht="14.4" x14ac:dyDescent="0.3">
      <c r="A155" s="3">
        <v>500515</v>
      </c>
      <c r="B155" s="3">
        <v>4486</v>
      </c>
      <c r="C155" s="1" t="s">
        <v>1135</v>
      </c>
      <c r="D155" s="1" t="s">
        <v>1136</v>
      </c>
      <c r="E155" s="16">
        <f>VLOOKUP(A155,'Case 1'!A:W,23,FALSE)</f>
        <v>44699</v>
      </c>
      <c r="F155" s="16">
        <v>44897</v>
      </c>
      <c r="G155" s="17">
        <f t="shared" si="4"/>
        <v>198</v>
      </c>
      <c r="H155" t="str">
        <f t="shared" si="5"/>
        <v>No Heavy SAAS</v>
      </c>
      <c r="I155" t="str">
        <f>VLOOKUP(A155,'Case 1'!A:P,16,FALSE )</f>
        <v>Starter</v>
      </c>
      <c r="K155" s="3">
        <v>500646</v>
      </c>
    </row>
    <row r="156" spans="1:11" ht="14.4" x14ac:dyDescent="0.3">
      <c r="A156" s="3">
        <v>500547</v>
      </c>
      <c r="B156" s="3">
        <v>2437</v>
      </c>
      <c r="C156" s="1" t="s">
        <v>1210</v>
      </c>
      <c r="D156" s="1" t="s">
        <v>1211</v>
      </c>
      <c r="E156" s="16">
        <f>VLOOKUP(A156,'Case 1'!A:W,23,FALSE)</f>
        <v>44856</v>
      </c>
      <c r="F156" s="16">
        <v>44897</v>
      </c>
      <c r="G156" s="17">
        <f t="shared" si="4"/>
        <v>41</v>
      </c>
      <c r="H156" t="str">
        <f t="shared" si="5"/>
        <v>No Heavy SAAS</v>
      </c>
      <c r="I156" t="str">
        <f>VLOOKUP(A156,'Case 1'!A:P,16,FALSE )</f>
        <v>Starter</v>
      </c>
      <c r="K156" s="3">
        <v>500655</v>
      </c>
    </row>
    <row r="157" spans="1:11" ht="14.4" x14ac:dyDescent="0.3">
      <c r="A157" s="3">
        <v>500554</v>
      </c>
      <c r="B157" s="3">
        <v>5575</v>
      </c>
      <c r="C157" s="1" t="s">
        <v>1202</v>
      </c>
      <c r="D157" s="1" t="s">
        <v>1203</v>
      </c>
      <c r="E157" s="16">
        <f>VLOOKUP(A157,'Case 1'!A:W,23,FALSE)</f>
        <v>44826</v>
      </c>
      <c r="F157" s="16">
        <v>44897</v>
      </c>
      <c r="G157" s="17">
        <f t="shared" si="4"/>
        <v>71</v>
      </c>
      <c r="H157" t="str">
        <f t="shared" si="5"/>
        <v>No Heavy SAAS</v>
      </c>
      <c r="I157" t="str">
        <f>VLOOKUP(A157,'Case 1'!A:P,16,FALSE )</f>
        <v>Starter</v>
      </c>
      <c r="K157" s="3">
        <v>500667</v>
      </c>
    </row>
    <row r="158" spans="1:11" ht="14.4" x14ac:dyDescent="0.3">
      <c r="A158" s="3">
        <v>500571</v>
      </c>
      <c r="B158" s="3">
        <v>8257</v>
      </c>
      <c r="C158" s="1" t="s">
        <v>1140</v>
      </c>
      <c r="D158" s="1" t="s">
        <v>1141</v>
      </c>
      <c r="E158" s="16">
        <f>VLOOKUP(A158,'Case 1'!A:W,23,FALSE)</f>
        <v>44698</v>
      </c>
      <c r="F158" s="16">
        <v>44897</v>
      </c>
      <c r="G158" s="17">
        <f t="shared" si="4"/>
        <v>199</v>
      </c>
      <c r="H158" t="str">
        <f t="shared" si="5"/>
        <v>No Heavy SAAS</v>
      </c>
      <c r="I158" t="str">
        <f>VLOOKUP(A158,'Case 1'!A:P,16,FALSE )</f>
        <v>Advanced</v>
      </c>
      <c r="K158" s="3">
        <v>501004</v>
      </c>
    </row>
    <row r="159" spans="1:11" ht="14.4" x14ac:dyDescent="0.3">
      <c r="A159" s="3">
        <v>500646</v>
      </c>
      <c r="B159" s="3">
        <v>624</v>
      </c>
      <c r="C159" s="1" t="s">
        <v>37</v>
      </c>
      <c r="D159" s="1" t="s">
        <v>1180</v>
      </c>
      <c r="E159" s="16">
        <f>VLOOKUP(A159,'Case 1'!A:W,23,FALSE)</f>
        <v>44845</v>
      </c>
      <c r="F159" s="16">
        <v>44897</v>
      </c>
      <c r="G159" s="17">
        <f t="shared" si="4"/>
        <v>52</v>
      </c>
      <c r="H159" t="str">
        <f t="shared" si="5"/>
        <v>No Heavy SAAS</v>
      </c>
      <c r="I159" t="str">
        <f>VLOOKUP(A159,'Case 1'!A:P,16,FALSE )</f>
        <v>Advanced</v>
      </c>
      <c r="K159" s="3">
        <v>501160</v>
      </c>
    </row>
    <row r="160" spans="1:11" ht="14.4" x14ac:dyDescent="0.3">
      <c r="A160" s="3">
        <v>500655</v>
      </c>
      <c r="B160" s="3">
        <v>2964</v>
      </c>
      <c r="C160" s="1" t="s">
        <v>1183</v>
      </c>
      <c r="D160" s="1" t="s">
        <v>1184</v>
      </c>
      <c r="E160" s="16">
        <f>VLOOKUP(A160,'Case 1'!A:W,23,FALSE)</f>
        <v>44853</v>
      </c>
      <c r="F160" s="16">
        <v>44897</v>
      </c>
      <c r="G160" s="17">
        <f t="shared" si="4"/>
        <v>44</v>
      </c>
      <c r="H160" t="str">
        <f t="shared" si="5"/>
        <v>No Heavy SAAS</v>
      </c>
      <c r="I160" t="str">
        <f>VLOOKUP(A160,'Case 1'!A:P,16,FALSE )</f>
        <v>Premium</v>
      </c>
      <c r="K160" s="3">
        <v>501416</v>
      </c>
    </row>
    <row r="161" spans="1:11" ht="14.4" x14ac:dyDescent="0.3">
      <c r="A161" s="3">
        <v>500667</v>
      </c>
      <c r="B161" s="3">
        <v>210</v>
      </c>
      <c r="C161" s="1" t="s">
        <v>1176</v>
      </c>
      <c r="D161" s="1" t="s">
        <v>1177</v>
      </c>
      <c r="E161" s="16">
        <f>VLOOKUP(A161,'Case 1'!A:W,23,FALSE)</f>
        <v>44778</v>
      </c>
      <c r="F161" s="16">
        <v>44897</v>
      </c>
      <c r="G161" s="17">
        <f t="shared" si="4"/>
        <v>119</v>
      </c>
      <c r="H161" t="str">
        <f t="shared" si="5"/>
        <v>No Heavy SAAS</v>
      </c>
      <c r="I161" t="str">
        <f>VLOOKUP(A161,'Case 1'!A:P,16,FALSE )</f>
        <v>Premium</v>
      </c>
      <c r="K161" s="3">
        <v>501447</v>
      </c>
    </row>
    <row r="162" spans="1:11" ht="14.4" x14ac:dyDescent="0.3">
      <c r="A162" s="3">
        <v>501004</v>
      </c>
      <c r="B162" s="3">
        <v>2729</v>
      </c>
      <c r="C162" s="1" t="s">
        <v>1220</v>
      </c>
      <c r="D162" s="1" t="s">
        <v>1221</v>
      </c>
      <c r="E162" s="16">
        <f>VLOOKUP(A162,'Case 1'!A:W,23,FALSE)</f>
        <v>44867</v>
      </c>
      <c r="F162" s="16">
        <v>44897</v>
      </c>
      <c r="G162" s="17">
        <f t="shared" si="4"/>
        <v>30</v>
      </c>
      <c r="H162" t="str">
        <f t="shared" si="5"/>
        <v>No Heavy SAAS</v>
      </c>
      <c r="I162" t="str">
        <f>VLOOKUP(A162,'Case 1'!A:P,16,FALSE )</f>
        <v>Premium</v>
      </c>
      <c r="K162" s="3">
        <v>501464</v>
      </c>
    </row>
    <row r="163" spans="1:11" ht="14.4" x14ac:dyDescent="0.3">
      <c r="A163" s="3">
        <v>501160</v>
      </c>
      <c r="B163" s="3">
        <v>5278</v>
      </c>
      <c r="C163" s="1" t="s">
        <v>1240</v>
      </c>
      <c r="D163" s="1" t="s">
        <v>1241</v>
      </c>
      <c r="E163" s="16">
        <f>VLOOKUP(A163,'Case 1'!A:W,23,FALSE)</f>
        <v>44821</v>
      </c>
      <c r="F163" s="16">
        <v>44897</v>
      </c>
      <c r="G163" s="17">
        <f t="shared" si="4"/>
        <v>76</v>
      </c>
      <c r="H163" t="str">
        <f t="shared" si="5"/>
        <v>No Heavy SAAS</v>
      </c>
      <c r="I163" t="str">
        <f>VLOOKUP(A163,'Case 1'!A:P,16,FALSE )</f>
        <v>Advanced</v>
      </c>
      <c r="K163" s="3">
        <v>501545</v>
      </c>
    </row>
    <row r="164" spans="1:11" ht="14.4" x14ac:dyDescent="0.3">
      <c r="A164" s="3">
        <v>501416</v>
      </c>
      <c r="B164" s="3">
        <v>2114</v>
      </c>
      <c r="C164" s="1" t="s">
        <v>895</v>
      </c>
      <c r="D164" s="1" t="s">
        <v>1258</v>
      </c>
      <c r="E164" s="16">
        <f>VLOOKUP(A164,'Case 1'!A:W,23,FALSE)</f>
        <v>44863</v>
      </c>
      <c r="F164" s="16">
        <v>44897</v>
      </c>
      <c r="G164" s="17">
        <f t="shared" si="4"/>
        <v>34</v>
      </c>
      <c r="H164" t="str">
        <f t="shared" si="5"/>
        <v>No Heavy SAAS</v>
      </c>
      <c r="I164" t="str">
        <f>VLOOKUP(A164,'Case 1'!A:P,16,FALSE )</f>
        <v>Advanced</v>
      </c>
      <c r="K164" s="3">
        <v>501547</v>
      </c>
    </row>
    <row r="165" spans="1:11" ht="14.4" x14ac:dyDescent="0.3">
      <c r="A165" s="3">
        <v>501447</v>
      </c>
      <c r="B165" s="3">
        <v>3734</v>
      </c>
      <c r="C165" s="1" t="s">
        <v>1266</v>
      </c>
      <c r="D165" s="1" t="s">
        <v>1267</v>
      </c>
      <c r="E165" s="16">
        <f>VLOOKUP(A165,'Case 1'!A:W,23,FALSE)</f>
        <v>44812</v>
      </c>
      <c r="F165" s="16">
        <v>44897</v>
      </c>
      <c r="G165" s="17">
        <f t="shared" si="4"/>
        <v>85</v>
      </c>
      <c r="H165" t="str">
        <f t="shared" si="5"/>
        <v>No Heavy SAAS</v>
      </c>
      <c r="I165" t="str">
        <f>VLOOKUP(A165,'Case 1'!A:P,16,FALSE )</f>
        <v>Advanced</v>
      </c>
      <c r="K165" s="3">
        <v>501550</v>
      </c>
    </row>
    <row r="166" spans="1:11" ht="14.4" x14ac:dyDescent="0.3">
      <c r="A166" s="3">
        <v>501464</v>
      </c>
      <c r="B166" s="3">
        <v>1017</v>
      </c>
      <c r="C166" s="1" t="s">
        <v>25</v>
      </c>
      <c r="D166" s="1" t="s">
        <v>1305</v>
      </c>
      <c r="E166" s="16">
        <f>VLOOKUP(A166,'Case 1'!A:W,23,FALSE)</f>
        <v>44893</v>
      </c>
      <c r="F166" s="16">
        <v>44897</v>
      </c>
      <c r="G166" s="17">
        <f t="shared" si="4"/>
        <v>4</v>
      </c>
      <c r="H166" t="str">
        <f t="shared" si="5"/>
        <v>Heavy SAAS</v>
      </c>
      <c r="I166" t="str">
        <f>VLOOKUP(A166,'Case 1'!A:P,16,FALSE )</f>
        <v>Starter</v>
      </c>
      <c r="K166" s="3">
        <v>501674</v>
      </c>
    </row>
    <row r="167" spans="1:11" ht="14.4" x14ac:dyDescent="0.3">
      <c r="A167" s="3">
        <v>501545</v>
      </c>
      <c r="B167" s="3">
        <v>4961</v>
      </c>
      <c r="C167" s="1" t="s">
        <v>1244</v>
      </c>
      <c r="D167" s="1" t="s">
        <v>1245</v>
      </c>
      <c r="E167" s="16">
        <f>VLOOKUP(A167,'Case 1'!A:W,23,FALSE)</f>
        <v>44888</v>
      </c>
      <c r="F167" s="16">
        <v>44897</v>
      </c>
      <c r="G167" s="17">
        <f t="shared" si="4"/>
        <v>9</v>
      </c>
      <c r="H167" t="str">
        <f t="shared" si="5"/>
        <v>Heavy SAAS</v>
      </c>
      <c r="I167" t="str">
        <f>VLOOKUP(A167,'Case 1'!A:P,16,FALSE )</f>
        <v>Starter</v>
      </c>
      <c r="K167" s="3">
        <v>501757</v>
      </c>
    </row>
    <row r="168" spans="1:11" ht="14.4" x14ac:dyDescent="0.3">
      <c r="A168" s="3">
        <v>501547</v>
      </c>
      <c r="B168" s="3">
        <v>2598</v>
      </c>
      <c r="C168" s="1" t="s">
        <v>465</v>
      </c>
      <c r="D168" s="1" t="s">
        <v>1250</v>
      </c>
      <c r="E168" s="16">
        <f>VLOOKUP(A168,'Case 1'!A:W,23,FALSE)</f>
        <v>44874</v>
      </c>
      <c r="F168" s="16">
        <v>44897</v>
      </c>
      <c r="G168" s="17">
        <f t="shared" si="4"/>
        <v>23</v>
      </c>
      <c r="H168" t="str">
        <f t="shared" si="5"/>
        <v>Heavy SAAS</v>
      </c>
      <c r="I168" t="str">
        <f>VLOOKUP(A168,'Case 1'!A:P,16,FALSE )</f>
        <v>Advanced</v>
      </c>
      <c r="K168" s="3">
        <v>501771</v>
      </c>
    </row>
    <row r="169" spans="1:11" ht="14.4" x14ac:dyDescent="0.3">
      <c r="A169" s="3">
        <v>501550</v>
      </c>
      <c r="B169" s="3">
        <v>2013</v>
      </c>
      <c r="C169" s="1" t="s">
        <v>1309</v>
      </c>
      <c r="D169" s="1" t="s">
        <v>1310</v>
      </c>
      <c r="E169" s="16">
        <f>VLOOKUP(A169,'Case 1'!A:W,23,FALSE)</f>
        <v>44876</v>
      </c>
      <c r="F169" s="16">
        <v>44897</v>
      </c>
      <c r="G169" s="17">
        <f t="shared" si="4"/>
        <v>21</v>
      </c>
      <c r="H169" t="str">
        <f t="shared" si="5"/>
        <v>Heavy SAAS</v>
      </c>
      <c r="I169" t="str">
        <f>VLOOKUP(A169,'Case 1'!A:P,16,FALSE )</f>
        <v>Advanced</v>
      </c>
      <c r="K169" s="3">
        <v>503055</v>
      </c>
    </row>
    <row r="170" spans="1:11" ht="14.4" x14ac:dyDescent="0.3">
      <c r="A170" s="3">
        <v>501674</v>
      </c>
      <c r="B170" s="3">
        <v>2130</v>
      </c>
      <c r="C170" s="1" t="s">
        <v>1280</v>
      </c>
      <c r="D170" s="1" t="s">
        <v>1281</v>
      </c>
      <c r="E170" s="16">
        <f>VLOOKUP(A170,'Case 1'!A:W,23,FALSE)</f>
        <v>44843</v>
      </c>
      <c r="F170" s="16">
        <v>44897</v>
      </c>
      <c r="G170" s="17">
        <f t="shared" si="4"/>
        <v>54</v>
      </c>
      <c r="H170" t="str">
        <f t="shared" si="5"/>
        <v>No Heavy SAAS</v>
      </c>
      <c r="I170" t="str">
        <f>VLOOKUP(A170,'Case 1'!A:P,16,FALSE )</f>
        <v>Starter</v>
      </c>
      <c r="K170" s="3">
        <v>503065</v>
      </c>
    </row>
    <row r="171" spans="1:11" ht="14.4" x14ac:dyDescent="0.3">
      <c r="A171" s="3">
        <v>501757</v>
      </c>
      <c r="B171" s="3">
        <v>2115</v>
      </c>
      <c r="C171" s="1" t="s">
        <v>1286</v>
      </c>
      <c r="D171" s="1" t="s">
        <v>1287</v>
      </c>
      <c r="E171" s="16">
        <f>VLOOKUP(A171,'Case 1'!A:W,23,FALSE)</f>
        <v>44868</v>
      </c>
      <c r="F171" s="16">
        <v>44897</v>
      </c>
      <c r="G171" s="17">
        <f t="shared" si="4"/>
        <v>29</v>
      </c>
      <c r="H171" t="str">
        <f t="shared" si="5"/>
        <v>Heavy SAAS</v>
      </c>
      <c r="I171" t="str">
        <f>VLOOKUP(A171,'Case 1'!A:P,16,FALSE )</f>
        <v>Starter</v>
      </c>
      <c r="K171" s="3">
        <v>504054</v>
      </c>
    </row>
    <row r="172" spans="1:11" ht="14.4" x14ac:dyDescent="0.3">
      <c r="A172" s="3">
        <v>501771</v>
      </c>
      <c r="B172" s="3">
        <v>5896</v>
      </c>
      <c r="C172" s="1" t="s">
        <v>1291</v>
      </c>
      <c r="D172" s="1" t="s">
        <v>1292</v>
      </c>
      <c r="E172" s="16">
        <f>VLOOKUP(A172,'Case 1'!A:W,23,FALSE)</f>
        <v>44834</v>
      </c>
      <c r="F172" s="16">
        <v>44897</v>
      </c>
      <c r="G172" s="17">
        <f t="shared" si="4"/>
        <v>63</v>
      </c>
      <c r="H172" t="str">
        <f t="shared" si="5"/>
        <v>No Heavy SAAS</v>
      </c>
      <c r="I172" t="str">
        <f>VLOOKUP(A172,'Case 1'!A:P,16,FALSE )</f>
        <v>Advanced</v>
      </c>
      <c r="K172" s="3">
        <v>504404</v>
      </c>
    </row>
    <row r="173" spans="1:11" ht="14.4" x14ac:dyDescent="0.3">
      <c r="A173" s="3">
        <v>503055</v>
      </c>
      <c r="B173" s="3">
        <v>21572</v>
      </c>
      <c r="C173" s="1" t="s">
        <v>451</v>
      </c>
      <c r="D173" s="1" t="s">
        <v>452</v>
      </c>
      <c r="E173" s="16">
        <f>VLOOKUP(A173,'Case 1'!A:W,23,FALSE)</f>
        <v>44869</v>
      </c>
      <c r="F173" s="16">
        <v>44897</v>
      </c>
      <c r="G173" s="17">
        <f t="shared" si="4"/>
        <v>28</v>
      </c>
      <c r="H173" t="str">
        <f t="shared" si="5"/>
        <v>Heavy SAAS</v>
      </c>
      <c r="I173" t="str">
        <f>VLOOKUP(A173,'Case 1'!A:P,16,FALSE )</f>
        <v>Premium</v>
      </c>
      <c r="K173" s="3">
        <v>504451</v>
      </c>
    </row>
    <row r="174" spans="1:11" ht="14.4" x14ac:dyDescent="0.3">
      <c r="A174" s="3">
        <v>503055</v>
      </c>
      <c r="B174" s="3">
        <v>15111</v>
      </c>
      <c r="C174" s="1" t="s">
        <v>465</v>
      </c>
      <c r="D174" s="1" t="s">
        <v>466</v>
      </c>
      <c r="E174" s="16">
        <f>VLOOKUP(A174,'Case 1'!A:W,23,FALSE)</f>
        <v>44869</v>
      </c>
      <c r="F174" s="16">
        <v>44897</v>
      </c>
      <c r="G174" s="17">
        <f t="shared" si="4"/>
        <v>28</v>
      </c>
      <c r="H174" t="str">
        <f t="shared" si="5"/>
        <v>Heavy SAAS</v>
      </c>
      <c r="I174" t="str">
        <f>VLOOKUP(A174,'Case 1'!A:P,16,FALSE )</f>
        <v>Premium</v>
      </c>
      <c r="K174" s="3">
        <v>504455</v>
      </c>
    </row>
    <row r="175" spans="1:11" ht="14.4" x14ac:dyDescent="0.3">
      <c r="A175" s="3">
        <v>503065</v>
      </c>
      <c r="B175" s="3">
        <v>40834</v>
      </c>
      <c r="C175" s="1" t="s">
        <v>460</v>
      </c>
      <c r="D175" s="1" t="s">
        <v>461</v>
      </c>
      <c r="E175" s="16">
        <f>VLOOKUP(A175,'Case 1'!A:W,23,FALSE)</f>
        <v>44903</v>
      </c>
      <c r="F175" s="16">
        <v>44897</v>
      </c>
      <c r="G175" s="17">
        <f t="shared" si="4"/>
        <v>-6</v>
      </c>
      <c r="H175" t="str">
        <f t="shared" si="5"/>
        <v>Heavy SAAS</v>
      </c>
      <c r="I175" t="str">
        <f>VLOOKUP(A175,'Case 1'!A:P,16,FALSE )</f>
        <v>Starter</v>
      </c>
      <c r="K175" s="3">
        <v>504464</v>
      </c>
    </row>
    <row r="176" spans="1:11" ht="14.4" x14ac:dyDescent="0.3">
      <c r="A176" s="3">
        <v>504054</v>
      </c>
      <c r="B176" s="3">
        <v>667</v>
      </c>
      <c r="C176" s="1" t="s">
        <v>1495</v>
      </c>
      <c r="D176" s="1" t="s">
        <v>1496</v>
      </c>
      <c r="E176" s="16">
        <f>VLOOKUP(A176,'Case 1'!A:W,23,FALSE)</f>
        <v>44874</v>
      </c>
      <c r="F176" s="16">
        <v>44897</v>
      </c>
      <c r="G176" s="17">
        <f t="shared" si="4"/>
        <v>23</v>
      </c>
      <c r="H176" t="str">
        <f t="shared" si="5"/>
        <v>Heavy SAAS</v>
      </c>
      <c r="I176" t="str">
        <f>VLOOKUP(A176,'Case 1'!A:P,16,FALSE )</f>
        <v>Premium</v>
      </c>
      <c r="K176" s="3">
        <v>504475</v>
      </c>
    </row>
    <row r="177" spans="1:11" ht="14.4" x14ac:dyDescent="0.3">
      <c r="A177" s="3">
        <v>504404</v>
      </c>
      <c r="B177" s="3">
        <v>166</v>
      </c>
      <c r="C177" s="1" t="s">
        <v>631</v>
      </c>
      <c r="D177" s="1" t="s">
        <v>1547</v>
      </c>
      <c r="E177" s="16">
        <f>VLOOKUP(A177,'Case 1'!A:W,23,FALSE)</f>
        <v>44842</v>
      </c>
      <c r="F177" s="16">
        <v>44897</v>
      </c>
      <c r="G177" s="17">
        <f t="shared" si="4"/>
        <v>55</v>
      </c>
      <c r="H177" t="str">
        <f t="shared" si="5"/>
        <v>No Heavy SAAS</v>
      </c>
      <c r="I177" t="str">
        <f>VLOOKUP(A177,'Case 1'!A:P,16,FALSE )</f>
        <v>Starter</v>
      </c>
      <c r="K177" s="3">
        <v>504540</v>
      </c>
    </row>
    <row r="178" spans="1:11" ht="14.4" x14ac:dyDescent="0.3">
      <c r="A178" s="3">
        <v>504451</v>
      </c>
      <c r="B178" s="3">
        <v>2</v>
      </c>
      <c r="C178" s="1" t="s">
        <v>1367</v>
      </c>
      <c r="D178" s="1" t="s">
        <v>1562</v>
      </c>
      <c r="E178" s="16">
        <f>VLOOKUP(A178,'Case 1'!A:W,23,FALSE)</f>
        <v>44813</v>
      </c>
      <c r="F178" s="16">
        <v>44897</v>
      </c>
      <c r="G178" s="17">
        <f t="shared" si="4"/>
        <v>84</v>
      </c>
      <c r="H178" t="str">
        <f t="shared" si="5"/>
        <v>No Heavy SAAS</v>
      </c>
      <c r="I178" t="str">
        <f>VLOOKUP(A178,'Case 1'!A:P,16,FALSE )</f>
        <v>Advanced</v>
      </c>
      <c r="K178" s="3">
        <v>504545</v>
      </c>
    </row>
    <row r="179" spans="1:11" ht="14.4" x14ac:dyDescent="0.3">
      <c r="A179" s="3">
        <v>504455</v>
      </c>
      <c r="B179" s="3">
        <v>160</v>
      </c>
      <c r="C179" s="1" t="s">
        <v>1367</v>
      </c>
      <c r="D179" s="1" t="s">
        <v>1565</v>
      </c>
      <c r="E179" s="16">
        <f>VLOOKUP(A179,'Case 1'!A:W,23,FALSE)</f>
        <v>44838</v>
      </c>
      <c r="F179" s="16">
        <v>44897</v>
      </c>
      <c r="G179" s="17">
        <f t="shared" si="4"/>
        <v>59</v>
      </c>
      <c r="H179" t="str">
        <f t="shared" si="5"/>
        <v>No Heavy SAAS</v>
      </c>
      <c r="I179" t="str">
        <f>VLOOKUP(A179,'Case 1'!A:P,16,FALSE )</f>
        <v>Premium</v>
      </c>
      <c r="K179" s="3">
        <v>504554</v>
      </c>
    </row>
    <row r="180" spans="1:11" ht="14.4" x14ac:dyDescent="0.3">
      <c r="A180" s="3">
        <v>504464</v>
      </c>
      <c r="B180" s="3">
        <v>749</v>
      </c>
      <c r="C180" s="1" t="s">
        <v>1557</v>
      </c>
      <c r="D180" s="1" t="s">
        <v>1558</v>
      </c>
      <c r="E180" s="16">
        <f>VLOOKUP(A180,'Case 1'!A:W,23,FALSE)</f>
        <v>44830</v>
      </c>
      <c r="F180" s="16">
        <v>44897</v>
      </c>
      <c r="G180" s="17">
        <f t="shared" si="4"/>
        <v>67</v>
      </c>
      <c r="H180" t="str">
        <f t="shared" si="5"/>
        <v>No Heavy SAAS</v>
      </c>
      <c r="I180" t="str">
        <f>VLOOKUP(A180,'Case 1'!A:P,16,FALSE )</f>
        <v>Advanced</v>
      </c>
      <c r="K180" s="3">
        <v>505030</v>
      </c>
    </row>
    <row r="181" spans="1:11" ht="14.4" x14ac:dyDescent="0.3">
      <c r="A181" s="3">
        <v>504475</v>
      </c>
      <c r="B181" s="3">
        <v>0</v>
      </c>
      <c r="C181" s="1" t="s">
        <v>1522</v>
      </c>
      <c r="D181" s="1" t="s">
        <v>1523</v>
      </c>
      <c r="E181" s="16">
        <f>VLOOKUP(A181,'Case 1'!A:W,23,FALSE)</f>
        <v>44887</v>
      </c>
      <c r="F181" s="16">
        <v>44897</v>
      </c>
      <c r="G181" s="17">
        <f t="shared" si="4"/>
        <v>10</v>
      </c>
      <c r="H181" t="str">
        <f t="shared" si="5"/>
        <v>No Heavy SAAS</v>
      </c>
      <c r="I181" t="str">
        <f>VLOOKUP(A181,'Case 1'!A:P,16,FALSE )</f>
        <v>Starter</v>
      </c>
      <c r="K181" s="3">
        <v>505054</v>
      </c>
    </row>
    <row r="182" spans="1:11" ht="14.4" x14ac:dyDescent="0.3">
      <c r="A182" s="3">
        <v>504540</v>
      </c>
      <c r="B182" s="3">
        <v>757</v>
      </c>
      <c r="C182" s="1" t="s">
        <v>1575</v>
      </c>
      <c r="D182" s="1" t="s">
        <v>1576</v>
      </c>
      <c r="E182" s="16">
        <f>VLOOKUP(A182,'Case 1'!A:W,23,FALSE)</f>
        <v>44854</v>
      </c>
      <c r="F182" s="16">
        <v>44897</v>
      </c>
      <c r="G182" s="17">
        <f t="shared" si="4"/>
        <v>43</v>
      </c>
      <c r="H182" t="str">
        <f t="shared" si="5"/>
        <v>No Heavy SAAS</v>
      </c>
      <c r="I182" t="str">
        <f>VLOOKUP(A182,'Case 1'!A:P,16,FALSE )</f>
        <v>Advanced</v>
      </c>
      <c r="K182" s="3">
        <v>505400</v>
      </c>
    </row>
    <row r="183" spans="1:11" ht="14.4" x14ac:dyDescent="0.3">
      <c r="A183" s="3">
        <v>504545</v>
      </c>
      <c r="B183" s="3">
        <v>21</v>
      </c>
      <c r="C183" s="1" t="s">
        <v>1568</v>
      </c>
      <c r="D183" s="1" t="s">
        <v>1569</v>
      </c>
      <c r="E183" s="16">
        <f>VLOOKUP(A183,'Case 1'!A:W,23,FALSE)</f>
        <v>44882</v>
      </c>
      <c r="F183" s="16">
        <v>44897</v>
      </c>
      <c r="G183" s="17">
        <f t="shared" si="4"/>
        <v>15</v>
      </c>
      <c r="H183" t="str">
        <f t="shared" si="5"/>
        <v>No Heavy SAAS</v>
      </c>
      <c r="I183" t="str">
        <f>VLOOKUP(A183,'Case 1'!A:P,16,FALSE )</f>
        <v>Premium</v>
      </c>
      <c r="K183" s="3">
        <v>505414</v>
      </c>
    </row>
    <row r="184" spans="1:11" ht="14.4" x14ac:dyDescent="0.3">
      <c r="A184" s="3">
        <v>504554</v>
      </c>
      <c r="B184" s="3">
        <v>225</v>
      </c>
      <c r="C184" s="1" t="s">
        <v>1499</v>
      </c>
      <c r="D184" s="1" t="s">
        <v>1500</v>
      </c>
      <c r="E184" s="16">
        <f>VLOOKUP(A184,'Case 1'!A:W,23,FALSE)</f>
        <v>44865</v>
      </c>
      <c r="F184" s="16">
        <v>44897</v>
      </c>
      <c r="G184" s="17">
        <f t="shared" si="4"/>
        <v>32</v>
      </c>
      <c r="H184" t="str">
        <f t="shared" si="5"/>
        <v>No Heavy SAAS</v>
      </c>
      <c r="I184" t="str">
        <f>VLOOKUP(A184,'Case 1'!A:P,16,FALSE )</f>
        <v>Advanced</v>
      </c>
      <c r="K184" s="3">
        <v>505504</v>
      </c>
    </row>
    <row r="185" spans="1:11" ht="14.4" x14ac:dyDescent="0.3">
      <c r="A185" s="3">
        <v>505030</v>
      </c>
      <c r="B185" s="3">
        <v>18553</v>
      </c>
      <c r="C185" s="1" t="s">
        <v>479</v>
      </c>
      <c r="D185" s="1" t="s">
        <v>480</v>
      </c>
      <c r="E185" s="16">
        <f>VLOOKUP(A185,'Case 1'!A:W,23,FALSE)</f>
        <v>44846</v>
      </c>
      <c r="F185" s="16">
        <v>44897</v>
      </c>
      <c r="G185" s="17">
        <f t="shared" si="4"/>
        <v>51</v>
      </c>
      <c r="H185" t="str">
        <f t="shared" si="5"/>
        <v>No Heavy SAAS</v>
      </c>
      <c r="I185" t="str">
        <f>VLOOKUP(A185,'Case 1'!A:P,16,FALSE )</f>
        <v>Premium</v>
      </c>
      <c r="K185" s="3">
        <v>505514</v>
      </c>
    </row>
    <row r="186" spans="1:11" ht="14.4" x14ac:dyDescent="0.3">
      <c r="A186" s="3">
        <v>505054</v>
      </c>
      <c r="B186" s="3">
        <v>3977</v>
      </c>
      <c r="C186" s="1" t="s">
        <v>1320</v>
      </c>
      <c r="D186" s="1" t="s">
        <v>1321</v>
      </c>
      <c r="E186" s="16">
        <f>VLOOKUP(A186,'Case 1'!A:W,23,FALSE)</f>
        <v>44817</v>
      </c>
      <c r="F186" s="16">
        <v>44897</v>
      </c>
      <c r="G186" s="17">
        <f t="shared" si="4"/>
        <v>80</v>
      </c>
      <c r="H186" t="str">
        <f t="shared" si="5"/>
        <v>No Heavy SAAS</v>
      </c>
      <c r="I186" t="str">
        <f>VLOOKUP(A186,'Case 1'!A:P,16,FALSE )</f>
        <v>Advanced</v>
      </c>
      <c r="K186" s="3">
        <v>505574</v>
      </c>
    </row>
    <row r="187" spans="1:11" ht="14.4" x14ac:dyDescent="0.3">
      <c r="A187" s="3">
        <v>505400</v>
      </c>
      <c r="B187" s="3">
        <v>1124</v>
      </c>
      <c r="C187" s="1" t="s">
        <v>195</v>
      </c>
      <c r="D187" s="1" t="s">
        <v>1388</v>
      </c>
      <c r="E187" s="16">
        <f>VLOOKUP(A187,'Case 1'!A:W,23,FALSE)</f>
        <v>44850</v>
      </c>
      <c r="F187" s="16">
        <v>44897</v>
      </c>
      <c r="G187" s="17">
        <f t="shared" si="4"/>
        <v>47</v>
      </c>
      <c r="H187" t="str">
        <f t="shared" si="5"/>
        <v>No Heavy SAAS</v>
      </c>
      <c r="I187" t="str">
        <f>VLOOKUP(A187,'Case 1'!A:P,16,FALSE )</f>
        <v>Starter</v>
      </c>
      <c r="K187" s="3">
        <v>505576</v>
      </c>
    </row>
    <row r="188" spans="1:11" ht="14.4" x14ac:dyDescent="0.3">
      <c r="A188" s="3">
        <v>505414</v>
      </c>
      <c r="B188" s="3">
        <v>379</v>
      </c>
      <c r="C188" s="1" t="s">
        <v>25</v>
      </c>
      <c r="D188" s="1" t="s">
        <v>1392</v>
      </c>
      <c r="E188" s="16">
        <f>VLOOKUP(A188,'Case 1'!A:W,23,FALSE)</f>
        <v>44812</v>
      </c>
      <c r="F188" s="16">
        <v>44897</v>
      </c>
      <c r="G188" s="17">
        <f t="shared" si="4"/>
        <v>85</v>
      </c>
      <c r="H188" t="str">
        <f t="shared" si="5"/>
        <v>No Heavy SAAS</v>
      </c>
      <c r="I188" t="str">
        <f>VLOOKUP(A188,'Case 1'!A:P,16,FALSE )</f>
        <v>Starter</v>
      </c>
      <c r="K188" s="3">
        <v>505641</v>
      </c>
    </row>
    <row r="189" spans="1:11" ht="14.4" x14ac:dyDescent="0.3">
      <c r="A189" s="3">
        <v>505504</v>
      </c>
      <c r="B189" s="3">
        <v>4954</v>
      </c>
      <c r="C189" s="1" t="s">
        <v>1325</v>
      </c>
      <c r="D189" s="1" t="s">
        <v>1326</v>
      </c>
      <c r="E189" s="16">
        <f>VLOOKUP(A189,'Case 1'!A:W,23,FALSE)</f>
        <v>44806</v>
      </c>
      <c r="F189" s="16">
        <v>44897</v>
      </c>
      <c r="G189" s="17">
        <f t="shared" si="4"/>
        <v>91</v>
      </c>
      <c r="H189" t="str">
        <f t="shared" si="5"/>
        <v>No Heavy SAAS</v>
      </c>
      <c r="I189" t="str">
        <f>VLOOKUP(A189,'Case 1'!A:P,16,FALSE )</f>
        <v>Starter</v>
      </c>
      <c r="K189" s="3">
        <v>505704</v>
      </c>
    </row>
    <row r="190" spans="1:11" ht="14.4" x14ac:dyDescent="0.3">
      <c r="A190" s="3">
        <v>505504</v>
      </c>
      <c r="B190" s="3">
        <v>2746</v>
      </c>
      <c r="C190" s="1" t="s">
        <v>1331</v>
      </c>
      <c r="D190" s="1" t="s">
        <v>1332</v>
      </c>
      <c r="E190" s="16">
        <f>VLOOKUP(A190,'Case 1'!A:W,23,FALSE)</f>
        <v>44806</v>
      </c>
      <c r="F190" s="16">
        <v>44897</v>
      </c>
      <c r="G190" s="17">
        <f t="shared" si="4"/>
        <v>91</v>
      </c>
      <c r="H190" t="str">
        <f t="shared" si="5"/>
        <v>No Heavy SAAS</v>
      </c>
      <c r="I190" t="str">
        <f>VLOOKUP(A190,'Case 1'!A:P,16,FALSE )</f>
        <v>Starter</v>
      </c>
      <c r="K190" s="3">
        <v>505741</v>
      </c>
    </row>
    <row r="191" spans="1:11" ht="14.4" x14ac:dyDescent="0.3">
      <c r="A191" s="3">
        <v>505514</v>
      </c>
      <c r="B191" s="3">
        <v>17</v>
      </c>
      <c r="C191" s="1" t="s">
        <v>1335</v>
      </c>
      <c r="D191" s="1" t="s">
        <v>1336</v>
      </c>
      <c r="E191" s="16">
        <f>VLOOKUP(A191,'Case 1'!A:W,23,FALSE)</f>
        <v>44807</v>
      </c>
      <c r="F191" s="16">
        <v>44897</v>
      </c>
      <c r="G191" s="17">
        <f t="shared" si="4"/>
        <v>90</v>
      </c>
      <c r="H191" t="str">
        <f t="shared" si="5"/>
        <v>No Heavy SAAS</v>
      </c>
      <c r="I191" t="str">
        <f>VLOOKUP(A191,'Case 1'!A:P,16,FALSE )</f>
        <v>Advanced</v>
      </c>
      <c r="K191" s="3">
        <v>506044</v>
      </c>
    </row>
    <row r="192" spans="1:11" ht="14.4" x14ac:dyDescent="0.3">
      <c r="A192" s="3">
        <v>505574</v>
      </c>
      <c r="B192" s="3">
        <v>6978</v>
      </c>
      <c r="C192" s="1" t="s">
        <v>1339</v>
      </c>
      <c r="D192" s="1" t="s">
        <v>1340</v>
      </c>
      <c r="E192" s="16">
        <f>VLOOKUP(A192,'Case 1'!A:W,23,FALSE)</f>
        <v>44855</v>
      </c>
      <c r="F192" s="16">
        <v>44897</v>
      </c>
      <c r="G192" s="17">
        <f t="shared" si="4"/>
        <v>42</v>
      </c>
      <c r="H192" t="str">
        <f t="shared" si="5"/>
        <v>No Heavy SAAS</v>
      </c>
      <c r="I192" t="str">
        <f>VLOOKUP(A192,'Case 1'!A:P,16,FALSE )</f>
        <v>Starter</v>
      </c>
      <c r="K192" s="3">
        <v>506046</v>
      </c>
    </row>
    <row r="193" spans="1:11" ht="14.4" x14ac:dyDescent="0.3">
      <c r="A193" s="3">
        <v>505576</v>
      </c>
      <c r="B193" s="3">
        <v>7505</v>
      </c>
      <c r="C193" s="1" t="s">
        <v>1339</v>
      </c>
      <c r="D193" s="1" t="s">
        <v>1345</v>
      </c>
      <c r="E193" s="16">
        <f>VLOOKUP(A193,'Case 1'!A:W,23,FALSE)</f>
        <v>44813</v>
      </c>
      <c r="F193" s="16">
        <v>44897</v>
      </c>
      <c r="G193" s="17">
        <f t="shared" si="4"/>
        <v>84</v>
      </c>
      <c r="H193" t="str">
        <f t="shared" si="5"/>
        <v>No Heavy SAAS</v>
      </c>
      <c r="I193" t="str">
        <f>VLOOKUP(A193,'Case 1'!A:P,16,FALSE )</f>
        <v>Advanced</v>
      </c>
      <c r="K193" s="3">
        <v>506074</v>
      </c>
    </row>
    <row r="194" spans="1:11" ht="14.4" x14ac:dyDescent="0.3">
      <c r="A194" s="3">
        <v>505641</v>
      </c>
      <c r="B194" s="3">
        <v>2114</v>
      </c>
      <c r="C194" s="1" t="s">
        <v>1374</v>
      </c>
      <c r="D194" s="1" t="s">
        <v>1375</v>
      </c>
      <c r="E194" s="16">
        <f>VLOOKUP(A194,'Case 1'!A:W,23,FALSE)</f>
        <v>44864</v>
      </c>
      <c r="F194" s="16">
        <v>44897</v>
      </c>
      <c r="G194" s="17">
        <f t="shared" ref="G194:G257" si="6">F194-E194</f>
        <v>33</v>
      </c>
      <c r="H194" t="str">
        <f t="shared" ref="H194:H257" si="7">+IF(AND(B194&gt;40,G194&lt;30),"Heavy SAAS","No Heavy SAAS")</f>
        <v>No Heavy SAAS</v>
      </c>
      <c r="I194" t="str">
        <f>VLOOKUP(A194,'Case 1'!A:P,16,FALSE )</f>
        <v>Premium</v>
      </c>
      <c r="K194" s="3">
        <v>506110</v>
      </c>
    </row>
    <row r="195" spans="1:11" ht="14.4" x14ac:dyDescent="0.3">
      <c r="A195" s="3">
        <v>505704</v>
      </c>
      <c r="B195" s="3">
        <v>3481</v>
      </c>
      <c r="C195" s="1" t="s">
        <v>417</v>
      </c>
      <c r="D195" s="1" t="s">
        <v>1379</v>
      </c>
      <c r="E195" s="16">
        <f>VLOOKUP(A195,'Case 1'!A:W,23,FALSE)</f>
        <v>44896</v>
      </c>
      <c r="F195" s="16">
        <v>44897</v>
      </c>
      <c r="G195" s="17">
        <f t="shared" si="6"/>
        <v>1</v>
      </c>
      <c r="H195" t="str">
        <f t="shared" si="7"/>
        <v>Heavy SAAS</v>
      </c>
      <c r="I195" t="str">
        <f>VLOOKUP(A195,'Case 1'!A:P,16,FALSE )</f>
        <v>Premium</v>
      </c>
      <c r="K195" s="3">
        <v>506115</v>
      </c>
    </row>
    <row r="196" spans="1:11" ht="14.4" x14ac:dyDescent="0.3">
      <c r="A196" s="3">
        <v>505741</v>
      </c>
      <c r="B196" s="3">
        <v>1752</v>
      </c>
      <c r="C196" s="1" t="s">
        <v>1384</v>
      </c>
      <c r="D196" s="1" t="s">
        <v>1385</v>
      </c>
      <c r="E196" s="16">
        <f>VLOOKUP(A196,'Case 1'!A:W,23,FALSE)</f>
        <v>44829</v>
      </c>
      <c r="F196" s="16">
        <v>44897</v>
      </c>
      <c r="G196" s="17">
        <f t="shared" si="6"/>
        <v>68</v>
      </c>
      <c r="H196" t="str">
        <f t="shared" si="7"/>
        <v>No Heavy SAAS</v>
      </c>
      <c r="I196" t="str">
        <f>VLOOKUP(A196,'Case 1'!A:P,16,FALSE )</f>
        <v>Premium</v>
      </c>
      <c r="K196" s="3">
        <v>506141</v>
      </c>
    </row>
    <row r="197" spans="1:11" ht="14.4" x14ac:dyDescent="0.3">
      <c r="A197" s="3">
        <v>506044</v>
      </c>
      <c r="B197" s="3">
        <v>3</v>
      </c>
      <c r="C197" s="1" t="s">
        <v>1799</v>
      </c>
      <c r="D197" s="1" t="s">
        <v>1800</v>
      </c>
      <c r="E197" s="16">
        <f>VLOOKUP(A197,'Case 1'!A:W,23,FALSE)</f>
        <v>44884</v>
      </c>
      <c r="F197" s="16">
        <v>44897</v>
      </c>
      <c r="G197" s="17">
        <f t="shared" si="6"/>
        <v>13</v>
      </c>
      <c r="H197" t="str">
        <f t="shared" si="7"/>
        <v>No Heavy SAAS</v>
      </c>
      <c r="I197" t="str">
        <f>VLOOKUP(A197,'Case 1'!A:P,16,FALSE )</f>
        <v>Advanced</v>
      </c>
      <c r="K197" s="3">
        <v>506146</v>
      </c>
    </row>
    <row r="198" spans="1:11" ht="14.4" x14ac:dyDescent="0.3">
      <c r="A198" s="3">
        <v>506046</v>
      </c>
      <c r="B198" s="3">
        <v>50</v>
      </c>
      <c r="C198" s="1" t="s">
        <v>365</v>
      </c>
      <c r="D198" s="1" t="s">
        <v>1803</v>
      </c>
      <c r="E198" s="16">
        <f>VLOOKUP(A198,'Case 1'!A:W,23,FALSE)</f>
        <v>44867</v>
      </c>
      <c r="F198" s="16">
        <v>44897</v>
      </c>
      <c r="G198" s="17">
        <f t="shared" si="6"/>
        <v>30</v>
      </c>
      <c r="H198" t="str">
        <f t="shared" si="7"/>
        <v>No Heavy SAAS</v>
      </c>
      <c r="I198" t="str">
        <f>VLOOKUP(A198,'Case 1'!A:P,16,FALSE )</f>
        <v>Starter</v>
      </c>
      <c r="K198" s="3">
        <v>506154</v>
      </c>
    </row>
    <row r="199" spans="1:11" ht="14.4" x14ac:dyDescent="0.3">
      <c r="A199" s="3">
        <v>506074</v>
      </c>
      <c r="B199" s="3">
        <v>575</v>
      </c>
      <c r="C199" s="1" t="s">
        <v>1797</v>
      </c>
      <c r="D199" s="1" t="s">
        <v>1798</v>
      </c>
      <c r="E199" s="16">
        <f>VLOOKUP(A199,'Case 1'!A:W,23,FALSE)</f>
        <v>44845</v>
      </c>
      <c r="F199" s="16">
        <v>44897</v>
      </c>
      <c r="G199" s="17">
        <f t="shared" si="6"/>
        <v>52</v>
      </c>
      <c r="H199" t="str">
        <f t="shared" si="7"/>
        <v>No Heavy SAAS</v>
      </c>
      <c r="I199" t="str">
        <f>VLOOKUP(A199,'Case 1'!A:P,16,FALSE )</f>
        <v>Starter</v>
      </c>
      <c r="K199" s="3">
        <v>506177</v>
      </c>
    </row>
    <row r="200" spans="1:11" ht="14.4" x14ac:dyDescent="0.3">
      <c r="A200" s="3">
        <v>506110</v>
      </c>
      <c r="B200" s="3">
        <v>25</v>
      </c>
      <c r="C200" s="1" t="s">
        <v>1367</v>
      </c>
      <c r="D200" s="1" t="s">
        <v>1807</v>
      </c>
      <c r="E200" s="16">
        <f>VLOOKUP(A200,'Case 1'!A:W,23,FALSE)</f>
        <v>44850</v>
      </c>
      <c r="F200" s="16">
        <v>44897</v>
      </c>
      <c r="G200" s="17">
        <f t="shared" si="6"/>
        <v>47</v>
      </c>
      <c r="H200" t="str">
        <f t="shared" si="7"/>
        <v>No Heavy SAAS</v>
      </c>
      <c r="I200" t="str">
        <f>VLOOKUP(A200,'Case 1'!A:P,16,FALSE )</f>
        <v>Advanced</v>
      </c>
      <c r="K200" s="3">
        <v>506406</v>
      </c>
    </row>
    <row r="201" spans="1:11" ht="14.4" x14ac:dyDescent="0.3">
      <c r="A201" s="3">
        <v>506115</v>
      </c>
      <c r="B201" s="3">
        <v>0</v>
      </c>
      <c r="C201" s="1" t="s">
        <v>1367</v>
      </c>
      <c r="D201" s="1" t="s">
        <v>1810</v>
      </c>
      <c r="E201" s="16">
        <f>VLOOKUP(A201,'Case 1'!A:W,23,FALSE)</f>
        <v>44839</v>
      </c>
      <c r="F201" s="16">
        <v>44897</v>
      </c>
      <c r="G201" s="17">
        <f t="shared" si="6"/>
        <v>58</v>
      </c>
      <c r="H201" t="str">
        <f t="shared" si="7"/>
        <v>No Heavy SAAS</v>
      </c>
      <c r="I201" t="str">
        <f>VLOOKUP(A201,'Case 1'!A:P,16,FALSE )</f>
        <v>Premium</v>
      </c>
      <c r="K201" s="3">
        <v>506407</v>
      </c>
    </row>
    <row r="202" spans="1:11" ht="14.4" x14ac:dyDescent="0.3">
      <c r="A202" s="3">
        <v>506141</v>
      </c>
      <c r="B202" s="3">
        <v>29</v>
      </c>
      <c r="C202" s="1"/>
      <c r="D202" s="1" t="s">
        <v>1825</v>
      </c>
      <c r="E202" s="16">
        <f>VLOOKUP(A202,'Case 1'!A:W,23,FALSE)</f>
        <v>44874</v>
      </c>
      <c r="F202" s="16">
        <v>44897</v>
      </c>
      <c r="G202" s="17">
        <f t="shared" si="6"/>
        <v>23</v>
      </c>
      <c r="H202" t="str">
        <f t="shared" si="7"/>
        <v>No Heavy SAAS</v>
      </c>
      <c r="I202" t="str">
        <f>VLOOKUP(A202,'Case 1'!A:P,16,FALSE )</f>
        <v>Starter</v>
      </c>
      <c r="K202" s="3">
        <v>506414</v>
      </c>
    </row>
    <row r="203" spans="1:11" ht="14.4" x14ac:dyDescent="0.3">
      <c r="A203" s="3">
        <v>506146</v>
      </c>
      <c r="B203" s="3">
        <v>0</v>
      </c>
      <c r="C203" s="1" t="s">
        <v>195</v>
      </c>
      <c r="D203" s="1" t="s">
        <v>1817</v>
      </c>
      <c r="E203" s="16">
        <f>VLOOKUP(A203,'Case 1'!A:W,23,FALSE)</f>
        <v>44836</v>
      </c>
      <c r="F203" s="16">
        <v>44897</v>
      </c>
      <c r="G203" s="17">
        <f t="shared" si="6"/>
        <v>61</v>
      </c>
      <c r="H203" t="str">
        <f t="shared" si="7"/>
        <v>No Heavy SAAS</v>
      </c>
      <c r="I203" t="str">
        <f>VLOOKUP(A203,'Case 1'!A:P,16,FALSE )</f>
        <v>Premium</v>
      </c>
      <c r="K203" s="3">
        <v>506440</v>
      </c>
    </row>
    <row r="204" spans="1:11" ht="14.4" x14ac:dyDescent="0.3">
      <c r="A204" s="3">
        <v>506154</v>
      </c>
      <c r="B204" s="3">
        <v>2</v>
      </c>
      <c r="C204" s="1" t="s">
        <v>1828</v>
      </c>
      <c r="D204" s="1" t="s">
        <v>1829</v>
      </c>
      <c r="E204" s="16">
        <f>VLOOKUP(A204,'Case 1'!A:W,23,FALSE)</f>
        <v>44835</v>
      </c>
      <c r="F204" s="16">
        <v>44897</v>
      </c>
      <c r="G204" s="17">
        <f t="shared" si="6"/>
        <v>62</v>
      </c>
      <c r="H204" t="str">
        <f t="shared" si="7"/>
        <v>No Heavy SAAS</v>
      </c>
      <c r="I204" t="str">
        <f>VLOOKUP(A204,'Case 1'!A:P,16,FALSE )</f>
        <v>Starter</v>
      </c>
      <c r="K204" s="3">
        <v>506444</v>
      </c>
    </row>
    <row r="205" spans="1:11" ht="14.4" x14ac:dyDescent="0.3">
      <c r="A205" s="3">
        <v>506177</v>
      </c>
      <c r="B205" s="3">
        <v>41</v>
      </c>
      <c r="C205" s="1" t="s">
        <v>1075</v>
      </c>
      <c r="D205" s="1" t="s">
        <v>1821</v>
      </c>
      <c r="E205" s="16">
        <f>VLOOKUP(A205,'Case 1'!A:W,23,FALSE)</f>
        <v>44893</v>
      </c>
      <c r="F205" s="16">
        <v>44897</v>
      </c>
      <c r="G205" s="17">
        <f t="shared" si="6"/>
        <v>4</v>
      </c>
      <c r="H205" t="str">
        <f t="shared" si="7"/>
        <v>Heavy SAAS</v>
      </c>
      <c r="I205" t="str">
        <f>VLOOKUP(A205,'Case 1'!A:P,16,FALSE )</f>
        <v>Premium</v>
      </c>
      <c r="K205" s="3">
        <v>506445</v>
      </c>
    </row>
    <row r="206" spans="1:11" ht="14.4" x14ac:dyDescent="0.3">
      <c r="A206" s="3">
        <v>506406</v>
      </c>
      <c r="B206" s="3">
        <v>105</v>
      </c>
      <c r="C206" s="1" t="s">
        <v>473</v>
      </c>
      <c r="D206" s="1" t="s">
        <v>1923</v>
      </c>
      <c r="E206" s="16">
        <f>VLOOKUP(A206,'Case 1'!A:W,23,FALSE)</f>
        <v>44849</v>
      </c>
      <c r="F206" s="16">
        <v>44897</v>
      </c>
      <c r="G206" s="17">
        <f t="shared" si="6"/>
        <v>48</v>
      </c>
      <c r="H206" t="str">
        <f t="shared" si="7"/>
        <v>No Heavy SAAS</v>
      </c>
      <c r="I206" t="str">
        <f>VLOOKUP(A206,'Case 1'!A:P,16,FALSE )</f>
        <v>Premium</v>
      </c>
      <c r="K206" s="3">
        <v>506451</v>
      </c>
    </row>
    <row r="207" spans="1:11" ht="14.4" x14ac:dyDescent="0.3">
      <c r="A207" s="3">
        <v>506407</v>
      </c>
      <c r="B207" s="3">
        <v>0</v>
      </c>
      <c r="C207" s="1" t="s">
        <v>1524</v>
      </c>
      <c r="D207" s="1" t="s">
        <v>1927</v>
      </c>
      <c r="E207" s="16">
        <f>VLOOKUP(A207,'Case 1'!A:W,23,FALSE)</f>
        <v>44866</v>
      </c>
      <c r="F207" s="16">
        <v>44897</v>
      </c>
      <c r="G207" s="17">
        <f t="shared" si="6"/>
        <v>31</v>
      </c>
      <c r="H207" t="str">
        <f t="shared" si="7"/>
        <v>No Heavy SAAS</v>
      </c>
      <c r="I207" t="str">
        <f>VLOOKUP(A207,'Case 1'!A:P,16,FALSE )</f>
        <v>Starter</v>
      </c>
      <c r="K207" s="3">
        <v>506454</v>
      </c>
    </row>
    <row r="208" spans="1:11" ht="14.4" x14ac:dyDescent="0.3">
      <c r="A208" s="3">
        <v>506414</v>
      </c>
      <c r="B208" s="3">
        <v>0</v>
      </c>
      <c r="C208" s="1" t="s">
        <v>365</v>
      </c>
      <c r="D208" s="1" t="s">
        <v>1930</v>
      </c>
      <c r="E208" s="16">
        <f>VLOOKUP(A208,'Case 1'!A:W,23,FALSE)</f>
        <v>44861</v>
      </c>
      <c r="F208" s="16">
        <v>44897</v>
      </c>
      <c r="G208" s="17">
        <f t="shared" si="6"/>
        <v>36</v>
      </c>
      <c r="H208" t="str">
        <f t="shared" si="7"/>
        <v>No Heavy SAAS</v>
      </c>
      <c r="I208" t="str">
        <f>VLOOKUP(A208,'Case 1'!A:P,16,FALSE )</f>
        <v>Premium</v>
      </c>
      <c r="K208" s="3">
        <v>506461</v>
      </c>
    </row>
    <row r="209" spans="1:11" ht="14.4" x14ac:dyDescent="0.3">
      <c r="A209" s="3">
        <v>506440</v>
      </c>
      <c r="B209" s="3">
        <v>0</v>
      </c>
      <c r="C209" s="1" t="s">
        <v>1965</v>
      </c>
      <c r="D209" s="1" t="s">
        <v>1966</v>
      </c>
      <c r="E209" s="16">
        <f>VLOOKUP(A209,'Case 1'!A:W,23,FALSE)</f>
        <v>44849</v>
      </c>
      <c r="F209" s="16">
        <v>44897</v>
      </c>
      <c r="G209" s="17">
        <f t="shared" si="6"/>
        <v>48</v>
      </c>
      <c r="H209" t="str">
        <f t="shared" si="7"/>
        <v>No Heavy SAAS</v>
      </c>
      <c r="I209" t="str">
        <f>VLOOKUP(A209,'Case 1'!A:P,16,FALSE )</f>
        <v>Advanced</v>
      </c>
      <c r="K209" s="3">
        <v>506464</v>
      </c>
    </row>
    <row r="210" spans="1:11" ht="14.4" x14ac:dyDescent="0.3">
      <c r="A210" s="3">
        <v>506444</v>
      </c>
      <c r="B210" s="3">
        <v>0</v>
      </c>
      <c r="C210" s="1" t="s">
        <v>1939</v>
      </c>
      <c r="D210" s="1" t="s">
        <v>1940</v>
      </c>
      <c r="E210" s="16">
        <f>VLOOKUP(A210,'Case 1'!A:W,23,FALSE)</f>
        <v>44848</v>
      </c>
      <c r="F210" s="16">
        <v>44897</v>
      </c>
      <c r="G210" s="17">
        <f t="shared" si="6"/>
        <v>49</v>
      </c>
      <c r="H210" t="str">
        <f t="shared" si="7"/>
        <v>No Heavy SAAS</v>
      </c>
      <c r="I210" t="str">
        <f>VLOOKUP(A210,'Case 1'!A:P,16,FALSE )</f>
        <v>Starter</v>
      </c>
      <c r="K210" s="3">
        <v>506465</v>
      </c>
    </row>
    <row r="211" spans="1:11" ht="14.4" x14ac:dyDescent="0.3">
      <c r="A211" s="3">
        <v>506445</v>
      </c>
      <c r="B211" s="3">
        <v>0</v>
      </c>
      <c r="C211" s="1" t="s">
        <v>1934</v>
      </c>
      <c r="D211" s="1" t="s">
        <v>1935</v>
      </c>
      <c r="E211" s="16">
        <f>VLOOKUP(A211,'Case 1'!A:W,23,FALSE)</f>
        <v>44854</v>
      </c>
      <c r="F211" s="16">
        <v>44897</v>
      </c>
      <c r="G211" s="17">
        <f t="shared" si="6"/>
        <v>43</v>
      </c>
      <c r="H211" t="str">
        <f t="shared" si="7"/>
        <v>No Heavy SAAS</v>
      </c>
      <c r="I211" t="str">
        <f>VLOOKUP(A211,'Case 1'!A:P,16,FALSE )</f>
        <v>Advanced</v>
      </c>
      <c r="K211" s="3">
        <v>506474</v>
      </c>
    </row>
    <row r="212" spans="1:11" ht="14.4" x14ac:dyDescent="0.3">
      <c r="A212" s="3">
        <v>506451</v>
      </c>
      <c r="B212" s="3">
        <v>30</v>
      </c>
      <c r="C212" s="1" t="s">
        <v>1974</v>
      </c>
      <c r="D212" s="1" t="s">
        <v>1975</v>
      </c>
      <c r="E212" s="16">
        <f>VLOOKUP(A212,'Case 1'!A:W,23,FALSE)</f>
        <v>44872</v>
      </c>
      <c r="F212" s="16">
        <v>44897</v>
      </c>
      <c r="G212" s="17">
        <f t="shared" si="6"/>
        <v>25</v>
      </c>
      <c r="H212" t="str">
        <f t="shared" si="7"/>
        <v>No Heavy SAAS</v>
      </c>
      <c r="I212" t="str">
        <f>VLOOKUP(A212,'Case 1'!A:P,16,FALSE )</f>
        <v>Advanced</v>
      </c>
      <c r="K212" s="3">
        <v>506541</v>
      </c>
    </row>
    <row r="213" spans="1:11" ht="14.4" x14ac:dyDescent="0.3">
      <c r="A213" s="3">
        <v>506454</v>
      </c>
      <c r="B213" s="3">
        <v>0</v>
      </c>
      <c r="C213" s="1" t="s">
        <v>1979</v>
      </c>
      <c r="D213" s="1" t="s">
        <v>1980</v>
      </c>
      <c r="E213" s="16">
        <f>VLOOKUP(A213,'Case 1'!A:W,23,FALSE)</f>
        <v>44840</v>
      </c>
      <c r="F213" s="16">
        <v>44897</v>
      </c>
      <c r="G213" s="17">
        <f t="shared" si="6"/>
        <v>57</v>
      </c>
      <c r="H213" t="str">
        <f t="shared" si="7"/>
        <v>No Heavy SAAS</v>
      </c>
      <c r="I213" t="str">
        <f>VLOOKUP(A213,'Case 1'!A:P,16,FALSE )</f>
        <v>Advanced</v>
      </c>
      <c r="K213" s="3">
        <v>506546</v>
      </c>
    </row>
    <row r="214" spans="1:11" ht="14.4" x14ac:dyDescent="0.3">
      <c r="A214" s="3">
        <v>506461</v>
      </c>
      <c r="B214" s="3">
        <v>31</v>
      </c>
      <c r="C214" s="1" t="s">
        <v>1367</v>
      </c>
      <c r="D214" s="1" t="s">
        <v>1947</v>
      </c>
      <c r="E214" s="16">
        <f>VLOOKUP(A214,'Case 1'!A:W,23,FALSE)</f>
        <v>44874</v>
      </c>
      <c r="F214" s="16">
        <v>44897</v>
      </c>
      <c r="G214" s="17">
        <f t="shared" si="6"/>
        <v>23</v>
      </c>
      <c r="H214" t="str">
        <f t="shared" si="7"/>
        <v>No Heavy SAAS</v>
      </c>
      <c r="I214" t="str">
        <f>VLOOKUP(A214,'Case 1'!A:P,16,FALSE )</f>
        <v>Advanced</v>
      </c>
      <c r="K214" s="3">
        <v>506554</v>
      </c>
    </row>
    <row r="215" spans="1:11" ht="14.4" x14ac:dyDescent="0.3">
      <c r="A215" s="3">
        <v>506464</v>
      </c>
      <c r="B215" s="3">
        <v>189</v>
      </c>
      <c r="C215" s="1" t="s">
        <v>37</v>
      </c>
      <c r="D215" s="1" t="s">
        <v>1954</v>
      </c>
      <c r="E215" s="16">
        <f>VLOOKUP(A215,'Case 1'!A:W,23,FALSE)</f>
        <v>44879</v>
      </c>
      <c r="F215" s="16">
        <v>44897</v>
      </c>
      <c r="G215" s="17">
        <f t="shared" si="6"/>
        <v>18</v>
      </c>
      <c r="H215" t="str">
        <f t="shared" si="7"/>
        <v>Heavy SAAS</v>
      </c>
      <c r="I215" t="str">
        <f>VLOOKUP(A215,'Case 1'!A:P,16,FALSE )</f>
        <v>Premium</v>
      </c>
      <c r="K215" s="3">
        <v>506565</v>
      </c>
    </row>
    <row r="216" spans="1:11" ht="14.4" x14ac:dyDescent="0.3">
      <c r="A216" s="3">
        <v>506465</v>
      </c>
      <c r="B216" s="3">
        <v>0</v>
      </c>
      <c r="C216" s="1" t="s">
        <v>1950</v>
      </c>
      <c r="D216" s="1" t="s">
        <v>1951</v>
      </c>
      <c r="E216" s="16">
        <f>VLOOKUP(A216,'Case 1'!A:W,23,FALSE)</f>
        <v>44855</v>
      </c>
      <c r="F216" s="16">
        <v>44897</v>
      </c>
      <c r="G216" s="17">
        <f t="shared" si="6"/>
        <v>42</v>
      </c>
      <c r="H216" t="str">
        <f t="shared" si="7"/>
        <v>No Heavy SAAS</v>
      </c>
      <c r="I216" t="str">
        <f>VLOOKUP(A216,'Case 1'!A:P,16,FALSE )</f>
        <v>Advanced</v>
      </c>
      <c r="K216" s="3">
        <v>506571</v>
      </c>
    </row>
    <row r="217" spans="1:11" ht="14.4" x14ac:dyDescent="0.3">
      <c r="A217" s="3">
        <v>506474</v>
      </c>
      <c r="B217" s="3">
        <v>129</v>
      </c>
      <c r="C217" s="1" t="s">
        <v>195</v>
      </c>
      <c r="D217" s="1" t="s">
        <v>1961</v>
      </c>
      <c r="E217" s="16">
        <f>VLOOKUP(A217,'Case 1'!A:W,23,FALSE)</f>
        <v>44881</v>
      </c>
      <c r="F217" s="16">
        <v>44897</v>
      </c>
      <c r="G217" s="17">
        <f t="shared" si="6"/>
        <v>16</v>
      </c>
      <c r="H217" t="str">
        <f t="shared" si="7"/>
        <v>Heavy SAAS</v>
      </c>
      <c r="I217" t="str">
        <f>VLOOKUP(A217,'Case 1'!A:P,16,FALSE )</f>
        <v>Premium</v>
      </c>
      <c r="K217" s="3">
        <v>506576</v>
      </c>
    </row>
    <row r="218" spans="1:11" ht="14.4" x14ac:dyDescent="0.3">
      <c r="A218" s="3">
        <v>506541</v>
      </c>
      <c r="B218" s="3">
        <v>83</v>
      </c>
      <c r="C218" s="1" t="s">
        <v>25</v>
      </c>
      <c r="D218" s="1" t="s">
        <v>1838</v>
      </c>
      <c r="E218" s="16">
        <f>VLOOKUP(A218,'Case 1'!A:W,23,FALSE)</f>
        <v>44879</v>
      </c>
      <c r="F218" s="16">
        <v>44897</v>
      </c>
      <c r="G218" s="17">
        <f t="shared" si="6"/>
        <v>18</v>
      </c>
      <c r="H218" t="str">
        <f t="shared" si="7"/>
        <v>Heavy SAAS</v>
      </c>
      <c r="I218" t="str">
        <f>VLOOKUP(A218,'Case 1'!A:P,16,FALSE )</f>
        <v>Premium</v>
      </c>
      <c r="K218" s="3">
        <v>506607</v>
      </c>
    </row>
    <row r="219" spans="1:11" ht="14.4" x14ac:dyDescent="0.3">
      <c r="A219" s="3">
        <v>506546</v>
      </c>
      <c r="B219" s="3">
        <v>21</v>
      </c>
      <c r="C219" s="1" t="s">
        <v>1845</v>
      </c>
      <c r="D219" s="1" t="s">
        <v>1846</v>
      </c>
      <c r="E219" s="16">
        <f>VLOOKUP(A219,'Case 1'!A:W,23,FALSE)</f>
        <v>44895</v>
      </c>
      <c r="F219" s="16">
        <v>44897</v>
      </c>
      <c r="G219" s="17">
        <f t="shared" si="6"/>
        <v>2</v>
      </c>
      <c r="H219" t="str">
        <f t="shared" si="7"/>
        <v>No Heavy SAAS</v>
      </c>
      <c r="I219" t="str">
        <f>VLOOKUP(A219,'Case 1'!A:P,16,FALSE )</f>
        <v>Advanced</v>
      </c>
      <c r="K219" s="3">
        <v>506610</v>
      </c>
    </row>
    <row r="220" spans="1:11" ht="14.4" x14ac:dyDescent="0.3">
      <c r="A220" s="3">
        <v>506554</v>
      </c>
      <c r="B220" s="3">
        <v>0</v>
      </c>
      <c r="C220" s="1" t="s">
        <v>1833</v>
      </c>
      <c r="D220" s="1" t="s">
        <v>1834</v>
      </c>
      <c r="E220" s="16">
        <f>VLOOKUP(A220,'Case 1'!A:W,23,FALSE)</f>
        <v>44873</v>
      </c>
      <c r="F220" s="16">
        <v>44897</v>
      </c>
      <c r="G220" s="17">
        <f t="shared" si="6"/>
        <v>24</v>
      </c>
      <c r="H220" t="str">
        <f t="shared" si="7"/>
        <v>No Heavy SAAS</v>
      </c>
      <c r="I220" t="str">
        <f>VLOOKUP(A220,'Case 1'!A:P,16,FALSE )</f>
        <v>Premium</v>
      </c>
      <c r="K220" s="3">
        <v>506615</v>
      </c>
    </row>
    <row r="221" spans="1:11" ht="14.4" x14ac:dyDescent="0.3">
      <c r="A221" s="3">
        <v>506565</v>
      </c>
      <c r="B221" s="3">
        <v>140</v>
      </c>
      <c r="C221" s="1" t="s">
        <v>269</v>
      </c>
      <c r="D221" s="1" t="s">
        <v>1854</v>
      </c>
      <c r="E221" s="16">
        <f>VLOOKUP(A221,'Case 1'!A:W,23,FALSE)</f>
        <v>44864</v>
      </c>
      <c r="F221" s="16">
        <v>44897</v>
      </c>
      <c r="G221" s="17">
        <f t="shared" si="6"/>
        <v>33</v>
      </c>
      <c r="H221" t="str">
        <f t="shared" si="7"/>
        <v>No Heavy SAAS</v>
      </c>
      <c r="I221" t="str">
        <f>VLOOKUP(A221,'Case 1'!A:P,16,FALSE )</f>
        <v>Starter</v>
      </c>
      <c r="K221" s="3">
        <v>506616</v>
      </c>
    </row>
    <row r="222" spans="1:11" ht="14.4" x14ac:dyDescent="0.3">
      <c r="A222" s="3">
        <v>506571</v>
      </c>
      <c r="B222" s="3">
        <v>18</v>
      </c>
      <c r="C222" s="1" t="s">
        <v>1857</v>
      </c>
      <c r="D222" s="1" t="s">
        <v>1858</v>
      </c>
      <c r="E222" s="16">
        <f>VLOOKUP(A222,'Case 1'!A:W,23,FALSE)</f>
        <v>44893</v>
      </c>
      <c r="F222" s="16">
        <v>44897</v>
      </c>
      <c r="G222" s="17">
        <f t="shared" si="6"/>
        <v>4</v>
      </c>
      <c r="H222" t="str">
        <f t="shared" si="7"/>
        <v>No Heavy SAAS</v>
      </c>
      <c r="I222" t="str">
        <f>VLOOKUP(A222,'Case 1'!A:P,16,FALSE )</f>
        <v>Advanced</v>
      </c>
      <c r="K222" s="3">
        <v>506644</v>
      </c>
    </row>
    <row r="223" spans="1:11" ht="14.4" x14ac:dyDescent="0.3">
      <c r="A223" s="3">
        <v>506576</v>
      </c>
      <c r="B223" s="3">
        <v>0</v>
      </c>
      <c r="C223" s="1" t="s">
        <v>54</v>
      </c>
      <c r="D223" s="1" t="s">
        <v>1862</v>
      </c>
      <c r="E223" s="16">
        <f>VLOOKUP(A223,'Case 1'!A:W,23,FALSE)</f>
        <v>44860</v>
      </c>
      <c r="F223" s="16">
        <v>44897</v>
      </c>
      <c r="G223" s="17">
        <f t="shared" si="6"/>
        <v>37</v>
      </c>
      <c r="H223" t="str">
        <f t="shared" si="7"/>
        <v>No Heavy SAAS</v>
      </c>
      <c r="I223" t="str">
        <f>VLOOKUP(A223,'Case 1'!A:P,16,FALSE )</f>
        <v>Starter</v>
      </c>
      <c r="K223" s="3">
        <v>506645</v>
      </c>
    </row>
    <row r="224" spans="1:11" ht="14.4" x14ac:dyDescent="0.3">
      <c r="A224" s="3">
        <v>506607</v>
      </c>
      <c r="B224" s="3">
        <v>0</v>
      </c>
      <c r="C224" s="1" t="s">
        <v>705</v>
      </c>
      <c r="D224" s="1" t="s">
        <v>2051</v>
      </c>
      <c r="E224" s="16">
        <f>VLOOKUP(A224,'Case 1'!A:W,23,FALSE)</f>
        <v>44882</v>
      </c>
      <c r="F224" s="16">
        <v>44897</v>
      </c>
      <c r="G224" s="17">
        <f t="shared" si="6"/>
        <v>15</v>
      </c>
      <c r="H224" t="str">
        <f t="shared" si="7"/>
        <v>No Heavy SAAS</v>
      </c>
      <c r="I224" t="str">
        <f>VLOOKUP(A224,'Case 1'!A:P,16,FALSE )</f>
        <v>Advanced</v>
      </c>
      <c r="K224" s="3">
        <v>506646</v>
      </c>
    </row>
    <row r="225" spans="1:11" ht="14.4" x14ac:dyDescent="0.3">
      <c r="A225" s="3">
        <v>506610</v>
      </c>
      <c r="B225" s="3">
        <v>0</v>
      </c>
      <c r="C225" s="1" t="s">
        <v>2054</v>
      </c>
      <c r="D225" s="1" t="s">
        <v>2055</v>
      </c>
      <c r="E225" s="16">
        <f>VLOOKUP(A225,'Case 1'!A:W,23,FALSE)</f>
        <v>44894</v>
      </c>
      <c r="F225" s="16">
        <v>44897</v>
      </c>
      <c r="G225" s="17">
        <f t="shared" si="6"/>
        <v>3</v>
      </c>
      <c r="H225" t="str">
        <f t="shared" si="7"/>
        <v>No Heavy SAAS</v>
      </c>
      <c r="I225" t="str">
        <f>VLOOKUP(A225,'Case 1'!A:P,16,FALSE )</f>
        <v>Premium</v>
      </c>
      <c r="K225" s="3">
        <v>506650</v>
      </c>
    </row>
    <row r="226" spans="1:11" ht="14.4" x14ac:dyDescent="0.3">
      <c r="A226" s="3">
        <v>506615</v>
      </c>
      <c r="B226" s="3">
        <v>0</v>
      </c>
      <c r="C226" s="1" t="s">
        <v>195</v>
      </c>
      <c r="D226" s="1" t="s">
        <v>2059</v>
      </c>
      <c r="E226" s="16">
        <f>VLOOKUP(A226,'Case 1'!A:W,23,FALSE)</f>
        <v>44878</v>
      </c>
      <c r="F226" s="16">
        <v>44897</v>
      </c>
      <c r="G226" s="17">
        <f t="shared" si="6"/>
        <v>19</v>
      </c>
      <c r="H226" t="str">
        <f t="shared" si="7"/>
        <v>No Heavy SAAS</v>
      </c>
      <c r="I226" t="str">
        <f>VLOOKUP(A226,'Case 1'!A:P,16,FALSE )</f>
        <v>Premium</v>
      </c>
      <c r="K226" s="3">
        <v>506651</v>
      </c>
    </row>
    <row r="227" spans="1:11" ht="14.4" x14ac:dyDescent="0.3">
      <c r="A227" s="3">
        <v>506616</v>
      </c>
      <c r="B227" s="3">
        <v>0</v>
      </c>
      <c r="C227" s="1" t="s">
        <v>1384</v>
      </c>
      <c r="D227" s="1" t="s">
        <v>2063</v>
      </c>
      <c r="E227" s="16">
        <f>VLOOKUP(A227,'Case 1'!A:W,23,FALSE)</f>
        <v>44895</v>
      </c>
      <c r="F227" s="16">
        <v>44897</v>
      </c>
      <c r="G227" s="17">
        <f t="shared" si="6"/>
        <v>2</v>
      </c>
      <c r="H227" t="str">
        <f t="shared" si="7"/>
        <v>No Heavy SAAS</v>
      </c>
      <c r="I227" t="str">
        <f>VLOOKUP(A227,'Case 1'!A:P,16,FALSE )</f>
        <v>Starter</v>
      </c>
      <c r="K227" s="3">
        <v>506654</v>
      </c>
    </row>
    <row r="228" spans="1:11" ht="14.4" x14ac:dyDescent="0.3">
      <c r="A228" s="3">
        <v>506644</v>
      </c>
      <c r="B228" s="3">
        <v>0</v>
      </c>
      <c r="C228" s="1" t="s">
        <v>321</v>
      </c>
      <c r="D228" s="1" t="s">
        <v>2085</v>
      </c>
      <c r="E228" s="16">
        <f>VLOOKUP(A228,'Case 1'!A:W,23,FALSE)</f>
        <v>44878</v>
      </c>
      <c r="F228" s="16">
        <v>44897</v>
      </c>
      <c r="G228" s="17">
        <f t="shared" si="6"/>
        <v>19</v>
      </c>
      <c r="H228" t="str">
        <f t="shared" si="7"/>
        <v>No Heavy SAAS</v>
      </c>
      <c r="I228" t="str">
        <f>VLOOKUP(A228,'Case 1'!A:P,16,FALSE )</f>
        <v>Advanced</v>
      </c>
      <c r="K228" s="3">
        <v>506655</v>
      </c>
    </row>
    <row r="229" spans="1:11" ht="14.4" x14ac:dyDescent="0.3">
      <c r="A229" s="3">
        <v>506644</v>
      </c>
      <c r="B229" s="3">
        <v>0</v>
      </c>
      <c r="C229" s="1" t="s">
        <v>2143</v>
      </c>
      <c r="D229" s="1" t="s">
        <v>2144</v>
      </c>
      <c r="E229" s="16">
        <f>VLOOKUP(A229,'Case 1'!A:W,23,FALSE)</f>
        <v>44878</v>
      </c>
      <c r="F229" s="16">
        <v>44897</v>
      </c>
      <c r="G229" s="17">
        <f t="shared" si="6"/>
        <v>19</v>
      </c>
      <c r="H229" t="str">
        <f t="shared" si="7"/>
        <v>No Heavy SAAS</v>
      </c>
      <c r="I229" t="str">
        <f>VLOOKUP(A229,'Case 1'!A:P,16,FALSE )</f>
        <v>Advanced</v>
      </c>
      <c r="K229" s="3">
        <v>506656</v>
      </c>
    </row>
    <row r="230" spans="1:11" ht="14.4" x14ac:dyDescent="0.3">
      <c r="A230" s="3">
        <v>506644</v>
      </c>
      <c r="B230" s="3">
        <v>0</v>
      </c>
      <c r="C230" s="1" t="s">
        <v>2151</v>
      </c>
      <c r="D230" s="1" t="s">
        <v>2152</v>
      </c>
      <c r="E230" s="16">
        <f>VLOOKUP(A230,'Case 1'!A:W,23,FALSE)</f>
        <v>44878</v>
      </c>
      <c r="F230" s="16">
        <v>44897</v>
      </c>
      <c r="G230" s="17">
        <f t="shared" si="6"/>
        <v>19</v>
      </c>
      <c r="H230" t="str">
        <f t="shared" si="7"/>
        <v>No Heavy SAAS</v>
      </c>
      <c r="I230" t="str">
        <f>VLOOKUP(A230,'Case 1'!A:P,16,FALSE )</f>
        <v>Advanced</v>
      </c>
      <c r="K230" s="3">
        <v>506657</v>
      </c>
    </row>
    <row r="231" spans="1:11" ht="14.4" x14ac:dyDescent="0.3">
      <c r="A231" s="3">
        <v>506645</v>
      </c>
      <c r="B231" s="3">
        <v>0</v>
      </c>
      <c r="C231" s="1" t="s">
        <v>2138</v>
      </c>
      <c r="D231" s="1" t="s">
        <v>2139</v>
      </c>
      <c r="E231" s="16">
        <f>VLOOKUP(A231,'Case 1'!A:W,23,FALSE)</f>
        <v>44890</v>
      </c>
      <c r="F231" s="16">
        <v>44897</v>
      </c>
      <c r="G231" s="17">
        <f t="shared" si="6"/>
        <v>7</v>
      </c>
      <c r="H231" t="str">
        <f t="shared" si="7"/>
        <v>No Heavy SAAS</v>
      </c>
      <c r="I231" t="str">
        <f>VLOOKUP(A231,'Case 1'!A:P,16,FALSE )</f>
        <v>Premium</v>
      </c>
      <c r="K231" s="3">
        <v>506661</v>
      </c>
    </row>
    <row r="232" spans="1:11" ht="14.4" x14ac:dyDescent="0.3">
      <c r="A232" s="3">
        <v>506645</v>
      </c>
      <c r="B232" s="3">
        <v>0</v>
      </c>
      <c r="C232" s="1" t="s">
        <v>195</v>
      </c>
      <c r="D232" s="1" t="s">
        <v>2155</v>
      </c>
      <c r="E232" s="16">
        <f>VLOOKUP(A232,'Case 1'!A:W,23,FALSE)</f>
        <v>44890</v>
      </c>
      <c r="F232" s="16">
        <v>44897</v>
      </c>
      <c r="G232" s="17">
        <f t="shared" si="6"/>
        <v>7</v>
      </c>
      <c r="H232" t="str">
        <f t="shared" si="7"/>
        <v>No Heavy SAAS</v>
      </c>
      <c r="I232" t="str">
        <f>VLOOKUP(A232,'Case 1'!A:P,16,FALSE )</f>
        <v>Premium</v>
      </c>
      <c r="K232" s="3">
        <v>506664</v>
      </c>
    </row>
    <row r="233" spans="1:11" ht="14.4" x14ac:dyDescent="0.3">
      <c r="A233" s="3">
        <v>506646</v>
      </c>
      <c r="B233" s="3">
        <v>0</v>
      </c>
      <c r="C233" s="1" t="s">
        <v>2147</v>
      </c>
      <c r="D233" s="1" t="s">
        <v>2148</v>
      </c>
      <c r="E233" s="16">
        <f>VLOOKUP(A233,'Case 1'!A:W,23,FALSE)</f>
        <v>44900</v>
      </c>
      <c r="F233" s="16">
        <v>44897</v>
      </c>
      <c r="G233" s="17">
        <f t="shared" si="6"/>
        <v>-3</v>
      </c>
      <c r="H233" t="str">
        <f t="shared" si="7"/>
        <v>No Heavy SAAS</v>
      </c>
      <c r="I233" t="str">
        <f>VLOOKUP(A233,'Case 1'!A:P,16,FALSE )</f>
        <v>Starter</v>
      </c>
      <c r="K233" s="3">
        <v>506666</v>
      </c>
    </row>
    <row r="234" spans="1:11" ht="14.4" x14ac:dyDescent="0.3">
      <c r="A234" s="3">
        <v>506650</v>
      </c>
      <c r="B234" s="3">
        <v>0</v>
      </c>
      <c r="C234" s="1" t="s">
        <v>25</v>
      </c>
      <c r="D234" s="1" t="s">
        <v>2157</v>
      </c>
      <c r="E234" s="16">
        <f>VLOOKUP(A234,'Case 1'!A:W,23,FALSE)</f>
        <v>44879</v>
      </c>
      <c r="F234" s="16">
        <v>44897</v>
      </c>
      <c r="G234" s="17">
        <f t="shared" si="6"/>
        <v>18</v>
      </c>
      <c r="H234" t="str">
        <f t="shared" si="7"/>
        <v>No Heavy SAAS</v>
      </c>
      <c r="I234" t="str">
        <f>VLOOKUP(A234,'Case 1'!A:P,16,FALSE )</f>
        <v>Starter</v>
      </c>
      <c r="K234" s="3">
        <v>506674</v>
      </c>
    </row>
    <row r="235" spans="1:11" ht="14.4" x14ac:dyDescent="0.3">
      <c r="A235" s="3">
        <v>506651</v>
      </c>
      <c r="B235" s="3">
        <v>0</v>
      </c>
      <c r="C235" s="1" t="s">
        <v>2160</v>
      </c>
      <c r="D235" s="1" t="s">
        <v>2161</v>
      </c>
      <c r="E235" s="16">
        <f>VLOOKUP(A235,'Case 1'!A:W,23,FALSE)</f>
        <v>44897</v>
      </c>
      <c r="F235" s="16">
        <v>44897</v>
      </c>
      <c r="G235" s="17">
        <f t="shared" si="6"/>
        <v>0</v>
      </c>
      <c r="H235" t="str">
        <f t="shared" si="7"/>
        <v>No Heavy SAAS</v>
      </c>
      <c r="I235" t="str">
        <f>VLOOKUP(A235,'Case 1'!A:P,16,FALSE )</f>
        <v>Advanced</v>
      </c>
      <c r="K235" s="3">
        <v>506675</v>
      </c>
    </row>
    <row r="236" spans="1:11" ht="14.4" x14ac:dyDescent="0.3">
      <c r="A236" s="3">
        <v>506654</v>
      </c>
      <c r="B236" s="3">
        <v>0</v>
      </c>
      <c r="C236" s="1" t="s">
        <v>195</v>
      </c>
      <c r="D236" s="1" t="s">
        <v>2171</v>
      </c>
      <c r="E236" s="16">
        <f>VLOOKUP(A236,'Case 1'!A:W,23,FALSE)</f>
        <v>44889</v>
      </c>
      <c r="F236" s="16">
        <v>44897</v>
      </c>
      <c r="G236" s="17">
        <f t="shared" si="6"/>
        <v>8</v>
      </c>
      <c r="H236" t="str">
        <f t="shared" si="7"/>
        <v>No Heavy SAAS</v>
      </c>
      <c r="I236" t="str">
        <f>VLOOKUP(A236,'Case 1'!A:P,16,FALSE )</f>
        <v>Premium</v>
      </c>
      <c r="K236" s="3">
        <v>506677</v>
      </c>
    </row>
    <row r="237" spans="1:11" ht="14.4" x14ac:dyDescent="0.3">
      <c r="A237" s="3">
        <v>506654</v>
      </c>
      <c r="B237" s="3">
        <v>0</v>
      </c>
      <c r="C237" s="1" t="s">
        <v>1524</v>
      </c>
      <c r="D237" s="1" t="s">
        <v>2188</v>
      </c>
      <c r="E237" s="16">
        <f>VLOOKUP(A237,'Case 1'!A:W,23,FALSE)</f>
        <v>44889</v>
      </c>
      <c r="F237" s="16">
        <v>44897</v>
      </c>
      <c r="G237" s="17">
        <f t="shared" si="6"/>
        <v>8</v>
      </c>
      <c r="H237" t="str">
        <f t="shared" si="7"/>
        <v>No Heavy SAAS</v>
      </c>
      <c r="I237" t="str">
        <f>VLOOKUP(A237,'Case 1'!A:P,16,FALSE )</f>
        <v>Premium</v>
      </c>
      <c r="K237" s="3">
        <v>506700</v>
      </c>
    </row>
    <row r="238" spans="1:11" ht="14.4" x14ac:dyDescent="0.3">
      <c r="A238" s="36">
        <v>506655</v>
      </c>
      <c r="B238" s="36">
        <v>0</v>
      </c>
      <c r="C238" s="11" t="s">
        <v>195</v>
      </c>
      <c r="D238" s="11" t="s">
        <v>2066</v>
      </c>
      <c r="E238" s="37">
        <f>VLOOKUP(A238,'Case 1'!A:W,23,FALSE)</f>
        <v>44892</v>
      </c>
      <c r="F238" s="37">
        <v>44897</v>
      </c>
      <c r="G238" s="38">
        <f t="shared" si="6"/>
        <v>5</v>
      </c>
      <c r="H238" s="39" t="str">
        <f t="shared" si="7"/>
        <v>No Heavy SAAS</v>
      </c>
      <c r="I238" s="39" t="str">
        <f>VLOOKUP(A238,'Case 1'!A:P,16,FALSE )</f>
        <v>Premium</v>
      </c>
      <c r="K238" s="3">
        <v>506701</v>
      </c>
    </row>
    <row r="239" spans="1:11" ht="14.4" x14ac:dyDescent="0.3">
      <c r="A239" s="36">
        <v>506655</v>
      </c>
      <c r="B239" s="36">
        <v>0</v>
      </c>
      <c r="C239" s="11" t="s">
        <v>2074</v>
      </c>
      <c r="D239" s="11" t="s">
        <v>2075</v>
      </c>
      <c r="E239" s="37">
        <f>VLOOKUP(A239,'Case 1'!A:W,23,FALSE)</f>
        <v>44892</v>
      </c>
      <c r="F239" s="37">
        <v>44897</v>
      </c>
      <c r="G239" s="38">
        <f t="shared" si="6"/>
        <v>5</v>
      </c>
      <c r="H239" s="39" t="str">
        <f t="shared" si="7"/>
        <v>No Heavy SAAS</v>
      </c>
      <c r="I239" s="39" t="str">
        <f>VLOOKUP(A239,'Case 1'!A:P,16,FALSE )</f>
        <v>Premium</v>
      </c>
      <c r="K239" s="3">
        <v>506704</v>
      </c>
    </row>
    <row r="240" spans="1:11" ht="14.4" x14ac:dyDescent="0.3">
      <c r="A240" s="36">
        <v>506655</v>
      </c>
      <c r="B240" s="36">
        <v>0</v>
      </c>
      <c r="C240" s="11" t="s">
        <v>1970</v>
      </c>
      <c r="D240" s="11" t="s">
        <v>1971</v>
      </c>
      <c r="E240" s="37">
        <f>VLOOKUP(A240,'Case 1'!A:W,23,FALSE)</f>
        <v>44892</v>
      </c>
      <c r="F240" s="37">
        <v>44897</v>
      </c>
      <c r="G240" s="38">
        <f t="shared" si="6"/>
        <v>5</v>
      </c>
      <c r="H240" s="39" t="str">
        <f t="shared" si="7"/>
        <v>No Heavy SAAS</v>
      </c>
      <c r="I240" s="39" t="str">
        <f>VLOOKUP(A240,'Case 1'!A:P,16,FALSE )</f>
        <v>Premium</v>
      </c>
      <c r="K240" s="3">
        <v>506705</v>
      </c>
    </row>
    <row r="241" spans="1:11" ht="14.4" x14ac:dyDescent="0.3">
      <c r="A241" s="36">
        <v>506655</v>
      </c>
      <c r="B241" s="36">
        <v>0</v>
      </c>
      <c r="C241" s="11" t="s">
        <v>1599</v>
      </c>
      <c r="D241" s="11" t="s">
        <v>2191</v>
      </c>
      <c r="E241" s="37">
        <f>VLOOKUP(A241,'Case 1'!A:W,23,FALSE)</f>
        <v>44892</v>
      </c>
      <c r="F241" s="37">
        <v>44897</v>
      </c>
      <c r="G241" s="38">
        <f t="shared" si="6"/>
        <v>5</v>
      </c>
      <c r="H241" s="39" t="str">
        <f t="shared" si="7"/>
        <v>No Heavy SAAS</v>
      </c>
      <c r="I241" s="39" t="str">
        <f>VLOOKUP(A241,'Case 1'!A:P,16,FALSE )</f>
        <v>Premium</v>
      </c>
      <c r="K241" s="3">
        <v>506706</v>
      </c>
    </row>
    <row r="242" spans="1:11" ht="14.4" x14ac:dyDescent="0.3">
      <c r="A242" s="3">
        <v>506656</v>
      </c>
      <c r="B242" s="3">
        <v>0</v>
      </c>
      <c r="C242" s="1" t="s">
        <v>2070</v>
      </c>
      <c r="D242" s="1" t="s">
        <v>2071</v>
      </c>
      <c r="E242" s="16">
        <f>VLOOKUP(A242,'Case 1'!A:W,23,FALSE)</f>
        <v>44891</v>
      </c>
      <c r="F242" s="16">
        <v>44897</v>
      </c>
      <c r="G242" s="17">
        <f t="shared" si="6"/>
        <v>6</v>
      </c>
      <c r="H242" t="str">
        <f t="shared" si="7"/>
        <v>No Heavy SAAS</v>
      </c>
      <c r="I242" t="str">
        <f>VLOOKUP(A242,'Case 1'!A:P,16,FALSE )</f>
        <v>Advanced</v>
      </c>
      <c r="K242" s="3">
        <v>506710</v>
      </c>
    </row>
    <row r="243" spans="1:11" ht="14.4" x14ac:dyDescent="0.3">
      <c r="A243" s="3">
        <v>506656</v>
      </c>
      <c r="B243" s="3">
        <v>0</v>
      </c>
      <c r="C243" s="1" t="s">
        <v>2178</v>
      </c>
      <c r="D243" s="1" t="s">
        <v>2179</v>
      </c>
      <c r="E243" s="16">
        <f>VLOOKUP(A243,'Case 1'!A:W,23,FALSE)</f>
        <v>44891</v>
      </c>
      <c r="F243" s="16">
        <v>44897</v>
      </c>
      <c r="G243" s="17">
        <f t="shared" si="6"/>
        <v>6</v>
      </c>
      <c r="H243" t="str">
        <f t="shared" si="7"/>
        <v>No Heavy SAAS</v>
      </c>
      <c r="I243" t="str">
        <f>VLOOKUP(A243,'Case 1'!A:P,16,FALSE )</f>
        <v>Advanced</v>
      </c>
      <c r="K243" s="3">
        <v>506711</v>
      </c>
    </row>
    <row r="244" spans="1:11" ht="14.4" x14ac:dyDescent="0.3">
      <c r="A244" s="3">
        <v>506657</v>
      </c>
      <c r="B244" s="3">
        <v>0</v>
      </c>
      <c r="C244" s="1" t="s">
        <v>2183</v>
      </c>
      <c r="D244" s="1" t="s">
        <v>2184</v>
      </c>
      <c r="E244" s="16">
        <f>VLOOKUP(A244,'Case 1'!A:W,23,FALSE)</f>
        <v>44901</v>
      </c>
      <c r="F244" s="16">
        <v>44897</v>
      </c>
      <c r="G244" s="17">
        <f t="shared" si="6"/>
        <v>-4</v>
      </c>
      <c r="H244" t="str">
        <f t="shared" si="7"/>
        <v>No Heavy SAAS</v>
      </c>
      <c r="I244" t="str">
        <f>VLOOKUP(A244,'Case 1'!A:P,16,FALSE )</f>
        <v>Starter</v>
      </c>
      <c r="K244" s="3">
        <v>506714</v>
      </c>
    </row>
    <row r="245" spans="1:11" ht="14.4" x14ac:dyDescent="0.3">
      <c r="A245" s="3">
        <v>506661</v>
      </c>
      <c r="B245" s="3">
        <v>0</v>
      </c>
      <c r="C245" s="1" t="s">
        <v>2115</v>
      </c>
      <c r="D245" s="1" t="s">
        <v>2116</v>
      </c>
      <c r="E245" s="16">
        <f>VLOOKUP(A245,'Case 1'!A:W,23,FALSE)</f>
        <v>44878</v>
      </c>
      <c r="F245" s="16">
        <v>44897</v>
      </c>
      <c r="G245" s="17">
        <f t="shared" si="6"/>
        <v>19</v>
      </c>
      <c r="H245" t="str">
        <f t="shared" si="7"/>
        <v>No Heavy SAAS</v>
      </c>
      <c r="I245" t="str">
        <f>VLOOKUP(A245,'Case 1'!A:P,16,FALSE )</f>
        <v>Premium</v>
      </c>
      <c r="K245" s="3">
        <v>506715</v>
      </c>
    </row>
    <row r="246" spans="1:11" ht="14.4" x14ac:dyDescent="0.3">
      <c r="A246" s="3">
        <v>506664</v>
      </c>
      <c r="B246" s="3">
        <v>0</v>
      </c>
      <c r="C246" s="1" t="s">
        <v>1367</v>
      </c>
      <c r="D246" s="1" t="s">
        <v>2128</v>
      </c>
      <c r="E246" s="16">
        <f>VLOOKUP(A246,'Case 1'!A:W,23,FALSE)</f>
        <v>44877</v>
      </c>
      <c r="F246" s="16">
        <v>44897</v>
      </c>
      <c r="G246" s="17">
        <f t="shared" si="6"/>
        <v>20</v>
      </c>
      <c r="H246" t="str">
        <f t="shared" si="7"/>
        <v>No Heavy SAAS</v>
      </c>
      <c r="I246" t="str">
        <f>VLOOKUP(A246,'Case 1'!A:P,16,FALSE )</f>
        <v>Starter</v>
      </c>
      <c r="K246" s="3">
        <v>506717</v>
      </c>
    </row>
    <row r="247" spans="1:11" ht="14.4" x14ac:dyDescent="0.3">
      <c r="A247" s="3">
        <v>506666</v>
      </c>
      <c r="B247" s="3">
        <v>0</v>
      </c>
      <c r="C247" s="1" t="s">
        <v>2123</v>
      </c>
      <c r="D247" s="1" t="s">
        <v>2124</v>
      </c>
      <c r="E247" s="16">
        <f>VLOOKUP(A247,'Case 1'!A:W,23,FALSE)</f>
        <v>44877</v>
      </c>
      <c r="F247" s="16">
        <v>44897</v>
      </c>
      <c r="G247" s="17">
        <f t="shared" si="6"/>
        <v>20</v>
      </c>
      <c r="H247" t="str">
        <f t="shared" si="7"/>
        <v>No Heavy SAAS</v>
      </c>
      <c r="I247" t="str">
        <f>VLOOKUP(A247,'Case 1'!A:P,16,FALSE )</f>
        <v>Advanced</v>
      </c>
      <c r="K247" s="3">
        <v>506740</v>
      </c>
    </row>
    <row r="248" spans="1:11" ht="14.4" x14ac:dyDescent="0.3">
      <c r="A248" s="3">
        <v>506674</v>
      </c>
      <c r="B248" s="3">
        <v>0</v>
      </c>
      <c r="C248" s="1" t="s">
        <v>2131</v>
      </c>
      <c r="D248" s="1" t="s">
        <v>2132</v>
      </c>
      <c r="E248" s="16">
        <f>VLOOKUP(A248,'Case 1'!A:W,23,FALSE)</f>
        <v>44882</v>
      </c>
      <c r="F248" s="16">
        <v>44897</v>
      </c>
      <c r="G248" s="17">
        <f t="shared" si="6"/>
        <v>15</v>
      </c>
      <c r="H248" t="str">
        <f t="shared" si="7"/>
        <v>No Heavy SAAS</v>
      </c>
      <c r="I248" t="str">
        <f>VLOOKUP(A248,'Case 1'!A:P,16,FALSE )</f>
        <v>Premium</v>
      </c>
      <c r="K248" s="3">
        <v>506741</v>
      </c>
    </row>
    <row r="249" spans="1:11" ht="14.4" x14ac:dyDescent="0.3">
      <c r="A249" s="3">
        <v>506675</v>
      </c>
      <c r="B249" s="3">
        <v>0</v>
      </c>
      <c r="C249" s="1" t="s">
        <v>2136</v>
      </c>
      <c r="D249" s="1" t="s">
        <v>2137</v>
      </c>
      <c r="E249" s="16">
        <f>VLOOKUP(A249,'Case 1'!A:W,23,FALSE)</f>
        <v>44885</v>
      </c>
      <c r="F249" s="16">
        <v>44897</v>
      </c>
      <c r="G249" s="17">
        <f t="shared" si="6"/>
        <v>12</v>
      </c>
      <c r="H249" t="str">
        <f t="shared" si="7"/>
        <v>No Heavy SAAS</v>
      </c>
      <c r="I249" t="str">
        <f>VLOOKUP(A249,'Case 1'!A:P,16,FALSE )</f>
        <v>Advanced</v>
      </c>
      <c r="K249" s="3">
        <v>506744</v>
      </c>
    </row>
    <row r="250" spans="1:11" ht="14.4" x14ac:dyDescent="0.3">
      <c r="A250" s="3">
        <v>506677</v>
      </c>
      <c r="B250" s="3">
        <v>0</v>
      </c>
      <c r="C250" s="1" t="s">
        <v>2129</v>
      </c>
      <c r="D250" s="1" t="s">
        <v>2130</v>
      </c>
      <c r="E250" s="16">
        <f>VLOOKUP(A250,'Case 1'!A:W,23,FALSE)</f>
        <v>44903</v>
      </c>
      <c r="F250" s="16">
        <v>44897</v>
      </c>
      <c r="G250" s="17">
        <f t="shared" si="6"/>
        <v>-6</v>
      </c>
      <c r="H250" t="str">
        <f t="shared" si="7"/>
        <v>No Heavy SAAS</v>
      </c>
      <c r="I250" t="str">
        <f>VLOOKUP(A250,'Case 1'!A:P,16,FALSE )</f>
        <v>Starter</v>
      </c>
      <c r="K250" s="3">
        <v>506745</v>
      </c>
    </row>
    <row r="251" spans="1:11" ht="14.4" x14ac:dyDescent="0.3">
      <c r="A251" s="3">
        <v>506700</v>
      </c>
      <c r="B251" s="3">
        <v>0</v>
      </c>
      <c r="C251" s="1" t="s">
        <v>2194</v>
      </c>
      <c r="D251" s="1" t="s">
        <v>2195</v>
      </c>
      <c r="E251" s="16">
        <f>VLOOKUP(A251,'Case 1'!A:W,23,FALSE)</f>
        <v>44887</v>
      </c>
      <c r="F251" s="16">
        <v>44897</v>
      </c>
      <c r="G251" s="17">
        <f t="shared" si="6"/>
        <v>10</v>
      </c>
      <c r="H251" t="str">
        <f t="shared" si="7"/>
        <v>No Heavy SAAS</v>
      </c>
      <c r="I251" t="str">
        <f>VLOOKUP(A251,'Case 1'!A:P,16,FALSE )</f>
        <v>Advanced</v>
      </c>
      <c r="K251" s="3">
        <v>506746</v>
      </c>
    </row>
    <row r="252" spans="1:11" ht="14.4" x14ac:dyDescent="0.3">
      <c r="A252" s="3">
        <v>506701</v>
      </c>
      <c r="B252" s="3">
        <v>0</v>
      </c>
      <c r="C252" s="1" t="s">
        <v>2197</v>
      </c>
      <c r="D252" s="1" t="s">
        <v>2198</v>
      </c>
      <c r="E252" s="16">
        <f>VLOOKUP(A252,'Case 1'!A:W,23,FALSE)</f>
        <v>44894</v>
      </c>
      <c r="F252" s="16">
        <v>44897</v>
      </c>
      <c r="G252" s="17">
        <f t="shared" si="6"/>
        <v>3</v>
      </c>
      <c r="H252" t="str">
        <f t="shared" si="7"/>
        <v>No Heavy SAAS</v>
      </c>
      <c r="I252" t="str">
        <f>VLOOKUP(A252,'Case 1'!A:P,16,FALSE )</f>
        <v>Starter</v>
      </c>
      <c r="K252" s="3">
        <v>506747</v>
      </c>
    </row>
    <row r="253" spans="1:11" ht="14.4" x14ac:dyDescent="0.3">
      <c r="A253" s="3">
        <v>506704</v>
      </c>
      <c r="B253" s="3">
        <v>0</v>
      </c>
      <c r="C253" s="1" t="s">
        <v>2210</v>
      </c>
      <c r="D253" s="1" t="s">
        <v>2211</v>
      </c>
      <c r="E253" s="16">
        <f>VLOOKUP(A253,'Case 1'!A:W,23,FALSE)</f>
        <v>44902</v>
      </c>
      <c r="F253" s="16">
        <v>44897</v>
      </c>
      <c r="G253" s="17">
        <f t="shared" si="6"/>
        <v>-5</v>
      </c>
      <c r="H253" t="str">
        <f t="shared" si="7"/>
        <v>No Heavy SAAS</v>
      </c>
      <c r="I253" t="str">
        <f>VLOOKUP(A253,'Case 1'!A:P,16,FALSE )</f>
        <v>Starter</v>
      </c>
      <c r="K253" s="3">
        <v>506750</v>
      </c>
    </row>
    <row r="254" spans="1:11" ht="14.4" x14ac:dyDescent="0.3">
      <c r="A254" s="3">
        <v>506704</v>
      </c>
      <c r="B254" s="3">
        <v>0</v>
      </c>
      <c r="C254" s="1" t="s">
        <v>1599</v>
      </c>
      <c r="D254" s="1" t="s">
        <v>2221</v>
      </c>
      <c r="E254" s="16">
        <f>VLOOKUP(A254,'Case 1'!A:W,23,FALSE)</f>
        <v>44902</v>
      </c>
      <c r="F254" s="16">
        <v>44897</v>
      </c>
      <c r="G254" s="17">
        <f t="shared" si="6"/>
        <v>-5</v>
      </c>
      <c r="H254" t="str">
        <f t="shared" si="7"/>
        <v>No Heavy SAAS</v>
      </c>
      <c r="I254" t="str">
        <f>VLOOKUP(A254,'Case 1'!A:P,16,FALSE )</f>
        <v>Starter</v>
      </c>
      <c r="K254" s="3">
        <v>506751</v>
      </c>
    </row>
    <row r="255" spans="1:11" ht="14.4" x14ac:dyDescent="0.3">
      <c r="A255" s="3">
        <v>506705</v>
      </c>
      <c r="B255" s="3">
        <v>0</v>
      </c>
      <c r="C255" s="1" t="s">
        <v>76</v>
      </c>
      <c r="D255" s="1" t="s">
        <v>2202</v>
      </c>
      <c r="E255" s="16">
        <f>VLOOKUP(A255,'Case 1'!A:W,23,FALSE)</f>
        <v>44903</v>
      </c>
      <c r="F255" s="16">
        <v>44897</v>
      </c>
      <c r="G255" s="17">
        <f t="shared" si="6"/>
        <v>-6</v>
      </c>
      <c r="H255" t="str">
        <f t="shared" si="7"/>
        <v>No Heavy SAAS</v>
      </c>
      <c r="I255" t="str">
        <f>VLOOKUP(A255,'Case 1'!A:P,16,FALSE )</f>
        <v>Premium</v>
      </c>
      <c r="K255" s="3">
        <v>506754</v>
      </c>
    </row>
    <row r="256" spans="1:11" ht="14.4" x14ac:dyDescent="0.3">
      <c r="A256" s="3">
        <v>506705</v>
      </c>
      <c r="B256" s="3">
        <v>0</v>
      </c>
      <c r="C256" s="1" t="s">
        <v>2222</v>
      </c>
      <c r="D256" s="1" t="s">
        <v>2223</v>
      </c>
      <c r="E256" s="16">
        <f>VLOOKUP(A256,'Case 1'!A:W,23,FALSE)</f>
        <v>44903</v>
      </c>
      <c r="F256" s="16">
        <v>44897</v>
      </c>
      <c r="G256" s="17">
        <f t="shared" si="6"/>
        <v>-6</v>
      </c>
      <c r="H256" t="str">
        <f t="shared" si="7"/>
        <v>No Heavy SAAS</v>
      </c>
      <c r="I256" t="str">
        <f>VLOOKUP(A256,'Case 1'!A:P,16,FALSE )</f>
        <v>Premium</v>
      </c>
      <c r="K256" s="3">
        <v>506755</v>
      </c>
    </row>
    <row r="257" spans="1:11" ht="14.4" x14ac:dyDescent="0.3">
      <c r="A257" s="3">
        <v>506706</v>
      </c>
      <c r="B257" s="3">
        <v>0</v>
      </c>
      <c r="C257" s="1" t="s">
        <v>2217</v>
      </c>
      <c r="D257" s="1" t="s">
        <v>2218</v>
      </c>
      <c r="E257" s="16">
        <f>VLOOKUP(A257,'Case 1'!A:W,23,FALSE)</f>
        <v>44901</v>
      </c>
      <c r="F257" s="16">
        <v>44897</v>
      </c>
      <c r="G257" s="17">
        <f t="shared" si="6"/>
        <v>-4</v>
      </c>
      <c r="H257" t="str">
        <f t="shared" si="7"/>
        <v>No Heavy SAAS</v>
      </c>
      <c r="I257" t="str">
        <f>VLOOKUP(A257,'Case 1'!A:P,16,FALSE )</f>
        <v>Starter</v>
      </c>
      <c r="K257" s="3">
        <v>506756</v>
      </c>
    </row>
    <row r="258" spans="1:11" ht="14.4" x14ac:dyDescent="0.3">
      <c r="A258" s="3">
        <v>506710</v>
      </c>
      <c r="B258" s="3">
        <v>0</v>
      </c>
      <c r="C258" s="1" t="s">
        <v>1367</v>
      </c>
      <c r="D258" s="1" t="s">
        <v>2226</v>
      </c>
      <c r="E258" s="16">
        <f>VLOOKUP(A258,'Case 1'!A:W,23,FALSE)</f>
        <v>44890</v>
      </c>
      <c r="F258" s="16">
        <v>44897</v>
      </c>
      <c r="G258" s="17">
        <f t="shared" ref="G258:G321" si="8">F258-E258</f>
        <v>7</v>
      </c>
      <c r="H258" t="str">
        <f t="shared" ref="H258:H321" si="9">+IF(AND(B258&gt;40,G258&lt;30),"Heavy SAAS","No Heavy SAAS")</f>
        <v>No Heavy SAAS</v>
      </c>
      <c r="I258" t="str">
        <f>VLOOKUP(A258,'Case 1'!A:P,16,FALSE )</f>
        <v>Premium</v>
      </c>
      <c r="K258" s="3">
        <v>506757</v>
      </c>
    </row>
    <row r="259" spans="1:11" ht="14.4" x14ac:dyDescent="0.3">
      <c r="A259" s="3">
        <v>506711</v>
      </c>
      <c r="B259" s="3">
        <v>0</v>
      </c>
      <c r="C259" s="1" t="s">
        <v>232</v>
      </c>
      <c r="D259" s="1" t="s">
        <v>233</v>
      </c>
      <c r="E259" s="16">
        <f>VLOOKUP(A259,'Case 1'!A:W,23,FALSE)</f>
        <v>44903</v>
      </c>
      <c r="F259" s="16">
        <v>44897</v>
      </c>
      <c r="G259" s="17">
        <f t="shared" si="8"/>
        <v>-6</v>
      </c>
      <c r="H259" t="str">
        <f t="shared" si="9"/>
        <v>No Heavy SAAS</v>
      </c>
      <c r="I259" t="str">
        <f>VLOOKUP(A259,'Case 1'!A:P,16,FALSE )</f>
        <v>Advanced</v>
      </c>
      <c r="K259" s="3">
        <v>507507</v>
      </c>
    </row>
    <row r="260" spans="1:11" ht="14.4" x14ac:dyDescent="0.3">
      <c r="A260" s="3">
        <v>506714</v>
      </c>
      <c r="B260" s="3">
        <v>0</v>
      </c>
      <c r="C260" s="1" t="s">
        <v>182</v>
      </c>
      <c r="D260" s="1" t="s">
        <v>2241</v>
      </c>
      <c r="E260" s="16">
        <f>VLOOKUP(A260,'Case 1'!A:W,23,FALSE)</f>
        <v>44891</v>
      </c>
      <c r="F260" s="16">
        <v>44897</v>
      </c>
      <c r="G260" s="17">
        <f t="shared" si="8"/>
        <v>6</v>
      </c>
      <c r="H260" t="str">
        <f t="shared" si="9"/>
        <v>No Heavy SAAS</v>
      </c>
      <c r="I260" t="str">
        <f>VLOOKUP(A260,'Case 1'!A:P,16,FALSE )</f>
        <v>Advanced</v>
      </c>
      <c r="K260" s="3">
        <v>510430</v>
      </c>
    </row>
    <row r="261" spans="1:11" ht="14.4" x14ac:dyDescent="0.3">
      <c r="A261" s="3">
        <v>506715</v>
      </c>
      <c r="B261" s="3">
        <v>0</v>
      </c>
      <c r="C261" s="1" t="s">
        <v>2231</v>
      </c>
      <c r="D261" s="1" t="s">
        <v>2232</v>
      </c>
      <c r="E261" s="16">
        <f>VLOOKUP(A261,'Case 1'!A:W,23,FALSE)</f>
        <v>44893</v>
      </c>
      <c r="F261" s="16">
        <v>44897</v>
      </c>
      <c r="G261" s="17">
        <f t="shared" si="8"/>
        <v>4</v>
      </c>
      <c r="H261" t="str">
        <f t="shared" si="9"/>
        <v>No Heavy SAAS</v>
      </c>
      <c r="I261" t="str">
        <f>VLOOKUP(A261,'Case 1'!A:P,16,FALSE )</f>
        <v>Starter</v>
      </c>
      <c r="K261" s="3">
        <v>510505</v>
      </c>
    </row>
    <row r="262" spans="1:11" ht="14.4" x14ac:dyDescent="0.3">
      <c r="A262" s="3">
        <v>506715</v>
      </c>
      <c r="B262" s="3">
        <v>0</v>
      </c>
      <c r="C262" s="1" t="s">
        <v>1331</v>
      </c>
      <c r="D262" s="1" t="s">
        <v>2245</v>
      </c>
      <c r="E262" s="16">
        <f>VLOOKUP(A262,'Case 1'!A:W,23,FALSE)</f>
        <v>44893</v>
      </c>
      <c r="F262" s="16">
        <v>44897</v>
      </c>
      <c r="G262" s="17">
        <f t="shared" si="8"/>
        <v>4</v>
      </c>
      <c r="H262" t="str">
        <f t="shared" si="9"/>
        <v>No Heavy SAAS</v>
      </c>
      <c r="I262" t="str">
        <f>VLOOKUP(A262,'Case 1'!A:P,16,FALSE )</f>
        <v>Starter</v>
      </c>
      <c r="K262" s="3">
        <v>511505</v>
      </c>
    </row>
    <row r="263" spans="1:11" ht="14.4" x14ac:dyDescent="0.3">
      <c r="A263" s="3">
        <v>506717</v>
      </c>
      <c r="B263" s="3">
        <v>0</v>
      </c>
      <c r="C263" s="1" t="s">
        <v>321</v>
      </c>
      <c r="D263" s="1" t="s">
        <v>2240</v>
      </c>
      <c r="E263" s="16">
        <f>VLOOKUP(A263,'Case 1'!A:W,23,FALSE)</f>
        <v>44897</v>
      </c>
      <c r="F263" s="16">
        <v>44897</v>
      </c>
      <c r="G263" s="17">
        <f t="shared" si="8"/>
        <v>0</v>
      </c>
      <c r="H263" t="str">
        <f t="shared" si="9"/>
        <v>No Heavy SAAS</v>
      </c>
      <c r="I263" t="str">
        <f>VLOOKUP(A263,'Case 1'!A:P,16,FALSE )</f>
        <v>Premium</v>
      </c>
      <c r="K263" s="3">
        <v>513057</v>
      </c>
    </row>
    <row r="264" spans="1:11" ht="14.4" x14ac:dyDescent="0.3">
      <c r="A264" s="3">
        <v>506740</v>
      </c>
      <c r="B264" s="3">
        <v>0</v>
      </c>
      <c r="C264" s="1" t="s">
        <v>1746</v>
      </c>
      <c r="D264" s="1" t="s">
        <v>2318</v>
      </c>
      <c r="E264" s="16">
        <f>VLOOKUP(A264,'Case 1'!A:W,23,FALSE)</f>
        <v>44899</v>
      </c>
      <c r="F264" s="16">
        <v>44897</v>
      </c>
      <c r="G264" s="17">
        <f t="shared" si="8"/>
        <v>-2</v>
      </c>
      <c r="H264" t="str">
        <f t="shared" si="9"/>
        <v>No Heavy SAAS</v>
      </c>
      <c r="I264" t="str">
        <f>VLOOKUP(A264,'Case 1'!A:P,16,FALSE )</f>
        <v>Starter</v>
      </c>
      <c r="K264" s="3">
        <v>514305</v>
      </c>
    </row>
    <row r="265" spans="1:11" ht="14.4" x14ac:dyDescent="0.3">
      <c r="A265" s="3">
        <v>506741</v>
      </c>
      <c r="B265" s="3">
        <v>0</v>
      </c>
      <c r="C265" s="1" t="s">
        <v>2321</v>
      </c>
      <c r="D265" s="1" t="s">
        <v>2322</v>
      </c>
      <c r="E265" s="16">
        <f>VLOOKUP(A265,'Case 1'!A:W,23,FALSE)</f>
        <v>44893</v>
      </c>
      <c r="F265" s="16">
        <v>44897</v>
      </c>
      <c r="G265" s="17">
        <f t="shared" si="8"/>
        <v>4</v>
      </c>
      <c r="H265" t="str">
        <f t="shared" si="9"/>
        <v>No Heavy SAAS</v>
      </c>
      <c r="I265" t="str">
        <f>VLOOKUP(A265,'Case 1'!A:P,16,FALSE )</f>
        <v>Starter</v>
      </c>
      <c r="K265" s="3">
        <v>515055</v>
      </c>
    </row>
    <row r="266" spans="1:11" ht="14.4" x14ac:dyDescent="0.3">
      <c r="A266" s="3">
        <v>506744</v>
      </c>
      <c r="B266" s="3">
        <v>0</v>
      </c>
      <c r="C266" s="1" t="s">
        <v>365</v>
      </c>
      <c r="D266" s="1" t="s">
        <v>2330</v>
      </c>
      <c r="E266" s="16">
        <f>VLOOKUP(A266,'Case 1'!A:W,23,FALSE)</f>
        <v>44895</v>
      </c>
      <c r="F266" s="16">
        <v>44897</v>
      </c>
      <c r="G266" s="17">
        <f t="shared" si="8"/>
        <v>2</v>
      </c>
      <c r="H266" t="str">
        <f t="shared" si="9"/>
        <v>No Heavy SAAS</v>
      </c>
      <c r="I266" t="str">
        <f>VLOOKUP(A266,'Case 1'!A:P,16,FALSE )</f>
        <v>Advanced</v>
      </c>
      <c r="K266" s="3">
        <v>515306</v>
      </c>
    </row>
    <row r="267" spans="1:11" ht="14.4" x14ac:dyDescent="0.3">
      <c r="A267" s="3">
        <v>506744</v>
      </c>
      <c r="B267" s="3">
        <v>0</v>
      </c>
      <c r="C267" s="1" t="s">
        <v>37</v>
      </c>
      <c r="D267" s="1" t="s">
        <v>2343</v>
      </c>
      <c r="E267" s="16">
        <f>VLOOKUP(A267,'Case 1'!A:W,23,FALSE)</f>
        <v>44895</v>
      </c>
      <c r="F267" s="16">
        <v>44897</v>
      </c>
      <c r="G267" s="17">
        <f t="shared" si="8"/>
        <v>2</v>
      </c>
      <c r="H267" t="str">
        <f t="shared" si="9"/>
        <v>No Heavy SAAS</v>
      </c>
      <c r="I267" t="str">
        <f>VLOOKUP(A267,'Case 1'!A:P,16,FALSE )</f>
        <v>Advanced</v>
      </c>
      <c r="K267" s="3">
        <v>515501</v>
      </c>
    </row>
    <row r="268" spans="1:11" ht="14.4" x14ac:dyDescent="0.3">
      <c r="A268" s="3">
        <v>506745</v>
      </c>
      <c r="B268" s="3">
        <v>0</v>
      </c>
      <c r="C268" s="1" t="s">
        <v>1524</v>
      </c>
      <c r="D268" s="1" t="s">
        <v>2323</v>
      </c>
      <c r="E268" s="16">
        <f>VLOOKUP(A268,'Case 1'!A:W,23,FALSE)</f>
        <v>44901</v>
      </c>
      <c r="F268" s="16">
        <v>44897</v>
      </c>
      <c r="G268" s="17">
        <f t="shared" si="8"/>
        <v>-4</v>
      </c>
      <c r="H268" t="str">
        <f t="shared" si="9"/>
        <v>No Heavy SAAS</v>
      </c>
      <c r="I268" t="str">
        <f>VLOOKUP(A268,'Case 1'!A:P,16,FALSE )</f>
        <v>Premium</v>
      </c>
      <c r="K268" s="3">
        <v>530040</v>
      </c>
    </row>
    <row r="269" spans="1:11" ht="14.4" x14ac:dyDescent="0.3">
      <c r="A269" s="3">
        <v>506746</v>
      </c>
      <c r="B269" s="3">
        <v>0</v>
      </c>
      <c r="C269" s="1" t="s">
        <v>2337</v>
      </c>
      <c r="D269" s="1" t="s">
        <v>2338</v>
      </c>
      <c r="E269" s="16">
        <f>VLOOKUP(A269,'Case 1'!A:W,23,FALSE)</f>
        <v>44881</v>
      </c>
      <c r="F269" s="16">
        <v>44897</v>
      </c>
      <c r="G269" s="17">
        <f t="shared" si="8"/>
        <v>16</v>
      </c>
      <c r="H269" t="str">
        <f t="shared" si="9"/>
        <v>No Heavy SAAS</v>
      </c>
      <c r="I269" t="str">
        <f>VLOOKUP(A269,'Case 1'!A:P,16,FALSE )</f>
        <v>Premium</v>
      </c>
      <c r="K269" s="3">
        <v>530054</v>
      </c>
    </row>
    <row r="270" spans="1:11" ht="14.4" x14ac:dyDescent="0.3">
      <c r="A270" s="3">
        <v>506747</v>
      </c>
      <c r="B270" s="3">
        <v>0</v>
      </c>
      <c r="C270" s="1" t="s">
        <v>2341</v>
      </c>
      <c r="D270" s="1" t="s">
        <v>2342</v>
      </c>
      <c r="E270" s="16">
        <f>VLOOKUP(A270,'Case 1'!A:W,23,FALSE)</f>
        <v>44896</v>
      </c>
      <c r="F270" s="16">
        <v>44897</v>
      </c>
      <c r="G270" s="17">
        <f t="shared" si="8"/>
        <v>1</v>
      </c>
      <c r="H270" t="str">
        <f t="shared" si="9"/>
        <v>No Heavy SAAS</v>
      </c>
      <c r="I270" t="str">
        <f>VLOOKUP(A270,'Case 1'!A:P,16,FALSE )</f>
        <v>Premium</v>
      </c>
      <c r="K270" s="3">
        <v>530144</v>
      </c>
    </row>
    <row r="271" spans="1:11" ht="14.4" x14ac:dyDescent="0.3">
      <c r="A271" s="3">
        <v>506750</v>
      </c>
      <c r="B271" s="3">
        <v>0</v>
      </c>
      <c r="C271" s="1" t="s">
        <v>2246</v>
      </c>
      <c r="D271" s="1" t="s">
        <v>2247</v>
      </c>
      <c r="E271" s="16">
        <f>VLOOKUP(A271,'Case 1'!A:W,23,FALSE)</f>
        <v>44887</v>
      </c>
      <c r="F271" s="16">
        <v>44897</v>
      </c>
      <c r="G271" s="17">
        <f t="shared" si="8"/>
        <v>10</v>
      </c>
      <c r="H271" t="str">
        <f t="shared" si="9"/>
        <v>No Heavy SAAS</v>
      </c>
      <c r="I271" t="str">
        <f>VLOOKUP(A271,'Case 1'!A:P,16,FALSE )</f>
        <v>Advanced</v>
      </c>
      <c r="K271" s="3">
        <v>530416</v>
      </c>
    </row>
    <row r="272" spans="1:11" ht="14.4" x14ac:dyDescent="0.3">
      <c r="A272" s="3">
        <v>506751</v>
      </c>
      <c r="B272" s="3">
        <v>0</v>
      </c>
      <c r="C272" s="1" t="s">
        <v>2250</v>
      </c>
      <c r="D272" s="1" t="s">
        <v>2251</v>
      </c>
      <c r="E272" s="16">
        <f>VLOOKUP(A272,'Case 1'!A:W,23,FALSE)</f>
        <v>44895</v>
      </c>
      <c r="F272" s="16">
        <v>44897</v>
      </c>
      <c r="G272" s="17">
        <f t="shared" si="8"/>
        <v>2</v>
      </c>
      <c r="H272" t="str">
        <f t="shared" si="9"/>
        <v>No Heavy SAAS</v>
      </c>
      <c r="I272" t="str">
        <f>VLOOKUP(A272,'Case 1'!A:P,16,FALSE )</f>
        <v>Premium</v>
      </c>
      <c r="K272" s="3">
        <v>530455</v>
      </c>
    </row>
    <row r="273" spans="1:11" ht="14.4" x14ac:dyDescent="0.3">
      <c r="A273" s="3">
        <v>506754</v>
      </c>
      <c r="B273" s="3">
        <v>0</v>
      </c>
      <c r="C273" s="1" t="s">
        <v>2261</v>
      </c>
      <c r="D273" s="1" t="s">
        <v>2262</v>
      </c>
      <c r="E273" s="16">
        <f>VLOOKUP(A273,'Case 1'!A:W,23,FALSE)</f>
        <v>44881</v>
      </c>
      <c r="F273" s="16">
        <v>44897</v>
      </c>
      <c r="G273" s="17">
        <f t="shared" si="8"/>
        <v>16</v>
      </c>
      <c r="H273" t="str">
        <f t="shared" si="9"/>
        <v>No Heavy SAAS</v>
      </c>
      <c r="I273" t="str">
        <f>VLOOKUP(A273,'Case 1'!A:P,16,FALSE )</f>
        <v>Premium</v>
      </c>
      <c r="K273" s="3">
        <v>530505</v>
      </c>
    </row>
    <row r="274" spans="1:11" ht="14.4" x14ac:dyDescent="0.3">
      <c r="A274" s="3">
        <v>506754</v>
      </c>
      <c r="B274" s="3">
        <v>0</v>
      </c>
      <c r="C274" s="1" t="s">
        <v>1599</v>
      </c>
      <c r="D274" s="1" t="s">
        <v>2278</v>
      </c>
      <c r="E274" s="16">
        <f>VLOOKUP(A274,'Case 1'!A:W,23,FALSE)</f>
        <v>44881</v>
      </c>
      <c r="F274" s="16">
        <v>44897</v>
      </c>
      <c r="G274" s="17">
        <f t="shared" si="8"/>
        <v>16</v>
      </c>
      <c r="H274" t="str">
        <f t="shared" si="9"/>
        <v>No Heavy SAAS</v>
      </c>
      <c r="I274" t="str">
        <f>VLOOKUP(A274,'Case 1'!A:P,16,FALSE )</f>
        <v>Premium</v>
      </c>
      <c r="K274" s="3">
        <v>530516</v>
      </c>
    </row>
    <row r="275" spans="1:11" ht="14.4" x14ac:dyDescent="0.3">
      <c r="A275" s="3">
        <v>506755</v>
      </c>
      <c r="B275" s="3">
        <v>0</v>
      </c>
      <c r="C275" s="1" t="s">
        <v>25</v>
      </c>
      <c r="D275" s="1" t="s">
        <v>2255</v>
      </c>
      <c r="E275" s="16">
        <f>VLOOKUP(A275,'Case 1'!A:W,23,FALSE)</f>
        <v>44896</v>
      </c>
      <c r="F275" s="16">
        <v>44897</v>
      </c>
      <c r="G275" s="17">
        <f t="shared" si="8"/>
        <v>1</v>
      </c>
      <c r="H275" t="str">
        <f t="shared" si="9"/>
        <v>No Heavy SAAS</v>
      </c>
      <c r="I275" t="str">
        <f>VLOOKUP(A275,'Case 1'!A:P,16,FALSE )</f>
        <v>Advanced</v>
      </c>
      <c r="K275" s="3">
        <v>530545</v>
      </c>
    </row>
    <row r="276" spans="1:11" ht="14.4" x14ac:dyDescent="0.3">
      <c r="A276" s="3">
        <v>506755</v>
      </c>
      <c r="B276" s="3">
        <v>0</v>
      </c>
      <c r="C276" s="1" t="s">
        <v>2281</v>
      </c>
      <c r="D276" s="1" t="s">
        <v>2282</v>
      </c>
      <c r="E276" s="16">
        <f>VLOOKUP(A276,'Case 1'!A:W,23,FALSE)</f>
        <v>44896</v>
      </c>
      <c r="F276" s="16">
        <v>44897</v>
      </c>
      <c r="G276" s="17">
        <f t="shared" si="8"/>
        <v>1</v>
      </c>
      <c r="H276" t="str">
        <f t="shared" si="9"/>
        <v>No Heavy SAAS</v>
      </c>
      <c r="I276" t="str">
        <f>VLOOKUP(A276,'Case 1'!A:P,16,FALSE )</f>
        <v>Advanced</v>
      </c>
      <c r="K276" s="3">
        <v>530604</v>
      </c>
    </row>
    <row r="277" spans="1:11" ht="14.4" x14ac:dyDescent="0.3">
      <c r="A277" s="3">
        <v>506756</v>
      </c>
      <c r="B277" s="3">
        <v>0</v>
      </c>
      <c r="C277" s="1" t="s">
        <v>2269</v>
      </c>
      <c r="D277" s="1" t="s">
        <v>2270</v>
      </c>
      <c r="E277" s="16">
        <f>VLOOKUP(A277,'Case 1'!A:W,23,FALSE)</f>
        <v>44878</v>
      </c>
      <c r="F277" s="16">
        <v>44897</v>
      </c>
      <c r="G277" s="17">
        <f t="shared" si="8"/>
        <v>19</v>
      </c>
      <c r="H277" t="str">
        <f t="shared" si="9"/>
        <v>No Heavy SAAS</v>
      </c>
      <c r="I277" t="str">
        <f>VLOOKUP(A277,'Case 1'!A:P,16,FALSE )</f>
        <v>Premium</v>
      </c>
      <c r="K277" s="3">
        <v>530644</v>
      </c>
    </row>
    <row r="278" spans="1:11" ht="14.4" x14ac:dyDescent="0.3">
      <c r="A278" s="3">
        <v>506757</v>
      </c>
      <c r="B278" s="3">
        <v>0</v>
      </c>
      <c r="C278" s="1" t="s">
        <v>2273</v>
      </c>
      <c r="D278" s="1" t="s">
        <v>2274</v>
      </c>
      <c r="E278" s="16">
        <f>VLOOKUP(A278,'Case 1'!A:W,23,FALSE)</f>
        <v>44885</v>
      </c>
      <c r="F278" s="16">
        <v>44897</v>
      </c>
      <c r="G278" s="17">
        <f t="shared" si="8"/>
        <v>12</v>
      </c>
      <c r="H278" t="str">
        <f t="shared" si="9"/>
        <v>No Heavy SAAS</v>
      </c>
      <c r="I278" t="str">
        <f>VLOOKUP(A278,'Case 1'!A:P,16,FALSE )</f>
        <v>Advanced</v>
      </c>
      <c r="K278" s="3">
        <v>530666</v>
      </c>
    </row>
    <row r="279" spans="1:11" ht="14.4" x14ac:dyDescent="0.3">
      <c r="A279" s="3">
        <v>507507</v>
      </c>
      <c r="B279" s="3">
        <v>1629</v>
      </c>
      <c r="C279" s="1" t="s">
        <v>471</v>
      </c>
      <c r="D279" s="1" t="s">
        <v>472</v>
      </c>
      <c r="E279" s="16">
        <f>VLOOKUP(A279,'Case 1'!A:W,23,FALSE)</f>
        <v>44822</v>
      </c>
      <c r="F279" s="16">
        <v>44897</v>
      </c>
      <c r="G279" s="17">
        <f t="shared" si="8"/>
        <v>75</v>
      </c>
      <c r="H279" t="str">
        <f t="shared" si="9"/>
        <v>No Heavy SAAS</v>
      </c>
      <c r="I279" t="str">
        <f>VLOOKUP(A279,'Case 1'!A:P,16,FALSE )</f>
        <v>Advanced</v>
      </c>
      <c r="K279" s="3">
        <v>530761</v>
      </c>
    </row>
    <row r="280" spans="1:11" ht="14.4" x14ac:dyDescent="0.3">
      <c r="A280" s="3">
        <v>510430</v>
      </c>
      <c r="B280" s="3">
        <v>9894</v>
      </c>
      <c r="C280" s="1" t="s">
        <v>25</v>
      </c>
      <c r="D280" s="1" t="s">
        <v>515</v>
      </c>
      <c r="E280" s="16">
        <f>VLOOKUP(A280,'Case 1'!A:W,23,FALSE)</f>
        <v>44813</v>
      </c>
      <c r="F280" s="16">
        <v>44897</v>
      </c>
      <c r="G280" s="17">
        <f t="shared" si="8"/>
        <v>84</v>
      </c>
      <c r="H280" t="str">
        <f t="shared" si="9"/>
        <v>No Heavy SAAS</v>
      </c>
      <c r="I280" t="str">
        <f>VLOOKUP(A280,'Case 1'!A:P,16,FALSE )</f>
        <v>Starter</v>
      </c>
      <c r="K280" s="3">
        <v>540630</v>
      </c>
    </row>
    <row r="281" spans="1:11" ht="14.4" x14ac:dyDescent="0.3">
      <c r="A281" s="3">
        <v>510505</v>
      </c>
      <c r="B281" s="3">
        <v>5283</v>
      </c>
      <c r="C281" s="1" t="s">
        <v>501</v>
      </c>
      <c r="D281" s="1" t="s">
        <v>502</v>
      </c>
      <c r="E281" s="16">
        <f>VLOOKUP(A281,'Case 1'!A:W,23,FALSE)</f>
        <v>44885</v>
      </c>
      <c r="F281" s="16">
        <v>44897</v>
      </c>
      <c r="G281" s="17">
        <f t="shared" si="8"/>
        <v>12</v>
      </c>
      <c r="H281" t="str">
        <f t="shared" si="9"/>
        <v>Heavy SAAS</v>
      </c>
      <c r="I281" t="str">
        <f>VLOOKUP(A281,'Case 1'!A:P,16,FALSE )</f>
        <v>Premium</v>
      </c>
      <c r="K281" s="3">
        <v>543076</v>
      </c>
    </row>
    <row r="282" spans="1:11" ht="14.4" x14ac:dyDescent="0.3">
      <c r="A282" s="3">
        <v>511505</v>
      </c>
      <c r="B282" s="3">
        <v>68655</v>
      </c>
      <c r="C282" s="1" t="s">
        <v>524</v>
      </c>
      <c r="D282" s="1" t="s">
        <v>525</v>
      </c>
      <c r="E282" s="16">
        <f>VLOOKUP(A282,'Case 1'!A:W,23,FALSE)</f>
        <v>44903</v>
      </c>
      <c r="F282" s="16">
        <v>44897</v>
      </c>
      <c r="G282" s="17">
        <f t="shared" si="8"/>
        <v>-6</v>
      </c>
      <c r="H282" t="str">
        <f t="shared" si="9"/>
        <v>Heavy SAAS</v>
      </c>
      <c r="I282" t="str">
        <f>VLOOKUP(A282,'Case 1'!A:P,16,FALSE )</f>
        <v>Starter</v>
      </c>
      <c r="K282" s="3">
        <v>544305</v>
      </c>
    </row>
    <row r="283" spans="1:11" ht="14.4" x14ac:dyDescent="0.3">
      <c r="A283" s="3">
        <v>513057</v>
      </c>
      <c r="B283" s="3">
        <v>7156</v>
      </c>
      <c r="C283" s="1" t="s">
        <v>573</v>
      </c>
      <c r="D283" s="1" t="s">
        <v>574</v>
      </c>
      <c r="E283" s="16">
        <f>VLOOKUP(A283,'Case 1'!A:W,23,FALSE)</f>
        <v>44887</v>
      </c>
      <c r="F283" s="16">
        <v>44897</v>
      </c>
      <c r="G283" s="17">
        <f t="shared" si="8"/>
        <v>10</v>
      </c>
      <c r="H283" t="str">
        <f t="shared" si="9"/>
        <v>Heavy SAAS</v>
      </c>
      <c r="I283" t="str">
        <f>VLOOKUP(A283,'Case 1'!A:P,16,FALSE )</f>
        <v>Premium</v>
      </c>
      <c r="K283" s="3">
        <v>544450</v>
      </c>
    </row>
    <row r="284" spans="1:11" ht="14.4" x14ac:dyDescent="0.3">
      <c r="A284" s="3">
        <v>514305</v>
      </c>
      <c r="B284" s="3">
        <v>7180</v>
      </c>
      <c r="C284" s="1" t="s">
        <v>37</v>
      </c>
      <c r="D284" s="1" t="s">
        <v>579</v>
      </c>
      <c r="E284" s="16">
        <f>VLOOKUP(A284,'Case 1'!A:W,23,FALSE)</f>
        <v>44614</v>
      </c>
      <c r="F284" s="16">
        <v>44897</v>
      </c>
      <c r="G284" s="17">
        <f t="shared" si="8"/>
        <v>283</v>
      </c>
      <c r="H284" t="str">
        <f t="shared" si="9"/>
        <v>No Heavy SAAS</v>
      </c>
      <c r="I284" t="str">
        <f>VLOOKUP(A284,'Case 1'!A:P,16,FALSE )</f>
        <v>Advanced</v>
      </c>
      <c r="K284" s="3">
        <v>544550</v>
      </c>
    </row>
    <row r="285" spans="1:11" ht="14.4" x14ac:dyDescent="0.3">
      <c r="A285" s="3">
        <v>515055</v>
      </c>
      <c r="B285" s="3">
        <v>14725</v>
      </c>
      <c r="C285" s="1" t="s">
        <v>274</v>
      </c>
      <c r="D285" s="1" t="s">
        <v>539</v>
      </c>
      <c r="E285" s="16">
        <f>VLOOKUP(A285,'Case 1'!A:W,23,FALSE)</f>
        <v>44642</v>
      </c>
      <c r="F285" s="16">
        <v>44897</v>
      </c>
      <c r="G285" s="17">
        <f t="shared" si="8"/>
        <v>255</v>
      </c>
      <c r="H285" t="str">
        <f t="shared" si="9"/>
        <v>No Heavy SAAS</v>
      </c>
      <c r="I285" t="str">
        <f>VLOOKUP(A285,'Case 1'!A:P,16,FALSE )</f>
        <v>Advanced</v>
      </c>
      <c r="K285" s="3">
        <v>544730</v>
      </c>
    </row>
    <row r="286" spans="1:11" ht="14.4" x14ac:dyDescent="0.3">
      <c r="A286" s="3">
        <v>515306</v>
      </c>
      <c r="B286" s="3">
        <v>14517</v>
      </c>
      <c r="C286" s="1" t="s">
        <v>534</v>
      </c>
      <c r="D286" s="1" t="s">
        <v>535</v>
      </c>
      <c r="E286" s="16">
        <f>VLOOKUP(A286,'Case 1'!A:W,23,FALSE)</f>
        <v>44872</v>
      </c>
      <c r="F286" s="16">
        <v>44897</v>
      </c>
      <c r="G286" s="17">
        <f t="shared" si="8"/>
        <v>25</v>
      </c>
      <c r="H286" t="str">
        <f t="shared" si="9"/>
        <v>Heavy SAAS</v>
      </c>
      <c r="I286" t="str">
        <f>VLOOKUP(A286,'Case 1'!A:P,16,FALSE )</f>
        <v>Premium</v>
      </c>
      <c r="K286" s="3">
        <v>545074</v>
      </c>
    </row>
    <row r="287" spans="1:11" ht="14.4" x14ac:dyDescent="0.3">
      <c r="A287" s="3">
        <v>515501</v>
      </c>
      <c r="B287" s="3">
        <v>7687</v>
      </c>
      <c r="C287" s="1" t="s">
        <v>143</v>
      </c>
      <c r="D287" s="1" t="s">
        <v>588</v>
      </c>
      <c r="E287" s="16">
        <f>VLOOKUP(A287,'Case 1'!A:W,23,FALSE)</f>
        <v>44641</v>
      </c>
      <c r="F287" s="16">
        <v>44897</v>
      </c>
      <c r="G287" s="17">
        <f t="shared" si="8"/>
        <v>256</v>
      </c>
      <c r="H287" t="str">
        <f t="shared" si="9"/>
        <v>No Heavy SAAS</v>
      </c>
      <c r="I287" t="str">
        <f>VLOOKUP(A287,'Case 1'!A:P,16,FALSE )</f>
        <v>Premium</v>
      </c>
      <c r="K287" s="3">
        <v>545504</v>
      </c>
    </row>
    <row r="288" spans="1:11" ht="14.4" x14ac:dyDescent="0.3">
      <c r="A288" s="3">
        <v>530040</v>
      </c>
      <c r="B288" s="3">
        <v>2740</v>
      </c>
      <c r="C288" s="1" t="s">
        <v>195</v>
      </c>
      <c r="D288" s="1" t="s">
        <v>656</v>
      </c>
      <c r="E288" s="16">
        <f>VLOOKUP(A288,'Case 1'!A:W,23,FALSE)</f>
        <v>44699</v>
      </c>
      <c r="F288" s="16">
        <v>44897</v>
      </c>
      <c r="G288" s="17">
        <f t="shared" si="8"/>
        <v>198</v>
      </c>
      <c r="H288" t="str">
        <f t="shared" si="9"/>
        <v>No Heavy SAAS</v>
      </c>
      <c r="I288" t="str">
        <f>VLOOKUP(A288,'Case 1'!A:P,16,FALSE )</f>
        <v>Premium</v>
      </c>
      <c r="K288" s="3">
        <v>545530</v>
      </c>
    </row>
    <row r="289" spans="1:11" ht="14.4" x14ac:dyDescent="0.3">
      <c r="A289" s="3">
        <v>530054</v>
      </c>
      <c r="B289" s="3">
        <v>11574</v>
      </c>
      <c r="C289" s="1" t="s">
        <v>651</v>
      </c>
      <c r="D289" s="1" t="s">
        <v>652</v>
      </c>
      <c r="E289" s="16">
        <f>VLOOKUP(A289,'Case 1'!A:W,23,FALSE)</f>
        <v>44867</v>
      </c>
      <c r="F289" s="16">
        <v>44897</v>
      </c>
      <c r="G289" s="17">
        <f t="shared" si="8"/>
        <v>30</v>
      </c>
      <c r="H289" t="str">
        <f t="shared" si="9"/>
        <v>No Heavy SAAS</v>
      </c>
      <c r="I289" t="str">
        <f>VLOOKUP(A289,'Case 1'!A:P,16,FALSE )</f>
        <v>Advanced</v>
      </c>
      <c r="K289" s="3">
        <v>545550</v>
      </c>
    </row>
    <row r="290" spans="1:11" ht="14.4" x14ac:dyDescent="0.3">
      <c r="A290" s="3">
        <v>530144</v>
      </c>
      <c r="B290" s="3">
        <v>2909</v>
      </c>
      <c r="C290" s="1" t="s">
        <v>25</v>
      </c>
      <c r="D290" s="1" t="s">
        <v>664</v>
      </c>
      <c r="E290" s="16">
        <f>VLOOKUP(A290,'Case 1'!A:W,23,FALSE)</f>
        <v>44818</v>
      </c>
      <c r="F290" s="16">
        <v>44897</v>
      </c>
      <c r="G290" s="17">
        <f t="shared" si="8"/>
        <v>79</v>
      </c>
      <c r="H290" t="str">
        <f t="shared" si="9"/>
        <v>No Heavy SAAS</v>
      </c>
      <c r="I290" t="str">
        <f>VLOOKUP(A290,'Case 1'!A:P,16,FALSE )</f>
        <v>Premium</v>
      </c>
      <c r="K290" s="3">
        <v>550304</v>
      </c>
    </row>
    <row r="291" spans="1:11" ht="14.4" x14ac:dyDescent="0.3">
      <c r="A291" s="3">
        <v>530416</v>
      </c>
      <c r="B291" s="3">
        <v>3812</v>
      </c>
      <c r="C291" s="1" t="s">
        <v>733</v>
      </c>
      <c r="D291" s="1" t="s">
        <v>734</v>
      </c>
      <c r="E291" s="16">
        <f>VLOOKUP(A291,'Case 1'!A:W,23,FALSE)</f>
        <v>44792</v>
      </c>
      <c r="F291" s="16">
        <v>44897</v>
      </c>
      <c r="G291" s="17">
        <f t="shared" si="8"/>
        <v>105</v>
      </c>
      <c r="H291" t="str">
        <f t="shared" si="9"/>
        <v>No Heavy SAAS</v>
      </c>
      <c r="I291" t="str">
        <f>VLOOKUP(A291,'Case 1'!A:P,16,FALSE )</f>
        <v>Premium</v>
      </c>
      <c r="K291" s="3">
        <v>553017</v>
      </c>
    </row>
    <row r="292" spans="1:11" ht="14.4" x14ac:dyDescent="0.3">
      <c r="A292" s="3">
        <v>530455</v>
      </c>
      <c r="B292" s="3">
        <v>4396</v>
      </c>
      <c r="C292" s="1" t="s">
        <v>740</v>
      </c>
      <c r="D292" s="1" t="s">
        <v>741</v>
      </c>
      <c r="E292" s="16">
        <f>VLOOKUP(A292,'Case 1'!A:W,23,FALSE)</f>
        <v>44728</v>
      </c>
      <c r="F292" s="16">
        <v>44897</v>
      </c>
      <c r="G292" s="17">
        <f t="shared" si="8"/>
        <v>169</v>
      </c>
      <c r="H292" t="str">
        <f t="shared" si="9"/>
        <v>No Heavy SAAS</v>
      </c>
      <c r="I292" t="str">
        <f>VLOOKUP(A292,'Case 1'!A:P,16,FALSE )</f>
        <v>Starter</v>
      </c>
      <c r="K292" s="3">
        <v>553044</v>
      </c>
    </row>
    <row r="293" spans="1:11" ht="14.4" x14ac:dyDescent="0.3">
      <c r="A293" s="3">
        <v>530505</v>
      </c>
      <c r="B293" s="3">
        <v>3488</v>
      </c>
      <c r="C293" s="1" t="s">
        <v>58</v>
      </c>
      <c r="D293" s="1" t="s">
        <v>59</v>
      </c>
      <c r="E293" s="16">
        <f>VLOOKUP(A293,'Case 1'!A:W,23,FALSE)</f>
        <v>44735</v>
      </c>
      <c r="F293" s="16">
        <v>44897</v>
      </c>
      <c r="G293" s="17">
        <f t="shared" si="8"/>
        <v>162</v>
      </c>
      <c r="H293" t="str">
        <f t="shared" si="9"/>
        <v>No Heavy SAAS</v>
      </c>
      <c r="I293" t="str">
        <f>VLOOKUP(A293,'Case 1'!A:P,16,FALSE )</f>
        <v>Premium</v>
      </c>
      <c r="K293" s="3">
        <v>553051</v>
      </c>
    </row>
    <row r="294" spans="1:11" ht="14.4" x14ac:dyDescent="0.3">
      <c r="A294" s="3">
        <v>530516</v>
      </c>
      <c r="B294" s="3">
        <v>5695</v>
      </c>
      <c r="C294" s="1" t="s">
        <v>744</v>
      </c>
      <c r="D294" s="1" t="s">
        <v>745</v>
      </c>
      <c r="E294" s="16">
        <f>VLOOKUP(A294,'Case 1'!A:W,23,FALSE)</f>
        <v>44861</v>
      </c>
      <c r="F294" s="16">
        <v>44897</v>
      </c>
      <c r="G294" s="17">
        <f t="shared" si="8"/>
        <v>36</v>
      </c>
      <c r="H294" t="str">
        <f t="shared" si="9"/>
        <v>No Heavy SAAS</v>
      </c>
      <c r="I294" t="str">
        <f>VLOOKUP(A294,'Case 1'!A:P,16,FALSE )</f>
        <v>Premium</v>
      </c>
      <c r="K294" s="3">
        <v>553054</v>
      </c>
    </row>
    <row r="295" spans="1:11" ht="14.4" x14ac:dyDescent="0.3">
      <c r="A295" s="3">
        <v>530545</v>
      </c>
      <c r="B295" s="3">
        <v>10925</v>
      </c>
      <c r="C295" s="1" t="s">
        <v>25</v>
      </c>
      <c r="D295" s="1" t="s">
        <v>673</v>
      </c>
      <c r="E295" s="16">
        <f>VLOOKUP(A295,'Case 1'!A:W,23,FALSE)</f>
        <v>44806</v>
      </c>
      <c r="F295" s="16">
        <v>44897</v>
      </c>
      <c r="G295" s="17">
        <f t="shared" si="8"/>
        <v>91</v>
      </c>
      <c r="H295" t="str">
        <f t="shared" si="9"/>
        <v>No Heavy SAAS</v>
      </c>
      <c r="I295" t="str">
        <f>VLOOKUP(A295,'Case 1'!A:P,16,FALSE )</f>
        <v>Premium</v>
      </c>
      <c r="K295" s="3">
        <v>553064</v>
      </c>
    </row>
    <row r="296" spans="1:11" ht="14.4" x14ac:dyDescent="0.3">
      <c r="A296" s="3">
        <v>530604</v>
      </c>
      <c r="B296" s="3">
        <v>2499</v>
      </c>
      <c r="C296" s="1" t="s">
        <v>195</v>
      </c>
      <c r="D296" s="1" t="s">
        <v>709</v>
      </c>
      <c r="E296" s="16">
        <f>VLOOKUP(A296,'Case 1'!A:W,23,FALSE)</f>
        <v>44734</v>
      </c>
      <c r="F296" s="16">
        <v>44897</v>
      </c>
      <c r="G296" s="17">
        <f t="shared" si="8"/>
        <v>163</v>
      </c>
      <c r="H296" t="str">
        <f t="shared" si="9"/>
        <v>No Heavy SAAS</v>
      </c>
      <c r="I296" t="str">
        <f>VLOOKUP(A296,'Case 1'!A:P,16,FALSE )</f>
        <v>Premium</v>
      </c>
      <c r="K296" s="3">
        <v>553066</v>
      </c>
    </row>
    <row r="297" spans="1:11" ht="14.4" x14ac:dyDescent="0.3">
      <c r="A297" s="3">
        <v>530644</v>
      </c>
      <c r="B297" s="3">
        <v>13477</v>
      </c>
      <c r="C297" s="1" t="s">
        <v>417</v>
      </c>
      <c r="D297" s="1" t="s">
        <v>719</v>
      </c>
      <c r="E297" s="16">
        <f>VLOOKUP(A297,'Case 1'!A:W,23,FALSE)</f>
        <v>44753</v>
      </c>
      <c r="F297" s="16">
        <v>44897</v>
      </c>
      <c r="G297" s="17">
        <f t="shared" si="8"/>
        <v>144</v>
      </c>
      <c r="H297" t="str">
        <f t="shared" si="9"/>
        <v>No Heavy SAAS</v>
      </c>
      <c r="I297" t="str">
        <f>VLOOKUP(A297,'Case 1'!A:P,16,FALSE )</f>
        <v>Premium</v>
      </c>
      <c r="K297" s="3">
        <v>553071</v>
      </c>
    </row>
    <row r="298" spans="1:11" ht="14.4" x14ac:dyDescent="0.3">
      <c r="A298" s="3">
        <v>530666</v>
      </c>
      <c r="B298" s="3">
        <v>7011</v>
      </c>
      <c r="C298" s="1" t="s">
        <v>714</v>
      </c>
      <c r="D298" s="1" t="s">
        <v>715</v>
      </c>
      <c r="E298" s="16">
        <f>VLOOKUP(A298,'Case 1'!A:W,23,FALSE)</f>
        <v>44715</v>
      </c>
      <c r="F298" s="16">
        <v>44897</v>
      </c>
      <c r="G298" s="17">
        <f t="shared" si="8"/>
        <v>182</v>
      </c>
      <c r="H298" t="str">
        <f t="shared" si="9"/>
        <v>No Heavy SAAS</v>
      </c>
      <c r="I298" t="str">
        <f>VLOOKUP(A298,'Case 1'!A:P,16,FALSE )</f>
        <v>Starter</v>
      </c>
      <c r="K298" s="3">
        <v>554304</v>
      </c>
    </row>
    <row r="299" spans="1:11" ht="14.4" x14ac:dyDescent="0.3">
      <c r="A299" s="3">
        <v>530761</v>
      </c>
      <c r="B299" s="3">
        <v>5407</v>
      </c>
      <c r="C299" s="1" t="s">
        <v>729</v>
      </c>
      <c r="D299" s="1" t="s">
        <v>730</v>
      </c>
      <c r="E299" s="16">
        <f>VLOOKUP(A299,'Case 1'!A:W,23,FALSE)</f>
        <v>44726</v>
      </c>
      <c r="F299" s="16">
        <v>44897</v>
      </c>
      <c r="G299" s="17">
        <f t="shared" si="8"/>
        <v>171</v>
      </c>
      <c r="H299" t="str">
        <f t="shared" si="9"/>
        <v>No Heavy SAAS</v>
      </c>
      <c r="I299" t="str">
        <f>VLOOKUP(A299,'Case 1'!A:P,16,FALSE )</f>
        <v>Advanced</v>
      </c>
      <c r="K299" s="3">
        <v>554305</v>
      </c>
    </row>
    <row r="300" spans="1:11" ht="14.4" x14ac:dyDescent="0.3">
      <c r="A300" s="3">
        <v>540630</v>
      </c>
      <c r="B300" s="3">
        <v>4155</v>
      </c>
      <c r="C300" s="1" t="s">
        <v>852</v>
      </c>
      <c r="D300" s="1" t="s">
        <v>853</v>
      </c>
      <c r="E300" s="16">
        <f>VLOOKUP(A300,'Case 1'!A:W,23,FALSE)</f>
        <v>44902</v>
      </c>
      <c r="F300" s="16">
        <v>44897</v>
      </c>
      <c r="G300" s="17">
        <f t="shared" si="8"/>
        <v>-5</v>
      </c>
      <c r="H300" t="str">
        <f t="shared" si="9"/>
        <v>Heavy SAAS</v>
      </c>
      <c r="I300" t="str">
        <f>VLOOKUP(A300,'Case 1'!A:P,16,FALSE )</f>
        <v>Starter</v>
      </c>
      <c r="K300" s="3">
        <v>554505</v>
      </c>
    </row>
    <row r="301" spans="1:11" ht="14.4" x14ac:dyDescent="0.3">
      <c r="A301" s="3">
        <v>543076</v>
      </c>
      <c r="B301" s="3">
        <v>15550</v>
      </c>
      <c r="C301" s="1" t="s">
        <v>895</v>
      </c>
      <c r="D301" s="1" t="s">
        <v>896</v>
      </c>
      <c r="E301" s="16">
        <f>VLOOKUP(A301,'Case 1'!A:W,23,FALSE)</f>
        <v>44857</v>
      </c>
      <c r="F301" s="16">
        <v>44897</v>
      </c>
      <c r="G301" s="17">
        <f t="shared" si="8"/>
        <v>40</v>
      </c>
      <c r="H301" t="str">
        <f t="shared" si="9"/>
        <v>No Heavy SAAS</v>
      </c>
      <c r="I301" t="str">
        <f>VLOOKUP(A301,'Case 1'!A:P,16,FALSE )</f>
        <v>Advanced</v>
      </c>
      <c r="K301" s="3">
        <v>554630</v>
      </c>
    </row>
    <row r="302" spans="1:11" ht="14.4" x14ac:dyDescent="0.3">
      <c r="A302" s="3">
        <v>544305</v>
      </c>
      <c r="B302" s="3">
        <v>10963</v>
      </c>
      <c r="C302" s="1" t="s">
        <v>907</v>
      </c>
      <c r="D302" s="1" t="s">
        <v>908</v>
      </c>
      <c r="E302" s="16">
        <f>VLOOKUP(A302,'Case 1'!A:W,23,FALSE)</f>
        <v>44806</v>
      </c>
      <c r="F302" s="16">
        <v>44897</v>
      </c>
      <c r="G302" s="17">
        <f t="shared" si="8"/>
        <v>91</v>
      </c>
      <c r="H302" t="str">
        <f t="shared" si="9"/>
        <v>No Heavy SAAS</v>
      </c>
      <c r="I302" t="str">
        <f>VLOOKUP(A302,'Case 1'!A:P,16,FALSE )</f>
        <v>Premium</v>
      </c>
      <c r="K302" s="3">
        <v>555505</v>
      </c>
    </row>
    <row r="303" spans="1:11" ht="14.4" x14ac:dyDescent="0.3">
      <c r="A303" s="3">
        <v>544450</v>
      </c>
      <c r="B303" s="3">
        <v>7077</v>
      </c>
      <c r="C303" s="1" t="s">
        <v>37</v>
      </c>
      <c r="D303" s="1" t="s">
        <v>922</v>
      </c>
      <c r="E303" s="16">
        <f>VLOOKUP(A303,'Case 1'!A:W,23,FALSE)</f>
        <v>44774</v>
      </c>
      <c r="F303" s="16">
        <v>44897</v>
      </c>
      <c r="G303" s="17">
        <f t="shared" si="8"/>
        <v>123</v>
      </c>
      <c r="H303" t="str">
        <f t="shared" si="9"/>
        <v>No Heavy SAAS</v>
      </c>
      <c r="I303" t="str">
        <f>VLOOKUP(A303,'Case 1'!A:P,16,FALSE )</f>
        <v>Premium</v>
      </c>
      <c r="K303" s="3">
        <v>555550</v>
      </c>
    </row>
    <row r="304" spans="1:11" ht="14.4" x14ac:dyDescent="0.3">
      <c r="A304" s="3">
        <v>544550</v>
      </c>
      <c r="B304" s="3">
        <v>2652</v>
      </c>
      <c r="C304" s="1" t="s">
        <v>903</v>
      </c>
      <c r="D304" s="1" t="s">
        <v>904</v>
      </c>
      <c r="E304" s="16">
        <f>VLOOKUP(A304,'Case 1'!A:W,23,FALSE)</f>
        <v>44867</v>
      </c>
      <c r="F304" s="16">
        <v>44897</v>
      </c>
      <c r="G304" s="17">
        <f t="shared" si="8"/>
        <v>30</v>
      </c>
      <c r="H304" t="str">
        <f t="shared" si="9"/>
        <v>No Heavy SAAS</v>
      </c>
      <c r="I304" t="str">
        <f>VLOOKUP(A304,'Case 1'!A:P,16,FALSE )</f>
        <v>Premium</v>
      </c>
      <c r="K304" s="3">
        <v>556450</v>
      </c>
    </row>
    <row r="305" spans="1:11" ht="14.4" x14ac:dyDescent="0.3">
      <c r="A305" s="3">
        <v>544730</v>
      </c>
      <c r="B305" s="3">
        <v>204</v>
      </c>
      <c r="C305" s="1" t="s">
        <v>195</v>
      </c>
      <c r="D305" s="1" t="s">
        <v>916</v>
      </c>
      <c r="E305" s="16">
        <f>VLOOKUP(A305,'Case 1'!A:W,23,FALSE)</f>
        <v>44902</v>
      </c>
      <c r="F305" s="16">
        <v>44897</v>
      </c>
      <c r="G305" s="17">
        <f t="shared" si="8"/>
        <v>-5</v>
      </c>
      <c r="H305" t="str">
        <f t="shared" si="9"/>
        <v>Heavy SAAS</v>
      </c>
      <c r="I305" t="str">
        <f>VLOOKUP(A305,'Case 1'!A:P,16,FALSE )</f>
        <v>Starter</v>
      </c>
      <c r="K305" s="3">
        <v>556506</v>
      </c>
    </row>
    <row r="306" spans="1:11" ht="14.4" x14ac:dyDescent="0.3">
      <c r="A306" s="3">
        <v>545074</v>
      </c>
      <c r="B306" s="3">
        <v>776</v>
      </c>
      <c r="C306" s="1" t="s">
        <v>189</v>
      </c>
      <c r="D306" s="1" t="s">
        <v>882</v>
      </c>
      <c r="E306" s="16">
        <f>VLOOKUP(A306,'Case 1'!A:W,23,FALSE)</f>
        <v>44872</v>
      </c>
      <c r="F306" s="16">
        <v>44897</v>
      </c>
      <c r="G306" s="17">
        <f t="shared" si="8"/>
        <v>25</v>
      </c>
      <c r="H306" t="str">
        <f t="shared" si="9"/>
        <v>Heavy SAAS</v>
      </c>
      <c r="I306" t="str">
        <f>VLOOKUP(A306,'Case 1'!A:P,16,FALSE )</f>
        <v>Premium</v>
      </c>
      <c r="K306" s="3">
        <v>563006</v>
      </c>
    </row>
    <row r="307" spans="1:11" ht="14.4" x14ac:dyDescent="0.3">
      <c r="A307" s="3">
        <v>545504</v>
      </c>
      <c r="B307" s="3">
        <v>35981</v>
      </c>
      <c r="C307" s="1" t="s">
        <v>636</v>
      </c>
      <c r="D307" s="1" t="s">
        <v>637</v>
      </c>
      <c r="E307" s="16">
        <f>VLOOKUP(A307,'Case 1'!A:W,23,FALSE)</f>
        <v>44903</v>
      </c>
      <c r="F307" s="16">
        <v>44897</v>
      </c>
      <c r="G307" s="17">
        <f t="shared" si="8"/>
        <v>-6</v>
      </c>
      <c r="H307" t="str">
        <f t="shared" si="9"/>
        <v>Heavy SAAS</v>
      </c>
      <c r="I307" t="str">
        <f>VLOOKUP(A307,'Case 1'!A:P,16,FALSE )</f>
        <v>Premium</v>
      </c>
      <c r="K307" s="3">
        <v>563014</v>
      </c>
    </row>
    <row r="308" spans="1:11" ht="14.4" x14ac:dyDescent="0.3">
      <c r="A308" s="3">
        <v>545530</v>
      </c>
      <c r="B308" s="3">
        <v>77937</v>
      </c>
      <c r="C308" s="1" t="s">
        <v>646</v>
      </c>
      <c r="D308" s="1" t="s">
        <v>647</v>
      </c>
      <c r="E308" s="16">
        <f>VLOOKUP(A308,'Case 1'!A:W,23,FALSE)</f>
        <v>44903</v>
      </c>
      <c r="F308" s="16">
        <v>44897</v>
      </c>
      <c r="G308" s="17">
        <f t="shared" si="8"/>
        <v>-6</v>
      </c>
      <c r="H308" t="str">
        <f t="shared" si="9"/>
        <v>Heavy SAAS</v>
      </c>
      <c r="I308" t="str">
        <f>VLOOKUP(A308,'Case 1'!A:P,16,FALSE )</f>
        <v>Advanced</v>
      </c>
      <c r="K308" s="3">
        <v>564304</v>
      </c>
    </row>
    <row r="309" spans="1:11" ht="14.4" x14ac:dyDescent="0.3">
      <c r="A309" s="3">
        <v>545550</v>
      </c>
      <c r="B309" s="3">
        <v>186</v>
      </c>
      <c r="C309" s="1" t="s">
        <v>871</v>
      </c>
      <c r="D309" s="1" t="s">
        <v>872</v>
      </c>
      <c r="E309" s="16">
        <f>VLOOKUP(A309,'Case 1'!A:W,23,FALSE)</f>
        <v>44788</v>
      </c>
      <c r="F309" s="16">
        <v>44897</v>
      </c>
      <c r="G309" s="17">
        <f t="shared" si="8"/>
        <v>109</v>
      </c>
      <c r="H309" t="str">
        <f t="shared" si="9"/>
        <v>No Heavy SAAS</v>
      </c>
      <c r="I309" t="str">
        <f>VLOOKUP(A309,'Case 1'!A:P,16,FALSE )</f>
        <v>Starter</v>
      </c>
      <c r="K309" s="3">
        <v>565501</v>
      </c>
    </row>
    <row r="310" spans="1:11" ht="14.4" x14ac:dyDescent="0.3">
      <c r="A310" s="3">
        <v>550304</v>
      </c>
      <c r="B310" s="3">
        <v>1835</v>
      </c>
      <c r="C310" s="1" t="s">
        <v>54</v>
      </c>
      <c r="D310" s="1" t="s">
        <v>55</v>
      </c>
      <c r="E310" s="16">
        <f>VLOOKUP(A310,'Case 1'!A:W,23,FALSE)</f>
        <v>44817</v>
      </c>
      <c r="F310" s="16">
        <v>44897</v>
      </c>
      <c r="G310" s="17">
        <f t="shared" si="8"/>
        <v>80</v>
      </c>
      <c r="H310" t="str">
        <f t="shared" si="9"/>
        <v>No Heavy SAAS</v>
      </c>
      <c r="I310" t="str">
        <f>VLOOKUP(A310,'Case 1'!A:P,16,FALSE )</f>
        <v>Starter</v>
      </c>
      <c r="K310" s="3">
        <v>567304</v>
      </c>
    </row>
    <row r="311" spans="1:11" ht="14.4" x14ac:dyDescent="0.3">
      <c r="A311" s="3">
        <v>553017</v>
      </c>
      <c r="B311" s="3">
        <v>2138</v>
      </c>
      <c r="C311" s="1" t="s">
        <v>1033</v>
      </c>
      <c r="D311" s="1" t="s">
        <v>1034</v>
      </c>
      <c r="E311" s="16">
        <f>VLOOKUP(A311,'Case 1'!A:W,23,FALSE)</f>
        <v>44887</v>
      </c>
      <c r="F311" s="16">
        <v>44897</v>
      </c>
      <c r="G311" s="17">
        <f t="shared" si="8"/>
        <v>10</v>
      </c>
      <c r="H311" t="str">
        <f t="shared" si="9"/>
        <v>Heavy SAAS</v>
      </c>
      <c r="I311" t="str">
        <f>VLOOKUP(A311,'Case 1'!A:P,16,FALSE )</f>
        <v>Premium</v>
      </c>
      <c r="K311" s="3">
        <v>571530</v>
      </c>
    </row>
    <row r="312" spans="1:11" ht="14.4" x14ac:dyDescent="0.3">
      <c r="A312" s="3">
        <v>553044</v>
      </c>
      <c r="B312" s="3">
        <v>1523</v>
      </c>
      <c r="C312" s="1" t="s">
        <v>182</v>
      </c>
      <c r="D312" s="1" t="s">
        <v>1053</v>
      </c>
      <c r="E312" s="16">
        <f>VLOOKUP(A312,'Case 1'!A:W,23,FALSE)</f>
        <v>44884</v>
      </c>
      <c r="F312" s="16">
        <v>44897</v>
      </c>
      <c r="G312" s="17">
        <f t="shared" si="8"/>
        <v>13</v>
      </c>
      <c r="H312" t="str">
        <f t="shared" si="9"/>
        <v>Heavy SAAS</v>
      </c>
      <c r="I312" t="str">
        <f>VLOOKUP(A312,'Case 1'!A:P,16,FALSE )</f>
        <v>Starter</v>
      </c>
      <c r="K312" s="3">
        <v>573000</v>
      </c>
    </row>
    <row r="313" spans="1:11" ht="14.4" x14ac:dyDescent="0.3">
      <c r="A313" s="3">
        <v>553051</v>
      </c>
      <c r="B313" s="3">
        <v>3664</v>
      </c>
      <c r="C313" s="1" t="s">
        <v>1039</v>
      </c>
      <c r="D313" s="1" t="s">
        <v>1040</v>
      </c>
      <c r="E313" s="16">
        <f>VLOOKUP(A313,'Case 1'!A:W,23,FALSE)</f>
        <v>44583</v>
      </c>
      <c r="F313" s="16">
        <v>44897</v>
      </c>
      <c r="G313" s="17">
        <f t="shared" si="8"/>
        <v>314</v>
      </c>
      <c r="H313" t="str">
        <f t="shared" si="9"/>
        <v>No Heavy SAAS</v>
      </c>
      <c r="I313" t="str">
        <f>VLOOKUP(A313,'Case 1'!A:P,16,FALSE )</f>
        <v>Premium</v>
      </c>
      <c r="K313" s="3">
        <v>573014</v>
      </c>
    </row>
    <row r="314" spans="1:11" ht="14.4" x14ac:dyDescent="0.3">
      <c r="A314" s="3">
        <v>553054</v>
      </c>
      <c r="B314" s="3">
        <v>190</v>
      </c>
      <c r="C314" s="1" t="s">
        <v>195</v>
      </c>
      <c r="D314" s="1" t="s">
        <v>1065</v>
      </c>
      <c r="E314" s="16">
        <f>VLOOKUP(A314,'Case 1'!A:W,23,FALSE)</f>
        <v>44640</v>
      </c>
      <c r="F314" s="16">
        <v>44897</v>
      </c>
      <c r="G314" s="17">
        <f t="shared" si="8"/>
        <v>257</v>
      </c>
      <c r="H314" t="str">
        <f t="shared" si="9"/>
        <v>No Heavy SAAS</v>
      </c>
      <c r="I314" t="str">
        <f>VLOOKUP(A314,'Case 1'!A:P,16,FALSE )</f>
        <v>Premium</v>
      </c>
      <c r="K314" s="3">
        <v>575304</v>
      </c>
    </row>
    <row r="315" spans="1:11" ht="14.4" x14ac:dyDescent="0.3">
      <c r="A315" s="3">
        <v>553064</v>
      </c>
      <c r="B315" s="3">
        <v>50</v>
      </c>
      <c r="C315" s="1" t="s">
        <v>182</v>
      </c>
      <c r="D315" s="1" t="s">
        <v>1061</v>
      </c>
      <c r="E315" s="16">
        <f>VLOOKUP(A315,'Case 1'!A:W,23,FALSE)</f>
        <v>44852</v>
      </c>
      <c r="F315" s="16">
        <v>44897</v>
      </c>
      <c r="G315" s="17">
        <f t="shared" si="8"/>
        <v>45</v>
      </c>
      <c r="H315" t="str">
        <f t="shared" si="9"/>
        <v>No Heavy SAAS</v>
      </c>
      <c r="I315" t="str">
        <f>VLOOKUP(A315,'Case 1'!A:P,16,FALSE )</f>
        <v>Starter</v>
      </c>
      <c r="K315" s="3">
        <v>1050430</v>
      </c>
    </row>
    <row r="316" spans="1:11" ht="14.4" x14ac:dyDescent="0.3">
      <c r="A316" s="3">
        <v>553066</v>
      </c>
      <c r="B316" s="3">
        <v>82</v>
      </c>
      <c r="C316" s="1" t="s">
        <v>195</v>
      </c>
      <c r="D316" s="1" t="s">
        <v>1057</v>
      </c>
      <c r="E316" s="16">
        <f>VLOOKUP(A316,'Case 1'!A:W,23,FALSE)</f>
        <v>44892</v>
      </c>
      <c r="F316" s="16">
        <v>44897</v>
      </c>
      <c r="G316" s="17">
        <f t="shared" si="8"/>
        <v>5</v>
      </c>
      <c r="H316" t="str">
        <f t="shared" si="9"/>
        <v>Heavy SAAS</v>
      </c>
      <c r="I316" t="str">
        <f>VLOOKUP(A316,'Case 1'!A:P,16,FALSE )</f>
        <v>Premium</v>
      </c>
      <c r="K316" s="3">
        <v>1305030</v>
      </c>
    </row>
    <row r="317" spans="1:11" ht="14.4" x14ac:dyDescent="0.3">
      <c r="A317" s="3">
        <v>553071</v>
      </c>
      <c r="B317" s="3">
        <v>328</v>
      </c>
      <c r="C317" s="1" t="s">
        <v>25</v>
      </c>
      <c r="D317" s="1" t="s">
        <v>614</v>
      </c>
      <c r="E317" s="16">
        <f>VLOOKUP(A317,'Case 1'!A:W,23,FALSE)</f>
        <v>44782</v>
      </c>
      <c r="F317" s="16">
        <v>44897</v>
      </c>
      <c r="G317" s="17">
        <f t="shared" si="8"/>
        <v>115</v>
      </c>
      <c r="H317" t="str">
        <f t="shared" si="9"/>
        <v>No Heavy SAAS</v>
      </c>
      <c r="I317" t="str">
        <f>VLOOKUP(A317,'Case 1'!A:P,16,FALSE )</f>
        <v>Premium</v>
      </c>
      <c r="K317" s="3">
        <v>1450307</v>
      </c>
    </row>
    <row r="318" spans="1:11" ht="14.4" x14ac:dyDescent="0.3">
      <c r="A318" s="3">
        <v>554304</v>
      </c>
      <c r="B318" s="3">
        <v>782</v>
      </c>
      <c r="C318" s="1" t="s">
        <v>990</v>
      </c>
      <c r="D318" s="1" t="s">
        <v>991</v>
      </c>
      <c r="E318" s="16">
        <f>VLOOKUP(A318,'Case 1'!A:W,23,FALSE)</f>
        <v>44813</v>
      </c>
      <c r="F318" s="16">
        <v>44897</v>
      </c>
      <c r="G318" s="17">
        <f t="shared" si="8"/>
        <v>84</v>
      </c>
      <c r="H318" t="str">
        <f t="shared" si="9"/>
        <v>No Heavy SAAS</v>
      </c>
      <c r="I318" t="str">
        <f>VLOOKUP(A318,'Case 1'!A:P,16,FALSE )</f>
        <v>Premium</v>
      </c>
      <c r="K318" s="3">
        <v>1613030</v>
      </c>
    </row>
    <row r="319" spans="1:11" ht="14.4" x14ac:dyDescent="0.3">
      <c r="A319" s="3">
        <v>554304</v>
      </c>
      <c r="B319" s="3">
        <v>4992</v>
      </c>
      <c r="C319" s="1" t="s">
        <v>1114</v>
      </c>
      <c r="D319" s="1" t="s">
        <v>1115</v>
      </c>
      <c r="E319" s="16">
        <f>VLOOKUP(A319,'Case 1'!A:W,23,FALSE)</f>
        <v>44813</v>
      </c>
      <c r="F319" s="16">
        <v>44897</v>
      </c>
      <c r="G319" s="17">
        <f t="shared" si="8"/>
        <v>84</v>
      </c>
      <c r="H319" t="str">
        <f t="shared" si="9"/>
        <v>No Heavy SAAS</v>
      </c>
      <c r="I319" t="str">
        <f>VLOOKUP(A319,'Case 1'!A:P,16,FALSE )</f>
        <v>Premium</v>
      </c>
      <c r="K319" s="3">
        <v>1650550</v>
      </c>
    </row>
    <row r="320" spans="1:11" ht="14.4" x14ac:dyDescent="0.3">
      <c r="A320" s="3">
        <v>554305</v>
      </c>
      <c r="B320" s="3">
        <v>5615</v>
      </c>
      <c r="C320" s="1" t="s">
        <v>1110</v>
      </c>
      <c r="D320" s="1" t="s">
        <v>1111</v>
      </c>
      <c r="E320" s="16">
        <f>VLOOKUP(A320,'Case 1'!A:W,23,FALSE)</f>
        <v>44867</v>
      </c>
      <c r="F320" s="16">
        <v>44897</v>
      </c>
      <c r="G320" s="17">
        <f t="shared" si="8"/>
        <v>30</v>
      </c>
      <c r="H320" t="str">
        <f t="shared" si="9"/>
        <v>No Heavy SAAS</v>
      </c>
      <c r="I320" t="str">
        <f>VLOOKUP(A320,'Case 1'!A:P,16,FALSE )</f>
        <v>Starter</v>
      </c>
      <c r="K320" s="3">
        <v>3030501</v>
      </c>
    </row>
    <row r="321" spans="1:11" ht="14.4" x14ac:dyDescent="0.3">
      <c r="A321" s="3">
        <v>554505</v>
      </c>
      <c r="B321" s="3">
        <v>2394</v>
      </c>
      <c r="C321" s="1" t="s">
        <v>984</v>
      </c>
      <c r="D321" s="1" t="s">
        <v>985</v>
      </c>
      <c r="E321" s="16">
        <f>VLOOKUP(A321,'Case 1'!A:W,23,FALSE)</f>
        <v>44894</v>
      </c>
      <c r="F321" s="16">
        <v>44897</v>
      </c>
      <c r="G321" s="17">
        <f t="shared" si="8"/>
        <v>3</v>
      </c>
      <c r="H321" t="str">
        <f t="shared" si="9"/>
        <v>Heavy SAAS</v>
      </c>
      <c r="I321" t="str">
        <f>VLOOKUP(A321,'Case 1'!A:P,16,FALSE )</f>
        <v>Starter</v>
      </c>
      <c r="K321" s="3">
        <v>5003057</v>
      </c>
    </row>
    <row r="322" spans="1:11" ht="14.4" x14ac:dyDescent="0.3">
      <c r="A322" s="3">
        <v>554630</v>
      </c>
      <c r="B322" s="3">
        <v>537</v>
      </c>
      <c r="C322" s="1" t="s">
        <v>1007</v>
      </c>
      <c r="D322" s="1" t="s">
        <v>1008</v>
      </c>
      <c r="E322" s="16">
        <f>VLOOKUP(A322,'Case 1'!A:W,23,FALSE)</f>
        <v>44881</v>
      </c>
      <c r="F322" s="16">
        <v>44897</v>
      </c>
      <c r="G322" s="17">
        <f t="shared" ref="G322:G385" si="10">F322-E322</f>
        <v>16</v>
      </c>
      <c r="H322" t="str">
        <f t="shared" ref="H322:H385" si="11">+IF(AND(B322&gt;40,G322&lt;30),"Heavy SAAS","No Heavy SAAS")</f>
        <v>Heavy SAAS</v>
      </c>
      <c r="I322" t="str">
        <f>VLOOKUP(A322,'Case 1'!A:P,16,FALSE )</f>
        <v>Starter</v>
      </c>
      <c r="K322" s="3">
        <v>5004150</v>
      </c>
    </row>
    <row r="323" spans="1:11" ht="14.4" x14ac:dyDescent="0.3">
      <c r="A323" s="3">
        <v>555505</v>
      </c>
      <c r="B323" s="3">
        <v>1806</v>
      </c>
      <c r="C323" s="1" t="s">
        <v>1121</v>
      </c>
      <c r="D323" s="1" t="s">
        <v>1122</v>
      </c>
      <c r="E323" s="16">
        <f>VLOOKUP(A323,'Case 1'!A:W,23,FALSE)</f>
        <v>44891</v>
      </c>
      <c r="F323" s="16">
        <v>44897</v>
      </c>
      <c r="G323" s="17">
        <f t="shared" si="10"/>
        <v>6</v>
      </c>
      <c r="H323" t="str">
        <f t="shared" si="11"/>
        <v>Heavy SAAS</v>
      </c>
      <c r="I323" t="str">
        <f>VLOOKUP(A323,'Case 1'!A:P,16,FALSE )</f>
        <v>Starter</v>
      </c>
      <c r="K323" s="3">
        <v>5004430</v>
      </c>
    </row>
    <row r="324" spans="1:11" ht="14.4" x14ac:dyDescent="0.3">
      <c r="A324" s="3">
        <v>555550</v>
      </c>
      <c r="B324" s="3">
        <v>128</v>
      </c>
      <c r="C324" s="1" t="s">
        <v>365</v>
      </c>
      <c r="D324" s="1" t="s">
        <v>958</v>
      </c>
      <c r="E324" s="16">
        <f>VLOOKUP(A324,'Case 1'!A:W,23,FALSE)</f>
        <v>44885</v>
      </c>
      <c r="F324" s="16">
        <v>44897</v>
      </c>
      <c r="G324" s="17">
        <f t="shared" si="10"/>
        <v>12</v>
      </c>
      <c r="H324" t="str">
        <f t="shared" si="11"/>
        <v>Heavy SAAS</v>
      </c>
      <c r="I324" t="str">
        <f>VLOOKUP(A324,'Case 1'!A:P,16,FALSE )</f>
        <v>Premium</v>
      </c>
      <c r="K324" s="3">
        <v>5004450</v>
      </c>
    </row>
    <row r="325" spans="1:11" ht="14.4" x14ac:dyDescent="0.3">
      <c r="A325" s="3">
        <v>556450</v>
      </c>
      <c r="B325" s="3">
        <v>24950</v>
      </c>
      <c r="C325" s="1" t="s">
        <v>326</v>
      </c>
      <c r="D325" s="1" t="s">
        <v>621</v>
      </c>
      <c r="E325" s="16">
        <f>VLOOKUP(A325,'Case 1'!A:W,23,FALSE)</f>
        <v>44872</v>
      </c>
      <c r="F325" s="16">
        <v>44897</v>
      </c>
      <c r="G325" s="17">
        <f t="shared" si="10"/>
        <v>25</v>
      </c>
      <c r="H325" t="str">
        <f t="shared" si="11"/>
        <v>Heavy SAAS</v>
      </c>
      <c r="I325" t="str">
        <f>VLOOKUP(A325,'Case 1'!A:P,16,FALSE )</f>
        <v>Starter</v>
      </c>
      <c r="K325" s="3">
        <v>5004506</v>
      </c>
    </row>
    <row r="326" spans="1:11" ht="14.4" x14ac:dyDescent="0.3">
      <c r="A326" s="3">
        <v>556506</v>
      </c>
      <c r="B326" s="3">
        <v>1689</v>
      </c>
      <c r="C326" s="1" t="s">
        <v>1075</v>
      </c>
      <c r="D326" s="1" t="s">
        <v>1076</v>
      </c>
      <c r="E326" s="16">
        <f>VLOOKUP(A326,'Case 1'!A:W,23,FALSE)</f>
        <v>44708</v>
      </c>
      <c r="F326" s="16">
        <v>44897</v>
      </c>
      <c r="G326" s="17">
        <f t="shared" si="10"/>
        <v>189</v>
      </c>
      <c r="H326" t="str">
        <f t="shared" si="11"/>
        <v>No Heavy SAAS</v>
      </c>
      <c r="I326" t="str">
        <f>VLOOKUP(A326,'Case 1'!A:P,16,FALSE )</f>
        <v>Advanced</v>
      </c>
      <c r="K326" s="3">
        <v>5005430</v>
      </c>
    </row>
    <row r="327" spans="1:11" ht="14.4" x14ac:dyDescent="0.3">
      <c r="A327" s="3">
        <v>563006</v>
      </c>
      <c r="B327" s="3">
        <v>2665</v>
      </c>
      <c r="C327" s="1" t="s">
        <v>76</v>
      </c>
      <c r="D327" s="1" t="s">
        <v>781</v>
      </c>
      <c r="E327" s="16">
        <f>VLOOKUP(A327,'Case 1'!A:W,23,FALSE)</f>
        <v>44830</v>
      </c>
      <c r="F327" s="16">
        <v>44897</v>
      </c>
      <c r="G327" s="17">
        <f t="shared" si="10"/>
        <v>67</v>
      </c>
      <c r="H327" t="str">
        <f t="shared" si="11"/>
        <v>No Heavy SAAS</v>
      </c>
      <c r="I327" t="str">
        <f>VLOOKUP(A327,'Case 1'!A:P,16,FALSE )</f>
        <v>Starter</v>
      </c>
      <c r="K327" s="3">
        <v>5005450</v>
      </c>
    </row>
    <row r="328" spans="1:11" ht="14.4" x14ac:dyDescent="0.3">
      <c r="A328" s="3">
        <v>563014</v>
      </c>
      <c r="B328" s="3">
        <v>3381</v>
      </c>
      <c r="C328" s="1" t="s">
        <v>786</v>
      </c>
      <c r="D328" s="1" t="s">
        <v>787</v>
      </c>
      <c r="E328" s="16">
        <f>VLOOKUP(A328,'Case 1'!A:W,23,FALSE)</f>
        <v>44570</v>
      </c>
      <c r="F328" s="16">
        <v>44897</v>
      </c>
      <c r="G328" s="17">
        <f t="shared" si="10"/>
        <v>327</v>
      </c>
      <c r="H328" t="str">
        <f t="shared" si="11"/>
        <v>No Heavy SAAS</v>
      </c>
      <c r="I328" t="str">
        <f>VLOOKUP(A328,'Case 1'!A:P,16,FALSE )</f>
        <v>Premium</v>
      </c>
      <c r="K328" s="3">
        <v>5005750</v>
      </c>
    </row>
    <row r="329" spans="1:11" ht="14.4" x14ac:dyDescent="0.3">
      <c r="A329" s="3">
        <v>564304</v>
      </c>
      <c r="B329" s="3">
        <v>7720</v>
      </c>
      <c r="C329" s="1" t="s">
        <v>777</v>
      </c>
      <c r="D329" s="1" t="s">
        <v>778</v>
      </c>
      <c r="E329" s="16">
        <f>VLOOKUP(A329,'Case 1'!A:W,23,FALSE)</f>
        <v>44702</v>
      </c>
      <c r="F329" s="16">
        <v>44897</v>
      </c>
      <c r="G329" s="17">
        <f t="shared" si="10"/>
        <v>195</v>
      </c>
      <c r="H329" t="str">
        <f t="shared" si="11"/>
        <v>No Heavy SAAS</v>
      </c>
      <c r="I329" t="str">
        <f>VLOOKUP(A329,'Case 1'!A:P,16,FALSE )</f>
        <v>Premium</v>
      </c>
      <c r="K329" s="3">
        <v>5010430</v>
      </c>
    </row>
    <row r="330" spans="1:11" ht="14.4" x14ac:dyDescent="0.3">
      <c r="A330" s="3">
        <v>565501</v>
      </c>
      <c r="B330" s="3">
        <v>4016</v>
      </c>
      <c r="C330" s="1" t="s">
        <v>143</v>
      </c>
      <c r="D330" s="1" t="s">
        <v>763</v>
      </c>
      <c r="E330" s="16">
        <f>VLOOKUP(A330,'Case 1'!A:W,23,FALSE)</f>
        <v>44646</v>
      </c>
      <c r="F330" s="16">
        <v>44897</v>
      </c>
      <c r="G330" s="17">
        <f t="shared" si="10"/>
        <v>251</v>
      </c>
      <c r="H330" t="str">
        <f t="shared" si="11"/>
        <v>No Heavy SAAS</v>
      </c>
      <c r="I330" t="str">
        <f>VLOOKUP(A330,'Case 1'!A:P,16,FALSE )</f>
        <v>Advanced</v>
      </c>
      <c r="K330" s="3">
        <v>5011050</v>
      </c>
    </row>
    <row r="331" spans="1:11" ht="14.4" x14ac:dyDescent="0.3">
      <c r="A331" s="3">
        <v>567304</v>
      </c>
      <c r="B331" s="3">
        <v>7811</v>
      </c>
      <c r="C331" s="1" t="s">
        <v>791</v>
      </c>
      <c r="D331" s="1" t="s">
        <v>792</v>
      </c>
      <c r="E331" s="16">
        <f>VLOOKUP(A331,'Case 1'!A:W,23,FALSE)</f>
        <v>44700</v>
      </c>
      <c r="F331" s="16">
        <v>44897</v>
      </c>
      <c r="G331" s="17">
        <f t="shared" si="10"/>
        <v>197</v>
      </c>
      <c r="H331" t="str">
        <f t="shared" si="11"/>
        <v>No Heavy SAAS</v>
      </c>
      <c r="I331" t="str">
        <f>VLOOKUP(A331,'Case 1'!A:P,16,FALSE )</f>
        <v>Starter</v>
      </c>
      <c r="K331" s="3">
        <v>5011504</v>
      </c>
    </row>
    <row r="332" spans="1:11" ht="14.4" x14ac:dyDescent="0.3">
      <c r="A332" s="3">
        <v>571530</v>
      </c>
      <c r="B332" s="3">
        <v>57</v>
      </c>
      <c r="C332" s="1" t="s">
        <v>365</v>
      </c>
      <c r="D332" s="1" t="s">
        <v>818</v>
      </c>
      <c r="E332" s="16">
        <f>VLOOKUP(A332,'Case 1'!A:W,23,FALSE)</f>
        <v>44836</v>
      </c>
      <c r="F332" s="16">
        <v>44897</v>
      </c>
      <c r="G332" s="17">
        <f t="shared" si="10"/>
        <v>61</v>
      </c>
      <c r="H332" t="str">
        <f t="shared" si="11"/>
        <v>No Heavy SAAS</v>
      </c>
      <c r="I332" t="str">
        <f>VLOOKUP(A332,'Case 1'!A:P,16,FALSE )</f>
        <v>Advanced</v>
      </c>
      <c r="K332" s="3">
        <v>5013047</v>
      </c>
    </row>
    <row r="333" spans="1:11" ht="14.4" x14ac:dyDescent="0.3">
      <c r="A333" s="3">
        <v>573000</v>
      </c>
      <c r="B333" s="3">
        <v>3933</v>
      </c>
      <c r="C333" s="1" t="s">
        <v>423</v>
      </c>
      <c r="D333" s="1" t="s">
        <v>826</v>
      </c>
      <c r="E333" s="16">
        <f>VLOOKUP(A333,'Case 1'!A:W,23,FALSE)</f>
        <v>44626</v>
      </c>
      <c r="F333" s="16">
        <v>44897</v>
      </c>
      <c r="G333" s="17">
        <f t="shared" si="10"/>
        <v>271</v>
      </c>
      <c r="H333" t="str">
        <f t="shared" si="11"/>
        <v>No Heavy SAAS</v>
      </c>
      <c r="I333" t="str">
        <f>VLOOKUP(A333,'Case 1'!A:P,16,FALSE )</f>
        <v>Premium</v>
      </c>
      <c r="K333" s="3">
        <v>5013050</v>
      </c>
    </row>
    <row r="334" spans="1:11" ht="14.4" x14ac:dyDescent="0.3">
      <c r="A334" s="3">
        <v>573014</v>
      </c>
      <c r="B334" s="3">
        <v>7956</v>
      </c>
      <c r="C334" s="1" t="s">
        <v>829</v>
      </c>
      <c r="D334" s="1" t="s">
        <v>830</v>
      </c>
      <c r="E334" s="16">
        <f>VLOOKUP(A334,'Case 1'!A:W,23,FALSE)</f>
        <v>44807</v>
      </c>
      <c r="F334" s="16">
        <v>44897</v>
      </c>
      <c r="G334" s="17">
        <f t="shared" si="10"/>
        <v>90</v>
      </c>
      <c r="H334" t="str">
        <f t="shared" si="11"/>
        <v>No Heavy SAAS</v>
      </c>
      <c r="I334" t="str">
        <f>VLOOKUP(A334,'Case 1'!A:P,16,FALSE )</f>
        <v>Advanced</v>
      </c>
      <c r="K334" s="3">
        <v>5014550</v>
      </c>
    </row>
    <row r="335" spans="1:11" ht="14.4" x14ac:dyDescent="0.3">
      <c r="A335" s="3">
        <v>575304</v>
      </c>
      <c r="B335" s="3">
        <v>39</v>
      </c>
      <c r="C335" s="1" t="s">
        <v>365</v>
      </c>
      <c r="D335" s="1" t="s">
        <v>821</v>
      </c>
      <c r="E335" s="16">
        <f>VLOOKUP(A335,'Case 1'!A:W,23,FALSE)</f>
        <v>44865</v>
      </c>
      <c r="F335" s="16">
        <v>44897</v>
      </c>
      <c r="G335" s="17">
        <f t="shared" si="10"/>
        <v>32</v>
      </c>
      <c r="H335" t="str">
        <f t="shared" si="11"/>
        <v>No Heavy SAAS</v>
      </c>
      <c r="I335" t="str">
        <f>VLOOKUP(A335,'Case 1'!A:P,16,FALSE )</f>
        <v>Starter</v>
      </c>
      <c r="K335" s="3">
        <v>5015050</v>
      </c>
    </row>
    <row r="336" spans="1:11" ht="14.4" x14ac:dyDescent="0.3">
      <c r="A336" s="3">
        <v>1050430</v>
      </c>
      <c r="B336" s="3">
        <v>266</v>
      </c>
      <c r="C336" s="1" t="s">
        <v>37</v>
      </c>
      <c r="D336" s="1" t="s">
        <v>240</v>
      </c>
      <c r="E336" s="16">
        <f>VLOOKUP(A336,'Case 1'!A:W,23,FALSE)</f>
        <v>44705</v>
      </c>
      <c r="F336" s="16">
        <v>44897</v>
      </c>
      <c r="G336" s="17">
        <f t="shared" si="10"/>
        <v>192</v>
      </c>
      <c r="H336" t="str">
        <f t="shared" si="11"/>
        <v>No Heavy SAAS</v>
      </c>
      <c r="I336" t="str">
        <f>VLOOKUP(A336,'Case 1'!A:P,16,FALSE )</f>
        <v>Advanced</v>
      </c>
      <c r="K336" s="3">
        <v>5015504</v>
      </c>
    </row>
    <row r="337" spans="1:11" ht="14.4" x14ac:dyDescent="0.3">
      <c r="A337" s="3">
        <v>1305030</v>
      </c>
      <c r="B337" s="3">
        <v>6732</v>
      </c>
      <c r="C337" s="1" t="s">
        <v>315</v>
      </c>
      <c r="D337" s="1" t="s">
        <v>316</v>
      </c>
      <c r="E337" s="16">
        <f>VLOOKUP(A337,'Case 1'!A:W,23,FALSE)</f>
        <v>44593</v>
      </c>
      <c r="F337" s="16">
        <v>44897</v>
      </c>
      <c r="G337" s="17">
        <f t="shared" si="10"/>
        <v>304</v>
      </c>
      <c r="H337" t="str">
        <f t="shared" si="11"/>
        <v>No Heavy SAAS</v>
      </c>
      <c r="I337" t="str">
        <f>VLOOKUP(A337,'Case 1'!A:P,16,FALSE )</f>
        <v>Advanced</v>
      </c>
      <c r="K337" s="3">
        <v>5015550</v>
      </c>
    </row>
    <row r="338" spans="1:11" ht="14.4" x14ac:dyDescent="0.3">
      <c r="A338" s="3">
        <v>1450307</v>
      </c>
      <c r="B338" s="3">
        <v>7057</v>
      </c>
      <c r="C338" s="1" t="s">
        <v>274</v>
      </c>
      <c r="D338" s="1" t="s">
        <v>275</v>
      </c>
      <c r="E338" s="16">
        <f>VLOOKUP(A338,'Case 1'!A:W,23,FALSE)</f>
        <v>44656</v>
      </c>
      <c r="F338" s="16">
        <v>44897</v>
      </c>
      <c r="G338" s="17">
        <f t="shared" si="10"/>
        <v>241</v>
      </c>
      <c r="H338" t="str">
        <f t="shared" si="11"/>
        <v>No Heavy SAAS</v>
      </c>
      <c r="I338" t="str">
        <f>VLOOKUP(A338,'Case 1'!A:P,16,FALSE )</f>
        <v>Starter</v>
      </c>
      <c r="K338" s="3">
        <v>5017730</v>
      </c>
    </row>
    <row r="339" spans="1:11" ht="14.4" x14ac:dyDescent="0.3">
      <c r="A339" s="3">
        <v>1613030</v>
      </c>
      <c r="B339" s="3">
        <v>23654</v>
      </c>
      <c r="C339" s="1" t="s">
        <v>343</v>
      </c>
      <c r="D339" s="1" t="s">
        <v>344</v>
      </c>
      <c r="E339" s="16">
        <f>VLOOKUP(A339,'Case 1'!A:W,23,FALSE)</f>
        <v>44876</v>
      </c>
      <c r="F339" s="16">
        <v>44897</v>
      </c>
      <c r="G339" s="17">
        <f t="shared" si="10"/>
        <v>21</v>
      </c>
      <c r="H339" t="str">
        <f t="shared" si="11"/>
        <v>Heavy SAAS</v>
      </c>
      <c r="I339" t="str">
        <f>VLOOKUP(A339,'Case 1'!A:P,16,FALSE )</f>
        <v>Starter</v>
      </c>
      <c r="K339" s="3">
        <v>5030144</v>
      </c>
    </row>
    <row r="340" spans="1:11" ht="14.4" x14ac:dyDescent="0.3">
      <c r="A340" s="3">
        <v>1650550</v>
      </c>
      <c r="B340" s="3">
        <v>18161</v>
      </c>
      <c r="C340" s="1" t="s">
        <v>352</v>
      </c>
      <c r="D340" s="1" t="s">
        <v>353</v>
      </c>
      <c r="E340" s="16">
        <f>VLOOKUP(A340,'Case 1'!A:W,23,FALSE)</f>
        <v>44856</v>
      </c>
      <c r="F340" s="16">
        <v>44897</v>
      </c>
      <c r="G340" s="17">
        <f t="shared" si="10"/>
        <v>41</v>
      </c>
      <c r="H340" t="str">
        <f t="shared" si="11"/>
        <v>No Heavy SAAS</v>
      </c>
      <c r="I340" t="str">
        <f>VLOOKUP(A340,'Case 1'!A:P,16,FALSE )</f>
        <v>Advanced</v>
      </c>
      <c r="K340" s="3">
        <v>5030154</v>
      </c>
    </row>
    <row r="341" spans="1:11" ht="14.4" x14ac:dyDescent="0.3">
      <c r="A341" s="3">
        <v>3030501</v>
      </c>
      <c r="B341" s="3">
        <v>81</v>
      </c>
      <c r="C341" s="1" t="s">
        <v>182</v>
      </c>
      <c r="D341" s="1" t="s">
        <v>183</v>
      </c>
      <c r="E341" s="16">
        <f>VLOOKUP(A341,'Case 1'!A:W,23,FALSE)</f>
        <v>44669</v>
      </c>
      <c r="F341" s="16">
        <v>44897</v>
      </c>
      <c r="G341" s="17">
        <f t="shared" si="10"/>
        <v>228</v>
      </c>
      <c r="H341" t="str">
        <f t="shared" si="11"/>
        <v>No Heavy SAAS</v>
      </c>
      <c r="I341" t="str">
        <f>VLOOKUP(A341,'Case 1'!A:P,16,FALSE )</f>
        <v>Advanced</v>
      </c>
      <c r="K341" s="3">
        <v>5030170</v>
      </c>
    </row>
    <row r="342" spans="1:11" ht="14.4" x14ac:dyDescent="0.3">
      <c r="A342" s="3">
        <v>5003057</v>
      </c>
      <c r="B342" s="3">
        <v>4503</v>
      </c>
      <c r="C342" s="1" t="s">
        <v>1165</v>
      </c>
      <c r="D342" s="1" t="s">
        <v>1166</v>
      </c>
      <c r="E342" s="16">
        <f>VLOOKUP(A342,'Case 1'!A:W,23,FALSE)</f>
        <v>44787</v>
      </c>
      <c r="F342" s="16">
        <v>44897</v>
      </c>
      <c r="G342" s="17">
        <f t="shared" si="10"/>
        <v>110</v>
      </c>
      <c r="H342" t="str">
        <f t="shared" si="11"/>
        <v>No Heavy SAAS</v>
      </c>
      <c r="I342" t="str">
        <f>VLOOKUP(A342,'Case 1'!A:P,16,FALSE )</f>
        <v>Premium</v>
      </c>
      <c r="K342" s="3">
        <v>5030400</v>
      </c>
    </row>
    <row r="343" spans="1:11" ht="14.4" x14ac:dyDescent="0.3">
      <c r="A343" s="3">
        <v>5004150</v>
      </c>
      <c r="B343" s="3">
        <v>51</v>
      </c>
      <c r="C343" s="1" t="s">
        <v>365</v>
      </c>
      <c r="D343" s="1" t="s">
        <v>1187</v>
      </c>
      <c r="E343" s="16">
        <f>VLOOKUP(A343,'Case 1'!A:W,23,FALSE)</f>
        <v>44870</v>
      </c>
      <c r="F343" s="16">
        <v>44897</v>
      </c>
      <c r="G343" s="17">
        <f t="shared" si="10"/>
        <v>27</v>
      </c>
      <c r="H343" t="str">
        <f t="shared" si="11"/>
        <v>Heavy SAAS</v>
      </c>
      <c r="I343" t="str">
        <f>VLOOKUP(A343,'Case 1'!A:P,16,FALSE )</f>
        <v>Premium</v>
      </c>
      <c r="K343" s="3">
        <v>5030404</v>
      </c>
    </row>
    <row r="344" spans="1:11" ht="14.4" x14ac:dyDescent="0.3">
      <c r="A344" s="3">
        <v>5004430</v>
      </c>
      <c r="B344" s="3">
        <v>201</v>
      </c>
      <c r="C344" s="1" t="s">
        <v>365</v>
      </c>
      <c r="D344" s="1" t="s">
        <v>1158</v>
      </c>
      <c r="E344" s="16">
        <f>VLOOKUP(A344,'Case 1'!A:W,23,FALSE)</f>
        <v>44755</v>
      </c>
      <c r="F344" s="16">
        <v>44897</v>
      </c>
      <c r="G344" s="17">
        <f t="shared" si="10"/>
        <v>142</v>
      </c>
      <c r="H344" t="str">
        <f t="shared" si="11"/>
        <v>No Heavy SAAS</v>
      </c>
      <c r="I344" t="str">
        <f>VLOOKUP(A344,'Case 1'!A:P,16,FALSE )</f>
        <v>Advanced</v>
      </c>
      <c r="K344" s="3">
        <v>5030414</v>
      </c>
    </row>
    <row r="345" spans="1:11" ht="14.4" x14ac:dyDescent="0.3">
      <c r="A345" s="3">
        <v>5004450</v>
      </c>
      <c r="B345" s="3">
        <v>5927</v>
      </c>
      <c r="C345" s="1" t="s">
        <v>1154</v>
      </c>
      <c r="D345" s="1" t="s">
        <v>1155</v>
      </c>
      <c r="E345" s="16">
        <f>VLOOKUP(A345,'Case 1'!A:W,23,FALSE)</f>
        <v>44683</v>
      </c>
      <c r="F345" s="16">
        <v>44897</v>
      </c>
      <c r="G345" s="17">
        <f t="shared" si="10"/>
        <v>214</v>
      </c>
      <c r="H345" t="str">
        <f t="shared" si="11"/>
        <v>No Heavy SAAS</v>
      </c>
      <c r="I345" t="str">
        <f>VLOOKUP(A345,'Case 1'!A:P,16,FALSE )</f>
        <v>Starter</v>
      </c>
      <c r="K345" s="3">
        <v>5030430</v>
      </c>
    </row>
    <row r="346" spans="1:11" ht="14.4" x14ac:dyDescent="0.3">
      <c r="A346" s="3">
        <v>5004506</v>
      </c>
      <c r="B346" s="3">
        <v>2227</v>
      </c>
      <c r="C346" s="1" t="s">
        <v>895</v>
      </c>
      <c r="D346" s="1" t="s">
        <v>1191</v>
      </c>
      <c r="E346" s="16">
        <f>VLOOKUP(A346,'Case 1'!A:W,23,FALSE)</f>
        <v>44852</v>
      </c>
      <c r="F346" s="16">
        <v>44897</v>
      </c>
      <c r="G346" s="17">
        <f t="shared" si="10"/>
        <v>45</v>
      </c>
      <c r="H346" t="str">
        <f t="shared" si="11"/>
        <v>No Heavy SAAS</v>
      </c>
      <c r="I346" t="str">
        <f>VLOOKUP(A346,'Case 1'!A:P,16,FALSE )</f>
        <v>Premium</v>
      </c>
      <c r="K346" s="3">
        <v>5030444</v>
      </c>
    </row>
    <row r="347" spans="1:11" ht="14.4" x14ac:dyDescent="0.3">
      <c r="A347" s="3">
        <v>5005430</v>
      </c>
      <c r="B347" s="3">
        <v>2473</v>
      </c>
      <c r="C347" s="1" t="s">
        <v>1145</v>
      </c>
      <c r="D347" s="1" t="s">
        <v>1146</v>
      </c>
      <c r="E347" s="16">
        <f>VLOOKUP(A347,'Case 1'!A:W,23,FALSE)</f>
        <v>44875</v>
      </c>
      <c r="F347" s="16">
        <v>44897</v>
      </c>
      <c r="G347" s="17">
        <f t="shared" si="10"/>
        <v>22</v>
      </c>
      <c r="H347" t="str">
        <f t="shared" si="11"/>
        <v>Heavy SAAS</v>
      </c>
      <c r="I347" t="str">
        <f>VLOOKUP(A347,'Case 1'!A:P,16,FALSE )</f>
        <v>Premium</v>
      </c>
      <c r="K347" s="3">
        <v>5030454</v>
      </c>
    </row>
    <row r="348" spans="1:11" ht="14.4" x14ac:dyDescent="0.3">
      <c r="A348" s="3">
        <v>5005450</v>
      </c>
      <c r="B348" s="3">
        <v>7118</v>
      </c>
      <c r="C348" s="1" t="s">
        <v>37</v>
      </c>
      <c r="D348" s="1" t="s">
        <v>1207</v>
      </c>
      <c r="E348" s="16">
        <f>VLOOKUP(A348,'Case 1'!A:W,23,FALSE)</f>
        <v>44812</v>
      </c>
      <c r="F348" s="16">
        <v>44897</v>
      </c>
      <c r="G348" s="17">
        <f t="shared" si="10"/>
        <v>85</v>
      </c>
      <c r="H348" t="str">
        <f t="shared" si="11"/>
        <v>No Heavy SAAS</v>
      </c>
      <c r="I348" t="str">
        <f>VLOOKUP(A348,'Case 1'!A:P,16,FALSE )</f>
        <v>Starter</v>
      </c>
      <c r="K348" s="3">
        <v>5030504</v>
      </c>
    </row>
    <row r="349" spans="1:11" ht="14.4" x14ac:dyDescent="0.3">
      <c r="A349" s="3">
        <v>5005750</v>
      </c>
      <c r="B349" s="3">
        <v>21</v>
      </c>
      <c r="C349" s="1" t="s">
        <v>1215</v>
      </c>
      <c r="D349" s="1" t="s">
        <v>1216</v>
      </c>
      <c r="E349" s="16">
        <f>VLOOKUP(A349,'Case 1'!A:W,23,FALSE)</f>
        <v>44836</v>
      </c>
      <c r="F349" s="16">
        <v>44897</v>
      </c>
      <c r="G349" s="17">
        <f t="shared" si="10"/>
        <v>61</v>
      </c>
      <c r="H349" t="str">
        <f t="shared" si="11"/>
        <v>No Heavy SAAS</v>
      </c>
      <c r="I349" t="str">
        <f>VLOOKUP(A349,'Case 1'!A:P,16,FALSE )</f>
        <v>Advanced</v>
      </c>
      <c r="K349" s="3">
        <v>5030507</v>
      </c>
    </row>
    <row r="350" spans="1:11" ht="14.4" x14ac:dyDescent="0.3">
      <c r="A350" s="3">
        <v>5010430</v>
      </c>
      <c r="B350" s="3">
        <v>2381</v>
      </c>
      <c r="C350" s="1" t="s">
        <v>1224</v>
      </c>
      <c r="D350" s="1" t="s">
        <v>1225</v>
      </c>
      <c r="E350" s="16">
        <f>VLOOKUP(A350,'Case 1'!A:W,23,FALSE)</f>
        <v>44901</v>
      </c>
      <c r="F350" s="16">
        <v>44897</v>
      </c>
      <c r="G350" s="17">
        <f t="shared" si="10"/>
        <v>-4</v>
      </c>
      <c r="H350" t="str">
        <f t="shared" si="11"/>
        <v>Heavy SAAS</v>
      </c>
      <c r="I350" t="str">
        <f>VLOOKUP(A350,'Case 1'!A:P,16,FALSE )</f>
        <v>Advanced</v>
      </c>
      <c r="K350" s="3">
        <v>5030515</v>
      </c>
    </row>
    <row r="351" spans="1:11" ht="14.4" x14ac:dyDescent="0.3">
      <c r="A351" s="3">
        <v>5011050</v>
      </c>
      <c r="B351" s="3">
        <v>2270</v>
      </c>
      <c r="C351" s="1" t="s">
        <v>365</v>
      </c>
      <c r="D351" s="1" t="s">
        <v>1230</v>
      </c>
      <c r="E351" s="16">
        <f>VLOOKUP(A351,'Case 1'!A:W,23,FALSE)</f>
        <v>44830</v>
      </c>
      <c r="F351" s="16">
        <v>44897</v>
      </c>
      <c r="G351" s="17">
        <f t="shared" si="10"/>
        <v>67</v>
      </c>
      <c r="H351" t="str">
        <f t="shared" si="11"/>
        <v>No Heavy SAAS</v>
      </c>
      <c r="I351" t="str">
        <f>VLOOKUP(A351,'Case 1'!A:P,16,FALSE )</f>
        <v>Starter</v>
      </c>
      <c r="K351" s="3">
        <v>5030540</v>
      </c>
    </row>
    <row r="352" spans="1:11" ht="14.4" x14ac:dyDescent="0.3">
      <c r="A352" s="3">
        <v>5011504</v>
      </c>
      <c r="B352" s="3">
        <v>903</v>
      </c>
      <c r="C352" s="1" t="s">
        <v>1235</v>
      </c>
      <c r="D352" s="1" t="s">
        <v>1236</v>
      </c>
      <c r="E352" s="16">
        <f>VLOOKUP(A352,'Case 1'!A:W,23,FALSE)</f>
        <v>44890</v>
      </c>
      <c r="F352" s="16">
        <v>44897</v>
      </c>
      <c r="G352" s="17">
        <f t="shared" si="10"/>
        <v>7</v>
      </c>
      <c r="H352" t="str">
        <f t="shared" si="11"/>
        <v>Heavy SAAS</v>
      </c>
      <c r="I352" t="str">
        <f>VLOOKUP(A352,'Case 1'!A:P,16,FALSE )</f>
        <v>Premium</v>
      </c>
      <c r="K352" s="3">
        <v>5030544</v>
      </c>
    </row>
    <row r="353" spans="1:11" ht="14.4" x14ac:dyDescent="0.3">
      <c r="A353" s="3">
        <v>5013047</v>
      </c>
      <c r="B353" s="3">
        <v>310</v>
      </c>
      <c r="C353" s="1" t="s">
        <v>1271</v>
      </c>
      <c r="D353" s="1" t="s">
        <v>1272</v>
      </c>
      <c r="E353" s="16">
        <f>VLOOKUP(A353,'Case 1'!A:W,23,FALSE)</f>
        <v>44840</v>
      </c>
      <c r="F353" s="16">
        <v>44897</v>
      </c>
      <c r="G353" s="17">
        <f t="shared" si="10"/>
        <v>57</v>
      </c>
      <c r="H353" t="str">
        <f t="shared" si="11"/>
        <v>No Heavy SAAS</v>
      </c>
      <c r="I353" t="str">
        <f>VLOOKUP(A353,'Case 1'!A:P,16,FALSE )</f>
        <v>Premium</v>
      </c>
      <c r="K353" s="3">
        <v>5030545</v>
      </c>
    </row>
    <row r="354" spans="1:11" ht="14.4" x14ac:dyDescent="0.3">
      <c r="A354" s="3">
        <v>5013050</v>
      </c>
      <c r="B354" s="3">
        <v>382</v>
      </c>
      <c r="C354" s="1" t="s">
        <v>365</v>
      </c>
      <c r="D354" s="1" t="s">
        <v>1276</v>
      </c>
      <c r="E354" s="16">
        <f>VLOOKUP(A354,'Case 1'!A:W,23,FALSE)</f>
        <v>44807</v>
      </c>
      <c r="F354" s="16">
        <v>44897</v>
      </c>
      <c r="G354" s="17">
        <f t="shared" si="10"/>
        <v>90</v>
      </c>
      <c r="H354" t="str">
        <f t="shared" si="11"/>
        <v>No Heavy SAAS</v>
      </c>
      <c r="I354" t="str">
        <f>VLOOKUP(A354,'Case 1'!A:P,16,FALSE )</f>
        <v>Starter</v>
      </c>
      <c r="K354" s="3">
        <v>5030547</v>
      </c>
    </row>
    <row r="355" spans="1:11" ht="14.4" x14ac:dyDescent="0.3">
      <c r="A355" s="3">
        <v>5014550</v>
      </c>
      <c r="B355" s="3">
        <v>7999</v>
      </c>
      <c r="C355" s="1" t="s">
        <v>195</v>
      </c>
      <c r="D355" s="1" t="s">
        <v>1261</v>
      </c>
      <c r="E355" s="16">
        <f>VLOOKUP(A355,'Case 1'!A:W,23,FALSE)</f>
        <v>44817</v>
      </c>
      <c r="F355" s="16">
        <v>44897</v>
      </c>
      <c r="G355" s="17">
        <f t="shared" si="10"/>
        <v>80</v>
      </c>
      <c r="H355" t="str">
        <f t="shared" si="11"/>
        <v>No Heavy SAAS</v>
      </c>
      <c r="I355" t="str">
        <f>VLOOKUP(A355,'Case 1'!A:P,16,FALSE )</f>
        <v>Advanced</v>
      </c>
      <c r="K355" s="3">
        <v>5030550</v>
      </c>
    </row>
    <row r="356" spans="1:11" ht="14.4" x14ac:dyDescent="0.3">
      <c r="A356" s="3">
        <v>5015050</v>
      </c>
      <c r="B356" s="3">
        <v>9303</v>
      </c>
      <c r="C356" s="1" t="s">
        <v>1253</v>
      </c>
      <c r="D356" s="1" t="s">
        <v>1254</v>
      </c>
      <c r="E356" s="16">
        <f>VLOOKUP(A356,'Case 1'!A:W,23,FALSE)</f>
        <v>44871</v>
      </c>
      <c r="F356" s="16">
        <v>44897</v>
      </c>
      <c r="G356" s="17">
        <f t="shared" si="10"/>
        <v>26</v>
      </c>
      <c r="H356" t="str">
        <f t="shared" si="11"/>
        <v>Heavy SAAS</v>
      </c>
      <c r="I356" t="str">
        <f>VLOOKUP(A356,'Case 1'!A:P,16,FALSE )</f>
        <v>Advanced</v>
      </c>
      <c r="K356" s="3">
        <v>5030555</v>
      </c>
    </row>
    <row r="357" spans="1:11" ht="14.4" x14ac:dyDescent="0.3">
      <c r="A357" s="3">
        <v>5015504</v>
      </c>
      <c r="B357" s="3">
        <v>2</v>
      </c>
      <c r="C357" s="1" t="s">
        <v>365</v>
      </c>
      <c r="D357" s="1" t="s">
        <v>1318</v>
      </c>
      <c r="E357" s="16">
        <f>VLOOKUP(A357,'Case 1'!A:W,23,FALSE)</f>
        <v>44822</v>
      </c>
      <c r="F357" s="16">
        <v>44897</v>
      </c>
      <c r="G357" s="17">
        <f t="shared" si="10"/>
        <v>75</v>
      </c>
      <c r="H357" t="str">
        <f t="shared" si="11"/>
        <v>No Heavy SAAS</v>
      </c>
      <c r="I357" t="str">
        <f>VLOOKUP(A357,'Case 1'!A:P,16,FALSE )</f>
        <v>Starter</v>
      </c>
      <c r="K357" s="3">
        <v>5030556</v>
      </c>
    </row>
    <row r="358" spans="1:11" ht="14.4" x14ac:dyDescent="0.3">
      <c r="A358" s="3">
        <v>5015550</v>
      </c>
      <c r="B358" s="3">
        <v>76</v>
      </c>
      <c r="C358" s="1" t="s">
        <v>321</v>
      </c>
      <c r="D358" s="1" t="s">
        <v>1315</v>
      </c>
      <c r="E358" s="16">
        <f>VLOOKUP(A358,'Case 1'!A:W,23,FALSE)</f>
        <v>44871</v>
      </c>
      <c r="F358" s="16">
        <v>44897</v>
      </c>
      <c r="G358" s="17">
        <f t="shared" si="10"/>
        <v>26</v>
      </c>
      <c r="H358" t="str">
        <f t="shared" si="11"/>
        <v>Heavy SAAS</v>
      </c>
      <c r="I358" t="str">
        <f>VLOOKUP(A358,'Case 1'!A:P,16,FALSE )</f>
        <v>Advanced</v>
      </c>
      <c r="K358" s="3">
        <v>5030577</v>
      </c>
    </row>
    <row r="359" spans="1:11" ht="14.4" x14ac:dyDescent="0.3">
      <c r="A359" s="3">
        <v>5017730</v>
      </c>
      <c r="B359" s="3">
        <v>0</v>
      </c>
      <c r="C359" s="1" t="s">
        <v>1296</v>
      </c>
      <c r="D359" s="1" t="s">
        <v>1297</v>
      </c>
      <c r="E359" s="16">
        <f>VLOOKUP(A359,'Case 1'!A:W,23,FALSE)</f>
        <v>44853</v>
      </c>
      <c r="F359" s="16">
        <v>44897</v>
      </c>
      <c r="G359" s="17">
        <f t="shared" si="10"/>
        <v>44</v>
      </c>
      <c r="H359" t="str">
        <f t="shared" si="11"/>
        <v>No Heavy SAAS</v>
      </c>
      <c r="I359" t="str">
        <f>VLOOKUP(A359,'Case 1'!A:P,16,FALSE )</f>
        <v>Starter</v>
      </c>
      <c r="K359" s="3">
        <v>5030604</v>
      </c>
    </row>
    <row r="360" spans="1:11" ht="14.4" x14ac:dyDescent="0.3">
      <c r="A360" s="3">
        <v>5030144</v>
      </c>
      <c r="B360" s="3">
        <v>102</v>
      </c>
      <c r="C360" s="1" t="s">
        <v>1594</v>
      </c>
      <c r="D360" s="1" t="s">
        <v>1595</v>
      </c>
      <c r="E360" s="16">
        <f>VLOOKUP(A360,'Case 1'!A:W,23,FALSE)</f>
        <v>44668</v>
      </c>
      <c r="F360" s="16">
        <v>44897</v>
      </c>
      <c r="G360" s="17">
        <f t="shared" si="10"/>
        <v>229</v>
      </c>
      <c r="H360" t="str">
        <f t="shared" si="11"/>
        <v>No Heavy SAAS</v>
      </c>
      <c r="I360" t="str">
        <f>VLOOKUP(A360,'Case 1'!A:P,16,FALSE )</f>
        <v>Advanced</v>
      </c>
      <c r="K360" s="3">
        <v>5030617</v>
      </c>
    </row>
    <row r="361" spans="1:11" ht="14.4" x14ac:dyDescent="0.3">
      <c r="A361" s="3">
        <v>5030144</v>
      </c>
      <c r="B361" s="3">
        <v>27</v>
      </c>
      <c r="C361" s="1" t="s">
        <v>1599</v>
      </c>
      <c r="D361" s="1" t="s">
        <v>1600</v>
      </c>
      <c r="E361" s="16">
        <f>VLOOKUP(A361,'Case 1'!A:W,23,FALSE)</f>
        <v>44668</v>
      </c>
      <c r="F361" s="16">
        <v>44897</v>
      </c>
      <c r="G361" s="17">
        <f t="shared" si="10"/>
        <v>229</v>
      </c>
      <c r="H361" t="str">
        <f t="shared" si="11"/>
        <v>No Heavy SAAS</v>
      </c>
      <c r="I361" t="str">
        <f>VLOOKUP(A361,'Case 1'!A:P,16,FALSE )</f>
        <v>Advanced</v>
      </c>
      <c r="K361" s="3">
        <v>5030641</v>
      </c>
    </row>
    <row r="362" spans="1:11" ht="14.4" x14ac:dyDescent="0.3">
      <c r="A362" s="3">
        <v>5030154</v>
      </c>
      <c r="B362" s="3">
        <v>61</v>
      </c>
      <c r="C362" s="1" t="s">
        <v>1617</v>
      </c>
      <c r="D362" s="1" t="s">
        <v>1618</v>
      </c>
      <c r="E362" s="16">
        <f>VLOOKUP(A362,'Case 1'!A:W,23,FALSE)</f>
        <v>44856</v>
      </c>
      <c r="F362" s="16">
        <v>44897</v>
      </c>
      <c r="G362" s="17">
        <f t="shared" si="10"/>
        <v>41</v>
      </c>
      <c r="H362" t="str">
        <f t="shared" si="11"/>
        <v>No Heavy SAAS</v>
      </c>
      <c r="I362" t="str">
        <f>VLOOKUP(A362,'Case 1'!A:P,16,FALSE )</f>
        <v>Premium</v>
      </c>
      <c r="K362" s="3">
        <v>5030644</v>
      </c>
    </row>
    <row r="363" spans="1:11" ht="14.4" x14ac:dyDescent="0.3">
      <c r="A363" s="3">
        <v>5030170</v>
      </c>
      <c r="B363" s="3">
        <v>452</v>
      </c>
      <c r="C363" s="1" t="s">
        <v>1609</v>
      </c>
      <c r="D363" s="1" t="s">
        <v>1610</v>
      </c>
      <c r="E363" s="16">
        <f>VLOOKUP(A363,'Case 1'!A:W,23,FALSE)</f>
        <v>44671</v>
      </c>
      <c r="F363" s="16">
        <v>44897</v>
      </c>
      <c r="G363" s="17">
        <f t="shared" si="10"/>
        <v>226</v>
      </c>
      <c r="H363" t="str">
        <f t="shared" si="11"/>
        <v>No Heavy SAAS</v>
      </c>
      <c r="I363" t="str">
        <f>VLOOKUP(A363,'Case 1'!A:P,16,FALSE )</f>
        <v>Advanced</v>
      </c>
      <c r="K363" s="3">
        <v>5030646</v>
      </c>
    </row>
    <row r="364" spans="1:11" ht="14.4" x14ac:dyDescent="0.3">
      <c r="A364" s="3">
        <v>5030400</v>
      </c>
      <c r="B364" s="3">
        <v>51</v>
      </c>
      <c r="C364" s="1" t="s">
        <v>1331</v>
      </c>
      <c r="D364" s="1" t="s">
        <v>1655</v>
      </c>
      <c r="E364" s="16">
        <f>VLOOKUP(A364,'Case 1'!A:W,23,FALSE)</f>
        <v>44827</v>
      </c>
      <c r="F364" s="16">
        <v>44897</v>
      </c>
      <c r="G364" s="17">
        <f t="shared" si="10"/>
        <v>70</v>
      </c>
      <c r="H364" t="str">
        <f t="shared" si="11"/>
        <v>No Heavy SAAS</v>
      </c>
      <c r="I364" t="str">
        <f>VLOOKUP(A364,'Case 1'!A:P,16,FALSE )</f>
        <v>Advanced</v>
      </c>
      <c r="K364" s="3">
        <v>5030655</v>
      </c>
    </row>
    <row r="365" spans="1:11" ht="14.4" x14ac:dyDescent="0.3">
      <c r="A365" s="3">
        <v>5030404</v>
      </c>
      <c r="B365" s="3">
        <v>46</v>
      </c>
      <c r="C365" s="1" t="s">
        <v>1658</v>
      </c>
      <c r="D365" s="1" t="s">
        <v>1659</v>
      </c>
      <c r="E365" s="16">
        <f>VLOOKUP(A365,'Case 1'!A:W,23,FALSE)</f>
        <v>44843</v>
      </c>
      <c r="F365" s="16">
        <v>44897</v>
      </c>
      <c r="G365" s="17">
        <f t="shared" si="10"/>
        <v>54</v>
      </c>
      <c r="H365" t="str">
        <f t="shared" si="11"/>
        <v>No Heavy SAAS</v>
      </c>
      <c r="I365" t="str">
        <f>VLOOKUP(A365,'Case 1'!A:P,16,FALSE )</f>
        <v>Advanced</v>
      </c>
      <c r="K365" s="3">
        <v>5030740</v>
      </c>
    </row>
    <row r="366" spans="1:11" ht="14.4" x14ac:dyDescent="0.3">
      <c r="A366" s="3">
        <v>5030414</v>
      </c>
      <c r="B366" s="3">
        <v>89</v>
      </c>
      <c r="C366" s="1" t="s">
        <v>1733</v>
      </c>
      <c r="D366" s="1" t="s">
        <v>1734</v>
      </c>
      <c r="E366" s="16">
        <f>VLOOKUP(A366,'Case 1'!A:W,23,FALSE)</f>
        <v>44857</v>
      </c>
      <c r="F366" s="16">
        <v>44897</v>
      </c>
      <c r="G366" s="17">
        <f t="shared" si="10"/>
        <v>40</v>
      </c>
      <c r="H366" t="str">
        <f t="shared" si="11"/>
        <v>No Heavy SAAS</v>
      </c>
      <c r="I366" t="str">
        <f>VLOOKUP(A366,'Case 1'!A:P,16,FALSE )</f>
        <v>Starter</v>
      </c>
      <c r="K366" s="3">
        <v>5030744</v>
      </c>
    </row>
    <row r="367" spans="1:11" ht="14.4" x14ac:dyDescent="0.3">
      <c r="A367" s="3">
        <v>5030430</v>
      </c>
      <c r="B367" s="3">
        <v>27186</v>
      </c>
      <c r="C367" s="1" t="s">
        <v>455</v>
      </c>
      <c r="D367" s="1" t="s">
        <v>456</v>
      </c>
      <c r="E367" s="16">
        <f>VLOOKUP(A367,'Case 1'!A:W,23,FALSE)</f>
        <v>44867</v>
      </c>
      <c r="F367" s="16">
        <v>44897</v>
      </c>
      <c r="G367" s="17">
        <f t="shared" si="10"/>
        <v>30</v>
      </c>
      <c r="H367" t="str">
        <f t="shared" si="11"/>
        <v>No Heavy SAAS</v>
      </c>
      <c r="I367" t="str">
        <f>VLOOKUP(A367,'Case 1'!A:P,16,FALSE )</f>
        <v>Premium</v>
      </c>
      <c r="K367" s="3">
        <v>5030756</v>
      </c>
    </row>
    <row r="368" spans="1:11" ht="14.4" x14ac:dyDescent="0.3">
      <c r="A368" s="3">
        <v>5030444</v>
      </c>
      <c r="B368" s="3">
        <v>71</v>
      </c>
      <c r="C368" s="1" t="s">
        <v>1662</v>
      </c>
      <c r="D368" s="1" t="s">
        <v>1663</v>
      </c>
      <c r="E368" s="16">
        <f>VLOOKUP(A368,'Case 1'!A:W,23,FALSE)</f>
        <v>44878</v>
      </c>
      <c r="F368" s="16">
        <v>44897</v>
      </c>
      <c r="G368" s="17">
        <f t="shared" si="10"/>
        <v>19</v>
      </c>
      <c r="H368" t="str">
        <f t="shared" si="11"/>
        <v>Heavy SAAS</v>
      </c>
      <c r="I368" t="str">
        <f>VLOOKUP(A368,'Case 1'!A:P,16,FALSE )</f>
        <v>Premium</v>
      </c>
      <c r="K368" s="3">
        <v>5040504</v>
      </c>
    </row>
    <row r="369" spans="1:11" ht="14.4" x14ac:dyDescent="0.3">
      <c r="A369" s="3">
        <v>5030444</v>
      </c>
      <c r="B369" s="3">
        <v>11</v>
      </c>
      <c r="C369" s="1" t="s">
        <v>1740</v>
      </c>
      <c r="D369" s="1" t="s">
        <v>1741</v>
      </c>
      <c r="E369" s="16">
        <f>VLOOKUP(A369,'Case 1'!A:W,23,FALSE)</f>
        <v>44878</v>
      </c>
      <c r="F369" s="16">
        <v>44897</v>
      </c>
      <c r="G369" s="17">
        <f t="shared" si="10"/>
        <v>19</v>
      </c>
      <c r="H369" t="str">
        <f t="shared" si="11"/>
        <v>No Heavy SAAS</v>
      </c>
      <c r="I369" t="str">
        <f>VLOOKUP(A369,'Case 1'!A:P,16,FALSE )</f>
        <v>Premium</v>
      </c>
      <c r="K369" s="3">
        <v>5043050</v>
      </c>
    </row>
    <row r="370" spans="1:11" ht="14.4" x14ac:dyDescent="0.3">
      <c r="A370" s="3">
        <v>5030454</v>
      </c>
      <c r="B370" s="3">
        <v>27</v>
      </c>
      <c r="C370" s="1" t="s">
        <v>25</v>
      </c>
      <c r="D370" s="1" t="s">
        <v>1737</v>
      </c>
      <c r="E370" s="16">
        <f>VLOOKUP(A370,'Case 1'!A:W,23,FALSE)</f>
        <v>44897</v>
      </c>
      <c r="F370" s="16">
        <v>44897</v>
      </c>
      <c r="G370" s="17">
        <f t="shared" si="10"/>
        <v>0</v>
      </c>
      <c r="H370" t="str">
        <f t="shared" si="11"/>
        <v>No Heavy SAAS</v>
      </c>
      <c r="I370" t="str">
        <f>VLOOKUP(A370,'Case 1'!A:P,16,FALSE )</f>
        <v>Starter</v>
      </c>
      <c r="K370" s="3">
        <v>5044030</v>
      </c>
    </row>
    <row r="371" spans="1:11" ht="14.4" x14ac:dyDescent="0.3">
      <c r="A371" s="3">
        <v>5030454</v>
      </c>
      <c r="B371" s="3">
        <v>0</v>
      </c>
      <c r="C371" s="1" t="s">
        <v>1744</v>
      </c>
      <c r="D371" s="1" t="s">
        <v>1745</v>
      </c>
      <c r="E371" s="16">
        <f>VLOOKUP(A371,'Case 1'!A:W,23,FALSE)</f>
        <v>44897</v>
      </c>
      <c r="F371" s="16">
        <v>44897</v>
      </c>
      <c r="G371" s="17">
        <f t="shared" si="10"/>
        <v>0</v>
      </c>
      <c r="H371" t="str">
        <f t="shared" si="11"/>
        <v>No Heavy SAAS</v>
      </c>
      <c r="I371" t="str">
        <f>VLOOKUP(A371,'Case 1'!A:P,16,FALSE )</f>
        <v>Starter</v>
      </c>
      <c r="K371" s="3">
        <v>5044450</v>
      </c>
    </row>
    <row r="372" spans="1:11" ht="14.4" x14ac:dyDescent="0.3">
      <c r="A372" s="3">
        <v>5030504</v>
      </c>
      <c r="B372" s="3">
        <v>440</v>
      </c>
      <c r="C372" s="1" t="s">
        <v>1621</v>
      </c>
      <c r="D372" s="1" t="s">
        <v>1622</v>
      </c>
      <c r="E372" s="16">
        <f>VLOOKUP(A372,'Case 1'!A:W,23,FALSE)</f>
        <v>44857</v>
      </c>
      <c r="F372" s="16">
        <v>44897</v>
      </c>
      <c r="G372" s="17">
        <f t="shared" si="10"/>
        <v>40</v>
      </c>
      <c r="H372" t="str">
        <f t="shared" si="11"/>
        <v>No Heavy SAAS</v>
      </c>
      <c r="I372" t="str">
        <f>VLOOKUP(A372,'Case 1'!A:P,16,FALSE )</f>
        <v>Advanced</v>
      </c>
      <c r="K372" s="3">
        <v>5044506</v>
      </c>
    </row>
    <row r="373" spans="1:11" ht="14.4" x14ac:dyDescent="0.3">
      <c r="A373" s="3">
        <v>5030507</v>
      </c>
      <c r="B373" s="3">
        <v>105</v>
      </c>
      <c r="C373" s="1" t="s">
        <v>1746</v>
      </c>
      <c r="D373" s="1" t="s">
        <v>1747</v>
      </c>
      <c r="E373" s="16">
        <f>VLOOKUP(A373,'Case 1'!A:W,23,FALSE)</f>
        <v>44858</v>
      </c>
      <c r="F373" s="16">
        <v>44897</v>
      </c>
      <c r="G373" s="17">
        <f t="shared" si="10"/>
        <v>39</v>
      </c>
      <c r="H373" t="str">
        <f t="shared" si="11"/>
        <v>No Heavy SAAS</v>
      </c>
      <c r="I373" t="str">
        <f>VLOOKUP(A373,'Case 1'!A:P,16,FALSE )</f>
        <v>Premium</v>
      </c>
      <c r="K373" s="3">
        <v>5045046</v>
      </c>
    </row>
    <row r="374" spans="1:11" ht="14.4" x14ac:dyDescent="0.3">
      <c r="A374" s="3">
        <v>5030515</v>
      </c>
      <c r="B374" s="3">
        <v>51</v>
      </c>
      <c r="C374" s="1" t="s">
        <v>182</v>
      </c>
      <c r="D374" s="1" t="s">
        <v>1755</v>
      </c>
      <c r="E374" s="16">
        <f>VLOOKUP(A374,'Case 1'!A:W,23,FALSE)</f>
        <v>44842</v>
      </c>
      <c r="F374" s="16">
        <v>44897</v>
      </c>
      <c r="G374" s="17">
        <f t="shared" si="10"/>
        <v>55</v>
      </c>
      <c r="H374" t="str">
        <f t="shared" si="11"/>
        <v>No Heavy SAAS</v>
      </c>
      <c r="I374" t="str">
        <f>VLOOKUP(A374,'Case 1'!A:P,16,FALSE )</f>
        <v>Starter</v>
      </c>
      <c r="K374" s="3">
        <v>5045070</v>
      </c>
    </row>
    <row r="375" spans="1:11" ht="14.4" x14ac:dyDescent="0.3">
      <c r="A375" s="3">
        <v>5030540</v>
      </c>
      <c r="B375" s="3">
        <v>5</v>
      </c>
      <c r="C375" s="1" t="s">
        <v>25</v>
      </c>
      <c r="D375" s="1" t="s">
        <v>1770</v>
      </c>
      <c r="E375" s="16">
        <f>VLOOKUP(A375,'Case 1'!A:W,23,FALSE)</f>
        <v>44873</v>
      </c>
      <c r="F375" s="16">
        <v>44897</v>
      </c>
      <c r="G375" s="17">
        <f t="shared" si="10"/>
        <v>24</v>
      </c>
      <c r="H375" t="str">
        <f t="shared" si="11"/>
        <v>No Heavy SAAS</v>
      </c>
      <c r="I375" t="str">
        <f>VLOOKUP(A375,'Case 1'!A:P,16,FALSE )</f>
        <v>Advanced</v>
      </c>
      <c r="K375" s="3">
        <v>5045304</v>
      </c>
    </row>
    <row r="376" spans="1:11" ht="14.4" x14ac:dyDescent="0.3">
      <c r="A376" s="3">
        <v>5030544</v>
      </c>
      <c r="B376" s="3">
        <v>30</v>
      </c>
      <c r="C376" s="1" t="s">
        <v>1777</v>
      </c>
      <c r="D376" s="1" t="s">
        <v>1778</v>
      </c>
      <c r="E376" s="16">
        <f>VLOOKUP(A376,'Case 1'!A:W,23,FALSE)</f>
        <v>44903</v>
      </c>
      <c r="F376" s="16">
        <v>44897</v>
      </c>
      <c r="G376" s="17">
        <f t="shared" si="10"/>
        <v>-6</v>
      </c>
      <c r="H376" t="str">
        <f t="shared" si="11"/>
        <v>No Heavy SAAS</v>
      </c>
      <c r="I376" t="str">
        <f>VLOOKUP(A376,'Case 1'!A:P,16,FALSE )</f>
        <v>Advanced</v>
      </c>
      <c r="K376" s="3">
        <v>5045307</v>
      </c>
    </row>
    <row r="377" spans="1:11" ht="14.4" x14ac:dyDescent="0.3">
      <c r="A377" s="3">
        <v>5030545</v>
      </c>
      <c r="B377" s="3">
        <v>61</v>
      </c>
      <c r="C377" s="1" t="s">
        <v>1367</v>
      </c>
      <c r="D377" s="1" t="s">
        <v>1774</v>
      </c>
      <c r="E377" s="16">
        <f>VLOOKUP(A377,'Case 1'!A:W,23,FALSE)</f>
        <v>44855</v>
      </c>
      <c r="F377" s="16">
        <v>44897</v>
      </c>
      <c r="G377" s="17">
        <f t="shared" si="10"/>
        <v>42</v>
      </c>
      <c r="H377" t="str">
        <f t="shared" si="11"/>
        <v>No Heavy SAAS</v>
      </c>
      <c r="I377" t="str">
        <f>VLOOKUP(A377,'Case 1'!A:P,16,FALSE )</f>
        <v>Premium</v>
      </c>
      <c r="K377" s="3">
        <v>5045530</v>
      </c>
    </row>
    <row r="378" spans="1:11" ht="14.4" x14ac:dyDescent="0.3">
      <c r="A378" s="3">
        <v>5030547</v>
      </c>
      <c r="B378" s="3">
        <v>31</v>
      </c>
      <c r="C378" s="1" t="s">
        <v>1781</v>
      </c>
      <c r="D378" s="1" t="s">
        <v>1782</v>
      </c>
      <c r="E378" s="16">
        <f>VLOOKUP(A378,'Case 1'!A:W,23,FALSE)</f>
        <v>44898</v>
      </c>
      <c r="F378" s="16">
        <v>44897</v>
      </c>
      <c r="G378" s="17">
        <f t="shared" si="10"/>
        <v>-1</v>
      </c>
      <c r="H378" t="str">
        <f t="shared" si="11"/>
        <v>No Heavy SAAS</v>
      </c>
      <c r="I378" t="str">
        <f>VLOOKUP(A378,'Case 1'!A:P,16,FALSE )</f>
        <v>Advanced</v>
      </c>
      <c r="K378" s="3">
        <v>5046501</v>
      </c>
    </row>
    <row r="379" spans="1:11" ht="14.4" x14ac:dyDescent="0.3">
      <c r="A379" s="3">
        <v>5030550</v>
      </c>
      <c r="B379" s="3">
        <v>89</v>
      </c>
      <c r="C379" s="1" t="s">
        <v>1145</v>
      </c>
      <c r="D379" s="1" t="s">
        <v>1759</v>
      </c>
      <c r="E379" s="16">
        <f>VLOOKUP(A379,'Case 1'!A:W,23,FALSE)</f>
        <v>44860</v>
      </c>
      <c r="F379" s="16">
        <v>44897</v>
      </c>
      <c r="G379" s="17">
        <f t="shared" si="10"/>
        <v>37</v>
      </c>
      <c r="H379" t="str">
        <f t="shared" si="11"/>
        <v>No Heavy SAAS</v>
      </c>
      <c r="I379" t="str">
        <f>VLOOKUP(A379,'Case 1'!A:P,16,FALSE )</f>
        <v>Premium</v>
      </c>
      <c r="K379" s="3">
        <v>5047301</v>
      </c>
    </row>
    <row r="380" spans="1:11" ht="14.4" x14ac:dyDescent="0.3">
      <c r="A380" s="3">
        <v>5030555</v>
      </c>
      <c r="B380" s="3">
        <v>37</v>
      </c>
      <c r="C380" s="1" t="s">
        <v>1271</v>
      </c>
      <c r="D380" s="1" t="s">
        <v>1787</v>
      </c>
      <c r="E380" s="16">
        <f>VLOOKUP(A380,'Case 1'!A:W,23,FALSE)</f>
        <v>44849</v>
      </c>
      <c r="F380" s="16">
        <v>44897</v>
      </c>
      <c r="G380" s="17">
        <f t="shared" si="10"/>
        <v>48</v>
      </c>
      <c r="H380" t="str">
        <f t="shared" si="11"/>
        <v>No Heavy SAAS</v>
      </c>
      <c r="I380" t="str">
        <f>VLOOKUP(A380,'Case 1'!A:P,16,FALSE )</f>
        <v>Advanced</v>
      </c>
      <c r="K380" s="3">
        <v>5047430</v>
      </c>
    </row>
    <row r="381" spans="1:11" ht="14.4" x14ac:dyDescent="0.3">
      <c r="A381" s="3">
        <v>5030556</v>
      </c>
      <c r="B381" s="3">
        <v>85</v>
      </c>
      <c r="C381" s="1" t="s">
        <v>1785</v>
      </c>
      <c r="D381" s="1" t="s">
        <v>1786</v>
      </c>
      <c r="E381" s="16">
        <f>VLOOKUP(A381,'Case 1'!A:W,23,FALSE)</f>
        <v>44870</v>
      </c>
      <c r="F381" s="16">
        <v>44897</v>
      </c>
      <c r="G381" s="17">
        <f t="shared" si="10"/>
        <v>27</v>
      </c>
      <c r="H381" t="str">
        <f t="shared" si="11"/>
        <v>Heavy SAAS</v>
      </c>
      <c r="I381" t="str">
        <f>VLOOKUP(A381,'Case 1'!A:P,16,FALSE )</f>
        <v>Starter</v>
      </c>
      <c r="K381" s="3">
        <v>5050077</v>
      </c>
    </row>
    <row r="382" spans="1:11" ht="14.4" x14ac:dyDescent="0.3">
      <c r="A382" s="3">
        <v>5030577</v>
      </c>
      <c r="B382" s="3">
        <v>115</v>
      </c>
      <c r="C382" s="1" t="s">
        <v>1766</v>
      </c>
      <c r="D382" s="1" t="s">
        <v>1767</v>
      </c>
      <c r="E382" s="16">
        <f>VLOOKUP(A382,'Case 1'!A:W,23,FALSE)</f>
        <v>44845</v>
      </c>
      <c r="F382" s="16">
        <v>44897</v>
      </c>
      <c r="G382" s="17">
        <f t="shared" si="10"/>
        <v>52</v>
      </c>
      <c r="H382" t="str">
        <f t="shared" si="11"/>
        <v>No Heavy SAAS</v>
      </c>
      <c r="I382" t="str">
        <f>VLOOKUP(A382,'Case 1'!A:P,16,FALSE )</f>
        <v>Premium</v>
      </c>
      <c r="K382" s="3">
        <v>5050145</v>
      </c>
    </row>
    <row r="383" spans="1:11" ht="14.4" x14ac:dyDescent="0.3">
      <c r="A383" s="3">
        <v>5030604</v>
      </c>
      <c r="B383" s="3">
        <v>4</v>
      </c>
      <c r="C383" s="1" t="s">
        <v>365</v>
      </c>
      <c r="D383" s="1" t="s">
        <v>1678</v>
      </c>
      <c r="E383" s="16">
        <f>VLOOKUP(A383,'Case 1'!A:W,23,FALSE)</f>
        <v>44855</v>
      </c>
      <c r="F383" s="16">
        <v>44897</v>
      </c>
      <c r="G383" s="17">
        <f t="shared" si="10"/>
        <v>42</v>
      </c>
      <c r="H383" t="str">
        <f t="shared" si="11"/>
        <v>No Heavy SAAS</v>
      </c>
      <c r="I383" t="str">
        <f>VLOOKUP(A383,'Case 1'!A:P,16,FALSE )</f>
        <v>Premium</v>
      </c>
      <c r="K383" s="3">
        <v>5050446</v>
      </c>
    </row>
    <row r="384" spans="1:11" ht="14.4" x14ac:dyDescent="0.3">
      <c r="A384" s="3">
        <v>5030617</v>
      </c>
      <c r="B384" s="3">
        <v>36</v>
      </c>
      <c r="C384" s="1" t="s">
        <v>1682</v>
      </c>
      <c r="D384" s="1" t="s">
        <v>1683</v>
      </c>
      <c r="E384" s="16">
        <f>VLOOKUP(A384,'Case 1'!A:W,23,FALSE)</f>
        <v>44852</v>
      </c>
      <c r="F384" s="16">
        <v>44897</v>
      </c>
      <c r="G384" s="17">
        <f t="shared" si="10"/>
        <v>45</v>
      </c>
      <c r="H384" t="str">
        <f t="shared" si="11"/>
        <v>No Heavy SAAS</v>
      </c>
      <c r="I384" t="str">
        <f>VLOOKUP(A384,'Case 1'!A:P,16,FALSE )</f>
        <v>Premium</v>
      </c>
      <c r="K384" s="3">
        <v>5050506</v>
      </c>
    </row>
    <row r="385" spans="1:11" ht="14.4" x14ac:dyDescent="0.3">
      <c r="A385" s="3">
        <v>5030641</v>
      </c>
      <c r="B385" s="3">
        <v>6</v>
      </c>
      <c r="C385" s="1" t="s">
        <v>1691</v>
      </c>
      <c r="D385" s="1" t="s">
        <v>1692</v>
      </c>
      <c r="E385" s="16">
        <f>VLOOKUP(A385,'Case 1'!A:W,23,FALSE)</f>
        <v>44839</v>
      </c>
      <c r="F385" s="16">
        <v>44897</v>
      </c>
      <c r="G385" s="17">
        <f t="shared" si="10"/>
        <v>58</v>
      </c>
      <c r="H385" t="str">
        <f t="shared" si="11"/>
        <v>No Heavy SAAS</v>
      </c>
      <c r="I385" t="str">
        <f>VLOOKUP(A385,'Case 1'!A:P,16,FALSE )</f>
        <v>Premium</v>
      </c>
      <c r="K385" s="3">
        <v>5050511</v>
      </c>
    </row>
    <row r="386" spans="1:11" ht="14.4" x14ac:dyDescent="0.3">
      <c r="A386" s="3">
        <v>5030644</v>
      </c>
      <c r="B386" s="3">
        <v>1156</v>
      </c>
      <c r="C386" s="1" t="s">
        <v>646</v>
      </c>
      <c r="D386" s="1" t="s">
        <v>1695</v>
      </c>
      <c r="E386" s="16">
        <f>VLOOKUP(A386,'Case 1'!A:W,23,FALSE)</f>
        <v>44855</v>
      </c>
      <c r="F386" s="16">
        <v>44897</v>
      </c>
      <c r="G386" s="17">
        <f t="shared" ref="G386:G449" si="12">F386-E386</f>
        <v>42</v>
      </c>
      <c r="H386" t="str">
        <f t="shared" ref="H386:H449" si="13">+IF(AND(B386&gt;40,G386&lt;30),"Heavy SAAS","No Heavy SAAS")</f>
        <v>No Heavy SAAS</v>
      </c>
      <c r="I386" t="str">
        <f>VLOOKUP(A386,'Case 1'!A:P,16,FALSE )</f>
        <v>Advanced</v>
      </c>
      <c r="K386" s="3">
        <v>5050664</v>
      </c>
    </row>
    <row r="387" spans="1:11" ht="14.4" x14ac:dyDescent="0.3">
      <c r="A387" s="3">
        <v>5030646</v>
      </c>
      <c r="B387" s="3">
        <v>91</v>
      </c>
      <c r="C387" s="1" t="s">
        <v>1698</v>
      </c>
      <c r="D387" s="1" t="s">
        <v>1699</v>
      </c>
      <c r="E387" s="16">
        <f>VLOOKUP(A387,'Case 1'!A:W,23,FALSE)</f>
        <v>44843</v>
      </c>
      <c r="F387" s="16">
        <v>44897</v>
      </c>
      <c r="G387" s="17">
        <f t="shared" si="12"/>
        <v>54</v>
      </c>
      <c r="H387" t="str">
        <f t="shared" si="13"/>
        <v>No Heavy SAAS</v>
      </c>
      <c r="I387" t="str">
        <f>VLOOKUP(A387,'Case 1'!A:P,16,FALSE )</f>
        <v>Premium</v>
      </c>
      <c r="K387" s="3">
        <v>5050740</v>
      </c>
    </row>
    <row r="388" spans="1:11" ht="14.4" x14ac:dyDescent="0.3">
      <c r="A388" s="3">
        <v>5030655</v>
      </c>
      <c r="B388" s="3">
        <v>31</v>
      </c>
      <c r="C388" s="1" t="s">
        <v>1568</v>
      </c>
      <c r="D388" s="1" t="s">
        <v>1702</v>
      </c>
      <c r="E388" s="16">
        <f>VLOOKUP(A388,'Case 1'!A:W,23,FALSE)</f>
        <v>44865</v>
      </c>
      <c r="F388" s="16">
        <v>44897</v>
      </c>
      <c r="G388" s="17">
        <f t="shared" si="12"/>
        <v>32</v>
      </c>
      <c r="H388" t="str">
        <f t="shared" si="13"/>
        <v>No Heavy SAAS</v>
      </c>
      <c r="I388" t="str">
        <f>VLOOKUP(A388,'Case 1'!A:P,16,FALSE )</f>
        <v>Advanced</v>
      </c>
      <c r="K388" s="3">
        <v>5050745</v>
      </c>
    </row>
    <row r="389" spans="1:11" ht="14.4" x14ac:dyDescent="0.3">
      <c r="A389" s="3">
        <v>5030740</v>
      </c>
      <c r="B389" s="3">
        <v>7</v>
      </c>
      <c r="C389" s="1" t="s">
        <v>1711</v>
      </c>
      <c r="D389" s="1" t="s">
        <v>1712</v>
      </c>
      <c r="E389" s="16">
        <f>VLOOKUP(A389,'Case 1'!A:W,23,FALSE)</f>
        <v>44880</v>
      </c>
      <c r="F389" s="16">
        <v>44897</v>
      </c>
      <c r="G389" s="17">
        <f t="shared" si="12"/>
        <v>17</v>
      </c>
      <c r="H389" t="str">
        <f t="shared" si="13"/>
        <v>No Heavy SAAS</v>
      </c>
      <c r="I389" t="str">
        <f>VLOOKUP(A389,'Case 1'!A:P,16,FALSE )</f>
        <v>Premium</v>
      </c>
      <c r="K389" s="3">
        <v>5053010</v>
      </c>
    </row>
    <row r="390" spans="1:11" ht="14.4" x14ac:dyDescent="0.3">
      <c r="A390" s="3">
        <v>5030744</v>
      </c>
      <c r="B390" s="3">
        <v>47</v>
      </c>
      <c r="C390" s="1" t="s">
        <v>1723</v>
      </c>
      <c r="D390" s="1" t="s">
        <v>1724</v>
      </c>
      <c r="E390" s="16">
        <f>VLOOKUP(A390,'Case 1'!A:W,23,FALSE)</f>
        <v>44880</v>
      </c>
      <c r="F390" s="16">
        <v>44897</v>
      </c>
      <c r="G390" s="17">
        <f t="shared" si="12"/>
        <v>17</v>
      </c>
      <c r="H390" t="str">
        <f t="shared" si="13"/>
        <v>Heavy SAAS</v>
      </c>
      <c r="I390" t="str">
        <f>VLOOKUP(A390,'Case 1'!A:P,16,FALSE )</f>
        <v>Advanced</v>
      </c>
      <c r="K390" s="3">
        <v>5054500</v>
      </c>
    </row>
    <row r="391" spans="1:11" ht="14.4" x14ac:dyDescent="0.3">
      <c r="A391" s="3">
        <v>5030756</v>
      </c>
      <c r="B391" s="3">
        <v>0</v>
      </c>
      <c r="C391" s="1" t="s">
        <v>1730</v>
      </c>
      <c r="D391" s="1" t="s">
        <v>1731</v>
      </c>
      <c r="E391" s="16">
        <f>VLOOKUP(A391,'Case 1'!A:W,23,FALSE)</f>
        <v>44840</v>
      </c>
      <c r="F391" s="16">
        <v>44897</v>
      </c>
      <c r="G391" s="17">
        <f t="shared" si="12"/>
        <v>57</v>
      </c>
      <c r="H391" t="str">
        <f t="shared" si="13"/>
        <v>No Heavy SAAS</v>
      </c>
      <c r="I391" t="str">
        <f>VLOOKUP(A391,'Case 1'!A:P,16,FALSE )</f>
        <v>Starter</v>
      </c>
      <c r="K391" s="3">
        <v>5054650</v>
      </c>
    </row>
    <row r="392" spans="1:11" ht="14.4" x14ac:dyDescent="0.3">
      <c r="A392" s="3">
        <v>5040504</v>
      </c>
      <c r="B392" s="3">
        <v>118</v>
      </c>
      <c r="C392" s="1" t="s">
        <v>1490</v>
      </c>
      <c r="D392" s="1" t="s">
        <v>1491</v>
      </c>
      <c r="E392" s="16">
        <f>VLOOKUP(A392,'Case 1'!A:W,23,FALSE)</f>
        <v>44860</v>
      </c>
      <c r="F392" s="16">
        <v>44897</v>
      </c>
      <c r="G392" s="17">
        <f t="shared" si="12"/>
        <v>37</v>
      </c>
      <c r="H392" t="str">
        <f t="shared" si="13"/>
        <v>No Heavy SAAS</v>
      </c>
      <c r="I392" t="str">
        <f>VLOOKUP(A392,'Case 1'!A:P,16,FALSE )</f>
        <v>Starter</v>
      </c>
      <c r="K392" s="3">
        <v>5055054</v>
      </c>
    </row>
    <row r="393" spans="1:11" ht="14.4" x14ac:dyDescent="0.3">
      <c r="A393" s="3">
        <v>5043050</v>
      </c>
      <c r="B393" s="3">
        <v>540</v>
      </c>
      <c r="C393" s="1" t="s">
        <v>554</v>
      </c>
      <c r="D393" s="1" t="s">
        <v>1528</v>
      </c>
      <c r="E393" s="16">
        <f>VLOOKUP(A393,'Case 1'!A:W,23,FALSE)</f>
        <v>44901</v>
      </c>
      <c r="F393" s="16">
        <v>44897</v>
      </c>
      <c r="G393" s="17">
        <f t="shared" si="12"/>
        <v>-4</v>
      </c>
      <c r="H393" t="str">
        <f t="shared" si="13"/>
        <v>Heavy SAAS</v>
      </c>
      <c r="I393" t="str">
        <f>VLOOKUP(A393,'Case 1'!A:P,16,FALSE )</f>
        <v>Premium</v>
      </c>
      <c r="K393" s="3">
        <v>5055060</v>
      </c>
    </row>
    <row r="394" spans="1:11" ht="14.4" x14ac:dyDescent="0.3">
      <c r="A394" s="3">
        <v>5044030</v>
      </c>
      <c r="B394" s="3">
        <v>226</v>
      </c>
      <c r="C394" s="1" t="s">
        <v>1518</v>
      </c>
      <c r="D394" s="1" t="s">
        <v>1519</v>
      </c>
      <c r="E394" s="16">
        <f>VLOOKUP(A394,'Case 1'!A:W,23,FALSE)</f>
        <v>44859</v>
      </c>
      <c r="F394" s="16">
        <v>44897</v>
      </c>
      <c r="G394" s="17">
        <f t="shared" si="12"/>
        <v>38</v>
      </c>
      <c r="H394" t="str">
        <f t="shared" si="13"/>
        <v>No Heavy SAAS</v>
      </c>
      <c r="I394" t="str">
        <f>VLOOKUP(A394,'Case 1'!A:P,16,FALSE )</f>
        <v>Advanced</v>
      </c>
      <c r="K394" s="3">
        <v>5056530</v>
      </c>
    </row>
    <row r="395" spans="1:11" ht="14.4" x14ac:dyDescent="0.3">
      <c r="A395" s="3">
        <v>5044450</v>
      </c>
      <c r="B395" s="3">
        <v>18</v>
      </c>
      <c r="C395" s="1" t="s">
        <v>1524</v>
      </c>
      <c r="D395" s="1" t="s">
        <v>1525</v>
      </c>
      <c r="E395" s="16">
        <f>VLOOKUP(A395,'Case 1'!A:W,23,FALSE)</f>
        <v>44821</v>
      </c>
      <c r="F395" s="16">
        <v>44897</v>
      </c>
      <c r="G395" s="17">
        <f t="shared" si="12"/>
        <v>76</v>
      </c>
      <c r="H395" t="str">
        <f t="shared" si="13"/>
        <v>No Heavy SAAS</v>
      </c>
      <c r="I395" t="str">
        <f>VLOOKUP(A395,'Case 1'!A:P,16,FALSE )</f>
        <v>Premium</v>
      </c>
      <c r="K395" s="3">
        <v>5060150</v>
      </c>
    </row>
    <row r="396" spans="1:11" ht="14.4" x14ac:dyDescent="0.3">
      <c r="A396" s="3">
        <v>5044450</v>
      </c>
      <c r="B396" s="3">
        <v>662</v>
      </c>
      <c r="C396" s="1" t="s">
        <v>1553</v>
      </c>
      <c r="D396" s="1" t="s">
        <v>1554</v>
      </c>
      <c r="E396" s="16">
        <f>VLOOKUP(A396,'Case 1'!A:W,23,FALSE)</f>
        <v>44821</v>
      </c>
      <c r="F396" s="16">
        <v>44897</v>
      </c>
      <c r="G396" s="17">
        <f t="shared" si="12"/>
        <v>76</v>
      </c>
      <c r="H396" t="str">
        <f t="shared" si="13"/>
        <v>No Heavy SAAS</v>
      </c>
      <c r="I396" t="str">
        <f>VLOOKUP(A396,'Case 1'!A:P,16,FALSE )</f>
        <v>Premium</v>
      </c>
      <c r="K396" s="3">
        <v>5061501</v>
      </c>
    </row>
    <row r="397" spans="1:11" ht="14.4" x14ac:dyDescent="0.3">
      <c r="A397" s="3">
        <v>5044506</v>
      </c>
      <c r="B397" s="3">
        <v>0</v>
      </c>
      <c r="C397" s="1" t="s">
        <v>25</v>
      </c>
      <c r="D397" s="1" t="s">
        <v>1550</v>
      </c>
      <c r="E397" s="16">
        <f>VLOOKUP(A397,'Case 1'!A:W,23,FALSE)</f>
        <v>44853</v>
      </c>
      <c r="F397" s="16">
        <v>44897</v>
      </c>
      <c r="G397" s="17">
        <f t="shared" si="12"/>
        <v>44</v>
      </c>
      <c r="H397" t="str">
        <f t="shared" si="13"/>
        <v>No Heavy SAAS</v>
      </c>
      <c r="I397" t="str">
        <f>VLOOKUP(A397,'Case 1'!A:P,16,FALSE )</f>
        <v>Advanced</v>
      </c>
      <c r="K397" s="3">
        <v>5063014</v>
      </c>
    </row>
    <row r="398" spans="1:11" ht="14.4" x14ac:dyDescent="0.3">
      <c r="A398" s="3">
        <v>5045046</v>
      </c>
      <c r="B398" s="3">
        <v>354</v>
      </c>
      <c r="C398" s="1" t="s">
        <v>1413</v>
      </c>
      <c r="D398" s="1" t="s">
        <v>1510</v>
      </c>
      <c r="E398" s="16">
        <f>VLOOKUP(A398,'Case 1'!A:W,23,FALSE)</f>
        <v>44839</v>
      </c>
      <c r="F398" s="16">
        <v>44897</v>
      </c>
      <c r="G398" s="17">
        <f t="shared" si="12"/>
        <v>58</v>
      </c>
      <c r="H398" t="str">
        <f t="shared" si="13"/>
        <v>No Heavy SAAS</v>
      </c>
      <c r="I398" t="str">
        <f>VLOOKUP(A398,'Case 1'!A:P,16,FALSE )</f>
        <v>Premium</v>
      </c>
      <c r="K398" s="3">
        <v>5063044</v>
      </c>
    </row>
    <row r="399" spans="1:11" ht="14.4" x14ac:dyDescent="0.3">
      <c r="A399" s="3">
        <v>5045070</v>
      </c>
      <c r="B399" s="3">
        <v>118</v>
      </c>
      <c r="C399" s="1" t="s">
        <v>1514</v>
      </c>
      <c r="D399" s="1" t="s">
        <v>1515</v>
      </c>
      <c r="E399" s="16">
        <f>VLOOKUP(A399,'Case 1'!A:W,23,FALSE)</f>
        <v>44816</v>
      </c>
      <c r="F399" s="16">
        <v>44897</v>
      </c>
      <c r="G399" s="17">
        <f t="shared" si="12"/>
        <v>81</v>
      </c>
      <c r="H399" t="str">
        <f t="shared" si="13"/>
        <v>No Heavy SAAS</v>
      </c>
      <c r="I399" t="str">
        <f>VLOOKUP(A399,'Case 1'!A:P,16,FALSE )</f>
        <v>Premium</v>
      </c>
      <c r="K399" s="3">
        <v>5063045</v>
      </c>
    </row>
    <row r="400" spans="1:11" ht="14.4" x14ac:dyDescent="0.3">
      <c r="A400" s="3">
        <v>5045304</v>
      </c>
      <c r="B400" s="3">
        <v>21</v>
      </c>
      <c r="C400" s="1" t="s">
        <v>1367</v>
      </c>
      <c r="D400" s="1" t="s">
        <v>1572</v>
      </c>
      <c r="E400" s="16">
        <f>VLOOKUP(A400,'Case 1'!A:W,23,FALSE)</f>
        <v>44840</v>
      </c>
      <c r="F400" s="16">
        <v>44897</v>
      </c>
      <c r="G400" s="17">
        <f t="shared" si="12"/>
        <v>57</v>
      </c>
      <c r="H400" t="str">
        <f t="shared" si="13"/>
        <v>No Heavy SAAS</v>
      </c>
      <c r="I400" t="str">
        <f>VLOOKUP(A400,'Case 1'!A:P,16,FALSE )</f>
        <v>Premium</v>
      </c>
      <c r="K400" s="3">
        <v>5063054</v>
      </c>
    </row>
    <row r="401" spans="1:11" ht="14.4" x14ac:dyDescent="0.3">
      <c r="A401" s="3">
        <v>5045307</v>
      </c>
      <c r="B401" s="3">
        <v>1295</v>
      </c>
      <c r="C401" s="1" t="s">
        <v>1504</v>
      </c>
      <c r="D401" s="1" t="s">
        <v>1505</v>
      </c>
      <c r="E401" s="16">
        <f>VLOOKUP(A401,'Case 1'!A:W,23,FALSE)</f>
        <v>44816</v>
      </c>
      <c r="F401" s="16">
        <v>44897</v>
      </c>
      <c r="G401" s="17">
        <f t="shared" si="12"/>
        <v>81</v>
      </c>
      <c r="H401" t="str">
        <f t="shared" si="13"/>
        <v>No Heavy SAAS</v>
      </c>
      <c r="I401" t="str">
        <f>VLOOKUP(A401,'Case 1'!A:P,16,FALSE )</f>
        <v>Advanced</v>
      </c>
      <c r="K401" s="3">
        <v>5063055</v>
      </c>
    </row>
    <row r="402" spans="1:11" ht="14.4" x14ac:dyDescent="0.3">
      <c r="A402" s="3">
        <v>5045530</v>
      </c>
      <c r="B402" s="3">
        <v>433</v>
      </c>
      <c r="C402" s="1" t="s">
        <v>1579</v>
      </c>
      <c r="D402" s="1" t="s">
        <v>1580</v>
      </c>
      <c r="E402" s="16">
        <f>VLOOKUP(A402,'Case 1'!A:W,23,FALSE)</f>
        <v>44855</v>
      </c>
      <c r="F402" s="16">
        <v>44897</v>
      </c>
      <c r="G402" s="17">
        <f t="shared" si="12"/>
        <v>42</v>
      </c>
      <c r="H402" t="str">
        <f t="shared" si="13"/>
        <v>No Heavy SAAS</v>
      </c>
      <c r="I402" t="str">
        <f>VLOOKUP(A402,'Case 1'!A:P,16,FALSE )</f>
        <v>Advanced</v>
      </c>
      <c r="K402" s="3">
        <v>5063057</v>
      </c>
    </row>
    <row r="403" spans="1:11" ht="14.4" x14ac:dyDescent="0.3">
      <c r="A403" s="3">
        <v>5046501</v>
      </c>
      <c r="B403" s="3">
        <v>64</v>
      </c>
      <c r="C403" s="1" t="s">
        <v>1531</v>
      </c>
      <c r="D403" s="1" t="s">
        <v>1532</v>
      </c>
      <c r="E403" s="16">
        <f>VLOOKUP(A403,'Case 1'!A:W,23,FALSE)</f>
        <v>44898</v>
      </c>
      <c r="F403" s="16">
        <v>44897</v>
      </c>
      <c r="G403" s="17">
        <f t="shared" si="12"/>
        <v>-1</v>
      </c>
      <c r="H403" t="str">
        <f t="shared" si="13"/>
        <v>Heavy SAAS</v>
      </c>
      <c r="I403" t="str">
        <f>VLOOKUP(A403,'Case 1'!A:P,16,FALSE )</f>
        <v>Premium</v>
      </c>
      <c r="K403" s="3">
        <v>5063071</v>
      </c>
    </row>
    <row r="404" spans="1:11" ht="14.4" x14ac:dyDescent="0.3">
      <c r="A404" s="3">
        <v>5047301</v>
      </c>
      <c r="B404" s="3">
        <v>2</v>
      </c>
      <c r="C404" s="1" t="s">
        <v>37</v>
      </c>
      <c r="D404" s="1" t="s">
        <v>1544</v>
      </c>
      <c r="E404" s="16">
        <f>VLOOKUP(A404,'Case 1'!A:W,23,FALSE)</f>
        <v>44884</v>
      </c>
      <c r="F404" s="16">
        <v>44897</v>
      </c>
      <c r="G404" s="17">
        <f t="shared" si="12"/>
        <v>13</v>
      </c>
      <c r="H404" t="str">
        <f t="shared" si="13"/>
        <v>No Heavy SAAS</v>
      </c>
      <c r="I404" t="str">
        <f>VLOOKUP(A404,'Case 1'!A:P,16,FALSE )</f>
        <v>Premium</v>
      </c>
      <c r="K404" s="3">
        <v>5063076</v>
      </c>
    </row>
    <row r="405" spans="1:11" ht="14.4" x14ac:dyDescent="0.3">
      <c r="A405" s="3">
        <v>5047430</v>
      </c>
      <c r="B405" s="3">
        <v>181</v>
      </c>
      <c r="C405" s="1" t="s">
        <v>1540</v>
      </c>
      <c r="D405" s="1" t="s">
        <v>1541</v>
      </c>
      <c r="E405" s="16">
        <f>VLOOKUP(A405,'Case 1'!A:W,23,FALSE)</f>
        <v>44863</v>
      </c>
      <c r="F405" s="16">
        <v>44897</v>
      </c>
      <c r="G405" s="17">
        <f t="shared" si="12"/>
        <v>34</v>
      </c>
      <c r="H405" t="str">
        <f t="shared" si="13"/>
        <v>No Heavy SAAS</v>
      </c>
      <c r="I405" t="str">
        <f>VLOOKUP(A405,'Case 1'!A:P,16,FALSE )</f>
        <v>Advanced</v>
      </c>
      <c r="K405" s="3">
        <v>5064306</v>
      </c>
    </row>
    <row r="406" spans="1:11" ht="14.4" x14ac:dyDescent="0.3">
      <c r="A406" s="3">
        <v>5050077</v>
      </c>
      <c r="B406" s="3">
        <v>1144</v>
      </c>
      <c r="C406" s="1" t="s">
        <v>1399</v>
      </c>
      <c r="D406" s="1" t="s">
        <v>1400</v>
      </c>
      <c r="E406" s="16">
        <f>VLOOKUP(A406,'Case 1'!A:W,23,FALSE)</f>
        <v>44822</v>
      </c>
      <c r="F406" s="16">
        <v>44897</v>
      </c>
      <c r="G406" s="17">
        <f t="shared" si="12"/>
        <v>75</v>
      </c>
      <c r="H406" t="str">
        <f t="shared" si="13"/>
        <v>No Heavy SAAS</v>
      </c>
      <c r="I406" t="str">
        <f>VLOOKUP(A406,'Case 1'!A:P,16,FALSE )</f>
        <v>Starter</v>
      </c>
      <c r="K406" s="3">
        <v>5064450</v>
      </c>
    </row>
    <row r="407" spans="1:11" ht="14.4" x14ac:dyDescent="0.3">
      <c r="A407" s="3">
        <v>5050145</v>
      </c>
      <c r="B407" s="3">
        <v>1402</v>
      </c>
      <c r="C407" s="1" t="s">
        <v>1408</v>
      </c>
      <c r="D407" s="1" t="s">
        <v>1409</v>
      </c>
      <c r="E407" s="16">
        <f>VLOOKUP(A407,'Case 1'!A:W,23,FALSE)</f>
        <v>44829</v>
      </c>
      <c r="F407" s="16">
        <v>44897</v>
      </c>
      <c r="G407" s="17">
        <f t="shared" si="12"/>
        <v>68</v>
      </c>
      <c r="H407" t="str">
        <f t="shared" si="13"/>
        <v>No Heavy SAAS</v>
      </c>
      <c r="I407" t="str">
        <f>VLOOKUP(A407,'Case 1'!A:P,16,FALSE )</f>
        <v>Premium</v>
      </c>
      <c r="K407" s="3">
        <v>5064750</v>
      </c>
    </row>
    <row r="408" spans="1:11" ht="14.4" x14ac:dyDescent="0.3">
      <c r="A408" s="3">
        <v>5050446</v>
      </c>
      <c r="B408" s="3">
        <v>158</v>
      </c>
      <c r="C408" s="1" t="s">
        <v>1468</v>
      </c>
      <c r="D408" s="1" t="s">
        <v>1469</v>
      </c>
      <c r="E408" s="16">
        <f>VLOOKUP(A408,'Case 1'!A:W,23,FALSE)</f>
        <v>44810</v>
      </c>
      <c r="F408" s="16">
        <v>44897</v>
      </c>
      <c r="G408" s="17">
        <f t="shared" si="12"/>
        <v>87</v>
      </c>
      <c r="H408" t="str">
        <f t="shared" si="13"/>
        <v>No Heavy SAAS</v>
      </c>
      <c r="I408" t="str">
        <f>VLOOKUP(A408,'Case 1'!A:P,16,FALSE )</f>
        <v>Starter</v>
      </c>
      <c r="K408" s="3">
        <v>5065045</v>
      </c>
    </row>
    <row r="409" spans="1:11" ht="14.4" x14ac:dyDescent="0.3">
      <c r="A409" s="3">
        <v>5050506</v>
      </c>
      <c r="B409" s="3">
        <v>770</v>
      </c>
      <c r="C409" s="1" t="s">
        <v>1480</v>
      </c>
      <c r="D409" s="1" t="s">
        <v>1481</v>
      </c>
      <c r="E409" s="16">
        <f>VLOOKUP(A409,'Case 1'!A:W,23,FALSE)</f>
        <v>44868</v>
      </c>
      <c r="F409" s="16">
        <v>44897</v>
      </c>
      <c r="G409" s="17">
        <f t="shared" si="12"/>
        <v>29</v>
      </c>
      <c r="H409" t="str">
        <f t="shared" si="13"/>
        <v>Heavy SAAS</v>
      </c>
      <c r="I409" t="str">
        <f>VLOOKUP(A409,'Case 1'!A:P,16,FALSE )</f>
        <v>Starter</v>
      </c>
      <c r="K409" s="3">
        <v>5065047</v>
      </c>
    </row>
    <row r="410" spans="1:11" ht="14.4" x14ac:dyDescent="0.3">
      <c r="A410" s="3">
        <v>5050511</v>
      </c>
      <c r="B410" s="3">
        <v>669</v>
      </c>
      <c r="C410" s="1" t="s">
        <v>1484</v>
      </c>
      <c r="D410" s="1" t="s">
        <v>1485</v>
      </c>
      <c r="E410" s="16">
        <f>VLOOKUP(A410,'Case 1'!A:W,23,FALSE)</f>
        <v>44828</v>
      </c>
      <c r="F410" s="16">
        <v>44897</v>
      </c>
      <c r="G410" s="17">
        <f t="shared" si="12"/>
        <v>69</v>
      </c>
      <c r="H410" t="str">
        <f t="shared" si="13"/>
        <v>No Heavy SAAS</v>
      </c>
      <c r="I410" t="str">
        <f>VLOOKUP(A410,'Case 1'!A:P,16,FALSE )</f>
        <v>Premium</v>
      </c>
      <c r="K410" s="3">
        <v>5065054</v>
      </c>
    </row>
    <row r="411" spans="1:11" ht="14.4" x14ac:dyDescent="0.3">
      <c r="A411" s="3">
        <v>5050664</v>
      </c>
      <c r="B411" s="3">
        <v>54</v>
      </c>
      <c r="C411" s="1" t="s">
        <v>1367</v>
      </c>
      <c r="D411" s="1" t="s">
        <v>1453</v>
      </c>
      <c r="E411" s="16">
        <f>VLOOKUP(A411,'Case 1'!A:W,23,FALSE)</f>
        <v>44861</v>
      </c>
      <c r="F411" s="16">
        <v>44897</v>
      </c>
      <c r="G411" s="17">
        <f t="shared" si="12"/>
        <v>36</v>
      </c>
      <c r="H411" t="str">
        <f t="shared" si="13"/>
        <v>No Heavy SAAS</v>
      </c>
      <c r="I411" t="str">
        <f>VLOOKUP(A411,'Case 1'!A:P,16,FALSE )</f>
        <v>Starter</v>
      </c>
      <c r="K411" s="3">
        <v>5065055</v>
      </c>
    </row>
    <row r="412" spans="1:11" ht="14.4" x14ac:dyDescent="0.3">
      <c r="A412" s="3">
        <v>5050740</v>
      </c>
      <c r="B412" s="3">
        <v>1616</v>
      </c>
      <c r="C412" s="1" t="s">
        <v>1461</v>
      </c>
      <c r="D412" s="1" t="s">
        <v>1462</v>
      </c>
      <c r="E412" s="16">
        <f>VLOOKUP(A412,'Case 1'!A:W,23,FALSE)</f>
        <v>44846</v>
      </c>
      <c r="F412" s="16">
        <v>44897</v>
      </c>
      <c r="G412" s="17">
        <f t="shared" si="12"/>
        <v>51</v>
      </c>
      <c r="H412" t="str">
        <f t="shared" si="13"/>
        <v>No Heavy SAAS</v>
      </c>
      <c r="I412" t="str">
        <f>VLOOKUP(A412,'Case 1'!A:P,16,FALSE )</f>
        <v>Advanced</v>
      </c>
      <c r="K412" s="3">
        <v>5065056</v>
      </c>
    </row>
    <row r="413" spans="1:11" ht="14.4" x14ac:dyDescent="0.3">
      <c r="A413" s="3">
        <v>5050745</v>
      </c>
      <c r="B413" s="3">
        <v>206</v>
      </c>
      <c r="C413" s="1" t="s">
        <v>365</v>
      </c>
      <c r="D413" s="1" t="s">
        <v>1456</v>
      </c>
      <c r="E413" s="16">
        <f>VLOOKUP(A413,'Case 1'!A:W,23,FALSE)</f>
        <v>44823</v>
      </c>
      <c r="F413" s="16">
        <v>44897</v>
      </c>
      <c r="G413" s="17">
        <f t="shared" si="12"/>
        <v>74</v>
      </c>
      <c r="H413" t="str">
        <f t="shared" si="13"/>
        <v>No Heavy SAAS</v>
      </c>
      <c r="I413" t="str">
        <f>VLOOKUP(A413,'Case 1'!A:P,16,FALSE )</f>
        <v>Advanced</v>
      </c>
      <c r="K413" s="3">
        <v>5065065</v>
      </c>
    </row>
    <row r="414" spans="1:11" ht="14.4" x14ac:dyDescent="0.3">
      <c r="A414" s="3">
        <v>5053010</v>
      </c>
      <c r="B414" s="3">
        <v>216</v>
      </c>
      <c r="C414" s="1" t="s">
        <v>1367</v>
      </c>
      <c r="D414" s="1" t="s">
        <v>1368</v>
      </c>
      <c r="E414" s="16">
        <f>VLOOKUP(A414,'Case 1'!A:W,23,FALSE)</f>
        <v>44867</v>
      </c>
      <c r="F414" s="16">
        <v>44897</v>
      </c>
      <c r="G414" s="17">
        <f t="shared" si="12"/>
        <v>30</v>
      </c>
      <c r="H414" t="str">
        <f t="shared" si="13"/>
        <v>No Heavy SAAS</v>
      </c>
      <c r="I414" t="str">
        <f>VLOOKUP(A414,'Case 1'!A:P,16,FALSE )</f>
        <v>Premium</v>
      </c>
      <c r="K414" s="3">
        <v>5065074</v>
      </c>
    </row>
    <row r="415" spans="1:11" ht="14.4" x14ac:dyDescent="0.3">
      <c r="A415" s="3">
        <v>5054500</v>
      </c>
      <c r="B415" s="3">
        <v>1625</v>
      </c>
      <c r="C415" s="1" t="s">
        <v>1358</v>
      </c>
      <c r="D415" s="1" t="s">
        <v>1359</v>
      </c>
      <c r="E415" s="16">
        <f>VLOOKUP(A415,'Case 1'!A:W,23,FALSE)</f>
        <v>44871</v>
      </c>
      <c r="F415" s="16">
        <v>44897</v>
      </c>
      <c r="G415" s="17">
        <f t="shared" si="12"/>
        <v>26</v>
      </c>
      <c r="H415" t="str">
        <f t="shared" si="13"/>
        <v>Heavy SAAS</v>
      </c>
      <c r="I415" t="str">
        <f>VLOOKUP(A415,'Case 1'!A:P,16,FALSE )</f>
        <v>Advanced</v>
      </c>
      <c r="K415" s="3">
        <v>5065306</v>
      </c>
    </row>
    <row r="416" spans="1:11" ht="14.4" x14ac:dyDescent="0.3">
      <c r="A416" s="3">
        <v>5054650</v>
      </c>
      <c r="B416" s="3">
        <v>3858</v>
      </c>
      <c r="C416" s="1" t="s">
        <v>1362</v>
      </c>
      <c r="D416" s="1" t="s">
        <v>1363</v>
      </c>
      <c r="E416" s="16">
        <f>VLOOKUP(A416,'Case 1'!A:W,23,FALSE)</f>
        <v>44888</v>
      </c>
      <c r="F416" s="16">
        <v>44897</v>
      </c>
      <c r="G416" s="17">
        <f t="shared" si="12"/>
        <v>9</v>
      </c>
      <c r="H416" t="str">
        <f t="shared" si="13"/>
        <v>Heavy SAAS</v>
      </c>
      <c r="I416" t="str">
        <f>VLOOKUP(A416,'Case 1'!A:P,16,FALSE )</f>
        <v>Advanced</v>
      </c>
      <c r="K416" s="3">
        <v>5065430</v>
      </c>
    </row>
    <row r="417" spans="1:11" ht="14.4" x14ac:dyDescent="0.3">
      <c r="A417" s="3">
        <v>5055054</v>
      </c>
      <c r="B417" s="3">
        <v>544</v>
      </c>
      <c r="C417" s="1" t="s">
        <v>1354</v>
      </c>
      <c r="D417" s="1" t="s">
        <v>1355</v>
      </c>
      <c r="E417" s="16">
        <f>VLOOKUP(A417,'Case 1'!A:W,23,FALSE)</f>
        <v>44838</v>
      </c>
      <c r="F417" s="16">
        <v>44897</v>
      </c>
      <c r="G417" s="17">
        <f t="shared" si="12"/>
        <v>59</v>
      </c>
      <c r="H417" t="str">
        <f t="shared" si="13"/>
        <v>No Heavy SAAS</v>
      </c>
      <c r="I417" t="str">
        <f>VLOOKUP(A417,'Case 1'!A:P,16,FALSE )</f>
        <v>Premium</v>
      </c>
      <c r="K417" s="3">
        <v>5066030</v>
      </c>
    </row>
    <row r="418" spans="1:11" ht="14.4" x14ac:dyDescent="0.3">
      <c r="A418" s="3">
        <v>5055060</v>
      </c>
      <c r="B418" s="3">
        <v>802</v>
      </c>
      <c r="C418" s="1" t="s">
        <v>1349</v>
      </c>
      <c r="D418" s="1" t="s">
        <v>1350</v>
      </c>
      <c r="E418" s="16">
        <f>VLOOKUP(A418,'Case 1'!A:W,23,FALSE)</f>
        <v>44827</v>
      </c>
      <c r="F418" s="16">
        <v>44897</v>
      </c>
      <c r="G418" s="17">
        <f t="shared" si="12"/>
        <v>70</v>
      </c>
      <c r="H418" t="str">
        <f t="shared" si="13"/>
        <v>No Heavy SAAS</v>
      </c>
      <c r="I418" t="str">
        <f>VLOOKUP(A418,'Case 1'!A:P,16,FALSE )</f>
        <v>Premium</v>
      </c>
      <c r="K418" s="3">
        <v>5066300</v>
      </c>
    </row>
    <row r="419" spans="1:11" ht="14.4" x14ac:dyDescent="0.3">
      <c r="A419" s="3">
        <v>5056530</v>
      </c>
      <c r="B419" s="3">
        <v>2060</v>
      </c>
      <c r="C419" s="1" t="s">
        <v>1240</v>
      </c>
      <c r="D419" s="1" t="s">
        <v>1371</v>
      </c>
      <c r="E419" s="16">
        <f>VLOOKUP(A419,'Case 1'!A:W,23,FALSE)</f>
        <v>44828</v>
      </c>
      <c r="F419" s="16">
        <v>44897</v>
      </c>
      <c r="G419" s="17">
        <f t="shared" si="12"/>
        <v>69</v>
      </c>
      <c r="H419" t="str">
        <f t="shared" si="13"/>
        <v>No Heavy SAAS</v>
      </c>
      <c r="I419" t="str">
        <f>VLOOKUP(A419,'Case 1'!A:P,16,FALSE )</f>
        <v>Starter</v>
      </c>
      <c r="K419" s="3">
        <v>5066301</v>
      </c>
    </row>
    <row r="420" spans="1:11" ht="14.4" x14ac:dyDescent="0.3">
      <c r="A420" s="3">
        <v>5060150</v>
      </c>
      <c r="B420" s="3">
        <v>0</v>
      </c>
      <c r="C420" s="1" t="s">
        <v>1790</v>
      </c>
      <c r="D420" s="1" t="s">
        <v>1791</v>
      </c>
      <c r="E420" s="16">
        <f>VLOOKUP(A420,'Case 1'!A:W,23,FALSE)</f>
        <v>44900</v>
      </c>
      <c r="F420" s="16">
        <v>44897</v>
      </c>
      <c r="G420" s="17">
        <f t="shared" si="12"/>
        <v>-3</v>
      </c>
      <c r="H420" t="str">
        <f t="shared" si="13"/>
        <v>No Heavy SAAS</v>
      </c>
      <c r="I420" t="str">
        <f>VLOOKUP(A420,'Case 1'!A:P,16,FALSE )</f>
        <v>Premium</v>
      </c>
      <c r="K420" s="3">
        <v>5066304</v>
      </c>
    </row>
    <row r="421" spans="1:11" ht="14.4" x14ac:dyDescent="0.3">
      <c r="A421" s="3">
        <v>5061501</v>
      </c>
      <c r="B421" s="3">
        <v>4</v>
      </c>
      <c r="C421" s="1" t="s">
        <v>1813</v>
      </c>
      <c r="D421" s="1" t="s">
        <v>1814</v>
      </c>
      <c r="E421" s="16">
        <f>VLOOKUP(A421,'Case 1'!A:W,23,FALSE)</f>
        <v>44863</v>
      </c>
      <c r="F421" s="16">
        <v>44897</v>
      </c>
      <c r="G421" s="17">
        <f t="shared" si="12"/>
        <v>34</v>
      </c>
      <c r="H421" t="str">
        <f t="shared" si="13"/>
        <v>No Heavy SAAS</v>
      </c>
      <c r="I421" t="str">
        <f>VLOOKUP(A421,'Case 1'!A:P,16,FALSE )</f>
        <v>Advanced</v>
      </c>
      <c r="K421" s="3">
        <v>5066305</v>
      </c>
    </row>
    <row r="422" spans="1:11" ht="14.4" x14ac:dyDescent="0.3">
      <c r="A422" s="3">
        <v>5063014</v>
      </c>
      <c r="B422" s="3">
        <v>0</v>
      </c>
      <c r="C422" s="1" t="s">
        <v>1988</v>
      </c>
      <c r="D422" s="1" t="s">
        <v>1989</v>
      </c>
      <c r="E422" s="16">
        <f>VLOOKUP(A422,'Case 1'!A:W,23,FALSE)</f>
        <v>44883</v>
      </c>
      <c r="F422" s="16">
        <v>44897</v>
      </c>
      <c r="G422" s="17">
        <f t="shared" si="12"/>
        <v>14</v>
      </c>
      <c r="H422" t="str">
        <f t="shared" si="13"/>
        <v>No Heavy SAAS</v>
      </c>
      <c r="I422" t="str">
        <f>VLOOKUP(A422,'Case 1'!A:P,16,FALSE )</f>
        <v>Starter</v>
      </c>
      <c r="K422" s="3">
        <v>5066430</v>
      </c>
    </row>
    <row r="423" spans="1:11" ht="14.4" x14ac:dyDescent="0.3">
      <c r="A423" s="3">
        <v>5063044</v>
      </c>
      <c r="B423" s="3">
        <v>0</v>
      </c>
      <c r="C423" s="1" t="s">
        <v>417</v>
      </c>
      <c r="D423" s="1" t="s">
        <v>2031</v>
      </c>
      <c r="E423" s="16">
        <f>VLOOKUP(A423,'Case 1'!A:W,23,FALSE)</f>
        <v>44898</v>
      </c>
      <c r="F423" s="16">
        <v>44897</v>
      </c>
      <c r="G423" s="17">
        <f t="shared" si="12"/>
        <v>-1</v>
      </c>
      <c r="H423" t="str">
        <f t="shared" si="13"/>
        <v>No Heavy SAAS</v>
      </c>
      <c r="I423" t="str">
        <f>VLOOKUP(A423,'Case 1'!A:P,16,FALSE )</f>
        <v>Starter</v>
      </c>
      <c r="K423" s="3">
        <v>5066450</v>
      </c>
    </row>
    <row r="424" spans="1:11" ht="14.4" x14ac:dyDescent="0.3">
      <c r="A424" s="3">
        <v>5063045</v>
      </c>
      <c r="B424" s="3">
        <v>0</v>
      </c>
      <c r="C424" s="1" t="s">
        <v>1367</v>
      </c>
      <c r="D424" s="1" t="s">
        <v>2035</v>
      </c>
      <c r="E424" s="16">
        <f>VLOOKUP(A424,'Case 1'!A:W,23,FALSE)</f>
        <v>44847</v>
      </c>
      <c r="F424" s="16">
        <v>44897</v>
      </c>
      <c r="G424" s="17">
        <f t="shared" si="12"/>
        <v>50</v>
      </c>
      <c r="H424" t="str">
        <f t="shared" si="13"/>
        <v>No Heavy SAAS</v>
      </c>
      <c r="I424" t="str">
        <f>VLOOKUP(A424,'Case 1'!A:P,16,FALSE )</f>
        <v>Premium</v>
      </c>
      <c r="K424" s="3">
        <v>5066507</v>
      </c>
    </row>
    <row r="425" spans="1:11" ht="14.4" x14ac:dyDescent="0.3">
      <c r="A425" s="3">
        <v>5063054</v>
      </c>
      <c r="B425" s="3">
        <v>0</v>
      </c>
      <c r="C425" s="1" t="s">
        <v>417</v>
      </c>
      <c r="D425" s="1" t="s">
        <v>1992</v>
      </c>
      <c r="E425" s="16">
        <f>VLOOKUP(A425,'Case 1'!A:W,23,FALSE)</f>
        <v>44881</v>
      </c>
      <c r="F425" s="16">
        <v>44897</v>
      </c>
      <c r="G425" s="17">
        <f t="shared" si="12"/>
        <v>16</v>
      </c>
      <c r="H425" t="str">
        <f t="shared" si="13"/>
        <v>No Heavy SAAS</v>
      </c>
      <c r="I425" t="str">
        <f>VLOOKUP(A425,'Case 1'!A:P,16,FALSE )</f>
        <v>Starter</v>
      </c>
      <c r="K425" s="3">
        <v>5066530</v>
      </c>
    </row>
    <row r="426" spans="1:11" ht="14.4" x14ac:dyDescent="0.3">
      <c r="A426" s="3">
        <v>5063054</v>
      </c>
      <c r="B426" s="3">
        <v>0</v>
      </c>
      <c r="C426" s="1" t="s">
        <v>365</v>
      </c>
      <c r="D426" s="1" t="s">
        <v>2042</v>
      </c>
      <c r="E426" s="16">
        <f>VLOOKUP(A426,'Case 1'!A:W,23,FALSE)</f>
        <v>44881</v>
      </c>
      <c r="F426" s="16">
        <v>44897</v>
      </c>
      <c r="G426" s="17">
        <f t="shared" si="12"/>
        <v>16</v>
      </c>
      <c r="H426" t="str">
        <f t="shared" si="13"/>
        <v>No Heavy SAAS</v>
      </c>
      <c r="I426" t="str">
        <f>VLOOKUP(A426,'Case 1'!A:P,16,FALSE )</f>
        <v>Starter</v>
      </c>
      <c r="K426" s="3">
        <v>5066550</v>
      </c>
    </row>
    <row r="427" spans="1:11" ht="14.4" x14ac:dyDescent="0.3">
      <c r="A427" s="3">
        <v>5063055</v>
      </c>
      <c r="B427" s="3">
        <v>0</v>
      </c>
      <c r="C427" s="1" t="s">
        <v>1367</v>
      </c>
      <c r="D427" s="1" t="s">
        <v>1999</v>
      </c>
      <c r="E427" s="16">
        <f>VLOOKUP(A427,'Case 1'!A:W,23,FALSE)</f>
        <v>44902</v>
      </c>
      <c r="F427" s="16">
        <v>44897</v>
      </c>
      <c r="G427" s="17">
        <f t="shared" si="12"/>
        <v>-5</v>
      </c>
      <c r="H427" t="str">
        <f t="shared" si="13"/>
        <v>No Heavy SAAS</v>
      </c>
      <c r="I427" t="str">
        <f>VLOOKUP(A427,'Case 1'!A:P,16,FALSE )</f>
        <v>Premium</v>
      </c>
      <c r="K427" s="3">
        <v>5066630</v>
      </c>
    </row>
    <row r="428" spans="1:11" ht="14.4" x14ac:dyDescent="0.3">
      <c r="A428" s="3">
        <v>5063057</v>
      </c>
      <c r="B428" s="3">
        <v>0</v>
      </c>
      <c r="C428" s="1" t="s">
        <v>1568</v>
      </c>
      <c r="D428" s="1" t="s">
        <v>1996</v>
      </c>
      <c r="E428" s="16">
        <f>VLOOKUP(A428,'Case 1'!A:W,23,FALSE)</f>
        <v>44870</v>
      </c>
      <c r="F428" s="16">
        <v>44897</v>
      </c>
      <c r="G428" s="17">
        <f t="shared" si="12"/>
        <v>27</v>
      </c>
      <c r="H428" t="str">
        <f t="shared" si="13"/>
        <v>No Heavy SAAS</v>
      </c>
      <c r="I428" t="str">
        <f>VLOOKUP(A428,'Case 1'!A:P,16,FALSE )</f>
        <v>Premium</v>
      </c>
      <c r="K428" s="3">
        <v>5067030</v>
      </c>
    </row>
    <row r="429" spans="1:11" ht="14.4" x14ac:dyDescent="0.3">
      <c r="A429" s="3">
        <v>5063071</v>
      </c>
      <c r="B429" s="3">
        <v>0</v>
      </c>
      <c r="C429" s="1" t="s">
        <v>534</v>
      </c>
      <c r="D429" s="1" t="s">
        <v>2013</v>
      </c>
      <c r="E429" s="16">
        <f>VLOOKUP(A429,'Case 1'!A:W,23,FALSE)</f>
        <v>44891</v>
      </c>
      <c r="F429" s="16">
        <v>44897</v>
      </c>
      <c r="G429" s="17">
        <f t="shared" si="12"/>
        <v>6</v>
      </c>
      <c r="H429" t="str">
        <f t="shared" si="13"/>
        <v>No Heavy SAAS</v>
      </c>
      <c r="I429" t="str">
        <f>VLOOKUP(A429,'Case 1'!A:P,16,FALSE )</f>
        <v>Starter</v>
      </c>
      <c r="K429" s="3">
        <v>5067050</v>
      </c>
    </row>
    <row r="430" spans="1:11" ht="14.4" x14ac:dyDescent="0.3">
      <c r="A430" s="3">
        <v>5063076</v>
      </c>
      <c r="B430" s="3">
        <v>0</v>
      </c>
      <c r="C430" s="1" t="s">
        <v>2021</v>
      </c>
      <c r="D430" s="1" t="s">
        <v>2022</v>
      </c>
      <c r="E430" s="16">
        <f>VLOOKUP(A430,'Case 1'!A:W,23,FALSE)</f>
        <v>44883</v>
      </c>
      <c r="F430" s="16">
        <v>44897</v>
      </c>
      <c r="G430" s="17">
        <f t="shared" si="12"/>
        <v>14</v>
      </c>
      <c r="H430" t="str">
        <f t="shared" si="13"/>
        <v>No Heavy SAAS</v>
      </c>
      <c r="I430" t="str">
        <f>VLOOKUP(A430,'Case 1'!A:P,16,FALSE )</f>
        <v>Premium</v>
      </c>
      <c r="K430" s="3">
        <v>5067150</v>
      </c>
    </row>
    <row r="431" spans="1:11" ht="14.4" x14ac:dyDescent="0.3">
      <c r="A431" s="3">
        <v>5064306</v>
      </c>
      <c r="B431" s="3">
        <v>52</v>
      </c>
      <c r="C431" s="1" t="s">
        <v>1869</v>
      </c>
      <c r="D431" s="1" t="s">
        <v>1944</v>
      </c>
      <c r="E431" s="16">
        <f>VLOOKUP(A431,'Case 1'!A:W,23,FALSE)</f>
        <v>44874</v>
      </c>
      <c r="F431" s="16">
        <v>44897</v>
      </c>
      <c r="G431" s="17">
        <f t="shared" si="12"/>
        <v>23</v>
      </c>
      <c r="H431" t="str">
        <f t="shared" si="13"/>
        <v>Heavy SAAS</v>
      </c>
      <c r="I431" t="str">
        <f>VLOOKUP(A431,'Case 1'!A:P,16,FALSE )</f>
        <v>Premium</v>
      </c>
      <c r="K431" s="3">
        <v>5067430</v>
      </c>
    </row>
    <row r="432" spans="1:11" ht="14.4" x14ac:dyDescent="0.3">
      <c r="A432" s="3">
        <v>5064450</v>
      </c>
      <c r="B432" s="3">
        <v>0</v>
      </c>
      <c r="C432" s="1" t="s">
        <v>1970</v>
      </c>
      <c r="D432" s="1" t="s">
        <v>1971</v>
      </c>
      <c r="E432" s="16">
        <f>VLOOKUP(A432,'Case 1'!A:W,23,FALSE)</f>
        <v>44882</v>
      </c>
      <c r="F432" s="16">
        <v>44897</v>
      </c>
      <c r="G432" s="17">
        <f t="shared" si="12"/>
        <v>15</v>
      </c>
      <c r="H432" t="str">
        <f t="shared" si="13"/>
        <v>No Heavy SAAS</v>
      </c>
      <c r="I432" t="str">
        <f>VLOOKUP(A432,'Case 1'!A:P,16,FALSE )</f>
        <v>Advanced</v>
      </c>
      <c r="K432" s="3">
        <v>5067450</v>
      </c>
    </row>
    <row r="433" spans="1:11" ht="14.4" x14ac:dyDescent="0.3">
      <c r="A433" s="3">
        <v>5064750</v>
      </c>
      <c r="B433" s="3">
        <v>0</v>
      </c>
      <c r="C433" s="1" t="s">
        <v>365</v>
      </c>
      <c r="D433" s="1" t="s">
        <v>1957</v>
      </c>
      <c r="E433" s="16">
        <f>VLOOKUP(A433,'Case 1'!A:W,23,FALSE)</f>
        <v>44876</v>
      </c>
      <c r="F433" s="16">
        <v>44897</v>
      </c>
      <c r="G433" s="17">
        <f t="shared" si="12"/>
        <v>21</v>
      </c>
      <c r="H433" t="str">
        <f t="shared" si="13"/>
        <v>No Heavy SAAS</v>
      </c>
      <c r="I433" t="str">
        <f>VLOOKUP(A433,'Case 1'!A:P,16,FALSE )</f>
        <v>Advanced</v>
      </c>
      <c r="K433" s="3">
        <v>5067500</v>
      </c>
    </row>
    <row r="434" spans="1:11" ht="14.4" x14ac:dyDescent="0.3">
      <c r="A434" s="3">
        <v>5065045</v>
      </c>
      <c r="B434" s="3">
        <v>0</v>
      </c>
      <c r="C434" s="1" t="s">
        <v>1884</v>
      </c>
      <c r="D434" s="1" t="s">
        <v>1885</v>
      </c>
      <c r="E434" s="16">
        <f>VLOOKUP(A434,'Case 1'!A:W,23,FALSE)</f>
        <v>44868</v>
      </c>
      <c r="F434" s="16">
        <v>44897</v>
      </c>
      <c r="G434" s="17">
        <f t="shared" si="12"/>
        <v>29</v>
      </c>
      <c r="H434" t="str">
        <f t="shared" si="13"/>
        <v>No Heavy SAAS</v>
      </c>
      <c r="I434" t="str">
        <f>VLOOKUP(A434,'Case 1'!A:P,16,FALSE )</f>
        <v>Advanced</v>
      </c>
      <c r="K434" s="3">
        <v>5067501</v>
      </c>
    </row>
    <row r="435" spans="1:11" ht="14.4" x14ac:dyDescent="0.3">
      <c r="A435" s="3">
        <v>5065045</v>
      </c>
      <c r="B435" s="3">
        <v>0</v>
      </c>
      <c r="C435" s="1" t="s">
        <v>195</v>
      </c>
      <c r="D435" s="1" t="s">
        <v>1909</v>
      </c>
      <c r="E435" s="16">
        <f>VLOOKUP(A435,'Case 1'!A:W,23,FALSE)</f>
        <v>44868</v>
      </c>
      <c r="F435" s="16">
        <v>44897</v>
      </c>
      <c r="G435" s="17">
        <f t="shared" si="12"/>
        <v>29</v>
      </c>
      <c r="H435" t="str">
        <f t="shared" si="13"/>
        <v>No Heavy SAAS</v>
      </c>
      <c r="I435" t="str">
        <f>VLOOKUP(A435,'Case 1'!A:P,16,FALSE )</f>
        <v>Advanced</v>
      </c>
      <c r="K435" s="3">
        <v>5067504</v>
      </c>
    </row>
    <row r="436" spans="1:11" ht="14.4" x14ac:dyDescent="0.3">
      <c r="A436" s="3">
        <v>5065047</v>
      </c>
      <c r="B436" s="3">
        <v>45</v>
      </c>
      <c r="C436" s="1" t="s">
        <v>417</v>
      </c>
      <c r="D436" s="1" t="s">
        <v>1905</v>
      </c>
      <c r="E436" s="16">
        <f>VLOOKUP(A436,'Case 1'!A:W,23,FALSE)</f>
        <v>44858</v>
      </c>
      <c r="F436" s="16">
        <v>44897</v>
      </c>
      <c r="G436" s="17">
        <f t="shared" si="12"/>
        <v>39</v>
      </c>
      <c r="H436" t="str">
        <f t="shared" si="13"/>
        <v>No Heavy SAAS</v>
      </c>
      <c r="I436" t="str">
        <f>VLOOKUP(A436,'Case 1'!A:P,16,FALSE )</f>
        <v>Starter</v>
      </c>
      <c r="K436" s="3">
        <v>5067505</v>
      </c>
    </row>
    <row r="437" spans="1:11" ht="14.4" x14ac:dyDescent="0.3">
      <c r="A437" s="3">
        <v>5065054</v>
      </c>
      <c r="B437" s="3">
        <v>0</v>
      </c>
      <c r="C437" s="1" t="s">
        <v>1918</v>
      </c>
      <c r="D437" s="1" t="s">
        <v>1919</v>
      </c>
      <c r="E437" s="16">
        <f>VLOOKUP(A437,'Case 1'!A:W,23,FALSE)</f>
        <v>44843</v>
      </c>
      <c r="F437" s="16">
        <v>44897</v>
      </c>
      <c r="G437" s="17">
        <f t="shared" si="12"/>
        <v>54</v>
      </c>
      <c r="H437" t="str">
        <f t="shared" si="13"/>
        <v>No Heavy SAAS</v>
      </c>
      <c r="I437" t="str">
        <f>VLOOKUP(A437,'Case 1'!A:P,16,FALSE )</f>
        <v>Premium</v>
      </c>
      <c r="K437" s="3">
        <v>5067506</v>
      </c>
    </row>
    <row r="438" spans="1:11" ht="14.4" x14ac:dyDescent="0.3">
      <c r="A438" s="3">
        <v>5065055</v>
      </c>
      <c r="B438" s="3">
        <v>91</v>
      </c>
      <c r="C438" s="1" t="s">
        <v>1869</v>
      </c>
      <c r="D438" s="1" t="s">
        <v>1870</v>
      </c>
      <c r="E438" s="16">
        <f>VLOOKUP(A438,'Case 1'!A:W,23,FALSE)</f>
        <v>44853</v>
      </c>
      <c r="F438" s="16">
        <v>44897</v>
      </c>
      <c r="G438" s="17">
        <f t="shared" si="12"/>
        <v>44</v>
      </c>
      <c r="H438" t="str">
        <f t="shared" si="13"/>
        <v>No Heavy SAAS</v>
      </c>
      <c r="I438" t="str">
        <f>VLOOKUP(A438,'Case 1'!A:P,16,FALSE )</f>
        <v>Starter</v>
      </c>
      <c r="K438" s="3">
        <v>5067507</v>
      </c>
    </row>
    <row r="439" spans="1:11" ht="14.4" x14ac:dyDescent="0.3">
      <c r="A439" s="3">
        <v>5065055</v>
      </c>
      <c r="B439" s="3">
        <v>17</v>
      </c>
      <c r="C439" s="1" t="s">
        <v>1875</v>
      </c>
      <c r="D439" s="1" t="s">
        <v>1876</v>
      </c>
      <c r="E439" s="16">
        <f>VLOOKUP(A439,'Case 1'!A:W,23,FALSE)</f>
        <v>44853</v>
      </c>
      <c r="F439" s="16">
        <v>44897</v>
      </c>
      <c r="G439" s="17">
        <f t="shared" si="12"/>
        <v>44</v>
      </c>
      <c r="H439" t="str">
        <f t="shared" si="13"/>
        <v>No Heavy SAAS</v>
      </c>
      <c r="I439" t="str">
        <f>VLOOKUP(A439,'Case 1'!A:P,16,FALSE )</f>
        <v>Starter</v>
      </c>
      <c r="K439" s="3">
        <v>5067530</v>
      </c>
    </row>
    <row r="440" spans="1:11" ht="14.4" x14ac:dyDescent="0.3">
      <c r="A440" s="3">
        <v>5065056</v>
      </c>
      <c r="B440" s="3">
        <v>0</v>
      </c>
      <c r="C440" s="1" t="s">
        <v>1913</v>
      </c>
      <c r="D440" s="1" t="s">
        <v>1914</v>
      </c>
      <c r="E440" s="16">
        <f>VLOOKUP(A440,'Case 1'!A:W,23,FALSE)</f>
        <v>44847</v>
      </c>
      <c r="F440" s="16">
        <v>44897</v>
      </c>
      <c r="G440" s="17">
        <f t="shared" si="12"/>
        <v>50</v>
      </c>
      <c r="H440" t="str">
        <f t="shared" si="13"/>
        <v>No Heavy SAAS</v>
      </c>
      <c r="I440" t="str">
        <f>VLOOKUP(A440,'Case 1'!A:P,16,FALSE )</f>
        <v>Starter</v>
      </c>
      <c r="K440" s="3">
        <v>5067550</v>
      </c>
    </row>
    <row r="441" spans="1:11" ht="14.4" x14ac:dyDescent="0.3">
      <c r="A441" s="3">
        <v>5065065</v>
      </c>
      <c r="B441" s="3">
        <v>0</v>
      </c>
      <c r="C441" s="1" t="s">
        <v>365</v>
      </c>
      <c r="D441" s="1" t="s">
        <v>1897</v>
      </c>
      <c r="E441" s="16">
        <f>VLOOKUP(A441,'Case 1'!A:W,23,FALSE)</f>
        <v>44851</v>
      </c>
      <c r="F441" s="16">
        <v>44897</v>
      </c>
      <c r="G441" s="17">
        <f t="shared" si="12"/>
        <v>46</v>
      </c>
      <c r="H441" t="str">
        <f t="shared" si="13"/>
        <v>No Heavy SAAS</v>
      </c>
      <c r="I441" t="str">
        <f>VLOOKUP(A441,'Case 1'!A:P,16,FALSE )</f>
        <v>Premium</v>
      </c>
      <c r="K441" s="3">
        <v>5130504</v>
      </c>
    </row>
    <row r="442" spans="1:11" ht="14.4" x14ac:dyDescent="0.3">
      <c r="A442" s="3">
        <v>5065074</v>
      </c>
      <c r="B442" s="3">
        <v>0</v>
      </c>
      <c r="C442" s="1" t="s">
        <v>1900</v>
      </c>
      <c r="D442" s="1" t="s">
        <v>1901</v>
      </c>
      <c r="E442" s="16">
        <f>VLOOKUP(A442,'Case 1'!A:W,23,FALSE)</f>
        <v>44839</v>
      </c>
      <c r="F442" s="16">
        <v>44897</v>
      </c>
      <c r="G442" s="17">
        <f t="shared" si="12"/>
        <v>58</v>
      </c>
      <c r="H442" t="str">
        <f t="shared" si="13"/>
        <v>No Heavy SAAS</v>
      </c>
      <c r="I442" t="str">
        <f>VLOOKUP(A442,'Case 1'!A:P,16,FALSE )</f>
        <v>Starter</v>
      </c>
      <c r="K442" s="3">
        <v>5145050</v>
      </c>
    </row>
    <row r="443" spans="1:11" ht="14.4" x14ac:dyDescent="0.3">
      <c r="A443" s="3">
        <v>5065306</v>
      </c>
      <c r="B443" s="3">
        <v>50</v>
      </c>
      <c r="C443" s="1" t="s">
        <v>1850</v>
      </c>
      <c r="D443" s="1" t="s">
        <v>1851</v>
      </c>
      <c r="E443" s="16">
        <f>VLOOKUP(A443,'Case 1'!A:W,23,FALSE)</f>
        <v>44866</v>
      </c>
      <c r="F443" s="16">
        <v>44897</v>
      </c>
      <c r="G443" s="17">
        <f t="shared" si="12"/>
        <v>31</v>
      </c>
      <c r="H443" t="str">
        <f t="shared" si="13"/>
        <v>No Heavy SAAS</v>
      </c>
      <c r="I443" t="str">
        <f>VLOOKUP(A443,'Case 1'!A:P,16,FALSE )</f>
        <v>Premium</v>
      </c>
      <c r="K443" s="3">
        <v>5150305</v>
      </c>
    </row>
    <row r="444" spans="1:11" ht="14.4" x14ac:dyDescent="0.3">
      <c r="A444" s="3">
        <v>5065430</v>
      </c>
      <c r="B444" s="3">
        <v>111</v>
      </c>
      <c r="C444" s="1" t="s">
        <v>1841</v>
      </c>
      <c r="D444" s="1" t="s">
        <v>1842</v>
      </c>
      <c r="E444" s="16">
        <f>VLOOKUP(A444,'Case 1'!A:W,23,FALSE)</f>
        <v>44844</v>
      </c>
      <c r="F444" s="16">
        <v>44897</v>
      </c>
      <c r="G444" s="17">
        <f t="shared" si="12"/>
        <v>53</v>
      </c>
      <c r="H444" t="str">
        <f t="shared" si="13"/>
        <v>No Heavy SAAS</v>
      </c>
      <c r="I444" t="str">
        <f>VLOOKUP(A444,'Case 1'!A:P,16,FALSE )</f>
        <v>Advanced</v>
      </c>
      <c r="K444" s="3">
        <v>5150506</v>
      </c>
    </row>
    <row r="445" spans="1:11" ht="14.4" x14ac:dyDescent="0.3">
      <c r="A445" s="3">
        <v>5066030</v>
      </c>
      <c r="B445" s="3">
        <v>0</v>
      </c>
      <c r="C445" s="1" t="s">
        <v>2046</v>
      </c>
      <c r="D445" s="1" t="s">
        <v>2047</v>
      </c>
      <c r="E445" s="16">
        <f>VLOOKUP(A445,'Case 1'!A:W,23,FALSE)</f>
        <v>44895</v>
      </c>
      <c r="F445" s="16">
        <v>44897</v>
      </c>
      <c r="G445" s="17">
        <f t="shared" si="12"/>
        <v>2</v>
      </c>
      <c r="H445" t="str">
        <f t="shared" si="13"/>
        <v>No Heavy SAAS</v>
      </c>
      <c r="I445" t="str">
        <f>VLOOKUP(A445,'Case 1'!A:P,16,FALSE )</f>
        <v>Premium</v>
      </c>
      <c r="K445" s="3">
        <v>5300450</v>
      </c>
    </row>
    <row r="446" spans="1:11" ht="14.4" x14ac:dyDescent="0.3">
      <c r="A446" s="3">
        <v>5066300</v>
      </c>
      <c r="B446" s="3">
        <v>0</v>
      </c>
      <c r="C446" s="1" t="s">
        <v>365</v>
      </c>
      <c r="D446" s="1" t="s">
        <v>2093</v>
      </c>
      <c r="E446" s="16">
        <f>VLOOKUP(A446,'Case 1'!A:W,23,FALSE)</f>
        <v>44902</v>
      </c>
      <c r="F446" s="16">
        <v>44897</v>
      </c>
      <c r="G446" s="17">
        <f t="shared" si="12"/>
        <v>-5</v>
      </c>
      <c r="H446" t="str">
        <f t="shared" si="13"/>
        <v>No Heavy SAAS</v>
      </c>
      <c r="I446" t="str">
        <f>VLOOKUP(A446,'Case 1'!A:P,16,FALSE )</f>
        <v>Starter</v>
      </c>
      <c r="K446" s="3">
        <v>5303044</v>
      </c>
    </row>
    <row r="447" spans="1:11" ht="14.4" x14ac:dyDescent="0.3">
      <c r="A447" s="3">
        <v>5066301</v>
      </c>
      <c r="B447" s="3">
        <v>0</v>
      </c>
      <c r="C447" s="1" t="s">
        <v>2095</v>
      </c>
      <c r="D447" s="1" t="s">
        <v>2096</v>
      </c>
      <c r="E447" s="16">
        <f>VLOOKUP(A447,'Case 1'!A:W,23,FALSE)</f>
        <v>44902</v>
      </c>
      <c r="F447" s="16">
        <v>44897</v>
      </c>
      <c r="G447" s="17">
        <f t="shared" si="12"/>
        <v>-5</v>
      </c>
      <c r="H447" t="str">
        <f t="shared" si="13"/>
        <v>No Heavy SAAS</v>
      </c>
      <c r="I447" t="str">
        <f>VLOOKUP(A447,'Case 1'!A:P,16,FALSE )</f>
        <v>Premium</v>
      </c>
      <c r="K447" s="3">
        <v>5303050</v>
      </c>
    </row>
    <row r="448" spans="1:11" ht="14.4" x14ac:dyDescent="0.3">
      <c r="A448" s="3">
        <v>5066304</v>
      </c>
      <c r="B448" s="3">
        <v>0</v>
      </c>
      <c r="C448" s="1" t="s">
        <v>182</v>
      </c>
      <c r="D448" s="1" t="s">
        <v>2099</v>
      </c>
      <c r="E448" s="16">
        <f>VLOOKUP(A448,'Case 1'!A:W,23,FALSE)</f>
        <v>44881</v>
      </c>
      <c r="F448" s="16">
        <v>44897</v>
      </c>
      <c r="G448" s="17">
        <f t="shared" si="12"/>
        <v>16</v>
      </c>
      <c r="H448" t="str">
        <f t="shared" si="13"/>
        <v>No Heavy SAAS</v>
      </c>
      <c r="I448" t="str">
        <f>VLOOKUP(A448,'Case 1'!A:P,16,FALSE )</f>
        <v>Premium</v>
      </c>
      <c r="K448" s="3">
        <v>5303056</v>
      </c>
    </row>
    <row r="449" spans="1:11" ht="14.4" x14ac:dyDescent="0.3">
      <c r="A449" s="3">
        <v>5066304</v>
      </c>
      <c r="B449" s="3">
        <v>0</v>
      </c>
      <c r="C449" s="1" t="s">
        <v>365</v>
      </c>
      <c r="D449" s="1" t="s">
        <v>2106</v>
      </c>
      <c r="E449" s="16">
        <f>VLOOKUP(A449,'Case 1'!A:W,23,FALSE)</f>
        <v>44881</v>
      </c>
      <c r="F449" s="16">
        <v>44897</v>
      </c>
      <c r="G449" s="17">
        <f t="shared" si="12"/>
        <v>16</v>
      </c>
      <c r="H449" t="str">
        <f t="shared" si="13"/>
        <v>No Heavy SAAS</v>
      </c>
      <c r="I449" t="str">
        <f>VLOOKUP(A449,'Case 1'!A:P,16,FALSE )</f>
        <v>Premium</v>
      </c>
      <c r="K449" s="3">
        <v>5304450</v>
      </c>
    </row>
    <row r="450" spans="1:11" ht="14.4" x14ac:dyDescent="0.3">
      <c r="A450" s="3">
        <v>5066305</v>
      </c>
      <c r="B450" s="3">
        <v>0</v>
      </c>
      <c r="C450" s="1" t="s">
        <v>2110</v>
      </c>
      <c r="D450" s="1" t="s">
        <v>2111</v>
      </c>
      <c r="E450" s="16">
        <f>VLOOKUP(A450,'Case 1'!A:W,23,FALSE)</f>
        <v>44888</v>
      </c>
      <c r="F450" s="16">
        <v>44897</v>
      </c>
      <c r="G450" s="17">
        <f t="shared" ref="G450:G513" si="14">F450-E450</f>
        <v>9</v>
      </c>
      <c r="H450" t="str">
        <f t="shared" ref="H450:H513" si="15">+IF(AND(B450&gt;40,G450&lt;30),"Heavy SAAS","No Heavy SAAS")</f>
        <v>No Heavy SAAS</v>
      </c>
      <c r="I450" t="str">
        <f>VLOOKUP(A450,'Case 1'!A:P,16,FALSE )</f>
        <v>Advanced</v>
      </c>
      <c r="K450" s="3">
        <v>5305040</v>
      </c>
    </row>
    <row r="451" spans="1:11" ht="14.4" x14ac:dyDescent="0.3">
      <c r="A451" s="3">
        <v>5066430</v>
      </c>
      <c r="B451" s="3">
        <v>0</v>
      </c>
      <c r="C451" s="1" t="s">
        <v>2088</v>
      </c>
      <c r="D451" s="1" t="s">
        <v>2089</v>
      </c>
      <c r="E451" s="16">
        <f>VLOOKUP(A451,'Case 1'!A:W,23,FALSE)</f>
        <v>44896</v>
      </c>
      <c r="F451" s="16">
        <v>44897</v>
      </c>
      <c r="G451" s="17">
        <f t="shared" si="14"/>
        <v>1</v>
      </c>
      <c r="H451" t="str">
        <f t="shared" si="15"/>
        <v>No Heavy SAAS</v>
      </c>
      <c r="I451" t="str">
        <f>VLOOKUP(A451,'Case 1'!A:P,16,FALSE )</f>
        <v>Starter</v>
      </c>
      <c r="K451" s="3">
        <v>5305050</v>
      </c>
    </row>
    <row r="452" spans="1:11" ht="14.4" x14ac:dyDescent="0.3">
      <c r="A452" s="3">
        <v>5066450</v>
      </c>
      <c r="B452" s="3">
        <v>0</v>
      </c>
      <c r="C452" s="1" t="s">
        <v>365</v>
      </c>
      <c r="D452" s="1" t="s">
        <v>2081</v>
      </c>
      <c r="E452" s="16">
        <f>VLOOKUP(A452,'Case 1'!A:W,23,FALSE)</f>
        <v>44886</v>
      </c>
      <c r="F452" s="16">
        <v>44897</v>
      </c>
      <c r="G452" s="17">
        <f t="shared" si="14"/>
        <v>11</v>
      </c>
      <c r="H452" t="str">
        <f t="shared" si="15"/>
        <v>No Heavy SAAS</v>
      </c>
      <c r="I452" t="str">
        <f>VLOOKUP(A452,'Case 1'!A:P,16,FALSE )</f>
        <v>Premium</v>
      </c>
      <c r="K452" s="3">
        <v>5305054</v>
      </c>
    </row>
    <row r="453" spans="1:11" ht="14.4" x14ac:dyDescent="0.3">
      <c r="A453" s="3">
        <v>5066507</v>
      </c>
      <c r="B453" s="3">
        <v>0</v>
      </c>
      <c r="C453" s="1" t="s">
        <v>2076</v>
      </c>
      <c r="D453" s="1" t="s">
        <v>2077</v>
      </c>
      <c r="E453" s="16">
        <f>VLOOKUP(A453,'Case 1'!A:W,23,FALSE)</f>
        <v>44898</v>
      </c>
      <c r="F453" s="16">
        <v>44897</v>
      </c>
      <c r="G453" s="17">
        <f t="shared" si="14"/>
        <v>-1</v>
      </c>
      <c r="H453" t="str">
        <f t="shared" si="15"/>
        <v>No Heavy SAAS</v>
      </c>
      <c r="I453" t="str">
        <f>VLOOKUP(A453,'Case 1'!A:P,16,FALSE )</f>
        <v>Premium</v>
      </c>
      <c r="K453" s="3">
        <v>5305064</v>
      </c>
    </row>
    <row r="454" spans="1:11" ht="14.4" x14ac:dyDescent="0.3">
      <c r="A454" s="3">
        <v>5066530</v>
      </c>
      <c r="B454" s="3">
        <v>0</v>
      </c>
      <c r="C454" s="1" t="s">
        <v>1524</v>
      </c>
      <c r="D454" s="1" t="s">
        <v>2175</v>
      </c>
      <c r="E454" s="16">
        <f>VLOOKUP(A454,'Case 1'!A:W,23,FALSE)</f>
        <v>44901</v>
      </c>
      <c r="F454" s="16">
        <v>44897</v>
      </c>
      <c r="G454" s="17">
        <f t="shared" si="14"/>
        <v>-4</v>
      </c>
      <c r="H454" t="str">
        <f t="shared" si="15"/>
        <v>No Heavy SAAS</v>
      </c>
      <c r="I454" t="str">
        <f>VLOOKUP(A454,'Case 1'!A:P,16,FALSE )</f>
        <v>Starter</v>
      </c>
      <c r="K454" s="3">
        <v>5305071</v>
      </c>
    </row>
    <row r="455" spans="1:11" ht="14.4" x14ac:dyDescent="0.3">
      <c r="A455" s="3">
        <v>5066550</v>
      </c>
      <c r="B455" s="3">
        <v>0</v>
      </c>
      <c r="C455" s="1" t="s">
        <v>182</v>
      </c>
      <c r="D455" s="1" t="s">
        <v>2167</v>
      </c>
      <c r="E455" s="16">
        <f>VLOOKUP(A455,'Case 1'!A:W,23,FALSE)</f>
        <v>44887</v>
      </c>
      <c r="F455" s="16">
        <v>44897</v>
      </c>
      <c r="G455" s="17">
        <f t="shared" si="14"/>
        <v>10</v>
      </c>
      <c r="H455" t="str">
        <f t="shared" si="15"/>
        <v>No Heavy SAAS</v>
      </c>
      <c r="I455" t="str">
        <f>VLOOKUP(A455,'Case 1'!A:P,16,FALSE )</f>
        <v>Starter</v>
      </c>
      <c r="K455" s="3">
        <v>5305075</v>
      </c>
    </row>
    <row r="456" spans="1:11" ht="14.4" x14ac:dyDescent="0.3">
      <c r="A456" s="3">
        <v>5066630</v>
      </c>
      <c r="B456" s="3">
        <v>0</v>
      </c>
      <c r="C456" s="1" t="s">
        <v>195</v>
      </c>
      <c r="D456" s="1" t="s">
        <v>2119</v>
      </c>
      <c r="E456" s="16">
        <f>VLOOKUP(A456,'Case 1'!A:W,23,FALSE)</f>
        <v>44899</v>
      </c>
      <c r="F456" s="16">
        <v>44897</v>
      </c>
      <c r="G456" s="17">
        <f t="shared" si="14"/>
        <v>-2</v>
      </c>
      <c r="H456" t="str">
        <f t="shared" si="15"/>
        <v>No Heavy SAAS</v>
      </c>
      <c r="I456" t="str">
        <f>VLOOKUP(A456,'Case 1'!A:P,16,FALSE )</f>
        <v>Premium</v>
      </c>
      <c r="K456" s="3">
        <v>5305304</v>
      </c>
    </row>
    <row r="457" spans="1:11" ht="14.4" x14ac:dyDescent="0.3">
      <c r="A457" s="3">
        <v>5067030</v>
      </c>
      <c r="B457" s="3">
        <v>0</v>
      </c>
      <c r="C457" s="1" t="s">
        <v>25</v>
      </c>
      <c r="D457" s="1" t="s">
        <v>2214</v>
      </c>
      <c r="E457" s="16">
        <f>VLOOKUP(A457,'Case 1'!A:W,23,FALSE)</f>
        <v>44902</v>
      </c>
      <c r="F457" s="16">
        <v>44897</v>
      </c>
      <c r="G457" s="17">
        <f t="shared" si="14"/>
        <v>-5</v>
      </c>
      <c r="H457" t="str">
        <f t="shared" si="15"/>
        <v>No Heavy SAAS</v>
      </c>
      <c r="I457" t="str">
        <f>VLOOKUP(A457,'Case 1'!A:P,16,FALSE )</f>
        <v>Advanced</v>
      </c>
      <c r="K457" s="3">
        <v>5307030</v>
      </c>
    </row>
    <row r="458" spans="1:11" ht="14.4" x14ac:dyDescent="0.3">
      <c r="A458" s="3">
        <v>5067050</v>
      </c>
      <c r="B458" s="3">
        <v>0</v>
      </c>
      <c r="C458" s="1" t="s">
        <v>2205</v>
      </c>
      <c r="D458" s="1" t="s">
        <v>2206</v>
      </c>
      <c r="E458" s="16">
        <f>VLOOKUP(A458,'Case 1'!A:W,23,FALSE)</f>
        <v>44878</v>
      </c>
      <c r="F458" s="16">
        <v>44897</v>
      </c>
      <c r="G458" s="17">
        <f t="shared" si="14"/>
        <v>19</v>
      </c>
      <c r="H458" t="str">
        <f t="shared" si="15"/>
        <v>No Heavy SAAS</v>
      </c>
      <c r="I458" t="str">
        <f>VLOOKUP(A458,'Case 1'!A:P,16,FALSE )</f>
        <v>Starter</v>
      </c>
      <c r="K458" s="3">
        <v>5450050</v>
      </c>
    </row>
    <row r="459" spans="1:11" ht="14.4" x14ac:dyDescent="0.3">
      <c r="A459" s="3">
        <v>5067150</v>
      </c>
      <c r="B459" s="3">
        <v>0</v>
      </c>
      <c r="C459" s="1" t="s">
        <v>2235</v>
      </c>
      <c r="D459" s="1" t="s">
        <v>2236</v>
      </c>
      <c r="E459" s="16">
        <f>VLOOKUP(A459,'Case 1'!A:W,23,FALSE)</f>
        <v>44900</v>
      </c>
      <c r="F459" s="16">
        <v>44897</v>
      </c>
      <c r="G459" s="17">
        <f t="shared" si="14"/>
        <v>-3</v>
      </c>
      <c r="H459" t="str">
        <f t="shared" si="15"/>
        <v>No Heavy SAAS</v>
      </c>
      <c r="I459" t="str">
        <f>VLOOKUP(A459,'Case 1'!A:P,16,FALSE )</f>
        <v>Premium</v>
      </c>
      <c r="K459" s="3">
        <v>5530306</v>
      </c>
    </row>
    <row r="460" spans="1:11" ht="14.4" x14ac:dyDescent="0.3">
      <c r="A460" s="3">
        <v>5067430</v>
      </c>
      <c r="B460" s="3">
        <v>0</v>
      </c>
      <c r="C460" s="1" t="s">
        <v>1746</v>
      </c>
      <c r="D460" s="1" t="s">
        <v>2334</v>
      </c>
      <c r="E460" s="16">
        <f>VLOOKUP(A460,'Case 1'!A:W,23,FALSE)</f>
        <v>44879</v>
      </c>
      <c r="F460" s="16">
        <v>44897</v>
      </c>
      <c r="G460" s="17">
        <f t="shared" si="14"/>
        <v>18</v>
      </c>
      <c r="H460" t="str">
        <f t="shared" si="15"/>
        <v>No Heavy SAAS</v>
      </c>
      <c r="I460" t="str">
        <f>VLOOKUP(A460,'Case 1'!A:P,16,FALSE )</f>
        <v>Starter</v>
      </c>
      <c r="K460" s="3">
        <v>5530501</v>
      </c>
    </row>
    <row r="461" spans="1:11" ht="14.4" x14ac:dyDescent="0.3">
      <c r="A461" s="3">
        <v>5067450</v>
      </c>
      <c r="B461" s="3">
        <v>0</v>
      </c>
      <c r="C461" s="1" t="s">
        <v>2326</v>
      </c>
      <c r="D461" s="1" t="s">
        <v>2327</v>
      </c>
      <c r="E461" s="16">
        <f>VLOOKUP(A461,'Case 1'!A:W,23,FALSE)</f>
        <v>44879</v>
      </c>
      <c r="F461" s="16">
        <v>44897</v>
      </c>
      <c r="G461" s="17">
        <f t="shared" si="14"/>
        <v>18</v>
      </c>
      <c r="H461" t="str">
        <f t="shared" si="15"/>
        <v>No Heavy SAAS</v>
      </c>
      <c r="I461" t="str">
        <f>VLOOKUP(A461,'Case 1'!A:P,16,FALSE )</f>
        <v>Starter</v>
      </c>
      <c r="K461" s="3">
        <v>5530504</v>
      </c>
    </row>
    <row r="462" spans="1:11" ht="14.4" x14ac:dyDescent="0.3">
      <c r="A462" s="3">
        <v>5067500</v>
      </c>
      <c r="B462" s="3">
        <v>0</v>
      </c>
      <c r="C462" s="1" t="s">
        <v>1367</v>
      </c>
      <c r="D462" s="1" t="s">
        <v>2285</v>
      </c>
      <c r="E462" s="16">
        <f>VLOOKUP(A462,'Case 1'!A:W,23,FALSE)</f>
        <v>44878</v>
      </c>
      <c r="F462" s="16">
        <v>44897</v>
      </c>
      <c r="G462" s="17">
        <f t="shared" si="14"/>
        <v>19</v>
      </c>
      <c r="H462" t="str">
        <f t="shared" si="15"/>
        <v>No Heavy SAAS</v>
      </c>
      <c r="I462" t="str">
        <f>VLOOKUP(A462,'Case 1'!A:P,16,FALSE )</f>
        <v>Starter</v>
      </c>
      <c r="K462" s="3">
        <v>5655030</v>
      </c>
    </row>
    <row r="463" spans="1:11" ht="14.4" x14ac:dyDescent="0.3">
      <c r="A463" s="3">
        <v>5067501</v>
      </c>
      <c r="B463" s="3">
        <v>0</v>
      </c>
      <c r="C463" s="1" t="s">
        <v>2289</v>
      </c>
      <c r="D463" s="1" t="s">
        <v>2290</v>
      </c>
      <c r="E463" s="16">
        <f>VLOOKUP(A463,'Case 1'!A:W,23,FALSE)</f>
        <v>44884</v>
      </c>
      <c r="F463" s="16">
        <v>44897</v>
      </c>
      <c r="G463" s="17">
        <f t="shared" si="14"/>
        <v>13</v>
      </c>
      <c r="H463" t="str">
        <f t="shared" si="15"/>
        <v>No Heavy SAAS</v>
      </c>
      <c r="I463" t="str">
        <f>VLOOKUP(A463,'Case 1'!A:P,16,FALSE )</f>
        <v>Advanced</v>
      </c>
      <c r="K463" s="3">
        <v>15063030</v>
      </c>
    </row>
    <row r="464" spans="1:11" ht="14.4" x14ac:dyDescent="0.3">
      <c r="A464" s="3">
        <v>5067504</v>
      </c>
      <c r="B464" s="3">
        <v>0</v>
      </c>
      <c r="C464" s="1" t="s">
        <v>37</v>
      </c>
      <c r="D464" s="1" t="s">
        <v>2298</v>
      </c>
      <c r="E464" s="16">
        <f>VLOOKUP(A464,'Case 1'!A:W,23,FALSE)</f>
        <v>44877</v>
      </c>
      <c r="F464" s="16">
        <v>44897</v>
      </c>
      <c r="G464" s="17">
        <f t="shared" si="14"/>
        <v>20</v>
      </c>
      <c r="H464" t="str">
        <f t="shared" si="15"/>
        <v>No Heavy SAAS</v>
      </c>
      <c r="I464" t="str">
        <f>VLOOKUP(A464,'Case 1'!A:P,16,FALSE )</f>
        <v>Starter</v>
      </c>
      <c r="K464" s="3">
        <v>50143050</v>
      </c>
    </row>
    <row r="465" spans="1:11" ht="14.4" x14ac:dyDescent="0.3">
      <c r="A465" s="3">
        <v>5067504</v>
      </c>
      <c r="B465" s="3">
        <v>0</v>
      </c>
      <c r="C465" s="1" t="s">
        <v>2311</v>
      </c>
      <c r="D465" s="1" t="s">
        <v>2312</v>
      </c>
      <c r="E465" s="16">
        <f>VLOOKUP(A465,'Case 1'!A:W,23,FALSE)</f>
        <v>44877</v>
      </c>
      <c r="F465" s="16">
        <v>44897</v>
      </c>
      <c r="G465" s="17">
        <f t="shared" si="14"/>
        <v>20</v>
      </c>
      <c r="H465" t="str">
        <f t="shared" si="15"/>
        <v>No Heavy SAAS</v>
      </c>
      <c r="I465" t="str">
        <f>VLOOKUP(A465,'Case 1'!A:P,16,FALSE )</f>
        <v>Starter</v>
      </c>
      <c r="K465" s="3">
        <v>50300304</v>
      </c>
    </row>
    <row r="466" spans="1:11" ht="14.4" x14ac:dyDescent="0.3">
      <c r="A466" s="3">
        <v>5067505</v>
      </c>
      <c r="B466" s="3">
        <v>0</v>
      </c>
      <c r="C466" s="1" t="s">
        <v>25</v>
      </c>
      <c r="D466" s="1" t="s">
        <v>2293</v>
      </c>
      <c r="E466" s="16">
        <f>VLOOKUP(A466,'Case 1'!A:W,23,FALSE)</f>
        <v>44892</v>
      </c>
      <c r="F466" s="16">
        <v>44897</v>
      </c>
      <c r="G466" s="17">
        <f t="shared" si="14"/>
        <v>5</v>
      </c>
      <c r="H466" t="str">
        <f t="shared" si="15"/>
        <v>No Heavy SAAS</v>
      </c>
      <c r="I466" t="str">
        <f>VLOOKUP(A466,'Case 1'!A:P,16,FALSE )</f>
        <v>Starter</v>
      </c>
      <c r="K466" s="3">
        <v>50300450</v>
      </c>
    </row>
    <row r="467" spans="1:11" ht="14.4" x14ac:dyDescent="0.3">
      <c r="A467" s="3">
        <v>5067505</v>
      </c>
      <c r="B467" s="3">
        <v>0</v>
      </c>
      <c r="C467" s="1" t="s">
        <v>2314</v>
      </c>
      <c r="D467" s="1" t="s">
        <v>2315</v>
      </c>
      <c r="E467" s="16">
        <f>VLOOKUP(A467,'Case 1'!A:W,23,FALSE)</f>
        <v>44892</v>
      </c>
      <c r="F467" s="16">
        <v>44897</v>
      </c>
      <c r="G467" s="17">
        <f t="shared" si="14"/>
        <v>5</v>
      </c>
      <c r="H467" t="str">
        <f t="shared" si="15"/>
        <v>No Heavy SAAS</v>
      </c>
      <c r="I467" t="str">
        <f>VLOOKUP(A467,'Case 1'!A:P,16,FALSE )</f>
        <v>Starter</v>
      </c>
      <c r="K467" s="3">
        <v>50301305</v>
      </c>
    </row>
    <row r="468" spans="1:11" ht="14.4" x14ac:dyDescent="0.3">
      <c r="A468" s="3">
        <v>5067506</v>
      </c>
      <c r="B468" s="3">
        <v>0</v>
      </c>
      <c r="C468" s="1" t="s">
        <v>2304</v>
      </c>
      <c r="D468" s="1" t="s">
        <v>2305</v>
      </c>
      <c r="E468" s="16">
        <f>VLOOKUP(A468,'Case 1'!A:W,23,FALSE)</f>
        <v>44896</v>
      </c>
      <c r="F468" s="16">
        <v>44897</v>
      </c>
      <c r="G468" s="17">
        <f t="shared" si="14"/>
        <v>1</v>
      </c>
      <c r="H468" t="str">
        <f t="shared" si="15"/>
        <v>No Heavy SAAS</v>
      </c>
      <c r="I468" t="str">
        <f>VLOOKUP(A468,'Case 1'!A:P,16,FALSE )</f>
        <v>Advanced</v>
      </c>
      <c r="K468" s="3">
        <v>50301507</v>
      </c>
    </row>
    <row r="469" spans="1:11" ht="14.4" x14ac:dyDescent="0.3">
      <c r="A469" s="3">
        <v>5067507</v>
      </c>
      <c r="B469" s="3">
        <v>0</v>
      </c>
      <c r="C469" s="1" t="s">
        <v>37</v>
      </c>
      <c r="D469" s="1" t="s">
        <v>2308</v>
      </c>
      <c r="E469" s="16">
        <f>VLOOKUP(A469,'Case 1'!A:W,23,FALSE)</f>
        <v>44891</v>
      </c>
      <c r="F469" s="16">
        <v>44897</v>
      </c>
      <c r="G469" s="17">
        <f t="shared" si="14"/>
        <v>6</v>
      </c>
      <c r="H469" t="str">
        <f t="shared" si="15"/>
        <v>No Heavy SAAS</v>
      </c>
      <c r="I469" t="str">
        <f>VLOOKUP(A469,'Case 1'!A:P,16,FALSE )</f>
        <v>Premium</v>
      </c>
      <c r="K469" s="3">
        <v>50301730</v>
      </c>
    </row>
    <row r="470" spans="1:11" ht="14.4" x14ac:dyDescent="0.3">
      <c r="A470" s="3">
        <v>5067530</v>
      </c>
      <c r="B470" s="3">
        <v>0</v>
      </c>
      <c r="C470" s="1" t="s">
        <v>2265</v>
      </c>
      <c r="D470" s="1" t="s">
        <v>2266</v>
      </c>
      <c r="E470" s="16">
        <f>VLOOKUP(A470,'Case 1'!A:W,23,FALSE)</f>
        <v>44890</v>
      </c>
      <c r="F470" s="16">
        <v>44897</v>
      </c>
      <c r="G470" s="17">
        <f t="shared" si="14"/>
        <v>7</v>
      </c>
      <c r="H470" t="str">
        <f t="shared" si="15"/>
        <v>No Heavy SAAS</v>
      </c>
      <c r="I470" t="str">
        <f>VLOOKUP(A470,'Case 1'!A:P,16,FALSE )</f>
        <v>Advanced</v>
      </c>
      <c r="K470" s="3">
        <v>50303005</v>
      </c>
    </row>
    <row r="471" spans="1:11" ht="14.4" x14ac:dyDescent="0.3">
      <c r="A471" s="3">
        <v>5067550</v>
      </c>
      <c r="B471" s="3">
        <v>0</v>
      </c>
      <c r="C471" s="1" t="s">
        <v>2256</v>
      </c>
      <c r="D471" s="1" t="s">
        <v>2257</v>
      </c>
      <c r="E471" s="16">
        <f>VLOOKUP(A471,'Case 1'!A:W,23,FALSE)</f>
        <v>44894</v>
      </c>
      <c r="F471" s="16">
        <v>44897</v>
      </c>
      <c r="G471" s="17">
        <f t="shared" si="14"/>
        <v>3</v>
      </c>
      <c r="H471" t="str">
        <f t="shared" si="15"/>
        <v>No Heavy SAAS</v>
      </c>
      <c r="I471" t="str">
        <f>VLOOKUP(A471,'Case 1'!A:P,16,FALSE )</f>
        <v>Premium</v>
      </c>
      <c r="K471" s="3">
        <v>50303016</v>
      </c>
    </row>
    <row r="472" spans="1:11" ht="14.4" x14ac:dyDescent="0.3">
      <c r="A472" s="3">
        <v>5130504</v>
      </c>
      <c r="B472" s="3">
        <v>42622</v>
      </c>
      <c r="C472" s="1" t="s">
        <v>567</v>
      </c>
      <c r="D472" s="1" t="s">
        <v>568</v>
      </c>
      <c r="E472" s="16">
        <f>VLOOKUP(A472,'Case 1'!A:W,23,FALSE)</f>
        <v>44903</v>
      </c>
      <c r="F472" s="16">
        <v>44897</v>
      </c>
      <c r="G472" s="17">
        <f t="shared" si="14"/>
        <v>-6</v>
      </c>
      <c r="H472" t="str">
        <f t="shared" si="15"/>
        <v>Heavy SAAS</v>
      </c>
      <c r="I472" t="str">
        <f>VLOOKUP(A472,'Case 1'!A:P,16,FALSE )</f>
        <v>Advanced</v>
      </c>
      <c r="K472" s="3">
        <v>50305017</v>
      </c>
    </row>
    <row r="473" spans="1:11" ht="14.4" x14ac:dyDescent="0.3">
      <c r="A473" s="3">
        <v>5145050</v>
      </c>
      <c r="B473" s="3">
        <v>33968</v>
      </c>
      <c r="C473" s="1" t="s">
        <v>558</v>
      </c>
      <c r="D473" s="1" t="s">
        <v>559</v>
      </c>
      <c r="E473" s="16">
        <f>VLOOKUP(A473,'Case 1'!A:W,23,FALSE)</f>
        <v>44903</v>
      </c>
      <c r="F473" s="16">
        <v>44897</v>
      </c>
      <c r="G473" s="17">
        <f t="shared" si="14"/>
        <v>-6</v>
      </c>
      <c r="H473" t="str">
        <f t="shared" si="15"/>
        <v>Heavy SAAS</v>
      </c>
      <c r="I473" t="str">
        <f>VLOOKUP(A473,'Case 1'!A:P,16,FALSE )</f>
        <v>Starter</v>
      </c>
      <c r="K473" s="3">
        <v>50305047</v>
      </c>
    </row>
    <row r="474" spans="1:11" ht="14.4" x14ac:dyDescent="0.3">
      <c r="A474" s="3">
        <v>5150305</v>
      </c>
      <c r="B474" s="3">
        <v>29554</v>
      </c>
      <c r="C474" s="1" t="s">
        <v>548</v>
      </c>
      <c r="D474" s="1" t="s">
        <v>549</v>
      </c>
      <c r="E474" s="16">
        <f>VLOOKUP(A474,'Case 1'!A:W,23,FALSE)</f>
        <v>44871</v>
      </c>
      <c r="F474" s="16">
        <v>44897</v>
      </c>
      <c r="G474" s="17">
        <f t="shared" si="14"/>
        <v>26</v>
      </c>
      <c r="H474" t="str">
        <f t="shared" si="15"/>
        <v>Heavy SAAS</v>
      </c>
      <c r="I474" t="str">
        <f>VLOOKUP(A474,'Case 1'!A:P,16,FALSE )</f>
        <v>Premium</v>
      </c>
      <c r="K474" s="3">
        <v>50305150</v>
      </c>
    </row>
    <row r="475" spans="1:11" ht="14.4" x14ac:dyDescent="0.3">
      <c r="A475" s="3">
        <v>5150506</v>
      </c>
      <c r="B475" s="3">
        <v>13266</v>
      </c>
      <c r="C475" s="1" t="s">
        <v>544</v>
      </c>
      <c r="D475" s="1" t="s">
        <v>545</v>
      </c>
      <c r="E475" s="16">
        <f>VLOOKUP(A475,'Case 1'!A:W,23,FALSE)</f>
        <v>44684</v>
      </c>
      <c r="F475" s="16">
        <v>44897</v>
      </c>
      <c r="G475" s="17">
        <f t="shared" si="14"/>
        <v>213</v>
      </c>
      <c r="H475" t="str">
        <f t="shared" si="15"/>
        <v>No Heavy SAAS</v>
      </c>
      <c r="I475" t="str">
        <f>VLOOKUP(A475,'Case 1'!A:P,16,FALSE )</f>
        <v>Starter</v>
      </c>
      <c r="K475" s="3">
        <v>50305307</v>
      </c>
    </row>
    <row r="476" spans="1:11" ht="14.4" x14ac:dyDescent="0.3">
      <c r="A476" s="3">
        <v>5300450</v>
      </c>
      <c r="B476" s="3">
        <v>10758</v>
      </c>
      <c r="C476" s="1" t="s">
        <v>660</v>
      </c>
      <c r="D476" s="1" t="s">
        <v>661</v>
      </c>
      <c r="E476" s="16">
        <f>VLOOKUP(A476,'Case 1'!A:W,23,FALSE)</f>
        <v>44687</v>
      </c>
      <c r="F476" s="16">
        <v>44897</v>
      </c>
      <c r="G476" s="17">
        <f t="shared" si="14"/>
        <v>210</v>
      </c>
      <c r="H476" t="str">
        <f t="shared" si="15"/>
        <v>No Heavy SAAS</v>
      </c>
      <c r="I476" t="str">
        <f>VLOOKUP(A476,'Case 1'!A:P,16,FALSE )</f>
        <v>Advanced</v>
      </c>
      <c r="K476" s="3">
        <v>50305430</v>
      </c>
    </row>
    <row r="477" spans="1:11" ht="14.4" x14ac:dyDescent="0.3">
      <c r="A477" s="3">
        <v>5303044</v>
      </c>
      <c r="B477" s="3">
        <v>184</v>
      </c>
      <c r="C477" s="1" t="s">
        <v>37</v>
      </c>
      <c r="D477" s="1" t="s">
        <v>702</v>
      </c>
      <c r="E477" s="16">
        <f>VLOOKUP(A477,'Case 1'!A:W,23,FALSE)</f>
        <v>44850</v>
      </c>
      <c r="F477" s="16">
        <v>44897</v>
      </c>
      <c r="G477" s="17">
        <f t="shared" si="14"/>
        <v>47</v>
      </c>
      <c r="H477" t="str">
        <f t="shared" si="15"/>
        <v>No Heavy SAAS</v>
      </c>
      <c r="I477" t="str">
        <f>VLOOKUP(A477,'Case 1'!A:P,16,FALSE )</f>
        <v>Starter</v>
      </c>
      <c r="K477" s="3">
        <v>50305505</v>
      </c>
    </row>
    <row r="478" spans="1:11" ht="14.4" x14ac:dyDescent="0.3">
      <c r="A478" s="3">
        <v>5303050</v>
      </c>
      <c r="B478" s="3">
        <v>33837</v>
      </c>
      <c r="C478" s="1" t="s">
        <v>195</v>
      </c>
      <c r="D478" s="1" t="s">
        <v>697</v>
      </c>
      <c r="E478" s="16">
        <f>VLOOKUP(A478,'Case 1'!A:W,23,FALSE)</f>
        <v>44903</v>
      </c>
      <c r="F478" s="16">
        <v>44897</v>
      </c>
      <c r="G478" s="17">
        <f t="shared" si="14"/>
        <v>-6</v>
      </c>
      <c r="H478" t="str">
        <f t="shared" si="15"/>
        <v>Heavy SAAS</v>
      </c>
      <c r="I478" t="str">
        <f>VLOOKUP(A478,'Case 1'!A:P,16,FALSE )</f>
        <v>Premium</v>
      </c>
      <c r="K478" s="3">
        <v>50305530</v>
      </c>
    </row>
    <row r="479" spans="1:11" ht="14.4" x14ac:dyDescent="0.3">
      <c r="A479" s="3">
        <v>5303056</v>
      </c>
      <c r="B479" s="3">
        <v>3858</v>
      </c>
      <c r="C479" s="1" t="s">
        <v>705</v>
      </c>
      <c r="D479" s="1" t="s">
        <v>706</v>
      </c>
      <c r="E479" s="16">
        <f>VLOOKUP(A479,'Case 1'!A:W,23,FALSE)</f>
        <v>44598</v>
      </c>
      <c r="F479" s="16">
        <v>44897</v>
      </c>
      <c r="G479" s="17">
        <f t="shared" si="14"/>
        <v>299</v>
      </c>
      <c r="H479" t="str">
        <f t="shared" si="15"/>
        <v>No Heavy SAAS</v>
      </c>
      <c r="I479" t="str">
        <f>VLOOKUP(A479,'Case 1'!A:P,16,FALSE )</f>
        <v>Advanced</v>
      </c>
      <c r="K479" s="3">
        <v>50306505</v>
      </c>
    </row>
    <row r="480" spans="1:11" ht="14.4" x14ac:dyDescent="0.3">
      <c r="A480" s="3">
        <v>5304450</v>
      </c>
      <c r="B480" s="3">
        <v>8994</v>
      </c>
      <c r="C480" s="1" t="s">
        <v>25</v>
      </c>
      <c r="D480" s="1" t="s">
        <v>737</v>
      </c>
      <c r="E480" s="16">
        <f>VLOOKUP(A480,'Case 1'!A:W,23,FALSE)</f>
        <v>44811</v>
      </c>
      <c r="F480" s="16">
        <v>44897</v>
      </c>
      <c r="G480" s="17">
        <f t="shared" si="14"/>
        <v>86</v>
      </c>
      <c r="H480" t="str">
        <f t="shared" si="15"/>
        <v>No Heavy SAAS</v>
      </c>
      <c r="I480" t="str">
        <f>VLOOKUP(A480,'Case 1'!A:P,16,FALSE )</f>
        <v>Advanced</v>
      </c>
      <c r="K480" s="3">
        <v>50307050</v>
      </c>
    </row>
    <row r="481" spans="1:11" ht="14.4" x14ac:dyDescent="0.3">
      <c r="A481" s="3">
        <v>5305040</v>
      </c>
      <c r="B481" s="3">
        <v>6018</v>
      </c>
      <c r="C481" s="1" t="s">
        <v>692</v>
      </c>
      <c r="D481" s="1" t="s">
        <v>693</v>
      </c>
      <c r="E481" s="16">
        <f>VLOOKUP(A481,'Case 1'!A:W,23,FALSE)</f>
        <v>44582</v>
      </c>
      <c r="F481" s="16">
        <v>44897</v>
      </c>
      <c r="G481" s="17">
        <f t="shared" si="14"/>
        <v>315</v>
      </c>
      <c r="H481" t="str">
        <f t="shared" si="15"/>
        <v>No Heavy SAAS</v>
      </c>
      <c r="I481" t="str">
        <f>VLOOKUP(A481,'Case 1'!A:P,16,FALSE )</f>
        <v>Premium</v>
      </c>
      <c r="K481" s="3">
        <v>50307304</v>
      </c>
    </row>
    <row r="482" spans="1:11" ht="14.4" x14ac:dyDescent="0.3">
      <c r="A482" s="3">
        <v>5305050</v>
      </c>
      <c r="B482" s="3">
        <v>5768</v>
      </c>
      <c r="C482" s="1" t="s">
        <v>668</v>
      </c>
      <c r="D482" s="1" t="s">
        <v>669</v>
      </c>
      <c r="E482" s="16">
        <f>VLOOKUP(A482,'Case 1'!A:W,23,FALSE)</f>
        <v>44728</v>
      </c>
      <c r="F482" s="16">
        <v>44897</v>
      </c>
      <c r="G482" s="17">
        <f t="shared" si="14"/>
        <v>169</v>
      </c>
      <c r="H482" t="str">
        <f t="shared" si="15"/>
        <v>No Heavy SAAS</v>
      </c>
      <c r="I482" t="str">
        <f>VLOOKUP(A482,'Case 1'!A:P,16,FALSE )</f>
        <v>Advanced</v>
      </c>
      <c r="K482" s="3">
        <v>50307530</v>
      </c>
    </row>
    <row r="483" spans="1:11" ht="14.4" x14ac:dyDescent="0.3">
      <c r="A483" s="3">
        <v>5305054</v>
      </c>
      <c r="B483" s="3">
        <v>11106</v>
      </c>
      <c r="C483" s="1" t="s">
        <v>676</v>
      </c>
      <c r="D483" s="1" t="s">
        <v>677</v>
      </c>
      <c r="E483" s="16">
        <f>VLOOKUP(A483,'Case 1'!A:W,23,FALSE)</f>
        <v>44816</v>
      </c>
      <c r="F483" s="16">
        <v>44897</v>
      </c>
      <c r="G483" s="17">
        <f t="shared" si="14"/>
        <v>81</v>
      </c>
      <c r="H483" t="str">
        <f t="shared" si="15"/>
        <v>No Heavy SAAS</v>
      </c>
      <c r="I483" t="str">
        <f>VLOOKUP(A483,'Case 1'!A:P,16,FALSE )</f>
        <v>Starter</v>
      </c>
      <c r="K483" s="3">
        <v>50307750</v>
      </c>
    </row>
    <row r="484" spans="1:11" ht="14.4" x14ac:dyDescent="0.3">
      <c r="A484" s="3">
        <v>5305064</v>
      </c>
      <c r="B484" s="3">
        <v>6144</v>
      </c>
      <c r="C484" s="1" t="s">
        <v>680</v>
      </c>
      <c r="D484" s="1" t="s">
        <v>681</v>
      </c>
      <c r="E484" s="16">
        <f>VLOOKUP(A484,'Case 1'!A:W,23,FALSE)</f>
        <v>44805</v>
      </c>
      <c r="F484" s="16">
        <v>44897</v>
      </c>
      <c r="G484" s="17">
        <f t="shared" si="14"/>
        <v>92</v>
      </c>
      <c r="H484" t="str">
        <f t="shared" si="15"/>
        <v>No Heavy SAAS</v>
      </c>
      <c r="I484" t="str">
        <f>VLOOKUP(A484,'Case 1'!A:P,16,FALSE )</f>
        <v>Advanced</v>
      </c>
      <c r="K484" s="3">
        <v>50463030</v>
      </c>
    </row>
    <row r="485" spans="1:11" ht="14.4" x14ac:dyDescent="0.3">
      <c r="A485" s="3">
        <v>5305071</v>
      </c>
      <c r="B485" s="3">
        <v>5043</v>
      </c>
      <c r="C485" s="1" t="s">
        <v>684</v>
      </c>
      <c r="D485" s="1" t="s">
        <v>685</v>
      </c>
      <c r="E485" s="16">
        <f>VLOOKUP(A485,'Case 1'!A:W,23,FALSE)</f>
        <v>44652</v>
      </c>
      <c r="F485" s="16">
        <v>44897</v>
      </c>
      <c r="G485" s="17">
        <f t="shared" si="14"/>
        <v>245</v>
      </c>
      <c r="H485" t="str">
        <f t="shared" si="15"/>
        <v>No Heavy SAAS</v>
      </c>
      <c r="I485" t="str">
        <f>VLOOKUP(A485,'Case 1'!A:P,16,FALSE )</f>
        <v>Advanced</v>
      </c>
      <c r="K485" s="3">
        <v>50500505</v>
      </c>
    </row>
    <row r="486" spans="1:11" ht="14.4" x14ac:dyDescent="0.3">
      <c r="A486" s="3">
        <v>5305075</v>
      </c>
      <c r="B486" s="3">
        <v>4114</v>
      </c>
      <c r="C486" s="1" t="s">
        <v>143</v>
      </c>
      <c r="D486" s="1" t="s">
        <v>688</v>
      </c>
      <c r="E486" s="16">
        <f>VLOOKUP(A486,'Case 1'!A:W,23,FALSE)</f>
        <v>44621</v>
      </c>
      <c r="F486" s="16">
        <v>44897</v>
      </c>
      <c r="G486" s="17">
        <f t="shared" si="14"/>
        <v>276</v>
      </c>
      <c r="H486" t="str">
        <f t="shared" si="15"/>
        <v>No Heavy SAAS</v>
      </c>
      <c r="I486" t="str">
        <f>VLOOKUP(A486,'Case 1'!A:P,16,FALSE )</f>
        <v>Premium</v>
      </c>
      <c r="K486" s="3">
        <v>50501430</v>
      </c>
    </row>
    <row r="487" spans="1:11" ht="14.4" x14ac:dyDescent="0.3">
      <c r="A487" s="3">
        <v>5305304</v>
      </c>
      <c r="B487" s="3">
        <v>5884</v>
      </c>
      <c r="C487" s="1" t="s">
        <v>749</v>
      </c>
      <c r="D487" s="1" t="s">
        <v>750</v>
      </c>
      <c r="E487" s="16">
        <f>VLOOKUP(A487,'Case 1'!A:W,23,FALSE)</f>
        <v>44722</v>
      </c>
      <c r="F487" s="16">
        <v>44897</v>
      </c>
      <c r="G487" s="17">
        <f t="shared" si="14"/>
        <v>175</v>
      </c>
      <c r="H487" t="str">
        <f t="shared" si="15"/>
        <v>No Heavy SAAS</v>
      </c>
      <c r="I487" t="str">
        <f>VLOOKUP(A487,'Case 1'!A:P,16,FALSE )</f>
        <v>Starter</v>
      </c>
      <c r="K487" s="3">
        <v>50503054</v>
      </c>
    </row>
    <row r="488" spans="1:11" ht="14.4" x14ac:dyDescent="0.3">
      <c r="A488" s="3">
        <v>5307030</v>
      </c>
      <c r="B488" s="3">
        <v>20695</v>
      </c>
      <c r="C488" s="1" t="s">
        <v>724</v>
      </c>
      <c r="D488" s="1" t="s">
        <v>725</v>
      </c>
      <c r="E488" s="16">
        <f>VLOOKUP(A488,'Case 1'!A:W,23,FALSE)</f>
        <v>44870</v>
      </c>
      <c r="F488" s="16">
        <v>44897</v>
      </c>
      <c r="G488" s="17">
        <f t="shared" si="14"/>
        <v>27</v>
      </c>
      <c r="H488" t="str">
        <f t="shared" si="15"/>
        <v>Heavy SAAS</v>
      </c>
      <c r="I488" t="str">
        <f>VLOOKUP(A488,'Case 1'!A:P,16,FALSE )</f>
        <v>Starter</v>
      </c>
      <c r="K488" s="3">
        <v>50504305</v>
      </c>
    </row>
    <row r="489" spans="1:11" ht="14.4" x14ac:dyDescent="0.3">
      <c r="A489" s="3">
        <v>5450050</v>
      </c>
      <c r="B489" s="3">
        <v>56</v>
      </c>
      <c r="C489" s="1" t="s">
        <v>25</v>
      </c>
      <c r="D489" s="1" t="s">
        <v>879</v>
      </c>
      <c r="E489" s="16">
        <f>VLOOKUP(A489,'Case 1'!A:W,23,FALSE)</f>
        <v>44883</v>
      </c>
      <c r="F489" s="16">
        <v>44897</v>
      </c>
      <c r="G489" s="17">
        <f t="shared" si="14"/>
        <v>14</v>
      </c>
      <c r="H489" t="str">
        <f t="shared" si="15"/>
        <v>Heavy SAAS</v>
      </c>
      <c r="I489" t="str">
        <f>VLOOKUP(A489,'Case 1'!A:P,16,FALSE )</f>
        <v>Premium</v>
      </c>
      <c r="K489" s="3">
        <v>50504550</v>
      </c>
    </row>
    <row r="490" spans="1:11" ht="14.4" x14ac:dyDescent="0.3">
      <c r="A490" s="3">
        <v>5530306</v>
      </c>
      <c r="B490" s="3">
        <v>4088</v>
      </c>
      <c r="C490" s="1" t="s">
        <v>609</v>
      </c>
      <c r="D490" s="1" t="s">
        <v>610</v>
      </c>
      <c r="E490" s="16">
        <f>VLOOKUP(A490,'Case 1'!A:W,23,FALSE)</f>
        <v>44611</v>
      </c>
      <c r="F490" s="16">
        <v>44897</v>
      </c>
      <c r="G490" s="17">
        <f t="shared" si="14"/>
        <v>286</v>
      </c>
      <c r="H490" t="str">
        <f t="shared" si="15"/>
        <v>No Heavy SAAS</v>
      </c>
      <c r="I490" t="str">
        <f>VLOOKUP(A490,'Case 1'!A:P,16,FALSE )</f>
        <v>Premium</v>
      </c>
      <c r="K490" s="3">
        <v>50505014</v>
      </c>
    </row>
    <row r="491" spans="1:11" ht="14.4" x14ac:dyDescent="0.3">
      <c r="A491" s="3">
        <v>5530501</v>
      </c>
      <c r="B491" s="3">
        <v>3309</v>
      </c>
      <c r="C491" s="1" t="s">
        <v>1044</v>
      </c>
      <c r="D491" s="1" t="s">
        <v>1045</v>
      </c>
      <c r="E491" s="16">
        <f>VLOOKUP(A491,'Case 1'!A:W,23,FALSE)</f>
        <v>44807</v>
      </c>
      <c r="F491" s="16">
        <v>44897</v>
      </c>
      <c r="G491" s="17">
        <f t="shared" si="14"/>
        <v>90</v>
      </c>
      <c r="H491" t="str">
        <f t="shared" si="15"/>
        <v>No Heavy SAAS</v>
      </c>
      <c r="I491" t="str">
        <f>VLOOKUP(A491,'Case 1'!A:P,16,FALSE )</f>
        <v>Advanced</v>
      </c>
      <c r="K491" s="3">
        <v>50505041</v>
      </c>
    </row>
    <row r="492" spans="1:11" ht="14.4" x14ac:dyDescent="0.3">
      <c r="A492" s="3">
        <v>5530504</v>
      </c>
      <c r="B492" s="3">
        <v>2967</v>
      </c>
      <c r="C492" s="1" t="s">
        <v>1049</v>
      </c>
      <c r="D492" s="1" t="s">
        <v>1050</v>
      </c>
      <c r="E492" s="16">
        <f>VLOOKUP(A492,'Case 1'!A:W,23,FALSE)</f>
        <v>44871</v>
      </c>
      <c r="F492" s="16">
        <v>44897</v>
      </c>
      <c r="G492" s="17">
        <f t="shared" si="14"/>
        <v>26</v>
      </c>
      <c r="H492" t="str">
        <f t="shared" si="15"/>
        <v>Heavy SAAS</v>
      </c>
      <c r="I492" t="str">
        <f>VLOOKUP(A492,'Case 1'!A:P,16,FALSE )</f>
        <v>Advanced</v>
      </c>
      <c r="K492" s="3">
        <v>50505060</v>
      </c>
    </row>
    <row r="493" spans="1:11" ht="14.4" x14ac:dyDescent="0.3">
      <c r="A493" s="3">
        <v>5655030</v>
      </c>
      <c r="B493" s="3">
        <v>10472</v>
      </c>
      <c r="C493" s="1" t="s">
        <v>767</v>
      </c>
      <c r="D493" s="1" t="s">
        <v>768</v>
      </c>
      <c r="E493" s="16">
        <f>VLOOKUP(A493,'Case 1'!A:W,23,FALSE)</f>
        <v>44627</v>
      </c>
      <c r="F493" s="16">
        <v>44897</v>
      </c>
      <c r="G493" s="17">
        <f t="shared" si="14"/>
        <v>270</v>
      </c>
      <c r="H493" t="str">
        <f t="shared" si="15"/>
        <v>No Heavy SAAS</v>
      </c>
      <c r="I493" t="str">
        <f>VLOOKUP(A493,'Case 1'!A:P,16,FALSE )</f>
        <v>Premium</v>
      </c>
      <c r="K493" s="3">
        <v>50505074</v>
      </c>
    </row>
    <row r="494" spans="1:11" ht="14.4" x14ac:dyDescent="0.3">
      <c r="A494" s="3">
        <v>15063030</v>
      </c>
      <c r="B494" s="3">
        <v>15837</v>
      </c>
      <c r="C494" s="1" t="s">
        <v>25</v>
      </c>
      <c r="D494" s="1" t="s">
        <v>264</v>
      </c>
      <c r="E494" s="16">
        <f>VLOOKUP(A494,'Case 1'!A:W,23,FALSE)</f>
        <v>44853</v>
      </c>
      <c r="F494" s="16">
        <v>44897</v>
      </c>
      <c r="G494" s="17">
        <f t="shared" si="14"/>
        <v>44</v>
      </c>
      <c r="H494" t="str">
        <f t="shared" si="15"/>
        <v>No Heavy SAAS</v>
      </c>
      <c r="I494" t="str">
        <f>VLOOKUP(A494,'Case 1'!A:P,16,FALSE )</f>
        <v>Starter</v>
      </c>
      <c r="K494" s="3">
        <v>50506504</v>
      </c>
    </row>
    <row r="495" spans="1:11" ht="14.4" x14ac:dyDescent="0.3">
      <c r="A495" s="3">
        <v>50143050</v>
      </c>
      <c r="B495" s="3">
        <v>3128</v>
      </c>
      <c r="C495" s="1" t="s">
        <v>1300</v>
      </c>
      <c r="D495" s="1" t="s">
        <v>1301</v>
      </c>
      <c r="E495" s="16">
        <f>VLOOKUP(A495,'Case 1'!A:W,23,FALSE)</f>
        <v>44822</v>
      </c>
      <c r="F495" s="16">
        <v>44897</v>
      </c>
      <c r="G495" s="17">
        <f t="shared" si="14"/>
        <v>75</v>
      </c>
      <c r="H495" t="str">
        <f t="shared" si="15"/>
        <v>No Heavy SAAS</v>
      </c>
      <c r="I495" t="str">
        <f>VLOOKUP(A495,'Case 1'!A:P,16,FALSE )</f>
        <v>Advanced</v>
      </c>
      <c r="K495" s="3">
        <v>50603050</v>
      </c>
    </row>
    <row r="496" spans="1:11" ht="14.4" x14ac:dyDescent="0.3">
      <c r="A496" s="3">
        <v>50300304</v>
      </c>
      <c r="B496" s="3">
        <v>0</v>
      </c>
      <c r="C496" s="1" t="s">
        <v>1583</v>
      </c>
      <c r="D496" s="1" t="s">
        <v>1584</v>
      </c>
      <c r="E496" s="16">
        <f>VLOOKUP(A496,'Case 1'!A:W,23,FALSE)</f>
        <v>44819</v>
      </c>
      <c r="F496" s="16">
        <v>44897</v>
      </c>
      <c r="G496" s="17">
        <f t="shared" si="14"/>
        <v>78</v>
      </c>
      <c r="H496" t="str">
        <f t="shared" si="15"/>
        <v>No Heavy SAAS</v>
      </c>
      <c r="I496" t="str">
        <f>VLOOKUP(A496,'Case 1'!A:P,16,FALSE )</f>
        <v>Starter</v>
      </c>
      <c r="K496" s="3">
        <v>50630150</v>
      </c>
    </row>
    <row r="497" spans="1:11" ht="14.4" x14ac:dyDescent="0.3">
      <c r="A497" s="3">
        <v>50300450</v>
      </c>
      <c r="B497" s="3">
        <v>2</v>
      </c>
      <c r="C497" s="1" t="s">
        <v>1588</v>
      </c>
      <c r="D497" s="1" t="s">
        <v>1589</v>
      </c>
      <c r="E497" s="16">
        <f>VLOOKUP(A497,'Case 1'!A:W,23,FALSE)</f>
        <v>44820</v>
      </c>
      <c r="F497" s="16">
        <v>44897</v>
      </c>
      <c r="G497" s="17">
        <f t="shared" si="14"/>
        <v>77</v>
      </c>
      <c r="H497" t="str">
        <f t="shared" si="15"/>
        <v>No Heavy SAAS</v>
      </c>
      <c r="I497" t="str">
        <f>VLOOKUP(A497,'Case 1'!A:P,16,FALSE )</f>
        <v>Starter</v>
      </c>
      <c r="K497" s="3">
        <v>50630450</v>
      </c>
    </row>
    <row r="498" spans="1:11" ht="14.4" x14ac:dyDescent="0.3">
      <c r="A498" s="3">
        <v>50301305</v>
      </c>
      <c r="B498" s="3">
        <v>1662</v>
      </c>
      <c r="C498" s="1" t="s">
        <v>1604</v>
      </c>
      <c r="D498" s="1" t="s">
        <v>1605</v>
      </c>
      <c r="E498" s="16">
        <f>VLOOKUP(A498,'Case 1'!A:W,23,FALSE)</f>
        <v>44670</v>
      </c>
      <c r="F498" s="16">
        <v>44897</v>
      </c>
      <c r="G498" s="17">
        <f t="shared" si="14"/>
        <v>227</v>
      </c>
      <c r="H498" t="str">
        <f t="shared" si="15"/>
        <v>No Heavy SAAS</v>
      </c>
      <c r="I498" t="str">
        <f>VLOOKUP(A498,'Case 1'!A:P,16,FALSE )</f>
        <v>Starter</v>
      </c>
      <c r="K498" s="3">
        <v>50630500</v>
      </c>
    </row>
    <row r="499" spans="1:11" ht="14.4" x14ac:dyDescent="0.3">
      <c r="A499" s="3">
        <v>50301507</v>
      </c>
      <c r="B499" s="3">
        <v>850</v>
      </c>
      <c r="C499" s="1" t="s">
        <v>1592</v>
      </c>
      <c r="D499" s="1" t="s">
        <v>1593</v>
      </c>
      <c r="E499" s="16">
        <f>VLOOKUP(A499,'Case 1'!A:W,23,FALSE)</f>
        <v>44667</v>
      </c>
      <c r="F499" s="16">
        <v>44897</v>
      </c>
      <c r="G499" s="17">
        <f t="shared" si="14"/>
        <v>230</v>
      </c>
      <c r="H499" t="str">
        <f t="shared" si="15"/>
        <v>No Heavy SAAS</v>
      </c>
      <c r="I499" t="str">
        <f>VLOOKUP(A499,'Case 1'!A:P,16,FALSE )</f>
        <v>Premium</v>
      </c>
      <c r="K499" s="3">
        <v>50630505</v>
      </c>
    </row>
    <row r="500" spans="1:11" ht="14.4" x14ac:dyDescent="0.3">
      <c r="A500" s="3">
        <v>50301730</v>
      </c>
      <c r="B500" s="3">
        <v>21</v>
      </c>
      <c r="C500" s="1" t="s">
        <v>25</v>
      </c>
      <c r="D500" s="1" t="s">
        <v>1614</v>
      </c>
      <c r="E500" s="16">
        <f>VLOOKUP(A500,'Case 1'!A:W,23,FALSE)</f>
        <v>44855</v>
      </c>
      <c r="F500" s="16">
        <v>44897</v>
      </c>
      <c r="G500" s="17">
        <f t="shared" si="14"/>
        <v>42</v>
      </c>
      <c r="H500" t="str">
        <f t="shared" si="15"/>
        <v>No Heavy SAAS</v>
      </c>
      <c r="I500" t="str">
        <f>VLOOKUP(A500,'Case 1'!A:P,16,FALSE )</f>
        <v>Premium</v>
      </c>
      <c r="K500" s="3">
        <v>50630530</v>
      </c>
    </row>
    <row r="501" spans="1:11" ht="14.4" x14ac:dyDescent="0.3">
      <c r="A501" s="3">
        <v>50303005</v>
      </c>
      <c r="B501" s="3">
        <v>194</v>
      </c>
      <c r="C501" s="1" t="s">
        <v>1518</v>
      </c>
      <c r="D501" s="1" t="s">
        <v>1666</v>
      </c>
      <c r="E501" s="16">
        <f>VLOOKUP(A501,'Case 1'!A:W,23,FALSE)</f>
        <v>44859</v>
      </c>
      <c r="F501" s="16">
        <v>44897</v>
      </c>
      <c r="G501" s="17">
        <f t="shared" si="14"/>
        <v>38</v>
      </c>
      <c r="H501" t="str">
        <f t="shared" si="15"/>
        <v>No Heavy SAAS</v>
      </c>
      <c r="I501" t="str">
        <f>VLOOKUP(A501,'Case 1'!A:P,16,FALSE )</f>
        <v>Starter</v>
      </c>
      <c r="K501" s="3">
        <v>50630750</v>
      </c>
    </row>
    <row r="502" spans="1:11" ht="14.4" x14ac:dyDescent="0.3">
      <c r="A502" s="3">
        <v>50303016</v>
      </c>
      <c r="B502" s="3">
        <v>73</v>
      </c>
      <c r="C502" s="1" t="s">
        <v>1670</v>
      </c>
      <c r="D502" s="1" t="s">
        <v>1671</v>
      </c>
      <c r="E502" s="16">
        <f>VLOOKUP(A502,'Case 1'!A:W,23,FALSE)</f>
        <v>44897</v>
      </c>
      <c r="F502" s="16">
        <v>44897</v>
      </c>
      <c r="G502" s="17">
        <f t="shared" si="14"/>
        <v>0</v>
      </c>
      <c r="H502" t="str">
        <f t="shared" si="15"/>
        <v>Heavy SAAS</v>
      </c>
      <c r="I502" t="str">
        <f>VLOOKUP(A502,'Case 1'!A:P,16,FALSE )</f>
        <v>Premium</v>
      </c>
      <c r="K502" s="3">
        <v>50650030</v>
      </c>
    </row>
    <row r="503" spans="1:11" ht="14.4" x14ac:dyDescent="0.3">
      <c r="A503" s="3">
        <v>50305017</v>
      </c>
      <c r="B503" s="3">
        <v>118</v>
      </c>
      <c r="C503" s="1" t="s">
        <v>1638</v>
      </c>
      <c r="D503" s="1" t="s">
        <v>1639</v>
      </c>
      <c r="E503" s="16">
        <f>VLOOKUP(A503,'Case 1'!A:W,23,FALSE)</f>
        <v>44856</v>
      </c>
      <c r="F503" s="16">
        <v>44897</v>
      </c>
      <c r="G503" s="17">
        <f t="shared" si="14"/>
        <v>41</v>
      </c>
      <c r="H503" t="str">
        <f t="shared" si="15"/>
        <v>No Heavy SAAS</v>
      </c>
      <c r="I503" t="str">
        <f>VLOOKUP(A503,'Case 1'!A:P,16,FALSE )</f>
        <v>Advanced</v>
      </c>
      <c r="K503" s="3">
        <v>50650307</v>
      </c>
    </row>
    <row r="504" spans="1:11" ht="14.4" x14ac:dyDescent="0.3">
      <c r="A504" s="3">
        <v>50305047</v>
      </c>
      <c r="B504" s="3">
        <v>9</v>
      </c>
      <c r="C504" s="1" t="s">
        <v>417</v>
      </c>
      <c r="D504" s="1" t="s">
        <v>1647</v>
      </c>
      <c r="E504" s="16">
        <f>VLOOKUP(A504,'Case 1'!A:W,23,FALSE)</f>
        <v>44856</v>
      </c>
      <c r="F504" s="16">
        <v>44897</v>
      </c>
      <c r="G504" s="17">
        <f t="shared" si="14"/>
        <v>41</v>
      </c>
      <c r="H504" t="str">
        <f t="shared" si="15"/>
        <v>No Heavy SAAS</v>
      </c>
      <c r="I504" t="str">
        <f>VLOOKUP(A504,'Case 1'!A:P,16,FALSE )</f>
        <v>Advanced</v>
      </c>
      <c r="K504" s="3">
        <v>50650506</v>
      </c>
    </row>
    <row r="505" spans="1:11" ht="14.4" x14ac:dyDescent="0.3">
      <c r="A505" s="3">
        <v>50305150</v>
      </c>
      <c r="B505" s="3">
        <v>17</v>
      </c>
      <c r="C505" s="1" t="s">
        <v>1751</v>
      </c>
      <c r="D505" s="1" t="s">
        <v>1752</v>
      </c>
      <c r="E505" s="16">
        <f>VLOOKUP(A505,'Case 1'!A:W,23,FALSE)</f>
        <v>44894</v>
      </c>
      <c r="F505" s="16">
        <v>44897</v>
      </c>
      <c r="G505" s="17">
        <f t="shared" si="14"/>
        <v>3</v>
      </c>
      <c r="H505" t="str">
        <f t="shared" si="15"/>
        <v>No Heavy SAAS</v>
      </c>
      <c r="I505" t="str">
        <f>VLOOKUP(A505,'Case 1'!A:P,16,FALSE )</f>
        <v>Advanced</v>
      </c>
      <c r="K505" s="3">
        <v>50650550</v>
      </c>
    </row>
    <row r="506" spans="1:11" ht="14.4" x14ac:dyDescent="0.3">
      <c r="A506" s="3">
        <v>50305307</v>
      </c>
      <c r="B506" s="3">
        <v>1186</v>
      </c>
      <c r="C506" s="1" t="s">
        <v>1629</v>
      </c>
      <c r="D506" s="1" t="s">
        <v>1630</v>
      </c>
      <c r="E506" s="16">
        <f>VLOOKUP(A506,'Case 1'!A:W,23,FALSE)</f>
        <v>44768</v>
      </c>
      <c r="F506" s="16">
        <v>44897</v>
      </c>
      <c r="G506" s="17">
        <f t="shared" si="14"/>
        <v>129</v>
      </c>
      <c r="H506" t="str">
        <f t="shared" si="15"/>
        <v>No Heavy SAAS</v>
      </c>
      <c r="I506" t="str">
        <f>VLOOKUP(A506,'Case 1'!A:P,16,FALSE )</f>
        <v>Starter</v>
      </c>
      <c r="K506" s="3">
        <v>50650630</v>
      </c>
    </row>
    <row r="507" spans="1:11" ht="14.4" x14ac:dyDescent="0.3">
      <c r="A507" s="3">
        <v>50305430</v>
      </c>
      <c r="B507" s="3">
        <v>23</v>
      </c>
      <c r="C507" s="1" t="s">
        <v>1367</v>
      </c>
      <c r="D507" s="1" t="s">
        <v>1763</v>
      </c>
      <c r="E507" s="16">
        <f>VLOOKUP(A507,'Case 1'!A:W,23,FALSE)</f>
        <v>44839</v>
      </c>
      <c r="F507" s="16">
        <v>44897</v>
      </c>
      <c r="G507" s="17">
        <f t="shared" si="14"/>
        <v>58</v>
      </c>
      <c r="H507" t="str">
        <f t="shared" si="15"/>
        <v>No Heavy SAAS</v>
      </c>
      <c r="I507" t="str">
        <f>VLOOKUP(A507,'Case 1'!A:P,16,FALSE )</f>
        <v>Starter</v>
      </c>
      <c r="K507" s="3">
        <v>50663030</v>
      </c>
    </row>
    <row r="508" spans="1:11" ht="14.4" x14ac:dyDescent="0.3">
      <c r="A508" s="3">
        <v>50305505</v>
      </c>
      <c r="B508" s="3">
        <v>193</v>
      </c>
      <c r="C508" s="1" t="s">
        <v>1367</v>
      </c>
      <c r="D508" s="1" t="s">
        <v>1626</v>
      </c>
      <c r="E508" s="16">
        <f>VLOOKUP(A508,'Case 1'!A:W,23,FALSE)</f>
        <v>44858</v>
      </c>
      <c r="F508" s="16">
        <v>44897</v>
      </c>
      <c r="G508" s="17">
        <f t="shared" si="14"/>
        <v>39</v>
      </c>
      <c r="H508" t="str">
        <f t="shared" si="15"/>
        <v>No Heavy SAAS</v>
      </c>
      <c r="I508" t="str">
        <f>VLOOKUP(A508,'Case 1'!A:P,16,FALSE )</f>
        <v>Starter</v>
      </c>
      <c r="K508" s="3">
        <v>50675030</v>
      </c>
    </row>
    <row r="509" spans="1:11" ht="14.4" x14ac:dyDescent="0.3">
      <c r="A509" s="3">
        <v>50305530</v>
      </c>
      <c r="B509" s="3">
        <v>25</v>
      </c>
      <c r="C509" s="1" t="s">
        <v>1634</v>
      </c>
      <c r="D509" s="1" t="s">
        <v>1635</v>
      </c>
      <c r="E509" s="16">
        <f>VLOOKUP(A509,'Case 1'!A:W,23,FALSE)</f>
        <v>44855</v>
      </c>
      <c r="F509" s="16">
        <v>44897</v>
      </c>
      <c r="G509" s="17">
        <f t="shared" si="14"/>
        <v>42</v>
      </c>
      <c r="H509" t="str">
        <f t="shared" si="15"/>
        <v>No Heavy SAAS</v>
      </c>
      <c r="I509" t="str">
        <f>VLOOKUP(A509,'Case 1'!A:P,16,FALSE )</f>
        <v>Advanced</v>
      </c>
      <c r="K509" s="3">
        <v>50675050</v>
      </c>
    </row>
    <row r="510" spans="1:11" ht="14.4" x14ac:dyDescent="0.3">
      <c r="A510" s="3">
        <v>50306505</v>
      </c>
      <c r="B510" s="3">
        <v>88</v>
      </c>
      <c r="C510" s="1" t="s">
        <v>1686</v>
      </c>
      <c r="D510" s="1" t="s">
        <v>1687</v>
      </c>
      <c r="E510" s="16">
        <f>VLOOKUP(A510,'Case 1'!A:W,23,FALSE)</f>
        <v>44836</v>
      </c>
      <c r="F510" s="16">
        <v>44897</v>
      </c>
      <c r="G510" s="17">
        <f t="shared" si="14"/>
        <v>61</v>
      </c>
      <c r="H510" t="str">
        <f t="shared" si="15"/>
        <v>No Heavy SAAS</v>
      </c>
      <c r="I510" t="str">
        <f>VLOOKUP(A510,'Case 1'!A:P,16,FALSE )</f>
        <v>Advanced</v>
      </c>
      <c r="K510" s="3">
        <v>53050430</v>
      </c>
    </row>
    <row r="511" spans="1:11" ht="14.4" x14ac:dyDescent="0.3">
      <c r="A511" s="3">
        <v>50307050</v>
      </c>
      <c r="B511" s="3">
        <v>1</v>
      </c>
      <c r="C511" s="1" t="s">
        <v>1568</v>
      </c>
      <c r="D511" s="1" t="s">
        <v>1705</v>
      </c>
      <c r="E511" s="16">
        <f>VLOOKUP(A511,'Case 1'!A:W,23,FALSE)</f>
        <v>44860</v>
      </c>
      <c r="F511" s="16">
        <v>44897</v>
      </c>
      <c r="G511" s="17">
        <f t="shared" si="14"/>
        <v>37</v>
      </c>
      <c r="H511" t="str">
        <f t="shared" si="15"/>
        <v>No Heavy SAAS</v>
      </c>
      <c r="I511" t="str">
        <f>VLOOKUP(A511,'Case 1'!A:P,16,FALSE )</f>
        <v>Advanced</v>
      </c>
      <c r="K511" s="3">
        <v>500303050</v>
      </c>
    </row>
    <row r="512" spans="1:11" ht="14.4" x14ac:dyDescent="0.3">
      <c r="A512" s="3">
        <v>50307304</v>
      </c>
      <c r="B512" s="3">
        <v>74</v>
      </c>
      <c r="C512" s="1" t="s">
        <v>1715</v>
      </c>
      <c r="D512" s="1" t="s">
        <v>1716</v>
      </c>
      <c r="E512" s="16">
        <f>VLOOKUP(A512,'Case 1'!A:W,23,FALSE)</f>
        <v>44875</v>
      </c>
      <c r="F512" s="16">
        <v>44897</v>
      </c>
      <c r="G512" s="17">
        <f t="shared" si="14"/>
        <v>22</v>
      </c>
      <c r="H512" t="str">
        <f t="shared" si="15"/>
        <v>Heavy SAAS</v>
      </c>
      <c r="I512" t="str">
        <f>VLOOKUP(A512,'Case 1'!A:P,16,FALSE )</f>
        <v>Starter</v>
      </c>
      <c r="K512" s="3">
        <v>503030505</v>
      </c>
    </row>
    <row r="513" spans="1:11" ht="14.4" x14ac:dyDescent="0.3">
      <c r="A513" s="3">
        <v>50307530</v>
      </c>
      <c r="B513" s="3">
        <v>33</v>
      </c>
      <c r="C513" s="1" t="s">
        <v>1331</v>
      </c>
      <c r="D513" s="1" t="s">
        <v>1708</v>
      </c>
      <c r="E513" s="16">
        <f>VLOOKUP(A513,'Case 1'!A:W,23,FALSE)</f>
        <v>44869</v>
      </c>
      <c r="F513" s="16">
        <v>44897</v>
      </c>
      <c r="G513" s="17">
        <f t="shared" si="14"/>
        <v>28</v>
      </c>
      <c r="H513" t="str">
        <f t="shared" si="15"/>
        <v>No Heavy SAAS</v>
      </c>
      <c r="I513" t="str">
        <f>VLOOKUP(A513,'Case 1'!A:P,16,FALSE )</f>
        <v>Starter</v>
      </c>
      <c r="K513" s="3">
        <v>503050300</v>
      </c>
    </row>
    <row r="514" spans="1:11" ht="14.4" x14ac:dyDescent="0.3">
      <c r="A514" s="3">
        <v>50307530</v>
      </c>
      <c r="B514" s="3">
        <v>27</v>
      </c>
      <c r="C514" s="1" t="s">
        <v>295</v>
      </c>
      <c r="D514" s="1" t="s">
        <v>1727</v>
      </c>
      <c r="E514" s="16">
        <f>VLOOKUP(A514,'Case 1'!A:W,23,FALSE)</f>
        <v>44869</v>
      </c>
      <c r="F514" s="16">
        <v>44897</v>
      </c>
      <c r="G514" s="17">
        <f t="shared" ref="G514:G577" si="16">F514-E514</f>
        <v>28</v>
      </c>
      <c r="H514" t="str">
        <f t="shared" ref="H514:H577" si="17">+IF(AND(B514&gt;40,G514&lt;30),"Heavy SAAS","No Heavy SAAS")</f>
        <v>No Heavy SAAS</v>
      </c>
      <c r="I514" t="str">
        <f>VLOOKUP(A514,'Case 1'!A:P,16,FALSE )</f>
        <v>Starter</v>
      </c>
      <c r="K514" s="3">
        <v>503050550</v>
      </c>
    </row>
    <row r="515" spans="1:11" ht="14.4" x14ac:dyDescent="0.3">
      <c r="A515" s="3">
        <v>50307750</v>
      </c>
      <c r="B515" s="3">
        <v>489</v>
      </c>
      <c r="C515" s="1" t="s">
        <v>1719</v>
      </c>
      <c r="D515" s="1" t="s">
        <v>1720</v>
      </c>
      <c r="E515" s="16">
        <f>VLOOKUP(A515,'Case 1'!A:W,23,FALSE)</f>
        <v>44876</v>
      </c>
      <c r="F515" s="16">
        <v>44897</v>
      </c>
      <c r="G515" s="17">
        <f t="shared" si="16"/>
        <v>21</v>
      </c>
      <c r="H515" t="str">
        <f t="shared" si="17"/>
        <v>Heavy SAAS</v>
      </c>
      <c r="I515" t="str">
        <f>VLOOKUP(A515,'Case 1'!A:P,16,FALSE )</f>
        <v>Starter</v>
      </c>
      <c r="K515" s="3">
        <v>505030504</v>
      </c>
    </row>
    <row r="516" spans="1:11" ht="14.4" x14ac:dyDescent="0.3">
      <c r="A516" s="3">
        <v>50463030</v>
      </c>
      <c r="B516" s="3">
        <v>3102</v>
      </c>
      <c r="C516" s="1" t="s">
        <v>1535</v>
      </c>
      <c r="D516" s="1" t="s">
        <v>1536</v>
      </c>
      <c r="E516" s="16">
        <f>VLOOKUP(A516,'Case 1'!A:W,23,FALSE)</f>
        <v>44851</v>
      </c>
      <c r="F516" s="16">
        <v>44897</v>
      </c>
      <c r="G516" s="17">
        <f t="shared" si="16"/>
        <v>46</v>
      </c>
      <c r="H516" t="str">
        <f t="shared" si="17"/>
        <v>No Heavy SAAS</v>
      </c>
      <c r="I516" t="str">
        <f>VLOOKUP(A516,'Case 1'!A:P,16,FALSE )</f>
        <v>Advanced</v>
      </c>
      <c r="K516" s="3">
        <v>505050630</v>
      </c>
    </row>
    <row r="517" spans="1:11" ht="14.4" x14ac:dyDescent="0.3">
      <c r="A517" s="3">
        <v>50500505</v>
      </c>
      <c r="B517" s="3">
        <v>1100</v>
      </c>
      <c r="C517" s="1" t="s">
        <v>1395</v>
      </c>
      <c r="D517" s="1" t="s">
        <v>1396</v>
      </c>
      <c r="E517" s="16">
        <f>VLOOKUP(A517,'Case 1'!A:W,23,FALSE)</f>
        <v>44881</v>
      </c>
      <c r="F517" s="16">
        <v>44897</v>
      </c>
      <c r="G517" s="17">
        <f t="shared" si="16"/>
        <v>16</v>
      </c>
      <c r="H517" t="str">
        <f t="shared" si="17"/>
        <v>Heavy SAAS</v>
      </c>
      <c r="I517" t="str">
        <f>VLOOKUP(A517,'Case 1'!A:P,16,FALSE )</f>
        <v>Advanced</v>
      </c>
      <c r="K517" s="3">
        <v>506305050</v>
      </c>
    </row>
    <row r="518" spans="1:11" ht="14.4" x14ac:dyDescent="0.3">
      <c r="A518" s="3">
        <v>50501430</v>
      </c>
      <c r="B518" s="3">
        <v>1092</v>
      </c>
      <c r="C518" s="1" t="s">
        <v>1403</v>
      </c>
      <c r="D518" s="1" t="s">
        <v>1404</v>
      </c>
      <c r="E518" s="16">
        <f>VLOOKUP(A518,'Case 1'!A:W,23,FALSE)</f>
        <v>44894</v>
      </c>
      <c r="F518" s="16">
        <v>44897</v>
      </c>
      <c r="G518" s="17">
        <f t="shared" si="16"/>
        <v>3</v>
      </c>
      <c r="H518" t="str">
        <f t="shared" si="17"/>
        <v>Heavy SAAS</v>
      </c>
      <c r="I518" t="str">
        <f>VLOOKUP(A518,'Case 1'!A:P,16,FALSE )</f>
        <v>Premium</v>
      </c>
      <c r="K518" s="3"/>
    </row>
    <row r="519" spans="1:11" ht="14.4" x14ac:dyDescent="0.3">
      <c r="A519" s="3">
        <v>50501430</v>
      </c>
      <c r="B519" s="3">
        <v>476</v>
      </c>
      <c r="C519" s="1" t="s">
        <v>1413</v>
      </c>
      <c r="D519" s="1" t="s">
        <v>1414</v>
      </c>
      <c r="E519" s="16">
        <f>VLOOKUP(A519,'Case 1'!A:W,23,FALSE)</f>
        <v>44894</v>
      </c>
      <c r="F519" s="16">
        <v>44897</v>
      </c>
      <c r="G519" s="17">
        <f t="shared" si="16"/>
        <v>3</v>
      </c>
      <c r="H519" t="str">
        <f t="shared" si="17"/>
        <v>Heavy SAAS</v>
      </c>
      <c r="I519" t="str">
        <f>VLOOKUP(A519,'Case 1'!A:P,16,FALSE )</f>
        <v>Premium</v>
      </c>
    </row>
    <row r="520" spans="1:11" ht="14.4" x14ac:dyDescent="0.3">
      <c r="A520" s="3">
        <v>50503054</v>
      </c>
      <c r="B520" s="3">
        <v>7</v>
      </c>
      <c r="C520" s="1" t="s">
        <v>1440</v>
      </c>
      <c r="D520" s="1" t="s">
        <v>1441</v>
      </c>
      <c r="E520" s="16">
        <f>VLOOKUP(A520,'Case 1'!A:W,23,FALSE)</f>
        <v>44828</v>
      </c>
      <c r="F520" s="16">
        <v>44897</v>
      </c>
      <c r="G520" s="17">
        <f t="shared" si="16"/>
        <v>69</v>
      </c>
      <c r="H520" t="str">
        <f t="shared" si="17"/>
        <v>No Heavy SAAS</v>
      </c>
      <c r="I520" t="str">
        <f>VLOOKUP(A520,'Case 1'!A:P,16,FALSE )</f>
        <v>Starter</v>
      </c>
    </row>
    <row r="521" spans="1:11" ht="14.4" x14ac:dyDescent="0.3">
      <c r="A521" s="3">
        <v>50504305</v>
      </c>
      <c r="B521" s="3">
        <v>92</v>
      </c>
      <c r="C521" s="1" t="s">
        <v>1473</v>
      </c>
      <c r="D521" s="1" t="s">
        <v>1474</v>
      </c>
      <c r="E521" s="16">
        <f>VLOOKUP(A521,'Case 1'!A:W,23,FALSE)</f>
        <v>44884</v>
      </c>
      <c r="F521" s="16">
        <v>44897</v>
      </c>
      <c r="G521" s="17">
        <f t="shared" si="16"/>
        <v>13</v>
      </c>
      <c r="H521" t="str">
        <f t="shared" si="17"/>
        <v>Heavy SAAS</v>
      </c>
      <c r="I521" t="str">
        <f>VLOOKUP(A521,'Case 1'!A:P,16,FALSE )</f>
        <v>Premium</v>
      </c>
    </row>
    <row r="522" spans="1:11" ht="14.4" x14ac:dyDescent="0.3">
      <c r="A522" s="3">
        <v>50504550</v>
      </c>
      <c r="B522" s="3">
        <v>57</v>
      </c>
      <c r="C522" s="1" t="s">
        <v>1367</v>
      </c>
      <c r="D522" s="1" t="s">
        <v>1465</v>
      </c>
      <c r="E522" s="16">
        <f>VLOOKUP(A522,'Case 1'!A:W,23,FALSE)</f>
        <v>44889</v>
      </c>
      <c r="F522" s="16">
        <v>44897</v>
      </c>
      <c r="G522" s="17">
        <f t="shared" si="16"/>
        <v>8</v>
      </c>
      <c r="H522" t="str">
        <f t="shared" si="17"/>
        <v>Heavy SAAS</v>
      </c>
      <c r="I522" t="str">
        <f>VLOOKUP(A522,'Case 1'!A:P,16,FALSE )</f>
        <v>Starter</v>
      </c>
    </row>
    <row r="523" spans="1:11" ht="14.4" x14ac:dyDescent="0.3">
      <c r="A523" s="3">
        <v>50505014</v>
      </c>
      <c r="B523" s="3">
        <v>0</v>
      </c>
      <c r="C523" s="1" t="s">
        <v>1418</v>
      </c>
      <c r="D523" s="1" t="s">
        <v>1419</v>
      </c>
      <c r="E523" s="16">
        <f>VLOOKUP(A523,'Case 1'!A:W,23,FALSE)</f>
        <v>44858</v>
      </c>
      <c r="F523" s="16">
        <v>44897</v>
      </c>
      <c r="G523" s="17">
        <f t="shared" si="16"/>
        <v>39</v>
      </c>
      <c r="H523" t="str">
        <f t="shared" si="17"/>
        <v>No Heavy SAAS</v>
      </c>
      <c r="I523" t="str">
        <f>VLOOKUP(A523,'Case 1'!A:P,16,FALSE )</f>
        <v>Premium</v>
      </c>
    </row>
    <row r="524" spans="1:11" ht="14.4" x14ac:dyDescent="0.3">
      <c r="A524" s="3">
        <v>50505041</v>
      </c>
      <c r="B524" s="3">
        <v>259</v>
      </c>
      <c r="C524" s="1" t="s">
        <v>1436</v>
      </c>
      <c r="D524" s="1" t="s">
        <v>1437</v>
      </c>
      <c r="E524" s="16">
        <f>VLOOKUP(A524,'Case 1'!A:W,23,FALSE)</f>
        <v>44882</v>
      </c>
      <c r="F524" s="16">
        <v>44897</v>
      </c>
      <c r="G524" s="17">
        <f t="shared" si="16"/>
        <v>15</v>
      </c>
      <c r="H524" t="str">
        <f t="shared" si="17"/>
        <v>Heavy SAAS</v>
      </c>
      <c r="I524" t="str">
        <f>VLOOKUP(A524,'Case 1'!A:P,16,FALSE )</f>
        <v>Premium</v>
      </c>
    </row>
    <row r="525" spans="1:11" ht="14.4" x14ac:dyDescent="0.3">
      <c r="A525" s="3">
        <v>50505060</v>
      </c>
      <c r="B525" s="3">
        <v>259</v>
      </c>
      <c r="C525" s="1" t="s">
        <v>1423</v>
      </c>
      <c r="D525" s="1" t="s">
        <v>1424</v>
      </c>
      <c r="E525" s="16">
        <f>VLOOKUP(A525,'Case 1'!A:W,23,FALSE)</f>
        <v>44890</v>
      </c>
      <c r="F525" s="16">
        <v>44897</v>
      </c>
      <c r="G525" s="17">
        <f t="shared" si="16"/>
        <v>7</v>
      </c>
      <c r="H525" t="str">
        <f t="shared" si="17"/>
        <v>Heavy SAAS</v>
      </c>
      <c r="I525" t="str">
        <f>VLOOKUP(A525,'Case 1'!A:P,16,FALSE )</f>
        <v>Premium</v>
      </c>
    </row>
    <row r="526" spans="1:11" ht="14.4" x14ac:dyDescent="0.3">
      <c r="A526" s="3">
        <v>50505074</v>
      </c>
      <c r="B526" s="3">
        <v>0</v>
      </c>
      <c r="C526" s="1" t="s">
        <v>417</v>
      </c>
      <c r="D526" s="1" t="s">
        <v>1432</v>
      </c>
      <c r="E526" s="16">
        <f>VLOOKUP(A526,'Case 1'!A:W,23,FALSE)</f>
        <v>44846</v>
      </c>
      <c r="F526" s="16">
        <v>44897</v>
      </c>
      <c r="G526" s="17">
        <f t="shared" si="16"/>
        <v>51</v>
      </c>
      <c r="H526" t="str">
        <f t="shared" si="17"/>
        <v>No Heavy SAAS</v>
      </c>
      <c r="I526" t="str">
        <f>VLOOKUP(A526,'Case 1'!A:P,16,FALSE )</f>
        <v>Advanced</v>
      </c>
    </row>
    <row r="527" spans="1:11" ht="14.4" x14ac:dyDescent="0.3">
      <c r="A527" s="3">
        <v>50506504</v>
      </c>
      <c r="B527" s="3">
        <v>866</v>
      </c>
      <c r="C527" s="1" t="s">
        <v>609</v>
      </c>
      <c r="D527" s="1" t="s">
        <v>1450</v>
      </c>
      <c r="E527" s="16">
        <f>VLOOKUP(A527,'Case 1'!A:W,23,FALSE)</f>
        <v>44895</v>
      </c>
      <c r="F527" s="16">
        <v>44897</v>
      </c>
      <c r="G527" s="17">
        <f t="shared" si="16"/>
        <v>2</v>
      </c>
      <c r="H527" t="str">
        <f t="shared" si="17"/>
        <v>Heavy SAAS</v>
      </c>
      <c r="I527" t="str">
        <f>VLOOKUP(A527,'Case 1'!A:P,16,FALSE )</f>
        <v>Advanced</v>
      </c>
    </row>
    <row r="528" spans="1:11" ht="14.4" x14ac:dyDescent="0.3">
      <c r="A528" s="3">
        <v>50603050</v>
      </c>
      <c r="B528" s="3">
        <v>95</v>
      </c>
      <c r="C528" s="1" t="s">
        <v>903</v>
      </c>
      <c r="D528" s="1" t="s">
        <v>1794</v>
      </c>
      <c r="E528" s="16">
        <f>VLOOKUP(A528,'Case 1'!A:W,23,FALSE)</f>
        <v>44851</v>
      </c>
      <c r="F528" s="16">
        <v>44897</v>
      </c>
      <c r="G528" s="17">
        <f t="shared" si="16"/>
        <v>46</v>
      </c>
      <c r="H528" t="str">
        <f t="shared" si="17"/>
        <v>No Heavy SAAS</v>
      </c>
      <c r="I528" t="str">
        <f>VLOOKUP(A528,'Case 1'!A:P,16,FALSE )</f>
        <v>Starter</v>
      </c>
    </row>
    <row r="529" spans="1:9" ht="14.4" x14ac:dyDescent="0.3">
      <c r="A529" s="3">
        <v>50630150</v>
      </c>
      <c r="B529" s="3">
        <v>0</v>
      </c>
      <c r="C529" s="1" t="s">
        <v>1983</v>
      </c>
      <c r="D529" s="1" t="s">
        <v>1984</v>
      </c>
      <c r="E529" s="16">
        <f>VLOOKUP(A529,'Case 1'!A:W,23,FALSE)</f>
        <v>44835</v>
      </c>
      <c r="F529" s="16">
        <v>44897</v>
      </c>
      <c r="G529" s="17">
        <f t="shared" si="16"/>
        <v>62</v>
      </c>
      <c r="H529" t="str">
        <f t="shared" si="17"/>
        <v>No Heavy SAAS</v>
      </c>
      <c r="I529" t="str">
        <f>VLOOKUP(A529,'Case 1'!A:P,16,FALSE )</f>
        <v>Starter</v>
      </c>
    </row>
    <row r="530" spans="1:9" ht="14.4" x14ac:dyDescent="0.3">
      <c r="A530" s="3">
        <v>50630450</v>
      </c>
      <c r="B530" s="3">
        <v>0</v>
      </c>
      <c r="C530" s="1" t="s">
        <v>2026</v>
      </c>
      <c r="D530" s="1" t="s">
        <v>2027</v>
      </c>
      <c r="E530" s="16">
        <f>VLOOKUP(A530,'Case 1'!A:W,23,FALSE)</f>
        <v>44883</v>
      </c>
      <c r="F530" s="16">
        <v>44897</v>
      </c>
      <c r="G530" s="17">
        <f t="shared" si="16"/>
        <v>14</v>
      </c>
      <c r="H530" t="str">
        <f t="shared" si="17"/>
        <v>No Heavy SAAS</v>
      </c>
      <c r="I530" t="str">
        <f>VLOOKUP(A530,'Case 1'!A:P,16,FALSE )</f>
        <v>Premium</v>
      </c>
    </row>
    <row r="531" spans="1:9" ht="14.4" x14ac:dyDescent="0.3">
      <c r="A531" s="3">
        <v>50630500</v>
      </c>
      <c r="B531" s="3">
        <v>0</v>
      </c>
      <c r="C531" s="1" t="s">
        <v>2002</v>
      </c>
      <c r="D531" s="1" t="s">
        <v>2003</v>
      </c>
      <c r="E531" s="16">
        <f>VLOOKUP(A531,'Case 1'!A:W,23,FALSE)</f>
        <v>44847</v>
      </c>
      <c r="F531" s="16">
        <v>44897</v>
      </c>
      <c r="G531" s="17">
        <f t="shared" si="16"/>
        <v>50</v>
      </c>
      <c r="H531" t="str">
        <f t="shared" si="17"/>
        <v>No Heavy SAAS</v>
      </c>
      <c r="I531" t="str">
        <f>VLOOKUP(A531,'Case 1'!A:P,16,FALSE )</f>
        <v>Premium</v>
      </c>
    </row>
    <row r="532" spans="1:9" ht="14.4" x14ac:dyDescent="0.3">
      <c r="A532" s="3">
        <v>50630505</v>
      </c>
      <c r="B532" s="3">
        <v>0</v>
      </c>
      <c r="C532" s="1" t="s">
        <v>2008</v>
      </c>
      <c r="D532" s="1" t="s">
        <v>2009</v>
      </c>
      <c r="E532" s="16">
        <f>VLOOKUP(A532,'Case 1'!A:W,23,FALSE)</f>
        <v>44836</v>
      </c>
      <c r="F532" s="16">
        <v>44897</v>
      </c>
      <c r="G532" s="17">
        <f t="shared" si="16"/>
        <v>61</v>
      </c>
      <c r="H532" t="str">
        <f t="shared" si="17"/>
        <v>No Heavy SAAS</v>
      </c>
      <c r="I532" t="str">
        <f>VLOOKUP(A532,'Case 1'!A:P,16,FALSE )</f>
        <v>Premium</v>
      </c>
    </row>
    <row r="533" spans="1:9" ht="14.4" x14ac:dyDescent="0.3">
      <c r="A533" s="3">
        <v>50630530</v>
      </c>
      <c r="B533" s="3">
        <v>0</v>
      </c>
      <c r="C533" s="1" t="s">
        <v>2038</v>
      </c>
      <c r="D533" s="1" t="s">
        <v>2039</v>
      </c>
      <c r="E533" s="16">
        <f>VLOOKUP(A533,'Case 1'!A:W,23,FALSE)</f>
        <v>44878</v>
      </c>
      <c r="F533" s="16">
        <v>44897</v>
      </c>
      <c r="G533" s="17">
        <f t="shared" si="16"/>
        <v>19</v>
      </c>
      <c r="H533" t="str">
        <f t="shared" si="17"/>
        <v>No Heavy SAAS</v>
      </c>
      <c r="I533" t="str">
        <f>VLOOKUP(A533,'Case 1'!A:P,16,FALSE )</f>
        <v>Starter</v>
      </c>
    </row>
    <row r="534" spans="1:9" ht="14.4" x14ac:dyDescent="0.3">
      <c r="A534" s="3">
        <v>50630750</v>
      </c>
      <c r="B534" s="3">
        <v>0</v>
      </c>
      <c r="C534" s="1" t="s">
        <v>1215</v>
      </c>
      <c r="D534" s="1" t="s">
        <v>2017</v>
      </c>
      <c r="E534" s="16">
        <f>VLOOKUP(A534,'Case 1'!A:W,23,FALSE)</f>
        <v>44892</v>
      </c>
      <c r="F534" s="16">
        <v>44897</v>
      </c>
      <c r="G534" s="17">
        <f t="shared" si="16"/>
        <v>5</v>
      </c>
      <c r="H534" t="str">
        <f t="shared" si="17"/>
        <v>No Heavy SAAS</v>
      </c>
      <c r="I534" t="str">
        <f>VLOOKUP(A534,'Case 1'!A:P,16,FALSE )</f>
        <v>Advanced</v>
      </c>
    </row>
    <row r="535" spans="1:9" ht="14.4" x14ac:dyDescent="0.3">
      <c r="A535" s="3">
        <v>50650030</v>
      </c>
      <c r="B535" s="3">
        <v>145</v>
      </c>
      <c r="C535" s="1" t="s">
        <v>1865</v>
      </c>
      <c r="D535" s="1" t="s">
        <v>1866</v>
      </c>
      <c r="E535" s="16">
        <f>VLOOKUP(A535,'Case 1'!A:W,23,FALSE)</f>
        <v>44861</v>
      </c>
      <c r="F535" s="16">
        <v>44897</v>
      </c>
      <c r="G535" s="17">
        <f t="shared" si="16"/>
        <v>36</v>
      </c>
      <c r="H535" t="str">
        <f t="shared" si="17"/>
        <v>No Heavy SAAS</v>
      </c>
      <c r="I535" t="str">
        <f>VLOOKUP(A535,'Case 1'!A:P,16,FALSE )</f>
        <v>Starter</v>
      </c>
    </row>
    <row r="536" spans="1:9" ht="14.4" x14ac:dyDescent="0.3">
      <c r="A536" s="3">
        <v>50650307</v>
      </c>
      <c r="B536" s="3">
        <v>0</v>
      </c>
      <c r="C536" s="1" t="s">
        <v>1888</v>
      </c>
      <c r="D536" s="1" t="s">
        <v>1889</v>
      </c>
      <c r="E536" s="16">
        <f>VLOOKUP(A536,'Case 1'!A:W,23,FALSE)</f>
        <v>44895</v>
      </c>
      <c r="F536" s="16">
        <v>44897</v>
      </c>
      <c r="G536" s="17">
        <f t="shared" si="16"/>
        <v>2</v>
      </c>
      <c r="H536" t="str">
        <f t="shared" si="17"/>
        <v>No Heavy SAAS</v>
      </c>
      <c r="I536" t="str">
        <f>VLOOKUP(A536,'Case 1'!A:P,16,FALSE )</f>
        <v>Starter</v>
      </c>
    </row>
    <row r="537" spans="1:9" ht="14.4" x14ac:dyDescent="0.3">
      <c r="A537" s="3">
        <v>50650506</v>
      </c>
      <c r="B537" s="3">
        <v>0</v>
      </c>
      <c r="C537" s="1" t="s">
        <v>1880</v>
      </c>
      <c r="D537" s="1" t="s">
        <v>1881</v>
      </c>
      <c r="E537" s="16">
        <f>VLOOKUP(A537,'Case 1'!A:W,23,FALSE)</f>
        <v>44902</v>
      </c>
      <c r="F537" s="16">
        <v>44897</v>
      </c>
      <c r="G537" s="17">
        <f t="shared" si="16"/>
        <v>-5</v>
      </c>
      <c r="H537" t="str">
        <f t="shared" si="17"/>
        <v>No Heavy SAAS</v>
      </c>
      <c r="I537" t="str">
        <f>VLOOKUP(A537,'Case 1'!A:P,16,FALSE )</f>
        <v>Premium</v>
      </c>
    </row>
    <row r="538" spans="1:9" ht="14.4" x14ac:dyDescent="0.3">
      <c r="A538" s="3">
        <v>50650550</v>
      </c>
      <c r="B538" s="3">
        <v>0</v>
      </c>
      <c r="C538" s="1" t="s">
        <v>1871</v>
      </c>
      <c r="D538" s="1" t="s">
        <v>1872</v>
      </c>
      <c r="E538" s="16">
        <f>VLOOKUP(A538,'Case 1'!A:W,23,FALSE)</f>
        <v>44864</v>
      </c>
      <c r="F538" s="16">
        <v>44897</v>
      </c>
      <c r="G538" s="17">
        <f t="shared" si="16"/>
        <v>33</v>
      </c>
      <c r="H538" t="str">
        <f t="shared" si="17"/>
        <v>No Heavy SAAS</v>
      </c>
      <c r="I538" t="str">
        <f>VLOOKUP(A538,'Case 1'!A:P,16,FALSE )</f>
        <v>Starter</v>
      </c>
    </row>
    <row r="539" spans="1:9" ht="14.4" x14ac:dyDescent="0.3">
      <c r="A539" s="3">
        <v>50650630</v>
      </c>
      <c r="B539" s="3">
        <v>82</v>
      </c>
      <c r="C539" s="1" t="s">
        <v>1893</v>
      </c>
      <c r="D539" s="1" t="s">
        <v>1894</v>
      </c>
      <c r="E539" s="16">
        <f>VLOOKUP(A539,'Case 1'!A:W,23,FALSE)</f>
        <v>44856</v>
      </c>
      <c r="F539" s="16">
        <v>44897</v>
      </c>
      <c r="G539" s="17">
        <f t="shared" si="16"/>
        <v>41</v>
      </c>
      <c r="H539" t="str">
        <f t="shared" si="17"/>
        <v>No Heavy SAAS</v>
      </c>
      <c r="I539" t="str">
        <f>VLOOKUP(A539,'Case 1'!A:P,16,FALSE )</f>
        <v>Starter</v>
      </c>
    </row>
    <row r="540" spans="1:9" ht="14.4" x14ac:dyDescent="0.3">
      <c r="A540" s="3">
        <v>50663030</v>
      </c>
      <c r="B540" s="3">
        <v>0</v>
      </c>
      <c r="C540" s="1" t="s">
        <v>1367</v>
      </c>
      <c r="D540" s="1" t="s">
        <v>2103</v>
      </c>
      <c r="E540" s="16">
        <f>VLOOKUP(A540,'Case 1'!A:W,23,FALSE)</f>
        <v>44897</v>
      </c>
      <c r="F540" s="16">
        <v>44897</v>
      </c>
      <c r="G540" s="17">
        <f t="shared" si="16"/>
        <v>0</v>
      </c>
      <c r="H540" t="str">
        <f t="shared" si="17"/>
        <v>No Heavy SAAS</v>
      </c>
      <c r="I540" t="str">
        <f>VLOOKUP(A540,'Case 1'!A:P,16,FALSE )</f>
        <v>Premium</v>
      </c>
    </row>
    <row r="541" spans="1:9" ht="14.4" x14ac:dyDescent="0.3">
      <c r="A541" s="3">
        <v>50675030</v>
      </c>
      <c r="B541" s="3">
        <v>0</v>
      </c>
      <c r="C541" s="1" t="s">
        <v>1575</v>
      </c>
      <c r="D541" s="1" t="s">
        <v>2301</v>
      </c>
      <c r="E541" s="16">
        <f>VLOOKUP(A541,'Case 1'!A:W,23,FALSE)</f>
        <v>44892</v>
      </c>
      <c r="F541" s="16">
        <v>44897</v>
      </c>
      <c r="G541" s="17">
        <f t="shared" si="16"/>
        <v>5</v>
      </c>
      <c r="H541" t="str">
        <f t="shared" si="17"/>
        <v>No Heavy SAAS</v>
      </c>
      <c r="I541" t="str">
        <f>VLOOKUP(A541,'Case 1'!A:P,16,FALSE )</f>
        <v>Premium</v>
      </c>
    </row>
    <row r="542" spans="1:9" ht="14.4" x14ac:dyDescent="0.3">
      <c r="A542" s="3">
        <v>50675050</v>
      </c>
      <c r="B542" s="3">
        <v>0</v>
      </c>
      <c r="C542" s="1" t="s">
        <v>2296</v>
      </c>
      <c r="D542" s="1" t="s">
        <v>2297</v>
      </c>
      <c r="E542" s="16">
        <f>VLOOKUP(A542,'Case 1'!A:W,23,FALSE)</f>
        <v>44877</v>
      </c>
      <c r="F542" s="16">
        <v>44897</v>
      </c>
      <c r="G542" s="17">
        <f t="shared" si="16"/>
        <v>20</v>
      </c>
      <c r="H542" t="str">
        <f t="shared" si="17"/>
        <v>No Heavy SAAS</v>
      </c>
      <c r="I542" t="str">
        <f>VLOOKUP(A542,'Case 1'!A:P,16,FALSE )</f>
        <v>Advanced</v>
      </c>
    </row>
    <row r="543" spans="1:9" ht="14.4" x14ac:dyDescent="0.3">
      <c r="A543" s="3">
        <v>53050430</v>
      </c>
      <c r="B543" s="3">
        <v>25386</v>
      </c>
      <c r="C543" s="1" t="s">
        <v>25</v>
      </c>
      <c r="D543" s="1" t="s">
        <v>696</v>
      </c>
      <c r="E543" s="16">
        <f>VLOOKUP(A543,'Case 1'!A:W,23,FALSE)</f>
        <v>44880</v>
      </c>
      <c r="F543" s="16">
        <v>44897</v>
      </c>
      <c r="G543" s="17">
        <f t="shared" si="16"/>
        <v>17</v>
      </c>
      <c r="H543" t="str">
        <f t="shared" si="17"/>
        <v>Heavy SAAS</v>
      </c>
      <c r="I543" t="str">
        <f>VLOOKUP(A543,'Case 1'!A:P,16,FALSE )</f>
        <v>Premium</v>
      </c>
    </row>
    <row r="544" spans="1:9" ht="14.4" x14ac:dyDescent="0.3">
      <c r="A544" s="3">
        <v>500303050</v>
      </c>
      <c r="B544" s="3">
        <v>1666</v>
      </c>
      <c r="C544" s="1" t="s">
        <v>182</v>
      </c>
      <c r="D544" s="1" t="s">
        <v>1171</v>
      </c>
      <c r="E544" s="16">
        <f>VLOOKUP(A544,'Case 1'!A:W,23,FALSE)</f>
        <v>44799</v>
      </c>
      <c r="F544" s="16">
        <v>44897</v>
      </c>
      <c r="G544" s="17">
        <f t="shared" si="16"/>
        <v>98</v>
      </c>
      <c r="H544" t="str">
        <f t="shared" si="17"/>
        <v>No Heavy SAAS</v>
      </c>
      <c r="I544" t="str">
        <f>VLOOKUP(A544,'Case 1'!A:P,16,FALSE )</f>
        <v>Premium</v>
      </c>
    </row>
    <row r="545" spans="1:9" ht="14.4" x14ac:dyDescent="0.3">
      <c r="A545" s="3">
        <v>503030505</v>
      </c>
      <c r="B545" s="3">
        <v>1</v>
      </c>
      <c r="C545" s="1" t="s">
        <v>365</v>
      </c>
      <c r="D545" s="1" t="s">
        <v>1675</v>
      </c>
      <c r="E545" s="16">
        <f>VLOOKUP(A545,'Case 1'!A:W,23,FALSE)</f>
        <v>44850</v>
      </c>
      <c r="F545" s="16">
        <v>44897</v>
      </c>
      <c r="G545" s="17">
        <f t="shared" si="16"/>
        <v>47</v>
      </c>
      <c r="H545" t="str">
        <f t="shared" si="17"/>
        <v>No Heavy SAAS</v>
      </c>
      <c r="I545" t="str">
        <f>VLOOKUP(A545,'Case 1'!A:P,16,FALSE )</f>
        <v>Starter</v>
      </c>
    </row>
    <row r="546" spans="1:9" ht="14.4" x14ac:dyDescent="0.3">
      <c r="A546" s="3">
        <v>503050300</v>
      </c>
      <c r="B546" s="3">
        <v>9</v>
      </c>
      <c r="C546" s="1" t="s">
        <v>1651</v>
      </c>
      <c r="D546" s="1" t="s">
        <v>1652</v>
      </c>
      <c r="E546" s="16">
        <f>VLOOKUP(A546,'Case 1'!A:W,23,FALSE)</f>
        <v>44826</v>
      </c>
      <c r="F546" s="16">
        <v>44897</v>
      </c>
      <c r="G546" s="17">
        <f t="shared" si="16"/>
        <v>71</v>
      </c>
      <c r="H546" t="str">
        <f t="shared" si="17"/>
        <v>No Heavy SAAS</v>
      </c>
      <c r="I546" t="str">
        <f>VLOOKUP(A546,'Case 1'!A:P,16,FALSE )</f>
        <v>Starter</v>
      </c>
    </row>
    <row r="547" spans="1:9" ht="14.4" x14ac:dyDescent="0.3">
      <c r="A547" s="3">
        <v>503050550</v>
      </c>
      <c r="B547" s="3">
        <v>1</v>
      </c>
      <c r="C547" s="1" t="s">
        <v>1642</v>
      </c>
      <c r="D547" s="1" t="s">
        <v>1643</v>
      </c>
      <c r="E547" s="16">
        <f>VLOOKUP(A547,'Case 1'!A:W,23,FALSE)</f>
        <v>44857</v>
      </c>
      <c r="F547" s="16">
        <v>44897</v>
      </c>
      <c r="G547" s="17">
        <f t="shared" si="16"/>
        <v>40</v>
      </c>
      <c r="H547" t="str">
        <f t="shared" si="17"/>
        <v>No Heavy SAAS</v>
      </c>
      <c r="I547" t="str">
        <f>VLOOKUP(A547,'Case 1'!A:P,16,FALSE )</f>
        <v>Starter</v>
      </c>
    </row>
    <row r="548" spans="1:9" ht="14.4" x14ac:dyDescent="0.3">
      <c r="A548" s="3">
        <v>505030504</v>
      </c>
      <c r="B548" s="3">
        <v>2037</v>
      </c>
      <c r="C548" s="1" t="s">
        <v>182</v>
      </c>
      <c r="D548" s="1" t="s">
        <v>1445</v>
      </c>
      <c r="E548" s="16">
        <f>VLOOKUP(A548,'Case 1'!A:W,23,FALSE)</f>
        <v>44857</v>
      </c>
      <c r="F548" s="16">
        <v>44897</v>
      </c>
      <c r="G548" s="17">
        <f t="shared" si="16"/>
        <v>40</v>
      </c>
      <c r="H548" t="str">
        <f t="shared" si="17"/>
        <v>No Heavy SAAS</v>
      </c>
      <c r="I548" t="str">
        <f>VLOOKUP(A548,'Case 1'!A:P,16,FALSE )</f>
        <v>Premium</v>
      </c>
    </row>
    <row r="549" spans="1:9" ht="14.4" x14ac:dyDescent="0.3">
      <c r="A549" s="3">
        <v>505050630</v>
      </c>
      <c r="B549" s="3">
        <v>876</v>
      </c>
      <c r="C549" s="1" t="s">
        <v>1427</v>
      </c>
      <c r="D549" s="1" t="s">
        <v>1428</v>
      </c>
      <c r="E549" s="16">
        <f>VLOOKUP(A549,'Case 1'!A:W,23,FALSE)</f>
        <v>44848</v>
      </c>
      <c r="F549" s="16">
        <v>44897</v>
      </c>
      <c r="G549" s="17">
        <f t="shared" si="16"/>
        <v>49</v>
      </c>
      <c r="H549" t="str">
        <f t="shared" si="17"/>
        <v>No Heavy SAAS</v>
      </c>
      <c r="I549" t="str">
        <f>VLOOKUP(A549,'Case 1'!A:P,16,FALSE )</f>
        <v>Premium</v>
      </c>
    </row>
    <row r="550" spans="1:9" ht="14.4" x14ac:dyDescent="0.3">
      <c r="A550" s="3">
        <v>506305050</v>
      </c>
      <c r="B550" s="3">
        <v>40</v>
      </c>
      <c r="C550" s="1" t="s">
        <v>2004</v>
      </c>
      <c r="D550" s="1" t="s">
        <v>2005</v>
      </c>
      <c r="E550" s="16">
        <f>VLOOKUP(A550,'Case 1'!A:W,23,FALSE)</f>
        <v>44866</v>
      </c>
      <c r="F550" s="16">
        <v>44897</v>
      </c>
      <c r="G550" s="17">
        <f t="shared" si="16"/>
        <v>31</v>
      </c>
      <c r="H550" t="str">
        <f t="shared" si="17"/>
        <v>No Heavy SAAS</v>
      </c>
      <c r="I550" t="str">
        <f>VLOOKUP(A550,'Case 1'!A:P,16,FALSE )</f>
        <v>Advanced</v>
      </c>
    </row>
    <row r="551" spans="1:9" ht="14.4" x14ac:dyDescent="0.3">
      <c r="A551" s="3"/>
      <c r="B551" s="3"/>
      <c r="C551" s="1"/>
      <c r="D551" s="1"/>
    </row>
    <row r="552" spans="1:9" ht="14.4" x14ac:dyDescent="0.3">
      <c r="A552" s="3"/>
      <c r="B552" s="3"/>
      <c r="C552" s="1"/>
      <c r="D552" s="1"/>
    </row>
  </sheetData>
  <autoFilter ref="A1:J550" xr:uid="{00000000-0001-0000-01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52"/>
  <sheetViews>
    <sheetView workbookViewId="0">
      <selection activeCell="H5" sqref="H5"/>
    </sheetView>
  </sheetViews>
  <sheetFormatPr baseColWidth="10" defaultColWidth="12.6640625" defaultRowHeight="15.75" customHeight="1" x14ac:dyDescent="0.25"/>
  <cols>
    <col min="1" max="1" width="18.5546875" customWidth="1"/>
    <col min="2" max="2" width="37.5546875" customWidth="1"/>
    <col min="3" max="3" width="28.44140625" customWidth="1"/>
    <col min="4" max="4" width="17.44140625" customWidth="1"/>
  </cols>
  <sheetData>
    <row r="1" spans="1:4" ht="15.75" customHeight="1" x14ac:dyDescent="0.3">
      <c r="A1" s="10" t="s">
        <v>0</v>
      </c>
      <c r="B1" s="10" t="s">
        <v>19</v>
      </c>
      <c r="C1" s="10" t="s">
        <v>20</v>
      </c>
      <c r="D1" s="10" t="s">
        <v>2345</v>
      </c>
    </row>
    <row r="2" spans="1:4" ht="15.75" customHeight="1" x14ac:dyDescent="0.3">
      <c r="A2" s="3">
        <v>530</v>
      </c>
      <c r="B2" s="3" t="s">
        <v>29</v>
      </c>
      <c r="C2" s="4" t="b">
        <v>0</v>
      </c>
      <c r="D2" s="3">
        <v>53706</v>
      </c>
    </row>
    <row r="3" spans="1:4" ht="15.75" customHeight="1" x14ac:dyDescent="0.3">
      <c r="A3" s="3">
        <v>570</v>
      </c>
      <c r="B3" s="3" t="s">
        <v>34</v>
      </c>
      <c r="C3" s="4" t="b">
        <v>0</v>
      </c>
      <c r="D3" s="3">
        <v>35262</v>
      </c>
    </row>
    <row r="4" spans="1:4" ht="15.75" customHeight="1" x14ac:dyDescent="0.3">
      <c r="A4" s="3">
        <v>5047</v>
      </c>
      <c r="B4" s="3" t="s">
        <v>40</v>
      </c>
      <c r="C4" s="4" t="b">
        <v>0</v>
      </c>
      <c r="D4" s="3">
        <v>19843</v>
      </c>
    </row>
    <row r="5" spans="1:4" ht="15.75" customHeight="1" x14ac:dyDescent="0.3">
      <c r="A5" s="3">
        <v>4530</v>
      </c>
      <c r="B5" s="3" t="s">
        <v>44</v>
      </c>
      <c r="C5" s="4" t="b">
        <v>0</v>
      </c>
      <c r="D5" s="3">
        <v>7690</v>
      </c>
    </row>
    <row r="6" spans="1:4" ht="15.75" customHeight="1" x14ac:dyDescent="0.3">
      <c r="A6" s="3">
        <v>655</v>
      </c>
      <c r="B6" s="3" t="s">
        <v>40</v>
      </c>
      <c r="C6" s="4" t="b">
        <v>0</v>
      </c>
      <c r="D6" s="3">
        <v>30686</v>
      </c>
    </row>
    <row r="7" spans="1:4" ht="15.75" customHeight="1" x14ac:dyDescent="0.3">
      <c r="A7" s="3">
        <v>767</v>
      </c>
      <c r="B7" s="3" t="s">
        <v>34</v>
      </c>
      <c r="C7" s="4" t="b">
        <v>0</v>
      </c>
      <c r="D7" s="3">
        <v>26552</v>
      </c>
    </row>
    <row r="8" spans="1:4" ht="15.75" customHeight="1" x14ac:dyDescent="0.3">
      <c r="A8" s="3">
        <v>550304</v>
      </c>
      <c r="B8" s="3" t="s">
        <v>40</v>
      </c>
      <c r="C8" s="4" t="b">
        <v>0</v>
      </c>
      <c r="D8" s="3">
        <v>805</v>
      </c>
    </row>
    <row r="9" spans="1:4" ht="15.75" customHeight="1" x14ac:dyDescent="0.3">
      <c r="A9" s="3">
        <v>530505</v>
      </c>
      <c r="B9" s="3" t="s">
        <v>60</v>
      </c>
      <c r="C9" s="4" t="b">
        <v>0</v>
      </c>
      <c r="D9" s="3">
        <v>2455</v>
      </c>
    </row>
    <row r="10" spans="1:4" ht="15.75" customHeight="1" x14ac:dyDescent="0.3">
      <c r="A10" s="3">
        <v>103050</v>
      </c>
      <c r="B10" s="3" t="s">
        <v>64</v>
      </c>
      <c r="C10" s="4" t="b">
        <v>0</v>
      </c>
      <c r="D10" s="3">
        <v>23792</v>
      </c>
    </row>
    <row r="11" spans="1:4" ht="15.75" customHeight="1" x14ac:dyDescent="0.3">
      <c r="A11" s="3">
        <v>1104</v>
      </c>
      <c r="B11" s="3">
        <v>0</v>
      </c>
      <c r="C11" s="4" t="b">
        <v>0</v>
      </c>
      <c r="D11" s="3">
        <v>0</v>
      </c>
    </row>
    <row r="12" spans="1:4" ht="15.75" customHeight="1" x14ac:dyDescent="0.3">
      <c r="A12" s="3">
        <v>1140</v>
      </c>
      <c r="B12" s="3" t="s">
        <v>73</v>
      </c>
      <c r="C12" s="4" t="b">
        <v>0</v>
      </c>
      <c r="D12" s="3">
        <v>0</v>
      </c>
    </row>
    <row r="13" spans="1:4" ht="15.75" customHeight="1" x14ac:dyDescent="0.3">
      <c r="A13" s="3">
        <v>150530</v>
      </c>
      <c r="B13" s="3" t="s">
        <v>78</v>
      </c>
      <c r="C13" s="4" t="b">
        <v>0</v>
      </c>
      <c r="D13" s="3">
        <v>2245</v>
      </c>
    </row>
    <row r="14" spans="1:4" ht="15.75" customHeight="1" x14ac:dyDescent="0.3">
      <c r="A14" s="3">
        <v>1445</v>
      </c>
      <c r="B14" s="3">
        <v>0</v>
      </c>
      <c r="C14" s="4" t="b">
        <v>0</v>
      </c>
      <c r="D14" s="3">
        <v>0</v>
      </c>
    </row>
    <row r="15" spans="1:4" ht="15.75" customHeight="1" x14ac:dyDescent="0.3">
      <c r="A15" s="3">
        <v>13055</v>
      </c>
      <c r="B15" s="3" t="s">
        <v>73</v>
      </c>
      <c r="C15" s="4" t="b">
        <v>0</v>
      </c>
      <c r="D15" s="3">
        <v>0</v>
      </c>
    </row>
    <row r="16" spans="1:4" ht="15.75" customHeight="1" x14ac:dyDescent="0.3">
      <c r="A16" s="3">
        <v>1605</v>
      </c>
      <c r="B16" s="3" t="s">
        <v>73</v>
      </c>
      <c r="C16" s="4" t="b">
        <v>0</v>
      </c>
      <c r="D16" s="3">
        <v>8241</v>
      </c>
    </row>
    <row r="17" spans="1:4" ht="15.75" customHeight="1" x14ac:dyDescent="0.3">
      <c r="A17" s="3">
        <v>1701</v>
      </c>
      <c r="B17" s="3" t="s">
        <v>73</v>
      </c>
      <c r="C17" s="4" t="b">
        <v>0</v>
      </c>
      <c r="D17" s="3">
        <v>0</v>
      </c>
    </row>
    <row r="18" spans="1:4" ht="15.75" customHeight="1" x14ac:dyDescent="0.3">
      <c r="A18" s="3">
        <v>1775</v>
      </c>
      <c r="B18" s="3" t="s">
        <v>73</v>
      </c>
      <c r="C18" s="4" t="b">
        <v>0</v>
      </c>
      <c r="D18" s="3">
        <v>0</v>
      </c>
    </row>
    <row r="19" spans="1:4" ht="15.75" customHeight="1" x14ac:dyDescent="0.3">
      <c r="A19" s="3">
        <v>14504</v>
      </c>
      <c r="B19" s="3" t="s">
        <v>73</v>
      </c>
      <c r="C19" s="4" t="b">
        <v>0</v>
      </c>
      <c r="D19" s="3">
        <v>0</v>
      </c>
    </row>
    <row r="20" spans="1:4" ht="15.75" customHeight="1" x14ac:dyDescent="0.3">
      <c r="A20" s="3">
        <v>1450</v>
      </c>
      <c r="B20" s="3" t="s">
        <v>73</v>
      </c>
      <c r="C20" s="4" t="b">
        <v>0</v>
      </c>
      <c r="D20" s="3">
        <v>0</v>
      </c>
    </row>
    <row r="21" spans="1:4" ht="15.75" customHeight="1" x14ac:dyDescent="0.3">
      <c r="A21" s="3">
        <v>1514</v>
      </c>
      <c r="B21" s="3" t="s">
        <v>73</v>
      </c>
      <c r="C21" s="4" t="b">
        <v>0</v>
      </c>
      <c r="D21" s="3">
        <v>0</v>
      </c>
    </row>
    <row r="22" spans="1:4" ht="15.75" customHeight="1" x14ac:dyDescent="0.3">
      <c r="A22" s="3">
        <v>5051</v>
      </c>
      <c r="B22" s="3" t="s">
        <v>73</v>
      </c>
      <c r="C22" s="4" t="b">
        <v>0</v>
      </c>
      <c r="D22" s="3">
        <v>0</v>
      </c>
    </row>
    <row r="23" spans="1:4" ht="15.75" customHeight="1" x14ac:dyDescent="0.3">
      <c r="A23" s="3">
        <v>55150</v>
      </c>
      <c r="B23" s="3" t="s">
        <v>73</v>
      </c>
      <c r="C23" s="4" t="b">
        <v>0</v>
      </c>
      <c r="D23" s="3">
        <v>0</v>
      </c>
    </row>
    <row r="24" spans="1:4" ht="15.75" customHeight="1" x14ac:dyDescent="0.3">
      <c r="A24" s="3">
        <v>55506</v>
      </c>
      <c r="B24" s="3">
        <v>0</v>
      </c>
      <c r="C24" s="4" t="b">
        <v>0</v>
      </c>
      <c r="D24" s="3">
        <v>0</v>
      </c>
    </row>
    <row r="25" spans="1:4" ht="15.75" customHeight="1" x14ac:dyDescent="0.3">
      <c r="A25" s="3">
        <v>5544</v>
      </c>
      <c r="B25" s="3">
        <v>0</v>
      </c>
      <c r="C25" s="4" t="b">
        <v>0</v>
      </c>
      <c r="D25" s="3">
        <v>3</v>
      </c>
    </row>
    <row r="26" spans="1:4" ht="15.75" customHeight="1" x14ac:dyDescent="0.3">
      <c r="A26" s="3">
        <v>54550</v>
      </c>
      <c r="B26" s="3" t="s">
        <v>145</v>
      </c>
      <c r="C26" s="4" t="b">
        <v>0</v>
      </c>
      <c r="D26" s="3">
        <v>11855</v>
      </c>
    </row>
    <row r="27" spans="1:4" ht="14.4" x14ac:dyDescent="0.3">
      <c r="A27" s="3">
        <v>56750</v>
      </c>
      <c r="B27" s="3" t="s">
        <v>149</v>
      </c>
      <c r="C27" s="4" t="b">
        <v>0</v>
      </c>
      <c r="D27" s="3">
        <v>1865</v>
      </c>
    </row>
    <row r="28" spans="1:4" ht="14.4" x14ac:dyDescent="0.3">
      <c r="A28" s="3">
        <v>5764</v>
      </c>
      <c r="B28" s="3" t="s">
        <v>73</v>
      </c>
      <c r="C28" s="4" t="b">
        <v>0</v>
      </c>
      <c r="D28" s="3">
        <v>0</v>
      </c>
    </row>
    <row r="29" spans="1:4" ht="14.4" x14ac:dyDescent="0.3">
      <c r="A29" s="3">
        <v>54505</v>
      </c>
      <c r="B29" s="3" t="s">
        <v>159</v>
      </c>
      <c r="C29" s="4" t="b">
        <v>1</v>
      </c>
      <c r="D29" s="3">
        <v>2458</v>
      </c>
    </row>
    <row r="30" spans="1:4" ht="14.4" x14ac:dyDescent="0.3">
      <c r="A30" s="3">
        <v>55630</v>
      </c>
      <c r="B30" s="3" t="s">
        <v>165</v>
      </c>
      <c r="C30" s="4" t="b">
        <v>0</v>
      </c>
      <c r="D30" s="3">
        <v>3404</v>
      </c>
    </row>
    <row r="31" spans="1:4" ht="14.4" x14ac:dyDescent="0.3">
      <c r="A31" s="3">
        <v>500450</v>
      </c>
      <c r="B31" s="3" t="s">
        <v>170</v>
      </c>
      <c r="C31" s="4" t="b">
        <v>0</v>
      </c>
      <c r="D31" s="3">
        <v>11795</v>
      </c>
    </row>
    <row r="32" spans="1:4" ht="14.4" x14ac:dyDescent="0.3">
      <c r="A32" s="3">
        <v>50445</v>
      </c>
      <c r="B32" s="3" t="s">
        <v>174</v>
      </c>
      <c r="C32" s="4" t="b">
        <v>0</v>
      </c>
      <c r="D32" s="3">
        <v>5131</v>
      </c>
    </row>
    <row r="33" spans="1:4" ht="14.4" x14ac:dyDescent="0.3">
      <c r="A33" s="3">
        <v>430450</v>
      </c>
      <c r="B33" s="3" t="s">
        <v>179</v>
      </c>
      <c r="C33" s="4" t="b">
        <v>0</v>
      </c>
      <c r="D33" s="3">
        <v>23513</v>
      </c>
    </row>
    <row r="34" spans="1:4" ht="14.4" x14ac:dyDescent="0.3">
      <c r="A34" s="3">
        <v>3030501</v>
      </c>
      <c r="B34" s="3" t="s">
        <v>186</v>
      </c>
      <c r="C34" s="4" t="b">
        <v>0</v>
      </c>
      <c r="D34" s="3">
        <v>56</v>
      </c>
    </row>
    <row r="35" spans="1:4" ht="14.4" x14ac:dyDescent="0.3">
      <c r="A35" s="3">
        <v>306507</v>
      </c>
      <c r="B35" s="3" t="s">
        <v>192</v>
      </c>
      <c r="C35" s="4" t="b">
        <v>0</v>
      </c>
      <c r="D35" s="3">
        <v>14</v>
      </c>
    </row>
    <row r="36" spans="1:4" ht="14.4" x14ac:dyDescent="0.3">
      <c r="A36" s="3">
        <v>6617</v>
      </c>
      <c r="B36" s="3" t="s">
        <v>198</v>
      </c>
      <c r="C36" s="4" t="b">
        <v>0</v>
      </c>
      <c r="D36" s="3">
        <v>38</v>
      </c>
    </row>
    <row r="37" spans="1:4" ht="14.4" x14ac:dyDescent="0.3">
      <c r="A37" s="3">
        <v>6456</v>
      </c>
      <c r="B37" s="3" t="s">
        <v>73</v>
      </c>
      <c r="C37" s="4" t="b">
        <v>0</v>
      </c>
      <c r="D37" s="3">
        <v>36</v>
      </c>
    </row>
    <row r="38" spans="1:4" ht="14.4" x14ac:dyDescent="0.3">
      <c r="A38" s="3">
        <v>7146</v>
      </c>
      <c r="B38" s="3" t="s">
        <v>198</v>
      </c>
      <c r="C38" s="4" t="b">
        <v>0</v>
      </c>
      <c r="D38" s="3">
        <v>2761</v>
      </c>
    </row>
    <row r="39" spans="1:4" ht="14.4" x14ac:dyDescent="0.3">
      <c r="A39" s="3">
        <v>7605</v>
      </c>
      <c r="B39" s="3" t="s">
        <v>213</v>
      </c>
      <c r="C39" s="4" t="b">
        <v>0</v>
      </c>
      <c r="D39" s="3">
        <v>7</v>
      </c>
    </row>
    <row r="40" spans="1:4" ht="14.4" x14ac:dyDescent="0.3">
      <c r="A40" s="3">
        <v>7757</v>
      </c>
      <c r="B40" s="3">
        <v>0</v>
      </c>
      <c r="C40" s="4" t="b">
        <v>0</v>
      </c>
      <c r="D40" s="3">
        <v>6</v>
      </c>
    </row>
    <row r="41" spans="1:4" ht="14.4" x14ac:dyDescent="0.3">
      <c r="A41" s="3">
        <v>40430</v>
      </c>
      <c r="B41" s="3" t="s">
        <v>73</v>
      </c>
      <c r="C41" s="4" t="b">
        <v>1</v>
      </c>
      <c r="D41" s="3">
        <v>1651</v>
      </c>
    </row>
    <row r="42" spans="1:4" ht="14.4" x14ac:dyDescent="0.3">
      <c r="A42" s="3">
        <v>41504</v>
      </c>
      <c r="B42" s="3" t="s">
        <v>225</v>
      </c>
      <c r="C42" s="4" t="b">
        <v>0</v>
      </c>
      <c r="D42" s="3">
        <v>3195</v>
      </c>
    </row>
    <row r="43" spans="1:4" ht="14.4" x14ac:dyDescent="0.3">
      <c r="A43" s="3">
        <v>5565</v>
      </c>
      <c r="B43" s="3" t="s">
        <v>40</v>
      </c>
      <c r="C43" s="4" t="b">
        <v>0</v>
      </c>
      <c r="D43" s="3">
        <v>9761</v>
      </c>
    </row>
    <row r="44" spans="1:4" ht="14.4" x14ac:dyDescent="0.3">
      <c r="A44" s="3">
        <v>105505</v>
      </c>
      <c r="B44" s="3">
        <v>0</v>
      </c>
      <c r="C44" s="4" t="b">
        <v>0</v>
      </c>
      <c r="D44" s="3">
        <v>74</v>
      </c>
    </row>
    <row r="45" spans="1:4" ht="14.4" x14ac:dyDescent="0.3">
      <c r="A45" s="3">
        <v>10545</v>
      </c>
      <c r="B45" s="3" t="s">
        <v>40</v>
      </c>
      <c r="C45" s="4" t="b">
        <v>0</v>
      </c>
      <c r="D45" s="3">
        <v>10605</v>
      </c>
    </row>
    <row r="46" spans="1:4" ht="14.4" x14ac:dyDescent="0.3">
      <c r="A46" s="3">
        <v>1050430</v>
      </c>
      <c r="B46" s="3" t="s">
        <v>241</v>
      </c>
      <c r="C46" s="4" t="b">
        <v>0</v>
      </c>
      <c r="D46" s="3">
        <v>257</v>
      </c>
    </row>
    <row r="47" spans="1:4" ht="14.4" x14ac:dyDescent="0.3">
      <c r="A47" s="3">
        <v>11061</v>
      </c>
      <c r="B47" s="3" t="s">
        <v>186</v>
      </c>
      <c r="C47" s="4" t="b">
        <v>0</v>
      </c>
      <c r="D47" s="3">
        <v>4708</v>
      </c>
    </row>
    <row r="48" spans="1:4" ht="14.4" x14ac:dyDescent="0.3">
      <c r="A48" s="3">
        <v>115045</v>
      </c>
      <c r="B48" s="3" t="s">
        <v>252</v>
      </c>
      <c r="C48" s="4" t="b">
        <v>0</v>
      </c>
      <c r="D48" s="3">
        <v>5088</v>
      </c>
    </row>
    <row r="49" spans="1:4" ht="14.4" x14ac:dyDescent="0.3">
      <c r="A49" s="3">
        <v>150514</v>
      </c>
      <c r="B49" s="3">
        <v>0</v>
      </c>
      <c r="C49" s="4" t="b">
        <v>0</v>
      </c>
      <c r="D49" s="3">
        <v>4884</v>
      </c>
    </row>
    <row r="50" spans="1:4" ht="14.4" x14ac:dyDescent="0.3">
      <c r="A50" s="3">
        <v>150571</v>
      </c>
      <c r="B50" s="3" t="s">
        <v>261</v>
      </c>
      <c r="C50" s="4" t="b">
        <v>0</v>
      </c>
      <c r="D50" s="3">
        <v>16751</v>
      </c>
    </row>
    <row r="51" spans="1:4" ht="14.4" x14ac:dyDescent="0.3">
      <c r="A51" s="3">
        <v>15063030</v>
      </c>
      <c r="B51" s="3" t="s">
        <v>266</v>
      </c>
      <c r="C51" s="4" t="b">
        <v>0</v>
      </c>
      <c r="D51" s="3">
        <v>6458</v>
      </c>
    </row>
    <row r="52" spans="1:4" ht="14.4" x14ac:dyDescent="0.3">
      <c r="A52" s="3">
        <v>145004</v>
      </c>
      <c r="B52" s="3" t="s">
        <v>271</v>
      </c>
      <c r="C52" s="4" t="b">
        <v>0</v>
      </c>
      <c r="D52" s="3">
        <v>8310</v>
      </c>
    </row>
    <row r="53" spans="1:4" ht="14.4" x14ac:dyDescent="0.3">
      <c r="A53" s="3">
        <v>1450307</v>
      </c>
      <c r="B53" s="3" t="s">
        <v>277</v>
      </c>
      <c r="C53" s="4" t="b">
        <v>0</v>
      </c>
      <c r="D53" s="3">
        <v>3095</v>
      </c>
    </row>
    <row r="54" spans="1:4" ht="14.4" x14ac:dyDescent="0.3">
      <c r="A54" s="3">
        <v>14405</v>
      </c>
      <c r="B54" s="3" t="s">
        <v>282</v>
      </c>
      <c r="C54" s="4" t="b">
        <v>0</v>
      </c>
      <c r="D54" s="3">
        <v>7862</v>
      </c>
    </row>
    <row r="55" spans="1:4" ht="14.4" x14ac:dyDescent="0.3">
      <c r="A55" s="3">
        <v>143001</v>
      </c>
      <c r="B55" s="3" t="s">
        <v>287</v>
      </c>
      <c r="C55" s="4" t="b">
        <v>0</v>
      </c>
      <c r="D55" s="3">
        <v>4612</v>
      </c>
    </row>
    <row r="56" spans="1:4" ht="14.4" x14ac:dyDescent="0.3">
      <c r="A56" s="3">
        <v>144550</v>
      </c>
      <c r="B56" s="3" t="s">
        <v>292</v>
      </c>
      <c r="C56" s="4" t="b">
        <v>0</v>
      </c>
      <c r="D56" s="3">
        <v>322</v>
      </c>
    </row>
    <row r="57" spans="1:4" ht="14.4" x14ac:dyDescent="0.3">
      <c r="A57" s="3">
        <v>144305</v>
      </c>
      <c r="B57" s="3" t="s">
        <v>297</v>
      </c>
      <c r="C57" s="4" t="b">
        <v>0</v>
      </c>
      <c r="D57" s="3">
        <v>9230</v>
      </c>
    </row>
    <row r="58" spans="1:4" ht="14.4" x14ac:dyDescent="0.3">
      <c r="A58" s="3">
        <v>14515</v>
      </c>
      <c r="B58" s="3" t="s">
        <v>302</v>
      </c>
      <c r="C58" s="4" t="b">
        <v>0</v>
      </c>
      <c r="D58" s="3">
        <v>5703</v>
      </c>
    </row>
    <row r="59" spans="1:4" ht="14.4" x14ac:dyDescent="0.3">
      <c r="A59" s="3">
        <v>145307</v>
      </c>
      <c r="B59" s="3" t="s">
        <v>308</v>
      </c>
      <c r="C59" s="4" t="b">
        <v>0</v>
      </c>
      <c r="D59" s="3">
        <v>6737</v>
      </c>
    </row>
    <row r="60" spans="1:4" ht="14.4" x14ac:dyDescent="0.3">
      <c r="A60" s="3">
        <v>130515</v>
      </c>
      <c r="B60" s="3" t="s">
        <v>40</v>
      </c>
      <c r="C60" s="4" t="b">
        <v>0</v>
      </c>
      <c r="D60" s="3">
        <v>4832</v>
      </c>
    </row>
    <row r="61" spans="1:4" ht="14.4" x14ac:dyDescent="0.3">
      <c r="A61" s="3">
        <v>1305030</v>
      </c>
      <c r="B61" s="3" t="s">
        <v>318</v>
      </c>
      <c r="C61" s="4" t="b">
        <v>0</v>
      </c>
      <c r="D61" s="3">
        <v>2081</v>
      </c>
    </row>
    <row r="62" spans="1:4" ht="14.4" x14ac:dyDescent="0.3">
      <c r="A62" s="3">
        <v>16040</v>
      </c>
      <c r="B62" s="3" t="s">
        <v>323</v>
      </c>
      <c r="C62" s="4" t="b">
        <v>0</v>
      </c>
      <c r="D62" s="3">
        <v>2454</v>
      </c>
    </row>
    <row r="63" spans="1:4" ht="14.4" x14ac:dyDescent="0.3">
      <c r="A63" s="3">
        <v>16041</v>
      </c>
      <c r="B63" s="3" t="s">
        <v>40</v>
      </c>
      <c r="C63" s="4" t="b">
        <v>0</v>
      </c>
      <c r="D63" s="3">
        <v>6328</v>
      </c>
    </row>
    <row r="64" spans="1:4" ht="14.4" x14ac:dyDescent="0.3">
      <c r="A64" s="3">
        <v>16064</v>
      </c>
      <c r="B64" s="3" t="s">
        <v>40</v>
      </c>
      <c r="C64" s="4" t="b">
        <v>0</v>
      </c>
      <c r="D64" s="3">
        <v>7372</v>
      </c>
    </row>
    <row r="65" spans="1:4" ht="14.4" x14ac:dyDescent="0.3">
      <c r="A65" s="3">
        <v>16144</v>
      </c>
      <c r="B65" s="3" t="s">
        <v>336</v>
      </c>
      <c r="C65" s="4" t="b">
        <v>0</v>
      </c>
      <c r="D65" s="3">
        <v>5508</v>
      </c>
    </row>
    <row r="66" spans="1:4" ht="14.4" x14ac:dyDescent="0.3">
      <c r="A66" s="3">
        <v>161430</v>
      </c>
      <c r="B66" s="3" t="s">
        <v>198</v>
      </c>
      <c r="C66" s="4" t="b">
        <v>0</v>
      </c>
      <c r="D66" s="3">
        <v>4767</v>
      </c>
    </row>
    <row r="67" spans="1:4" ht="14.4" x14ac:dyDescent="0.3">
      <c r="A67" s="3">
        <v>1613030</v>
      </c>
      <c r="B67" s="3" t="s">
        <v>345</v>
      </c>
      <c r="C67" s="4" t="b">
        <v>0</v>
      </c>
      <c r="D67" s="3">
        <v>9658</v>
      </c>
    </row>
    <row r="68" spans="1:4" ht="14.4" x14ac:dyDescent="0.3">
      <c r="A68" s="3">
        <v>165074</v>
      </c>
      <c r="B68" s="3">
        <v>0</v>
      </c>
      <c r="C68" s="4" t="b">
        <v>0</v>
      </c>
      <c r="D68" s="3">
        <v>76</v>
      </c>
    </row>
    <row r="69" spans="1:4" ht="14.4" x14ac:dyDescent="0.3">
      <c r="A69" s="3">
        <v>1650550</v>
      </c>
      <c r="B69" s="3" t="s">
        <v>354</v>
      </c>
      <c r="C69" s="4" t="b">
        <v>0</v>
      </c>
      <c r="D69" s="3">
        <v>6214</v>
      </c>
    </row>
    <row r="70" spans="1:4" ht="14.4" x14ac:dyDescent="0.3">
      <c r="A70" s="3">
        <v>16740</v>
      </c>
      <c r="B70" s="3" t="s">
        <v>358</v>
      </c>
      <c r="C70" s="4" t="b">
        <v>0</v>
      </c>
      <c r="D70" s="3">
        <v>1259</v>
      </c>
    </row>
    <row r="71" spans="1:4" ht="14.4" x14ac:dyDescent="0.3">
      <c r="A71" s="3">
        <v>16765</v>
      </c>
      <c r="B71" s="3" t="s">
        <v>362</v>
      </c>
      <c r="C71" s="4" t="b">
        <v>0</v>
      </c>
      <c r="D71" s="3">
        <v>5396</v>
      </c>
    </row>
    <row r="72" spans="1:4" ht="14.4" x14ac:dyDescent="0.3">
      <c r="A72" s="3">
        <v>17665</v>
      </c>
      <c r="B72" s="3" t="s">
        <v>367</v>
      </c>
      <c r="C72" s="4" t="b">
        <v>0</v>
      </c>
      <c r="D72" s="3">
        <v>25</v>
      </c>
    </row>
    <row r="73" spans="1:4" ht="14.4" x14ac:dyDescent="0.3">
      <c r="A73" s="3">
        <v>14044</v>
      </c>
      <c r="B73" s="3" t="s">
        <v>358</v>
      </c>
      <c r="C73" s="4" t="b">
        <v>0</v>
      </c>
      <c r="D73" s="3">
        <v>60</v>
      </c>
    </row>
    <row r="74" spans="1:4" ht="14.4" x14ac:dyDescent="0.3">
      <c r="A74" s="3">
        <v>14155</v>
      </c>
      <c r="B74" s="3" t="s">
        <v>375</v>
      </c>
      <c r="C74" s="4" t="b">
        <v>0</v>
      </c>
      <c r="D74" s="3">
        <v>1425</v>
      </c>
    </row>
    <row r="75" spans="1:4" ht="14.4" x14ac:dyDescent="0.3">
      <c r="A75" s="3">
        <v>145004</v>
      </c>
      <c r="B75" s="3" t="s">
        <v>380</v>
      </c>
      <c r="C75" s="4" t="b">
        <v>0</v>
      </c>
      <c r="D75" s="3">
        <v>8160</v>
      </c>
    </row>
    <row r="76" spans="1:4" ht="14.4" x14ac:dyDescent="0.3">
      <c r="A76" s="3">
        <v>145056</v>
      </c>
      <c r="B76" s="3" t="s">
        <v>385</v>
      </c>
      <c r="C76" s="4" t="b">
        <v>0</v>
      </c>
      <c r="D76" s="3">
        <v>3126</v>
      </c>
    </row>
    <row r="77" spans="1:4" ht="14.4" x14ac:dyDescent="0.3">
      <c r="A77" s="3">
        <v>14441</v>
      </c>
      <c r="B77" s="3" t="s">
        <v>389</v>
      </c>
      <c r="C77" s="4" t="b">
        <v>0</v>
      </c>
      <c r="D77" s="3">
        <v>1167</v>
      </c>
    </row>
    <row r="78" spans="1:4" ht="14.4" x14ac:dyDescent="0.3">
      <c r="A78" s="3">
        <v>155550</v>
      </c>
      <c r="B78" s="3" t="s">
        <v>395</v>
      </c>
      <c r="C78" s="4" t="b">
        <v>0</v>
      </c>
      <c r="D78" s="3">
        <v>4382</v>
      </c>
    </row>
    <row r="79" spans="1:4" ht="14.4" x14ac:dyDescent="0.3">
      <c r="A79" s="3">
        <v>154550</v>
      </c>
      <c r="B79" s="3" t="s">
        <v>354</v>
      </c>
      <c r="C79" s="4" t="b">
        <v>0</v>
      </c>
      <c r="D79" s="3">
        <v>8328</v>
      </c>
    </row>
    <row r="80" spans="1:4" ht="14.4" x14ac:dyDescent="0.3">
      <c r="A80" s="3">
        <v>15446</v>
      </c>
      <c r="B80" s="3" t="s">
        <v>405</v>
      </c>
      <c r="C80" s="4" t="b">
        <v>0</v>
      </c>
      <c r="D80" s="3">
        <v>4869</v>
      </c>
    </row>
    <row r="81" spans="1:4" ht="14.4" x14ac:dyDescent="0.3">
      <c r="A81" s="3">
        <v>154630</v>
      </c>
      <c r="B81" s="3" t="s">
        <v>266</v>
      </c>
      <c r="C81" s="4" t="b">
        <v>0</v>
      </c>
      <c r="D81" s="3">
        <v>2741</v>
      </c>
    </row>
    <row r="82" spans="1:4" ht="14.4" x14ac:dyDescent="0.3">
      <c r="A82" s="3">
        <v>15441</v>
      </c>
      <c r="B82" s="3" t="s">
        <v>414</v>
      </c>
      <c r="C82" s="4" t="b">
        <v>0</v>
      </c>
      <c r="D82" s="3">
        <v>9548</v>
      </c>
    </row>
    <row r="83" spans="1:4" ht="14.4" x14ac:dyDescent="0.3">
      <c r="A83" s="3">
        <v>15447</v>
      </c>
      <c r="B83" s="3" t="s">
        <v>420</v>
      </c>
      <c r="C83" s="4" t="b">
        <v>0</v>
      </c>
      <c r="D83" s="3">
        <v>7167</v>
      </c>
    </row>
    <row r="84" spans="1:4" ht="14.4" x14ac:dyDescent="0.3">
      <c r="A84" s="3">
        <v>15556</v>
      </c>
      <c r="B84" s="3" t="s">
        <v>34</v>
      </c>
      <c r="C84" s="4" t="b">
        <v>0</v>
      </c>
      <c r="D84" s="3">
        <v>6752</v>
      </c>
    </row>
    <row r="85" spans="1:4" ht="14.4" x14ac:dyDescent="0.3">
      <c r="A85" s="3">
        <v>155505</v>
      </c>
      <c r="B85" s="3" t="s">
        <v>429</v>
      </c>
      <c r="C85" s="4" t="b">
        <v>0</v>
      </c>
      <c r="D85" s="3">
        <v>16389</v>
      </c>
    </row>
    <row r="86" spans="1:4" ht="14.4" x14ac:dyDescent="0.3">
      <c r="A86" s="3">
        <v>50016</v>
      </c>
      <c r="B86" s="3" t="s">
        <v>34</v>
      </c>
      <c r="C86" s="4" t="b">
        <v>0</v>
      </c>
      <c r="D86" s="3">
        <v>5410</v>
      </c>
    </row>
    <row r="87" spans="1:4" ht="14.4" x14ac:dyDescent="0.3">
      <c r="A87" s="3">
        <v>50057</v>
      </c>
      <c r="B87" s="3" t="s">
        <v>198</v>
      </c>
      <c r="C87" s="4" t="b">
        <v>0</v>
      </c>
      <c r="D87" s="3">
        <v>7561</v>
      </c>
    </row>
    <row r="88" spans="1:4" ht="14.4" x14ac:dyDescent="0.3">
      <c r="A88" s="3">
        <v>500430</v>
      </c>
      <c r="B88" s="3" t="s">
        <v>441</v>
      </c>
      <c r="C88" s="4" t="b">
        <v>0</v>
      </c>
      <c r="D88" s="3">
        <v>29482</v>
      </c>
    </row>
    <row r="89" spans="1:4" ht="14.4" x14ac:dyDescent="0.3">
      <c r="A89" s="3">
        <v>50505</v>
      </c>
      <c r="B89" s="3" t="s">
        <v>170</v>
      </c>
      <c r="C89" s="4" t="b">
        <v>0</v>
      </c>
      <c r="D89" s="3">
        <v>13610</v>
      </c>
    </row>
    <row r="90" spans="1:4" ht="14.4" x14ac:dyDescent="0.3">
      <c r="A90" s="3">
        <v>50440</v>
      </c>
      <c r="B90" s="3" t="s">
        <v>287</v>
      </c>
      <c r="C90" s="4" t="b">
        <v>0</v>
      </c>
      <c r="D90" s="3">
        <v>1524</v>
      </c>
    </row>
    <row r="91" spans="1:4" ht="14.4" x14ac:dyDescent="0.3">
      <c r="A91" s="3">
        <v>503055</v>
      </c>
      <c r="B91" s="3" t="s">
        <v>34</v>
      </c>
      <c r="C91" s="4" t="b">
        <v>0</v>
      </c>
      <c r="D91" s="3">
        <v>5349</v>
      </c>
    </row>
    <row r="92" spans="1:4" ht="14.4" x14ac:dyDescent="0.3">
      <c r="A92" s="3">
        <v>5030430</v>
      </c>
      <c r="B92" s="3" t="s">
        <v>457</v>
      </c>
      <c r="C92" s="4" t="b">
        <v>0</v>
      </c>
      <c r="D92" s="3">
        <v>12685</v>
      </c>
    </row>
    <row r="93" spans="1:4" ht="14.4" x14ac:dyDescent="0.3">
      <c r="A93" s="3">
        <v>503065</v>
      </c>
      <c r="B93" s="3" t="s">
        <v>462</v>
      </c>
      <c r="C93" s="4" t="b">
        <v>0</v>
      </c>
      <c r="D93" s="3">
        <v>12682</v>
      </c>
    </row>
    <row r="94" spans="1:4" ht="14.4" x14ac:dyDescent="0.3">
      <c r="A94" s="3">
        <v>503055</v>
      </c>
      <c r="B94" s="3" t="s">
        <v>467</v>
      </c>
      <c r="C94" s="4" t="b">
        <v>1</v>
      </c>
      <c r="D94" s="3">
        <v>11633</v>
      </c>
    </row>
    <row r="95" spans="1:4" ht="14.4" x14ac:dyDescent="0.3">
      <c r="A95" s="3">
        <v>50644</v>
      </c>
      <c r="B95" s="3" t="s">
        <v>40</v>
      </c>
      <c r="C95" s="4" t="b">
        <v>0</v>
      </c>
      <c r="D95" s="3">
        <v>13559</v>
      </c>
    </row>
    <row r="96" spans="1:4" ht="14.4" x14ac:dyDescent="0.3">
      <c r="A96" s="3">
        <v>507507</v>
      </c>
      <c r="B96" s="3" t="s">
        <v>192</v>
      </c>
      <c r="C96" s="4" t="b">
        <v>0</v>
      </c>
      <c r="D96" s="3">
        <v>1082</v>
      </c>
    </row>
    <row r="97" spans="1:4" ht="14.4" x14ac:dyDescent="0.3">
      <c r="A97" s="3">
        <v>50457</v>
      </c>
      <c r="B97" s="3" t="s">
        <v>476</v>
      </c>
      <c r="C97" s="4" t="b">
        <v>0</v>
      </c>
      <c r="D97" s="3">
        <v>8396</v>
      </c>
    </row>
    <row r="98" spans="1:4" ht="14.4" x14ac:dyDescent="0.3">
      <c r="A98" s="3">
        <v>505030</v>
      </c>
      <c r="B98" s="3" t="s">
        <v>380</v>
      </c>
      <c r="C98" s="4" t="b">
        <v>0</v>
      </c>
      <c r="D98" s="3">
        <v>4930</v>
      </c>
    </row>
    <row r="99" spans="1:4" ht="14.4" x14ac:dyDescent="0.3">
      <c r="A99" s="3">
        <v>50506</v>
      </c>
      <c r="B99" s="3" t="s">
        <v>149</v>
      </c>
      <c r="C99" s="4" t="b">
        <v>0</v>
      </c>
      <c r="D99" s="3">
        <v>4151</v>
      </c>
    </row>
    <row r="100" spans="1:4" ht="14.4" x14ac:dyDescent="0.3">
      <c r="A100" s="3">
        <v>50541</v>
      </c>
      <c r="B100" s="3" t="s">
        <v>488</v>
      </c>
      <c r="C100" s="4" t="b">
        <v>0</v>
      </c>
      <c r="D100" s="3">
        <v>2154</v>
      </c>
    </row>
    <row r="101" spans="1:4" ht="14.4" x14ac:dyDescent="0.3">
      <c r="A101" s="3">
        <v>50547</v>
      </c>
      <c r="B101" s="3" t="s">
        <v>354</v>
      </c>
      <c r="C101" s="4" t="b">
        <v>0</v>
      </c>
      <c r="D101" s="3">
        <v>2941</v>
      </c>
    </row>
    <row r="102" spans="1:4" ht="14.4" x14ac:dyDescent="0.3">
      <c r="A102" s="3">
        <v>51056</v>
      </c>
      <c r="B102" s="3" t="s">
        <v>498</v>
      </c>
      <c r="C102" s="4" t="b">
        <v>0</v>
      </c>
      <c r="D102" s="3">
        <v>4468</v>
      </c>
    </row>
    <row r="103" spans="1:4" ht="14.4" x14ac:dyDescent="0.3">
      <c r="A103" s="3">
        <v>510505</v>
      </c>
      <c r="B103" s="3" t="s">
        <v>261</v>
      </c>
      <c r="C103" s="4" t="b">
        <v>0</v>
      </c>
      <c r="D103" s="3">
        <v>2816</v>
      </c>
    </row>
    <row r="104" spans="1:4" ht="14.4" x14ac:dyDescent="0.3">
      <c r="A104" s="3">
        <v>51040</v>
      </c>
      <c r="B104" s="3" t="s">
        <v>507</v>
      </c>
      <c r="C104" s="4" t="b">
        <v>0</v>
      </c>
      <c r="D104" s="3">
        <v>2259</v>
      </c>
    </row>
    <row r="105" spans="1:4" ht="14.4" x14ac:dyDescent="0.3">
      <c r="A105" s="3">
        <v>51067</v>
      </c>
      <c r="B105" s="3" t="s">
        <v>512</v>
      </c>
      <c r="C105" s="4" t="b">
        <v>0</v>
      </c>
      <c r="D105" s="3">
        <v>5162</v>
      </c>
    </row>
    <row r="106" spans="1:4" ht="14.4" x14ac:dyDescent="0.3">
      <c r="A106" s="3">
        <v>510430</v>
      </c>
      <c r="B106" s="3" t="s">
        <v>516</v>
      </c>
      <c r="C106" s="4" t="b">
        <v>0</v>
      </c>
      <c r="D106" s="3">
        <v>5609</v>
      </c>
    </row>
    <row r="107" spans="1:4" ht="14.4" x14ac:dyDescent="0.3">
      <c r="A107" s="3">
        <v>51055</v>
      </c>
      <c r="B107" s="3" t="s">
        <v>521</v>
      </c>
      <c r="C107" s="4" t="b">
        <v>0</v>
      </c>
      <c r="D107" s="3">
        <v>3396</v>
      </c>
    </row>
    <row r="108" spans="1:4" ht="14.4" x14ac:dyDescent="0.3">
      <c r="A108" s="3">
        <v>511505</v>
      </c>
      <c r="B108" s="3" t="s">
        <v>527</v>
      </c>
      <c r="C108" s="4" t="b">
        <v>0</v>
      </c>
      <c r="D108" s="3">
        <v>15195</v>
      </c>
    </row>
    <row r="109" spans="1:4" ht="14.4" x14ac:dyDescent="0.3">
      <c r="A109" s="3">
        <v>51550</v>
      </c>
      <c r="B109" s="3">
        <v>0</v>
      </c>
      <c r="C109" s="4" t="b">
        <v>0</v>
      </c>
      <c r="D109" s="3">
        <v>3287</v>
      </c>
    </row>
    <row r="110" spans="1:4" ht="14.4" x14ac:dyDescent="0.3">
      <c r="A110" s="3">
        <v>515306</v>
      </c>
      <c r="B110" s="3" t="s">
        <v>252</v>
      </c>
      <c r="C110" s="4" t="b">
        <v>0</v>
      </c>
      <c r="D110" s="3">
        <v>2868</v>
      </c>
    </row>
    <row r="111" spans="1:4" ht="14.4" x14ac:dyDescent="0.3">
      <c r="A111" s="3">
        <v>515055</v>
      </c>
      <c r="B111" s="3" t="s">
        <v>541</v>
      </c>
      <c r="C111" s="4" t="b">
        <v>0</v>
      </c>
      <c r="D111" s="3">
        <v>2697</v>
      </c>
    </row>
    <row r="112" spans="1:4" ht="14.4" x14ac:dyDescent="0.3">
      <c r="A112" s="3">
        <v>5150506</v>
      </c>
      <c r="B112" s="3">
        <v>0</v>
      </c>
      <c r="C112" s="4" t="b">
        <v>0</v>
      </c>
      <c r="D112" s="3">
        <v>6459</v>
      </c>
    </row>
    <row r="113" spans="1:4" ht="14.4" x14ac:dyDescent="0.3">
      <c r="A113" s="3">
        <v>5150305</v>
      </c>
      <c r="B113" s="3" t="s">
        <v>551</v>
      </c>
      <c r="C113" s="4" t="b">
        <v>0</v>
      </c>
      <c r="D113" s="3">
        <v>14914</v>
      </c>
    </row>
    <row r="114" spans="1:4" ht="14.4" x14ac:dyDescent="0.3">
      <c r="A114" s="3">
        <v>51400</v>
      </c>
      <c r="B114" s="3" t="s">
        <v>174</v>
      </c>
      <c r="C114" s="4" t="b">
        <v>1</v>
      </c>
      <c r="D114" s="3">
        <v>1697</v>
      </c>
    </row>
    <row r="115" spans="1:4" ht="14.4" x14ac:dyDescent="0.3">
      <c r="A115" s="3">
        <v>5145050</v>
      </c>
      <c r="B115" s="3" t="s">
        <v>560</v>
      </c>
      <c r="C115" s="4" t="b">
        <v>0</v>
      </c>
      <c r="D115" s="3">
        <v>11858</v>
      </c>
    </row>
    <row r="116" spans="1:4" ht="14.4" x14ac:dyDescent="0.3">
      <c r="A116" s="3">
        <v>51441</v>
      </c>
      <c r="B116" s="3">
        <v>0</v>
      </c>
      <c r="C116" s="4" t="b">
        <v>0</v>
      </c>
      <c r="D116" s="3">
        <v>2285</v>
      </c>
    </row>
    <row r="117" spans="1:4" ht="14.4" x14ac:dyDescent="0.3">
      <c r="A117" s="3">
        <v>5130504</v>
      </c>
      <c r="B117" s="3" t="s">
        <v>570</v>
      </c>
      <c r="C117" s="4" t="b">
        <v>0</v>
      </c>
      <c r="D117" s="3">
        <v>15589</v>
      </c>
    </row>
    <row r="118" spans="1:4" ht="14.4" x14ac:dyDescent="0.3">
      <c r="A118" s="3">
        <v>513057</v>
      </c>
      <c r="B118" s="3" t="s">
        <v>576</v>
      </c>
      <c r="C118" s="4" t="b">
        <v>0</v>
      </c>
      <c r="D118" s="3">
        <v>2516</v>
      </c>
    </row>
    <row r="119" spans="1:4" ht="14.4" x14ac:dyDescent="0.3">
      <c r="A119" s="3">
        <v>514305</v>
      </c>
      <c r="B119" s="3" t="s">
        <v>580</v>
      </c>
      <c r="C119" s="4" t="b">
        <v>0</v>
      </c>
      <c r="D119" s="3">
        <v>4175</v>
      </c>
    </row>
    <row r="120" spans="1:4" ht="14.4" x14ac:dyDescent="0.3">
      <c r="A120" s="3">
        <v>51466</v>
      </c>
      <c r="B120" s="3" t="s">
        <v>585</v>
      </c>
      <c r="C120" s="4" t="b">
        <v>0</v>
      </c>
      <c r="D120" s="3">
        <v>3186</v>
      </c>
    </row>
    <row r="121" spans="1:4" ht="14.4" x14ac:dyDescent="0.3">
      <c r="A121" s="3">
        <v>515501</v>
      </c>
      <c r="B121" s="3" t="s">
        <v>589</v>
      </c>
      <c r="C121" s="4" t="b">
        <v>0</v>
      </c>
      <c r="D121" s="3">
        <v>3731</v>
      </c>
    </row>
    <row r="122" spans="1:4" ht="14.4" x14ac:dyDescent="0.3">
      <c r="A122" s="3">
        <v>55505</v>
      </c>
      <c r="B122" s="3" t="s">
        <v>591</v>
      </c>
      <c r="C122" s="4" t="b">
        <v>0</v>
      </c>
      <c r="D122" s="3">
        <v>1785</v>
      </c>
    </row>
    <row r="123" spans="1:4" ht="14.4" x14ac:dyDescent="0.3">
      <c r="A123" s="3">
        <v>55555</v>
      </c>
      <c r="B123" s="3" t="s">
        <v>596</v>
      </c>
      <c r="C123" s="4" t="b">
        <v>0</v>
      </c>
      <c r="D123" s="3">
        <v>13994</v>
      </c>
    </row>
    <row r="124" spans="1:4" ht="14.4" x14ac:dyDescent="0.3">
      <c r="A124" s="3">
        <v>55464</v>
      </c>
      <c r="B124" s="3" t="s">
        <v>601</v>
      </c>
      <c r="C124" s="4" t="b">
        <v>0</v>
      </c>
      <c r="D124" s="3">
        <v>2224</v>
      </c>
    </row>
    <row r="125" spans="1:4" ht="14.4" x14ac:dyDescent="0.3">
      <c r="A125" s="3">
        <v>55447</v>
      </c>
      <c r="B125" s="3" t="s">
        <v>606</v>
      </c>
      <c r="C125" s="4" t="b">
        <v>0</v>
      </c>
      <c r="D125" s="3">
        <v>6126</v>
      </c>
    </row>
    <row r="126" spans="1:4" ht="14.4" x14ac:dyDescent="0.3">
      <c r="A126" s="3">
        <v>5530306</v>
      </c>
      <c r="B126" s="3" t="s">
        <v>611</v>
      </c>
      <c r="C126" s="4" t="b">
        <v>0</v>
      </c>
      <c r="D126" s="3">
        <v>1675</v>
      </c>
    </row>
    <row r="127" spans="1:4" ht="14.4" x14ac:dyDescent="0.3">
      <c r="A127" s="3">
        <v>553071</v>
      </c>
      <c r="B127" s="3">
        <v>0</v>
      </c>
      <c r="C127" s="4" t="b">
        <v>0</v>
      </c>
      <c r="D127" s="3">
        <v>191</v>
      </c>
    </row>
    <row r="128" spans="1:4" ht="14.4" x14ac:dyDescent="0.3">
      <c r="A128" s="3">
        <v>55644</v>
      </c>
      <c r="B128" s="3" t="s">
        <v>576</v>
      </c>
      <c r="C128" s="4" t="b">
        <v>0</v>
      </c>
      <c r="D128" s="3">
        <v>3936</v>
      </c>
    </row>
    <row r="129" spans="1:4" ht="14.4" x14ac:dyDescent="0.3">
      <c r="A129" s="3">
        <v>556450</v>
      </c>
      <c r="B129" s="3" t="s">
        <v>622</v>
      </c>
      <c r="C129" s="4" t="b">
        <v>0</v>
      </c>
      <c r="D129" s="3">
        <v>14340</v>
      </c>
    </row>
    <row r="130" spans="1:4" ht="14.4" x14ac:dyDescent="0.3">
      <c r="A130" s="3">
        <v>54176</v>
      </c>
      <c r="B130" s="3" t="s">
        <v>628</v>
      </c>
      <c r="C130" s="4" t="b">
        <v>0</v>
      </c>
      <c r="D130" s="3">
        <v>5651</v>
      </c>
    </row>
    <row r="131" spans="1:4" ht="14.4" x14ac:dyDescent="0.3">
      <c r="A131" s="3">
        <v>54470</v>
      </c>
      <c r="B131" s="3" t="s">
        <v>633</v>
      </c>
      <c r="C131" s="4" t="b">
        <v>1</v>
      </c>
      <c r="D131" s="3">
        <v>10356</v>
      </c>
    </row>
    <row r="132" spans="1:4" ht="14.4" x14ac:dyDescent="0.3">
      <c r="A132" s="3">
        <v>545504</v>
      </c>
      <c r="B132" s="3" t="s">
        <v>639</v>
      </c>
      <c r="C132" s="4" t="b">
        <v>0</v>
      </c>
      <c r="D132" s="3">
        <v>13296</v>
      </c>
    </row>
    <row r="133" spans="1:4" ht="14.4" x14ac:dyDescent="0.3">
      <c r="A133" s="3">
        <v>54561</v>
      </c>
      <c r="B133" s="3" t="s">
        <v>380</v>
      </c>
      <c r="C133" s="4" t="b">
        <v>0</v>
      </c>
      <c r="D133" s="3">
        <v>2906</v>
      </c>
    </row>
    <row r="134" spans="1:4" ht="14.4" x14ac:dyDescent="0.3">
      <c r="A134" s="3">
        <v>545530</v>
      </c>
      <c r="B134" s="3" t="s">
        <v>648</v>
      </c>
      <c r="C134" s="4" t="b">
        <v>0</v>
      </c>
      <c r="D134" s="3">
        <v>23674</v>
      </c>
    </row>
    <row r="135" spans="1:4" ht="14.4" x14ac:dyDescent="0.3">
      <c r="A135" s="3">
        <v>530054</v>
      </c>
      <c r="B135" s="3" t="s">
        <v>653</v>
      </c>
      <c r="C135" s="4" t="b">
        <v>0</v>
      </c>
      <c r="D135" s="3">
        <v>5189</v>
      </c>
    </row>
    <row r="136" spans="1:4" ht="14.4" x14ac:dyDescent="0.3">
      <c r="A136" s="3">
        <v>530040</v>
      </c>
      <c r="B136" s="3">
        <v>0</v>
      </c>
      <c r="C136" s="4" t="b">
        <v>0</v>
      </c>
      <c r="D136" s="3">
        <v>1210</v>
      </c>
    </row>
    <row r="137" spans="1:4" ht="14.4" x14ac:dyDescent="0.3">
      <c r="A137" s="3">
        <v>5300450</v>
      </c>
      <c r="B137" s="3" t="s">
        <v>170</v>
      </c>
      <c r="C137" s="4" t="b">
        <v>0</v>
      </c>
      <c r="D137" s="3">
        <v>6710</v>
      </c>
    </row>
    <row r="138" spans="1:4" ht="14.4" x14ac:dyDescent="0.3">
      <c r="A138" s="3">
        <v>530144</v>
      </c>
      <c r="B138" s="3" t="s">
        <v>665</v>
      </c>
      <c r="C138" s="4" t="b">
        <v>0</v>
      </c>
      <c r="D138" s="3">
        <v>1787</v>
      </c>
    </row>
    <row r="139" spans="1:4" ht="14.4" x14ac:dyDescent="0.3">
      <c r="A139" s="3">
        <v>5305050</v>
      </c>
      <c r="B139" s="3" t="s">
        <v>670</v>
      </c>
      <c r="C139" s="4" t="b">
        <v>0</v>
      </c>
      <c r="D139" s="3">
        <v>3626</v>
      </c>
    </row>
    <row r="140" spans="1:4" ht="14.4" x14ac:dyDescent="0.3">
      <c r="A140" s="3">
        <v>530545</v>
      </c>
      <c r="B140" s="3">
        <v>0</v>
      </c>
      <c r="C140" s="4" t="b">
        <v>0</v>
      </c>
      <c r="D140" s="3">
        <v>6039</v>
      </c>
    </row>
    <row r="141" spans="1:4" ht="14.4" x14ac:dyDescent="0.3">
      <c r="A141" s="3">
        <v>5305054</v>
      </c>
      <c r="B141" s="3" t="s">
        <v>429</v>
      </c>
      <c r="C141" s="4" t="b">
        <v>0</v>
      </c>
      <c r="D141" s="3">
        <v>2946</v>
      </c>
    </row>
    <row r="142" spans="1:4" ht="14.4" x14ac:dyDescent="0.3">
      <c r="A142" s="3">
        <v>5305064</v>
      </c>
      <c r="B142" s="3" t="s">
        <v>576</v>
      </c>
      <c r="C142" s="4" t="b">
        <v>0</v>
      </c>
      <c r="D142" s="3">
        <v>2489</v>
      </c>
    </row>
    <row r="143" spans="1:4" ht="14.4" x14ac:dyDescent="0.3">
      <c r="A143" s="3">
        <v>5305071</v>
      </c>
      <c r="B143" s="3" t="s">
        <v>358</v>
      </c>
      <c r="C143" s="4" t="b">
        <v>0</v>
      </c>
      <c r="D143" s="3">
        <v>2442</v>
      </c>
    </row>
    <row r="144" spans="1:4" ht="14.4" x14ac:dyDescent="0.3">
      <c r="A144" s="3">
        <v>5305075</v>
      </c>
      <c r="B144" s="3" t="s">
        <v>689</v>
      </c>
      <c r="C144" s="4" t="b">
        <v>0</v>
      </c>
      <c r="D144" s="3">
        <v>2130</v>
      </c>
    </row>
    <row r="145" spans="1:4" ht="14.4" x14ac:dyDescent="0.3">
      <c r="A145" s="3">
        <v>5305040</v>
      </c>
      <c r="B145" s="3" t="s">
        <v>689</v>
      </c>
      <c r="C145" s="4" t="b">
        <v>0</v>
      </c>
      <c r="D145" s="3">
        <v>3324</v>
      </c>
    </row>
    <row r="146" spans="1:4" ht="14.4" x14ac:dyDescent="0.3">
      <c r="A146" s="3">
        <v>53050430</v>
      </c>
      <c r="B146" s="3" t="s">
        <v>170</v>
      </c>
      <c r="C146" s="4" t="b">
        <v>0</v>
      </c>
      <c r="D146" s="3">
        <v>7452</v>
      </c>
    </row>
    <row r="147" spans="1:4" ht="14.4" x14ac:dyDescent="0.3">
      <c r="A147" s="3">
        <v>5303050</v>
      </c>
      <c r="B147" s="3" t="s">
        <v>699</v>
      </c>
      <c r="C147" s="4" t="b">
        <v>0</v>
      </c>
      <c r="D147" s="3">
        <v>10562</v>
      </c>
    </row>
    <row r="148" spans="1:4" ht="14.4" x14ac:dyDescent="0.3">
      <c r="A148" s="3">
        <v>5303044</v>
      </c>
      <c r="B148" s="3">
        <v>0</v>
      </c>
      <c r="C148" s="4" t="b">
        <v>0</v>
      </c>
      <c r="D148" s="3">
        <v>117</v>
      </c>
    </row>
    <row r="149" spans="1:4" ht="14.4" x14ac:dyDescent="0.3">
      <c r="A149" s="3">
        <v>5303056</v>
      </c>
      <c r="B149" s="3">
        <v>0</v>
      </c>
      <c r="C149" s="4" t="b">
        <v>0</v>
      </c>
      <c r="D149" s="3">
        <v>2056</v>
      </c>
    </row>
    <row r="150" spans="1:4" ht="14.4" x14ac:dyDescent="0.3">
      <c r="A150" s="3">
        <v>530604</v>
      </c>
      <c r="B150" s="3" t="s">
        <v>711</v>
      </c>
      <c r="C150" s="4" t="b">
        <v>1</v>
      </c>
      <c r="D150" s="3">
        <v>1860</v>
      </c>
    </row>
    <row r="151" spans="1:4" ht="14.4" x14ac:dyDescent="0.3">
      <c r="A151" s="3">
        <v>530666</v>
      </c>
      <c r="B151" s="3" t="s">
        <v>716</v>
      </c>
      <c r="C151" s="4" t="b">
        <v>0</v>
      </c>
      <c r="D151" s="3">
        <v>4789</v>
      </c>
    </row>
    <row r="152" spans="1:4" ht="14.4" x14ac:dyDescent="0.3">
      <c r="A152" s="3">
        <v>530644</v>
      </c>
      <c r="B152" s="3" t="s">
        <v>721</v>
      </c>
      <c r="C152" s="4" t="b">
        <v>0</v>
      </c>
      <c r="D152" s="3">
        <v>3724</v>
      </c>
    </row>
    <row r="153" spans="1:4" ht="14.4" x14ac:dyDescent="0.3">
      <c r="A153" s="3">
        <v>5307030</v>
      </c>
      <c r="B153" s="3" t="s">
        <v>726</v>
      </c>
      <c r="C153" s="4" t="b">
        <v>0</v>
      </c>
      <c r="D153" s="3">
        <v>9695</v>
      </c>
    </row>
    <row r="154" spans="1:4" ht="14.4" x14ac:dyDescent="0.3">
      <c r="A154" s="3">
        <v>530761</v>
      </c>
      <c r="B154" s="3" t="s">
        <v>170</v>
      </c>
      <c r="C154" s="4" t="b">
        <v>0</v>
      </c>
      <c r="D154" s="3">
        <v>3463</v>
      </c>
    </row>
    <row r="155" spans="1:4" ht="14.4" x14ac:dyDescent="0.3">
      <c r="A155" s="3">
        <v>530416</v>
      </c>
      <c r="B155" s="3" t="s">
        <v>261</v>
      </c>
      <c r="C155" s="4" t="b">
        <v>0</v>
      </c>
      <c r="D155" s="3">
        <v>2594</v>
      </c>
    </row>
    <row r="156" spans="1:4" ht="14.4" x14ac:dyDescent="0.3">
      <c r="A156" s="3">
        <v>5304450</v>
      </c>
      <c r="B156" s="3" t="s">
        <v>420</v>
      </c>
      <c r="C156" s="4" t="b">
        <v>0</v>
      </c>
      <c r="D156" s="3">
        <v>5450</v>
      </c>
    </row>
    <row r="157" spans="1:4" ht="14.4" x14ac:dyDescent="0.3">
      <c r="A157" s="3">
        <v>530455</v>
      </c>
      <c r="B157" s="3" t="s">
        <v>292</v>
      </c>
      <c r="C157" s="4" t="b">
        <v>0</v>
      </c>
      <c r="D157" s="3">
        <v>2591</v>
      </c>
    </row>
    <row r="158" spans="1:4" ht="14.4" x14ac:dyDescent="0.3">
      <c r="A158" s="3">
        <v>530516</v>
      </c>
      <c r="B158" s="3" t="s">
        <v>746</v>
      </c>
      <c r="C158" s="4" t="b">
        <v>0</v>
      </c>
      <c r="D158" s="3">
        <v>1426</v>
      </c>
    </row>
    <row r="159" spans="1:4" ht="14.4" x14ac:dyDescent="0.3">
      <c r="A159" s="3">
        <v>5305304</v>
      </c>
      <c r="B159" s="3" t="s">
        <v>380</v>
      </c>
      <c r="C159" s="4" t="b">
        <v>0</v>
      </c>
      <c r="D159" s="3">
        <v>3442</v>
      </c>
    </row>
    <row r="160" spans="1:4" ht="14.4" x14ac:dyDescent="0.3">
      <c r="A160" s="3">
        <v>56005</v>
      </c>
      <c r="B160" s="3" t="s">
        <v>756</v>
      </c>
      <c r="C160" s="4" t="b">
        <v>1</v>
      </c>
      <c r="D160" s="3">
        <v>6726</v>
      </c>
    </row>
    <row r="161" spans="1:4" ht="14.4" x14ac:dyDescent="0.3">
      <c r="A161" s="3">
        <v>56115</v>
      </c>
      <c r="B161" s="3" t="s">
        <v>323</v>
      </c>
      <c r="C161" s="4" t="b">
        <v>0</v>
      </c>
      <c r="D161" s="3">
        <v>361</v>
      </c>
    </row>
    <row r="162" spans="1:4" ht="14.4" x14ac:dyDescent="0.3">
      <c r="A162" s="3">
        <v>565501</v>
      </c>
      <c r="B162" s="3" t="s">
        <v>764</v>
      </c>
      <c r="C162" s="4" t="b">
        <v>0</v>
      </c>
      <c r="D162" s="3">
        <v>2081</v>
      </c>
    </row>
    <row r="163" spans="1:4" ht="14.4" x14ac:dyDescent="0.3">
      <c r="A163" s="3">
        <v>5655030</v>
      </c>
      <c r="B163" s="3" t="s">
        <v>628</v>
      </c>
      <c r="C163" s="4" t="b">
        <v>0</v>
      </c>
      <c r="D163" s="3">
        <v>6782</v>
      </c>
    </row>
    <row r="164" spans="1:4" ht="14.4" x14ac:dyDescent="0.3">
      <c r="A164" s="3">
        <v>56556</v>
      </c>
      <c r="B164" s="3" t="s">
        <v>774</v>
      </c>
      <c r="C164" s="4" t="b">
        <v>0</v>
      </c>
      <c r="D164" s="3">
        <v>1332</v>
      </c>
    </row>
    <row r="165" spans="1:4" ht="14.4" x14ac:dyDescent="0.3">
      <c r="A165" s="3">
        <v>564304</v>
      </c>
      <c r="B165" s="3" t="s">
        <v>516</v>
      </c>
      <c r="C165" s="4" t="b">
        <v>0</v>
      </c>
      <c r="D165" s="3">
        <v>5465</v>
      </c>
    </row>
    <row r="166" spans="1:4" ht="14.4" x14ac:dyDescent="0.3">
      <c r="A166" s="3">
        <v>563006</v>
      </c>
      <c r="B166" s="3" t="s">
        <v>783</v>
      </c>
      <c r="C166" s="4" t="b">
        <v>0</v>
      </c>
      <c r="D166" s="3">
        <v>1297</v>
      </c>
    </row>
    <row r="167" spans="1:4" ht="14.4" x14ac:dyDescent="0.3">
      <c r="A167" s="3">
        <v>563014</v>
      </c>
      <c r="B167" s="3" t="s">
        <v>788</v>
      </c>
      <c r="C167" s="4" t="b">
        <v>0</v>
      </c>
      <c r="D167" s="3">
        <v>2431</v>
      </c>
    </row>
    <row r="168" spans="1:4" ht="14.4" x14ac:dyDescent="0.3">
      <c r="A168" s="3">
        <v>567304</v>
      </c>
      <c r="B168" s="3" t="s">
        <v>793</v>
      </c>
      <c r="C168" s="4" t="b">
        <v>0</v>
      </c>
      <c r="D168" s="3">
        <v>3790</v>
      </c>
    </row>
    <row r="169" spans="1:4" ht="14.4" x14ac:dyDescent="0.3">
      <c r="A169" s="3">
        <v>56555</v>
      </c>
      <c r="B169" s="3" t="s">
        <v>689</v>
      </c>
      <c r="C169" s="4" t="b">
        <v>0</v>
      </c>
      <c r="D169" s="3">
        <v>2214</v>
      </c>
    </row>
    <row r="170" spans="1:4" ht="14.4" x14ac:dyDescent="0.3">
      <c r="A170" s="3">
        <v>57004</v>
      </c>
      <c r="B170" s="3" t="s">
        <v>801</v>
      </c>
      <c r="C170" s="4" t="b">
        <v>0</v>
      </c>
      <c r="D170" s="3">
        <v>24</v>
      </c>
    </row>
    <row r="171" spans="1:4" ht="14.4" x14ac:dyDescent="0.3">
      <c r="A171" s="3">
        <v>57044</v>
      </c>
      <c r="B171" s="3" t="s">
        <v>689</v>
      </c>
      <c r="C171" s="4" t="b">
        <v>0</v>
      </c>
      <c r="D171" s="3">
        <v>2186</v>
      </c>
    </row>
    <row r="172" spans="1:4" ht="14.4" x14ac:dyDescent="0.3">
      <c r="A172" s="3">
        <v>57065</v>
      </c>
      <c r="B172" s="3" t="s">
        <v>354</v>
      </c>
      <c r="C172" s="4" t="b">
        <v>0</v>
      </c>
      <c r="D172" s="3">
        <v>1946</v>
      </c>
    </row>
    <row r="173" spans="1:4" ht="14.4" x14ac:dyDescent="0.3">
      <c r="A173" s="3">
        <v>57141</v>
      </c>
      <c r="B173" s="3" t="s">
        <v>815</v>
      </c>
      <c r="C173" s="4" t="b">
        <v>0</v>
      </c>
      <c r="D173" s="3">
        <v>840</v>
      </c>
    </row>
    <row r="174" spans="1:4" ht="14.4" x14ac:dyDescent="0.3">
      <c r="A174" s="3">
        <v>571530</v>
      </c>
      <c r="B174" s="3">
        <v>0</v>
      </c>
      <c r="C174" s="4" t="b">
        <v>0</v>
      </c>
      <c r="D174" s="3">
        <v>35</v>
      </c>
    </row>
    <row r="175" spans="1:4" ht="14.4" x14ac:dyDescent="0.3">
      <c r="A175" s="3">
        <v>575304</v>
      </c>
      <c r="B175" s="3" t="s">
        <v>823</v>
      </c>
      <c r="C175" s="4" t="b">
        <v>0</v>
      </c>
      <c r="D175" s="3">
        <v>30</v>
      </c>
    </row>
    <row r="176" spans="1:4" ht="14.4" x14ac:dyDescent="0.3">
      <c r="A176" s="3">
        <v>573000</v>
      </c>
      <c r="B176" s="3" t="s">
        <v>149</v>
      </c>
      <c r="C176" s="4" t="b">
        <v>0</v>
      </c>
      <c r="D176" s="3">
        <v>2333</v>
      </c>
    </row>
    <row r="177" spans="1:4" ht="14.4" x14ac:dyDescent="0.3">
      <c r="A177" s="3">
        <v>573014</v>
      </c>
      <c r="B177" s="3" t="s">
        <v>832</v>
      </c>
      <c r="C177" s="4" t="b">
        <v>0</v>
      </c>
      <c r="D177" s="3">
        <v>4517</v>
      </c>
    </row>
    <row r="178" spans="1:4" ht="14.4" x14ac:dyDescent="0.3">
      <c r="A178" s="3">
        <v>57615</v>
      </c>
      <c r="B178" s="3">
        <v>38</v>
      </c>
      <c r="C178" s="4" t="b">
        <v>0</v>
      </c>
      <c r="D178" s="3">
        <v>1913</v>
      </c>
    </row>
    <row r="179" spans="1:4" ht="14.4" x14ac:dyDescent="0.3">
      <c r="A179" s="3">
        <v>57444</v>
      </c>
      <c r="B179" s="3" t="s">
        <v>292</v>
      </c>
      <c r="C179" s="4" t="b">
        <v>0</v>
      </c>
      <c r="D179" s="3">
        <v>268</v>
      </c>
    </row>
    <row r="180" spans="1:4" ht="14.4" x14ac:dyDescent="0.3">
      <c r="A180" s="3">
        <v>57504</v>
      </c>
      <c r="B180" s="3" t="s">
        <v>689</v>
      </c>
      <c r="C180" s="4" t="b">
        <v>0</v>
      </c>
      <c r="D180" s="3">
        <v>238</v>
      </c>
    </row>
    <row r="181" spans="1:4" ht="14.4" x14ac:dyDescent="0.3">
      <c r="A181" s="3">
        <v>57544</v>
      </c>
      <c r="B181" s="3" t="s">
        <v>849</v>
      </c>
      <c r="C181" s="4" t="b">
        <v>0</v>
      </c>
      <c r="D181" s="3">
        <v>2275</v>
      </c>
    </row>
    <row r="182" spans="1:4" ht="14.4" x14ac:dyDescent="0.3">
      <c r="A182" s="3">
        <v>540630</v>
      </c>
      <c r="B182" s="3" t="s">
        <v>854</v>
      </c>
      <c r="C182" s="4" t="b">
        <v>0</v>
      </c>
      <c r="D182" s="3">
        <v>2358</v>
      </c>
    </row>
    <row r="183" spans="1:4" ht="14.4" x14ac:dyDescent="0.3">
      <c r="A183" s="3">
        <v>54146</v>
      </c>
      <c r="B183" s="3" t="s">
        <v>512</v>
      </c>
      <c r="C183" s="4" t="b">
        <v>0</v>
      </c>
      <c r="D183" s="3">
        <v>1931</v>
      </c>
    </row>
    <row r="184" spans="1:4" ht="14.4" x14ac:dyDescent="0.3">
      <c r="A184" s="3">
        <v>54160</v>
      </c>
      <c r="B184" s="3">
        <v>0</v>
      </c>
      <c r="C184" s="4" t="b">
        <v>0</v>
      </c>
      <c r="D184" s="3">
        <v>1103</v>
      </c>
    </row>
    <row r="185" spans="1:4" ht="14.4" x14ac:dyDescent="0.3">
      <c r="A185" s="3">
        <v>54170</v>
      </c>
      <c r="B185" s="3" t="s">
        <v>868</v>
      </c>
      <c r="C185" s="4" t="b">
        <v>0</v>
      </c>
      <c r="D185" s="3">
        <v>4756</v>
      </c>
    </row>
    <row r="186" spans="1:4" ht="14.4" x14ac:dyDescent="0.3">
      <c r="A186" s="3">
        <v>545550</v>
      </c>
      <c r="B186" s="3" t="s">
        <v>462</v>
      </c>
      <c r="C186" s="4" t="b">
        <v>0</v>
      </c>
      <c r="D186" s="3">
        <v>156</v>
      </c>
    </row>
    <row r="187" spans="1:4" ht="14.4" x14ac:dyDescent="0.3">
      <c r="A187" s="3">
        <v>54544</v>
      </c>
      <c r="B187" s="3">
        <v>0</v>
      </c>
      <c r="C187" s="4" t="b">
        <v>0</v>
      </c>
      <c r="D187" s="3">
        <v>2709</v>
      </c>
    </row>
    <row r="188" spans="1:4" ht="14.4" x14ac:dyDescent="0.3">
      <c r="A188" s="3">
        <v>5450050</v>
      </c>
      <c r="B188" s="3">
        <v>0</v>
      </c>
      <c r="C188" s="4" t="b">
        <v>0</v>
      </c>
      <c r="D188" s="3">
        <v>54</v>
      </c>
    </row>
    <row r="189" spans="1:4" ht="14.4" x14ac:dyDescent="0.3">
      <c r="A189" s="3">
        <v>545074</v>
      </c>
      <c r="B189" s="3" t="s">
        <v>611</v>
      </c>
      <c r="C189" s="4" t="b">
        <v>0</v>
      </c>
      <c r="D189" s="3">
        <v>347</v>
      </c>
    </row>
    <row r="190" spans="1:4" ht="14.4" x14ac:dyDescent="0.3">
      <c r="A190" s="3">
        <v>54414</v>
      </c>
      <c r="B190" s="3" t="s">
        <v>576</v>
      </c>
      <c r="C190" s="4" t="b">
        <v>0</v>
      </c>
      <c r="D190" s="3">
        <v>50</v>
      </c>
    </row>
    <row r="191" spans="1:4" ht="14.4" x14ac:dyDescent="0.3">
      <c r="A191" s="3">
        <v>54460</v>
      </c>
      <c r="B191" s="3" t="s">
        <v>405</v>
      </c>
      <c r="C191" s="4" t="b">
        <v>0</v>
      </c>
      <c r="D191" s="3">
        <v>2426</v>
      </c>
    </row>
    <row r="192" spans="1:4" ht="14.4" x14ac:dyDescent="0.3">
      <c r="A192" s="3">
        <v>543076</v>
      </c>
      <c r="B192" s="3" t="s">
        <v>34</v>
      </c>
      <c r="C192" s="4" t="b">
        <v>0</v>
      </c>
      <c r="D192" s="3">
        <v>4840</v>
      </c>
    </row>
    <row r="193" spans="1:4" ht="14.4" x14ac:dyDescent="0.3">
      <c r="A193" s="3">
        <v>54756</v>
      </c>
      <c r="B193" s="3" t="s">
        <v>900</v>
      </c>
      <c r="C193" s="4" t="b">
        <v>0</v>
      </c>
      <c r="D193" s="3">
        <v>1030</v>
      </c>
    </row>
    <row r="194" spans="1:4" ht="14.4" x14ac:dyDescent="0.3">
      <c r="A194" s="3">
        <v>544550</v>
      </c>
      <c r="B194" s="3" t="s">
        <v>380</v>
      </c>
      <c r="C194" s="4" t="b">
        <v>0</v>
      </c>
      <c r="D194" s="3">
        <v>1388</v>
      </c>
    </row>
    <row r="195" spans="1:4" ht="14.4" x14ac:dyDescent="0.3">
      <c r="A195" s="3">
        <v>544305</v>
      </c>
      <c r="B195" s="3" t="s">
        <v>909</v>
      </c>
      <c r="C195" s="4" t="b">
        <v>0</v>
      </c>
      <c r="D195" s="3">
        <v>3204</v>
      </c>
    </row>
    <row r="196" spans="1:4" ht="14.4" x14ac:dyDescent="0.3">
      <c r="A196" s="3">
        <v>54465</v>
      </c>
      <c r="B196" s="3" t="s">
        <v>764</v>
      </c>
      <c r="C196" s="4" t="b">
        <v>0</v>
      </c>
      <c r="D196" s="3">
        <v>1165</v>
      </c>
    </row>
    <row r="197" spans="1:4" ht="14.4" x14ac:dyDescent="0.3">
      <c r="A197" s="3">
        <v>544730</v>
      </c>
      <c r="B197" s="3" t="s">
        <v>919</v>
      </c>
      <c r="C197" s="4" t="b">
        <v>0</v>
      </c>
      <c r="D197" s="3">
        <v>119</v>
      </c>
    </row>
    <row r="198" spans="1:4" ht="14.4" x14ac:dyDescent="0.3">
      <c r="A198" s="3">
        <v>544450</v>
      </c>
      <c r="B198" s="3" t="s">
        <v>923</v>
      </c>
      <c r="C198" s="4" t="b">
        <v>1</v>
      </c>
      <c r="D198" s="3">
        <v>4425</v>
      </c>
    </row>
    <row r="199" spans="1:4" ht="14.4" x14ac:dyDescent="0.3">
      <c r="A199" s="3">
        <v>54504</v>
      </c>
      <c r="B199" s="3" t="s">
        <v>375</v>
      </c>
      <c r="C199" s="4" t="b">
        <v>0</v>
      </c>
      <c r="D199" s="3">
        <v>3316</v>
      </c>
    </row>
    <row r="200" spans="1:4" ht="14.4" x14ac:dyDescent="0.3">
      <c r="A200" s="3">
        <v>54506</v>
      </c>
      <c r="B200" s="3" t="s">
        <v>931</v>
      </c>
      <c r="C200" s="4" t="b">
        <v>0</v>
      </c>
      <c r="D200" s="3">
        <v>5167</v>
      </c>
    </row>
    <row r="201" spans="1:4" ht="14.4" x14ac:dyDescent="0.3">
      <c r="A201" s="3">
        <v>54574</v>
      </c>
      <c r="B201" s="3" t="s">
        <v>516</v>
      </c>
      <c r="C201" s="4" t="b">
        <v>0</v>
      </c>
      <c r="D201" s="3">
        <v>1399</v>
      </c>
    </row>
    <row r="202" spans="1:4" ht="14.4" x14ac:dyDescent="0.3">
      <c r="A202" s="3">
        <v>54544</v>
      </c>
      <c r="B202" s="3" t="s">
        <v>271</v>
      </c>
      <c r="C202" s="4" t="b">
        <v>0</v>
      </c>
      <c r="D202" s="3">
        <v>1561</v>
      </c>
    </row>
    <row r="203" spans="1:4" ht="14.4" x14ac:dyDescent="0.3">
      <c r="A203" s="3">
        <v>55016</v>
      </c>
      <c r="B203" s="3" t="s">
        <v>266</v>
      </c>
      <c r="C203" s="4" t="b">
        <v>0</v>
      </c>
      <c r="D203" s="3">
        <v>3889</v>
      </c>
    </row>
    <row r="204" spans="1:4" ht="14.4" x14ac:dyDescent="0.3">
      <c r="A204" s="3">
        <v>55017</v>
      </c>
      <c r="B204" s="3" t="s">
        <v>949</v>
      </c>
      <c r="C204" s="4" t="b">
        <v>0</v>
      </c>
      <c r="D204" s="3">
        <v>4665</v>
      </c>
    </row>
    <row r="205" spans="1:4" ht="14.4" x14ac:dyDescent="0.3">
      <c r="A205" s="3">
        <v>55545</v>
      </c>
      <c r="B205" s="3" t="s">
        <v>955</v>
      </c>
      <c r="C205" s="4" t="b">
        <v>0</v>
      </c>
      <c r="D205" s="3">
        <v>648</v>
      </c>
    </row>
    <row r="206" spans="1:4" ht="14.4" x14ac:dyDescent="0.3">
      <c r="A206" s="3">
        <v>555550</v>
      </c>
      <c r="B206" s="3" t="s">
        <v>960</v>
      </c>
      <c r="C206" s="4" t="b">
        <v>0</v>
      </c>
      <c r="D206" s="3">
        <v>70</v>
      </c>
    </row>
    <row r="207" spans="1:4" ht="14.4" x14ac:dyDescent="0.3">
      <c r="A207" s="3">
        <v>55407</v>
      </c>
      <c r="B207" s="3" t="s">
        <v>966</v>
      </c>
      <c r="C207" s="4" t="b">
        <v>0</v>
      </c>
      <c r="D207" s="3">
        <v>3997</v>
      </c>
    </row>
    <row r="208" spans="1:4" ht="14.4" x14ac:dyDescent="0.3">
      <c r="A208" s="3">
        <v>55405</v>
      </c>
      <c r="B208" s="3" t="s">
        <v>971</v>
      </c>
      <c r="C208" s="4" t="b">
        <v>0</v>
      </c>
      <c r="D208" s="3">
        <v>779</v>
      </c>
    </row>
    <row r="209" spans="1:4" ht="14.4" x14ac:dyDescent="0.3">
      <c r="A209" s="3">
        <v>55410</v>
      </c>
      <c r="B209" s="3" t="s">
        <v>976</v>
      </c>
      <c r="C209" s="4" t="b">
        <v>0</v>
      </c>
      <c r="D209" s="3">
        <v>557</v>
      </c>
    </row>
    <row r="210" spans="1:4" ht="14.4" x14ac:dyDescent="0.3">
      <c r="A210" s="3">
        <v>55416</v>
      </c>
      <c r="B210" s="3">
        <v>0</v>
      </c>
      <c r="C210" s="4" t="b">
        <v>0</v>
      </c>
      <c r="D210" s="3">
        <v>225</v>
      </c>
    </row>
    <row r="211" spans="1:4" ht="14.4" x14ac:dyDescent="0.3">
      <c r="A211" s="3">
        <v>554505</v>
      </c>
      <c r="B211" s="3" t="s">
        <v>987</v>
      </c>
      <c r="C211" s="4" t="b">
        <v>0</v>
      </c>
      <c r="D211" s="3">
        <v>1732</v>
      </c>
    </row>
    <row r="212" spans="1:4" ht="14.4" x14ac:dyDescent="0.3">
      <c r="A212" s="3">
        <v>554304</v>
      </c>
      <c r="B212" s="3" t="s">
        <v>993</v>
      </c>
      <c r="C212" s="4" t="b">
        <v>0</v>
      </c>
      <c r="D212" s="3">
        <v>407</v>
      </c>
    </row>
    <row r="213" spans="1:4" ht="14.4" x14ac:dyDescent="0.3">
      <c r="A213" s="3">
        <v>55461</v>
      </c>
      <c r="B213" s="3" t="s">
        <v>998</v>
      </c>
      <c r="C213" s="4" t="b">
        <v>0</v>
      </c>
      <c r="D213" s="3">
        <v>179</v>
      </c>
    </row>
    <row r="214" spans="1:4" ht="14.4" x14ac:dyDescent="0.3">
      <c r="A214" s="3">
        <v>55464</v>
      </c>
      <c r="B214" s="3" t="s">
        <v>1004</v>
      </c>
      <c r="C214" s="4" t="b">
        <v>0</v>
      </c>
      <c r="D214" s="3">
        <v>569</v>
      </c>
    </row>
    <row r="215" spans="1:4" ht="14.4" x14ac:dyDescent="0.3">
      <c r="A215" s="3">
        <v>554630</v>
      </c>
      <c r="B215" s="3" t="s">
        <v>1010</v>
      </c>
      <c r="C215" s="4" t="b">
        <v>0</v>
      </c>
      <c r="D215" s="3">
        <v>478</v>
      </c>
    </row>
    <row r="216" spans="1:4" ht="14.4" x14ac:dyDescent="0.3">
      <c r="A216" s="3">
        <v>55465</v>
      </c>
      <c r="B216" s="3" t="s">
        <v>354</v>
      </c>
      <c r="C216" s="4" t="b">
        <v>0</v>
      </c>
      <c r="D216" s="3">
        <v>271</v>
      </c>
    </row>
    <row r="217" spans="1:4" ht="14.4" x14ac:dyDescent="0.3">
      <c r="A217" s="3">
        <v>55470</v>
      </c>
      <c r="B217" s="3" t="s">
        <v>1020</v>
      </c>
      <c r="C217" s="4" t="b">
        <v>0</v>
      </c>
      <c r="D217" s="3">
        <v>2796</v>
      </c>
    </row>
    <row r="218" spans="1:4" ht="14.4" x14ac:dyDescent="0.3">
      <c r="A218" s="3">
        <v>55444</v>
      </c>
      <c r="B218" s="3" t="s">
        <v>1025</v>
      </c>
      <c r="C218" s="4" t="b">
        <v>0</v>
      </c>
      <c r="D218" s="3">
        <v>1149</v>
      </c>
    </row>
    <row r="219" spans="1:4" ht="14.4" x14ac:dyDescent="0.3">
      <c r="A219" s="3">
        <v>55455</v>
      </c>
      <c r="B219" s="3" t="s">
        <v>576</v>
      </c>
      <c r="C219" s="4" t="b">
        <v>0</v>
      </c>
      <c r="D219" s="3">
        <v>59</v>
      </c>
    </row>
    <row r="220" spans="1:4" ht="14.4" x14ac:dyDescent="0.3">
      <c r="A220" s="3">
        <v>553017</v>
      </c>
      <c r="B220" s="3" t="s">
        <v>1036</v>
      </c>
      <c r="C220" s="4" t="b">
        <v>0</v>
      </c>
      <c r="D220" s="3">
        <v>944</v>
      </c>
    </row>
    <row r="221" spans="1:4" ht="14.4" x14ac:dyDescent="0.3">
      <c r="A221" s="3">
        <v>553051</v>
      </c>
      <c r="B221" s="3" t="s">
        <v>774</v>
      </c>
      <c r="C221" s="4" t="b">
        <v>0</v>
      </c>
      <c r="D221" s="3">
        <v>1477</v>
      </c>
    </row>
    <row r="222" spans="1:4" ht="14.4" x14ac:dyDescent="0.3">
      <c r="A222" s="3">
        <v>5530501</v>
      </c>
      <c r="B222" s="3" t="s">
        <v>512</v>
      </c>
      <c r="C222" s="4" t="b">
        <v>0</v>
      </c>
      <c r="D222" s="3">
        <v>2167</v>
      </c>
    </row>
    <row r="223" spans="1:4" ht="14.4" x14ac:dyDescent="0.3">
      <c r="A223" s="3">
        <v>5530504</v>
      </c>
      <c r="B223" s="3" t="s">
        <v>1052</v>
      </c>
      <c r="C223" s="4" t="b">
        <v>0</v>
      </c>
      <c r="D223" s="3">
        <v>1450</v>
      </c>
    </row>
    <row r="224" spans="1:4" ht="14.4" x14ac:dyDescent="0.3">
      <c r="A224" s="3">
        <v>553044</v>
      </c>
      <c r="B224" s="3" t="s">
        <v>462</v>
      </c>
      <c r="C224" s="4" t="b">
        <v>0</v>
      </c>
      <c r="D224" s="3">
        <v>588</v>
      </c>
    </row>
    <row r="225" spans="1:4" ht="14.4" x14ac:dyDescent="0.3">
      <c r="A225" s="3">
        <v>553066</v>
      </c>
      <c r="B225" s="3" t="s">
        <v>1010</v>
      </c>
      <c r="C225" s="4" t="b">
        <v>0</v>
      </c>
      <c r="D225" s="3">
        <v>59</v>
      </c>
    </row>
    <row r="226" spans="1:4" ht="14.4" x14ac:dyDescent="0.3">
      <c r="A226" s="3">
        <v>553064</v>
      </c>
      <c r="B226" s="3" t="s">
        <v>576</v>
      </c>
      <c r="C226" s="4" t="b">
        <v>0</v>
      </c>
      <c r="D226" s="3">
        <v>43</v>
      </c>
    </row>
    <row r="227" spans="1:4" ht="14.4" x14ac:dyDescent="0.3">
      <c r="A227" s="3">
        <v>553054</v>
      </c>
      <c r="B227" s="3" t="s">
        <v>1067</v>
      </c>
      <c r="C227" s="4" t="b">
        <v>1</v>
      </c>
      <c r="D227" s="3">
        <v>67</v>
      </c>
    </row>
    <row r="228" spans="1:4" ht="14.4" x14ac:dyDescent="0.3">
      <c r="A228" s="3">
        <v>55617</v>
      </c>
      <c r="B228" s="3" t="s">
        <v>1072</v>
      </c>
      <c r="C228" s="4" t="b">
        <v>0</v>
      </c>
      <c r="D228" s="3">
        <v>1007</v>
      </c>
    </row>
    <row r="229" spans="1:4" ht="14.4" x14ac:dyDescent="0.3">
      <c r="A229" s="3">
        <v>556506</v>
      </c>
      <c r="B229" s="3" t="s">
        <v>1072</v>
      </c>
      <c r="C229" s="4" t="b">
        <v>0</v>
      </c>
      <c r="D229" s="3">
        <v>610</v>
      </c>
    </row>
    <row r="230" spans="1:4" ht="14.4" x14ac:dyDescent="0.3">
      <c r="A230" s="3">
        <v>55646</v>
      </c>
      <c r="B230" s="3" t="s">
        <v>345</v>
      </c>
      <c r="C230" s="4" t="b">
        <v>0</v>
      </c>
      <c r="D230" s="3">
        <v>32</v>
      </c>
    </row>
    <row r="231" spans="1:4" ht="14.4" x14ac:dyDescent="0.3">
      <c r="A231" s="3">
        <v>55665</v>
      </c>
      <c r="B231" s="3" t="s">
        <v>1086</v>
      </c>
      <c r="C231" s="4" t="b">
        <v>0</v>
      </c>
      <c r="D231" s="3">
        <v>600</v>
      </c>
    </row>
    <row r="232" spans="1:4" ht="14.4" x14ac:dyDescent="0.3">
      <c r="A232" s="3">
        <v>55666</v>
      </c>
      <c r="B232" s="3">
        <v>0</v>
      </c>
      <c r="C232" s="4" t="b">
        <v>0</v>
      </c>
      <c r="D232" s="3">
        <v>722</v>
      </c>
    </row>
    <row r="233" spans="1:4" ht="14.4" x14ac:dyDescent="0.3">
      <c r="A233" s="3">
        <v>55664</v>
      </c>
      <c r="B233" s="3" t="s">
        <v>993</v>
      </c>
      <c r="C233" s="4" t="b">
        <v>0</v>
      </c>
      <c r="D233" s="3">
        <v>28</v>
      </c>
    </row>
    <row r="234" spans="1:4" ht="14.4" x14ac:dyDescent="0.3">
      <c r="A234" s="3">
        <v>55754</v>
      </c>
      <c r="B234" s="3" t="s">
        <v>287</v>
      </c>
      <c r="C234" s="4" t="b">
        <v>0</v>
      </c>
      <c r="D234" s="3">
        <v>2081</v>
      </c>
    </row>
    <row r="235" spans="1:4" ht="14.4" x14ac:dyDescent="0.3">
      <c r="A235" s="3">
        <v>55767</v>
      </c>
      <c r="B235" s="3" t="s">
        <v>1103</v>
      </c>
      <c r="C235" s="4" t="b">
        <v>1</v>
      </c>
      <c r="D235" s="3">
        <v>408</v>
      </c>
    </row>
    <row r="236" spans="1:4" ht="14.4" x14ac:dyDescent="0.3">
      <c r="A236" s="3">
        <v>55405</v>
      </c>
      <c r="B236" s="3" t="s">
        <v>1107</v>
      </c>
      <c r="C236" s="4" t="b">
        <v>0</v>
      </c>
      <c r="D236" s="3">
        <v>2032</v>
      </c>
    </row>
    <row r="237" spans="1:4" ht="14.4" x14ac:dyDescent="0.3">
      <c r="A237" s="3">
        <v>554305</v>
      </c>
      <c r="B237" s="3" t="s">
        <v>527</v>
      </c>
      <c r="C237" s="4" t="b">
        <v>0</v>
      </c>
      <c r="D237" s="3">
        <v>3344</v>
      </c>
    </row>
    <row r="238" spans="1:4" ht="14.4" x14ac:dyDescent="0.3">
      <c r="A238" s="3">
        <v>554304</v>
      </c>
      <c r="B238" s="3">
        <v>0</v>
      </c>
      <c r="C238" s="4" t="b">
        <v>0</v>
      </c>
      <c r="D238" s="3">
        <v>2842</v>
      </c>
    </row>
    <row r="239" spans="1:4" ht="14.4" x14ac:dyDescent="0.3">
      <c r="A239" s="3">
        <v>55457</v>
      </c>
      <c r="B239" s="3" t="s">
        <v>1120</v>
      </c>
      <c r="C239" s="4" t="b">
        <v>0</v>
      </c>
      <c r="D239" s="3">
        <v>1274</v>
      </c>
    </row>
    <row r="240" spans="1:4" ht="14.4" x14ac:dyDescent="0.3">
      <c r="A240" s="3">
        <v>555505</v>
      </c>
      <c r="B240" s="3" t="s">
        <v>1124</v>
      </c>
      <c r="C240" s="4" t="b">
        <v>0</v>
      </c>
      <c r="D240" s="3">
        <v>1223</v>
      </c>
    </row>
    <row r="241" spans="1:4" ht="14.4" x14ac:dyDescent="0.3">
      <c r="A241" s="3">
        <v>500141</v>
      </c>
      <c r="B241" s="3" t="s">
        <v>380</v>
      </c>
      <c r="C241" s="4" t="b">
        <v>0</v>
      </c>
      <c r="D241" s="3">
        <v>1578</v>
      </c>
    </row>
    <row r="242" spans="1:4" ht="14.4" x14ac:dyDescent="0.3">
      <c r="A242" s="3">
        <v>500510</v>
      </c>
      <c r="B242" s="3" t="s">
        <v>1132</v>
      </c>
      <c r="C242" s="4" t="b">
        <v>0</v>
      </c>
      <c r="D242" s="3">
        <v>164</v>
      </c>
    </row>
    <row r="243" spans="1:4" ht="14.4" x14ac:dyDescent="0.3">
      <c r="A243" s="3">
        <v>500515</v>
      </c>
      <c r="B243" s="3" t="s">
        <v>213</v>
      </c>
      <c r="C243" s="4" t="b">
        <v>0</v>
      </c>
      <c r="D243" s="3">
        <v>2247</v>
      </c>
    </row>
    <row r="244" spans="1:4" ht="14.4" x14ac:dyDescent="0.3">
      <c r="A244" s="3">
        <v>500571</v>
      </c>
      <c r="B244" s="3" t="s">
        <v>1036</v>
      </c>
      <c r="C244" s="4" t="b">
        <v>0</v>
      </c>
      <c r="D244" s="3">
        <v>4041</v>
      </c>
    </row>
    <row r="245" spans="1:4" ht="14.4" x14ac:dyDescent="0.3">
      <c r="A245" s="3">
        <v>5005430</v>
      </c>
      <c r="B245" s="3" t="s">
        <v>1148</v>
      </c>
      <c r="C245" s="4" t="b">
        <v>0</v>
      </c>
      <c r="D245" s="3">
        <v>1416</v>
      </c>
    </row>
    <row r="246" spans="1:4" ht="14.4" x14ac:dyDescent="0.3">
      <c r="A246" s="3">
        <v>500401</v>
      </c>
      <c r="B246" s="3" t="s">
        <v>993</v>
      </c>
      <c r="C246" s="4" t="b">
        <v>0</v>
      </c>
      <c r="D246" s="3">
        <v>451</v>
      </c>
    </row>
    <row r="247" spans="1:4" ht="14.4" x14ac:dyDescent="0.3">
      <c r="A247" s="3">
        <v>5004450</v>
      </c>
      <c r="B247" s="3">
        <v>0</v>
      </c>
      <c r="C247" s="4" t="b">
        <v>0</v>
      </c>
      <c r="D247" s="3">
        <v>3311</v>
      </c>
    </row>
    <row r="248" spans="1:4" ht="14.4" x14ac:dyDescent="0.3">
      <c r="A248" s="3">
        <v>5004430</v>
      </c>
      <c r="B248" s="3" t="s">
        <v>1159</v>
      </c>
      <c r="C248" s="4" t="b">
        <v>0</v>
      </c>
      <c r="D248" s="3">
        <v>102</v>
      </c>
    </row>
    <row r="249" spans="1:4" ht="14.4" x14ac:dyDescent="0.3">
      <c r="A249" s="3">
        <v>500457</v>
      </c>
      <c r="B249" s="3" t="s">
        <v>998</v>
      </c>
      <c r="C249" s="4" t="b">
        <v>0</v>
      </c>
      <c r="D249" s="3">
        <v>968</v>
      </c>
    </row>
    <row r="250" spans="1:4" ht="14.4" x14ac:dyDescent="0.3">
      <c r="A250" s="3">
        <v>5003057</v>
      </c>
      <c r="B250" s="3" t="s">
        <v>1168</v>
      </c>
      <c r="C250" s="4" t="b">
        <v>1</v>
      </c>
      <c r="D250" s="3">
        <v>1915</v>
      </c>
    </row>
    <row r="251" spans="1:4" ht="14.4" x14ac:dyDescent="0.3">
      <c r="A251" s="3">
        <v>500303050</v>
      </c>
      <c r="B251" s="3" t="s">
        <v>1173</v>
      </c>
      <c r="C251" s="4" t="b">
        <v>0</v>
      </c>
      <c r="D251" s="3">
        <v>804</v>
      </c>
    </row>
    <row r="252" spans="1:4" ht="14.4" x14ac:dyDescent="0.3">
      <c r="A252" s="3">
        <v>500667</v>
      </c>
      <c r="B252" s="3">
        <v>0</v>
      </c>
      <c r="C252" s="4" t="b">
        <v>0</v>
      </c>
      <c r="D252" s="3">
        <v>126</v>
      </c>
    </row>
    <row r="253" spans="1:4" ht="14.4" x14ac:dyDescent="0.3">
      <c r="A253" s="3">
        <v>500646</v>
      </c>
      <c r="B253" s="3" t="s">
        <v>192</v>
      </c>
      <c r="C253" s="4" t="b">
        <v>0</v>
      </c>
      <c r="D253" s="3">
        <v>350</v>
      </c>
    </row>
    <row r="254" spans="1:4" ht="14.4" x14ac:dyDescent="0.3">
      <c r="A254" s="3">
        <v>500655</v>
      </c>
      <c r="B254" s="3" t="s">
        <v>611</v>
      </c>
      <c r="C254" s="4" t="b">
        <v>0</v>
      </c>
      <c r="D254" s="3">
        <v>762</v>
      </c>
    </row>
    <row r="255" spans="1:4" ht="14.4" x14ac:dyDescent="0.3">
      <c r="A255" s="3">
        <v>5004150</v>
      </c>
      <c r="B255" s="3" t="s">
        <v>354</v>
      </c>
      <c r="C255" s="4" t="b">
        <v>0</v>
      </c>
      <c r="D255" s="3">
        <v>33</v>
      </c>
    </row>
    <row r="256" spans="1:4" ht="14.4" x14ac:dyDescent="0.3">
      <c r="A256" s="3">
        <v>5004506</v>
      </c>
      <c r="B256" s="3" t="s">
        <v>1192</v>
      </c>
      <c r="C256" s="4" t="b">
        <v>0</v>
      </c>
      <c r="D256" s="3">
        <v>1252</v>
      </c>
    </row>
    <row r="257" spans="1:4" ht="14.4" x14ac:dyDescent="0.3">
      <c r="A257" s="3">
        <v>500447</v>
      </c>
      <c r="B257" s="3">
        <v>0</v>
      </c>
      <c r="C257" s="4" t="b">
        <v>0</v>
      </c>
      <c r="D257" s="3">
        <v>508</v>
      </c>
    </row>
    <row r="258" spans="1:4" ht="14.4" x14ac:dyDescent="0.3">
      <c r="A258" s="3">
        <v>500444</v>
      </c>
      <c r="B258" s="3" t="s">
        <v>354</v>
      </c>
      <c r="C258" s="4" t="b">
        <v>0</v>
      </c>
      <c r="D258" s="3">
        <v>3047</v>
      </c>
    </row>
    <row r="259" spans="1:4" ht="14.4" x14ac:dyDescent="0.3">
      <c r="A259" s="3">
        <v>500554</v>
      </c>
      <c r="B259" s="3" t="s">
        <v>998</v>
      </c>
      <c r="C259" s="4" t="b">
        <v>0</v>
      </c>
      <c r="D259" s="3">
        <v>2397</v>
      </c>
    </row>
    <row r="260" spans="1:4" ht="14.4" x14ac:dyDescent="0.3">
      <c r="A260" s="3">
        <v>5005450</v>
      </c>
      <c r="B260" s="3" t="s">
        <v>380</v>
      </c>
      <c r="C260" s="4" t="b">
        <v>0</v>
      </c>
      <c r="D260" s="3">
        <v>3722</v>
      </c>
    </row>
    <row r="261" spans="1:4" ht="14.4" x14ac:dyDescent="0.3">
      <c r="A261" s="3">
        <v>500547</v>
      </c>
      <c r="B261" s="3" t="s">
        <v>354</v>
      </c>
      <c r="C261" s="4" t="b">
        <v>0</v>
      </c>
      <c r="D261" s="3">
        <v>1121</v>
      </c>
    </row>
    <row r="262" spans="1:4" ht="14.4" x14ac:dyDescent="0.3">
      <c r="A262" s="3">
        <v>5005750</v>
      </c>
      <c r="B262" s="3">
        <v>0</v>
      </c>
      <c r="C262" s="4" t="b">
        <v>0</v>
      </c>
      <c r="D262" s="3">
        <v>16</v>
      </c>
    </row>
    <row r="263" spans="1:4" ht="14.4" x14ac:dyDescent="0.3">
      <c r="A263" s="3">
        <v>501004</v>
      </c>
      <c r="B263" s="3" t="s">
        <v>516</v>
      </c>
      <c r="C263" s="4" t="b">
        <v>0</v>
      </c>
      <c r="D263" s="3">
        <v>1678</v>
      </c>
    </row>
    <row r="264" spans="1:4" ht="14.4" x14ac:dyDescent="0.3">
      <c r="A264" s="3">
        <v>5010430</v>
      </c>
      <c r="B264" s="3" t="s">
        <v>1227</v>
      </c>
      <c r="C264" s="4" t="b">
        <v>0</v>
      </c>
      <c r="D264" s="3">
        <v>1650</v>
      </c>
    </row>
    <row r="265" spans="1:4" ht="14.4" x14ac:dyDescent="0.3">
      <c r="A265" s="3">
        <v>5011050</v>
      </c>
      <c r="B265" s="3" t="s">
        <v>1232</v>
      </c>
      <c r="C265" s="4" t="b">
        <v>0</v>
      </c>
      <c r="D265" s="3">
        <v>1709</v>
      </c>
    </row>
    <row r="266" spans="1:4" ht="14.4" x14ac:dyDescent="0.3">
      <c r="A266" s="3">
        <v>5011504</v>
      </c>
      <c r="B266" s="3" t="s">
        <v>198</v>
      </c>
      <c r="C266" s="4" t="b">
        <v>0</v>
      </c>
      <c r="D266" s="3">
        <v>133</v>
      </c>
    </row>
    <row r="267" spans="1:4" ht="14.4" x14ac:dyDescent="0.3">
      <c r="A267" s="3">
        <v>501160</v>
      </c>
      <c r="B267" s="3" t="s">
        <v>323</v>
      </c>
      <c r="C267" s="4" t="b">
        <v>0</v>
      </c>
      <c r="D267" s="3">
        <v>3601</v>
      </c>
    </row>
    <row r="268" spans="1:4" ht="14.4" x14ac:dyDescent="0.3">
      <c r="A268" s="3">
        <v>501545</v>
      </c>
      <c r="B268" s="3" t="s">
        <v>1247</v>
      </c>
      <c r="C268" s="4" t="b">
        <v>0</v>
      </c>
      <c r="D268" s="3">
        <v>1501</v>
      </c>
    </row>
    <row r="269" spans="1:4" ht="14.4" x14ac:dyDescent="0.3">
      <c r="A269" s="3">
        <v>501547</v>
      </c>
      <c r="B269" s="3" t="s">
        <v>1148</v>
      </c>
      <c r="C269" s="4" t="b">
        <v>0</v>
      </c>
      <c r="D269" s="3">
        <v>1032</v>
      </c>
    </row>
    <row r="270" spans="1:4" ht="14.4" x14ac:dyDescent="0.3">
      <c r="A270" s="3">
        <v>5015050</v>
      </c>
      <c r="B270" s="3" t="s">
        <v>1255</v>
      </c>
      <c r="C270" s="4" t="b">
        <v>0</v>
      </c>
      <c r="D270" s="3">
        <v>4711</v>
      </c>
    </row>
    <row r="271" spans="1:4" ht="14.4" x14ac:dyDescent="0.3">
      <c r="A271" s="3">
        <v>501416</v>
      </c>
      <c r="B271" s="3" t="s">
        <v>302</v>
      </c>
      <c r="C271" s="4" t="b">
        <v>0</v>
      </c>
      <c r="D271" s="3">
        <v>1108</v>
      </c>
    </row>
    <row r="272" spans="1:4" ht="14.4" x14ac:dyDescent="0.3">
      <c r="A272" s="3">
        <v>5014550</v>
      </c>
      <c r="B272" s="3" t="s">
        <v>1263</v>
      </c>
      <c r="C272" s="4" t="b">
        <v>0</v>
      </c>
      <c r="D272" s="3">
        <v>3241</v>
      </c>
    </row>
    <row r="273" spans="1:4" ht="14.4" x14ac:dyDescent="0.3">
      <c r="A273" s="3">
        <v>501447</v>
      </c>
      <c r="B273" s="3" t="s">
        <v>271</v>
      </c>
      <c r="C273" s="4" t="b">
        <v>0</v>
      </c>
      <c r="D273" s="3">
        <v>764</v>
      </c>
    </row>
    <row r="274" spans="1:4" ht="14.4" x14ac:dyDescent="0.3">
      <c r="A274" s="3">
        <v>5013047</v>
      </c>
      <c r="B274" s="3" t="s">
        <v>1273</v>
      </c>
      <c r="C274" s="4" t="b">
        <v>0</v>
      </c>
      <c r="D274" s="3">
        <v>201</v>
      </c>
    </row>
    <row r="275" spans="1:4" ht="14.4" x14ac:dyDescent="0.3">
      <c r="A275" s="3">
        <v>5013050</v>
      </c>
      <c r="B275" s="3" t="s">
        <v>165</v>
      </c>
      <c r="C275" s="4" t="b">
        <v>0</v>
      </c>
      <c r="D275" s="3">
        <v>283</v>
      </c>
    </row>
    <row r="276" spans="1:4" ht="14.4" x14ac:dyDescent="0.3">
      <c r="A276" s="3">
        <v>501674</v>
      </c>
      <c r="B276" s="3" t="s">
        <v>1283</v>
      </c>
      <c r="C276" s="4" t="b">
        <v>0</v>
      </c>
      <c r="D276" s="3">
        <v>988</v>
      </c>
    </row>
    <row r="277" spans="1:4" ht="14.4" x14ac:dyDescent="0.3">
      <c r="A277" s="3">
        <v>501757</v>
      </c>
      <c r="B277" s="3" t="s">
        <v>1036</v>
      </c>
      <c r="C277" s="4" t="b">
        <v>0</v>
      </c>
      <c r="D277" s="3">
        <v>564</v>
      </c>
    </row>
    <row r="278" spans="1:4" ht="14.4" x14ac:dyDescent="0.3">
      <c r="A278" s="3">
        <v>501771</v>
      </c>
      <c r="B278" s="3" t="s">
        <v>1293</v>
      </c>
      <c r="C278" s="4" t="b">
        <v>0</v>
      </c>
      <c r="D278" s="3">
        <v>3628</v>
      </c>
    </row>
    <row r="279" spans="1:4" ht="14.4" x14ac:dyDescent="0.3">
      <c r="A279" s="3">
        <v>5017730</v>
      </c>
      <c r="B279" s="3">
        <v>0</v>
      </c>
      <c r="C279" s="4" t="b">
        <v>1</v>
      </c>
      <c r="D279" s="3">
        <v>0</v>
      </c>
    </row>
    <row r="280" spans="1:4" ht="14.4" x14ac:dyDescent="0.3">
      <c r="A280" s="3">
        <v>50143050</v>
      </c>
      <c r="B280" s="3" t="s">
        <v>576</v>
      </c>
      <c r="C280" s="4" t="b">
        <v>0</v>
      </c>
      <c r="D280" s="3">
        <v>1871</v>
      </c>
    </row>
    <row r="281" spans="1:4" ht="14.4" x14ac:dyDescent="0.3">
      <c r="A281" s="3">
        <v>501464</v>
      </c>
      <c r="B281" s="3" t="s">
        <v>1306</v>
      </c>
      <c r="C281" s="4" t="b">
        <v>0</v>
      </c>
      <c r="D281" s="3">
        <v>307</v>
      </c>
    </row>
    <row r="282" spans="1:4" ht="14.4" x14ac:dyDescent="0.3">
      <c r="A282" s="3">
        <v>501550</v>
      </c>
      <c r="B282" s="3" t="s">
        <v>1312</v>
      </c>
      <c r="C282" s="4" t="b">
        <v>0</v>
      </c>
      <c r="D282" s="3">
        <v>848</v>
      </c>
    </row>
    <row r="283" spans="1:4" ht="14.4" x14ac:dyDescent="0.3">
      <c r="A283" s="3">
        <v>5015550</v>
      </c>
      <c r="B283" s="3" t="s">
        <v>323</v>
      </c>
      <c r="C283" s="4" t="b">
        <v>0</v>
      </c>
      <c r="D283" s="3">
        <v>41</v>
      </c>
    </row>
    <row r="284" spans="1:4" ht="14.4" x14ac:dyDescent="0.3">
      <c r="A284" s="3">
        <v>5015504</v>
      </c>
      <c r="B284" s="3">
        <v>0</v>
      </c>
      <c r="C284" s="4" t="b">
        <v>0</v>
      </c>
      <c r="D284" s="3">
        <v>1</v>
      </c>
    </row>
    <row r="285" spans="1:4" ht="14.4" x14ac:dyDescent="0.3">
      <c r="A285" s="3">
        <v>505054</v>
      </c>
      <c r="B285" s="3" t="s">
        <v>1322</v>
      </c>
      <c r="C285" s="4" t="b">
        <v>0</v>
      </c>
      <c r="D285" s="3">
        <v>1160</v>
      </c>
    </row>
    <row r="286" spans="1:4" ht="14.4" x14ac:dyDescent="0.3">
      <c r="A286" s="3">
        <v>505504</v>
      </c>
      <c r="B286" s="3" t="s">
        <v>1328</v>
      </c>
      <c r="C286" s="4" t="b">
        <v>0</v>
      </c>
      <c r="D286" s="3">
        <v>1855</v>
      </c>
    </row>
    <row r="287" spans="1:4" ht="14.4" x14ac:dyDescent="0.3">
      <c r="A287" s="3">
        <v>505504</v>
      </c>
      <c r="B287" s="3" t="s">
        <v>788</v>
      </c>
      <c r="C287" s="4" t="b">
        <v>0</v>
      </c>
      <c r="D287" s="3">
        <v>2228</v>
      </c>
    </row>
    <row r="288" spans="1:4" ht="14.4" x14ac:dyDescent="0.3">
      <c r="A288" s="3">
        <v>505514</v>
      </c>
      <c r="B288" s="3">
        <v>0</v>
      </c>
      <c r="C288" s="4" t="b">
        <v>0</v>
      </c>
      <c r="D288" s="3">
        <v>10</v>
      </c>
    </row>
    <row r="289" spans="1:4" ht="14.4" x14ac:dyDescent="0.3">
      <c r="A289" s="3">
        <v>505574</v>
      </c>
      <c r="B289" s="3" t="s">
        <v>1342</v>
      </c>
      <c r="C289" s="4" t="b">
        <v>0</v>
      </c>
      <c r="D289" s="3">
        <v>2379</v>
      </c>
    </row>
    <row r="290" spans="1:4" ht="14.4" x14ac:dyDescent="0.3">
      <c r="A290" s="3">
        <v>505576</v>
      </c>
      <c r="B290" s="3" t="s">
        <v>1346</v>
      </c>
      <c r="C290" s="4" t="b">
        <v>0</v>
      </c>
      <c r="D290" s="3">
        <v>2990</v>
      </c>
    </row>
    <row r="291" spans="1:4" ht="14.4" x14ac:dyDescent="0.3">
      <c r="A291" s="3">
        <v>5055060</v>
      </c>
      <c r="B291" s="3" t="s">
        <v>993</v>
      </c>
      <c r="C291" s="4" t="b">
        <v>0</v>
      </c>
      <c r="D291" s="3">
        <v>510</v>
      </c>
    </row>
    <row r="292" spans="1:4" ht="14.4" x14ac:dyDescent="0.3">
      <c r="A292" s="3">
        <v>5055054</v>
      </c>
      <c r="B292" s="3" t="s">
        <v>192</v>
      </c>
      <c r="C292" s="4" t="b">
        <v>1</v>
      </c>
      <c r="D292" s="3">
        <v>399</v>
      </c>
    </row>
    <row r="293" spans="1:4" ht="14.4" x14ac:dyDescent="0.3">
      <c r="A293" s="3">
        <v>5054500</v>
      </c>
      <c r="B293" s="3">
        <v>0</v>
      </c>
      <c r="C293" s="4" t="b">
        <v>0</v>
      </c>
      <c r="D293" s="3">
        <v>502</v>
      </c>
    </row>
    <row r="294" spans="1:4" ht="14.4" x14ac:dyDescent="0.3">
      <c r="A294" s="3">
        <v>5054650</v>
      </c>
      <c r="B294" s="3" t="s">
        <v>1364</v>
      </c>
      <c r="C294" s="4" t="b">
        <v>0</v>
      </c>
      <c r="D294" s="3">
        <v>788</v>
      </c>
    </row>
    <row r="295" spans="1:4" ht="14.4" x14ac:dyDescent="0.3">
      <c r="A295" s="3">
        <v>5053010</v>
      </c>
      <c r="B295" s="3" t="s">
        <v>292</v>
      </c>
      <c r="C295" s="4" t="b">
        <v>0</v>
      </c>
      <c r="D295" s="3">
        <v>151</v>
      </c>
    </row>
    <row r="296" spans="1:4" ht="14.4" x14ac:dyDescent="0.3">
      <c r="A296" s="3">
        <v>5056530</v>
      </c>
      <c r="B296" s="3" t="s">
        <v>174</v>
      </c>
      <c r="C296" s="4" t="b">
        <v>0</v>
      </c>
      <c r="D296" s="3">
        <v>771</v>
      </c>
    </row>
    <row r="297" spans="1:4" ht="14.4" x14ac:dyDescent="0.3">
      <c r="A297" s="3">
        <v>505641</v>
      </c>
      <c r="B297" s="3" t="s">
        <v>993</v>
      </c>
      <c r="C297" s="4" t="b">
        <v>0</v>
      </c>
      <c r="D297" s="3">
        <v>524</v>
      </c>
    </row>
    <row r="298" spans="1:4" ht="14.4" x14ac:dyDescent="0.3">
      <c r="A298" s="3">
        <v>505704</v>
      </c>
      <c r="B298" s="3" t="s">
        <v>1381</v>
      </c>
      <c r="C298" s="4" t="b">
        <v>0</v>
      </c>
      <c r="D298" s="3">
        <v>1892</v>
      </c>
    </row>
    <row r="299" spans="1:4" ht="14.4" x14ac:dyDescent="0.3">
      <c r="A299" s="3">
        <v>505741</v>
      </c>
      <c r="B299" s="3" t="s">
        <v>611</v>
      </c>
      <c r="C299" s="4" t="b">
        <v>0</v>
      </c>
      <c r="D299" s="3">
        <v>563</v>
      </c>
    </row>
    <row r="300" spans="1:4" ht="14.4" x14ac:dyDescent="0.3">
      <c r="A300" s="3">
        <v>505400</v>
      </c>
      <c r="B300" s="3" t="s">
        <v>611</v>
      </c>
      <c r="C300" s="4" t="b">
        <v>0</v>
      </c>
      <c r="D300" s="3">
        <v>570</v>
      </c>
    </row>
    <row r="301" spans="1:4" ht="14.4" x14ac:dyDescent="0.3">
      <c r="A301" s="3">
        <v>505414</v>
      </c>
      <c r="B301" s="3">
        <v>0</v>
      </c>
      <c r="C301" s="4" t="b">
        <v>0</v>
      </c>
      <c r="D301" s="3">
        <v>252</v>
      </c>
    </row>
    <row r="302" spans="1:4" ht="14.4" x14ac:dyDescent="0.3">
      <c r="A302" s="3">
        <v>50500505</v>
      </c>
      <c r="B302" s="3" t="s">
        <v>73</v>
      </c>
      <c r="C302" s="4" t="b">
        <v>0</v>
      </c>
      <c r="D302" s="3">
        <v>577</v>
      </c>
    </row>
    <row r="303" spans="1:4" ht="14.4" x14ac:dyDescent="0.3">
      <c r="A303" s="3">
        <v>5050077</v>
      </c>
      <c r="B303" s="3">
        <v>0</v>
      </c>
      <c r="C303" s="4" t="b">
        <v>0</v>
      </c>
      <c r="D303" s="3">
        <v>707</v>
      </c>
    </row>
    <row r="304" spans="1:4" ht="14.4" x14ac:dyDescent="0.3">
      <c r="A304" s="3">
        <v>50501430</v>
      </c>
      <c r="B304" s="3" t="s">
        <v>354</v>
      </c>
      <c r="C304" s="4" t="b">
        <v>1</v>
      </c>
      <c r="D304" s="3">
        <v>827</v>
      </c>
    </row>
    <row r="305" spans="1:4" ht="14.4" x14ac:dyDescent="0.3">
      <c r="A305" s="3">
        <v>5050145</v>
      </c>
      <c r="B305" s="3" t="s">
        <v>611</v>
      </c>
      <c r="C305" s="4" t="b">
        <v>0</v>
      </c>
      <c r="D305" s="3">
        <v>753</v>
      </c>
    </row>
    <row r="306" spans="1:4" ht="14.4" x14ac:dyDescent="0.3">
      <c r="A306" s="3">
        <v>50501430</v>
      </c>
      <c r="B306" s="3" t="s">
        <v>192</v>
      </c>
      <c r="C306" s="4" t="b">
        <v>0</v>
      </c>
      <c r="D306" s="3">
        <v>263</v>
      </c>
    </row>
    <row r="307" spans="1:4" ht="14.4" x14ac:dyDescent="0.3">
      <c r="A307" s="3">
        <v>50505014</v>
      </c>
      <c r="B307" s="3">
        <v>0</v>
      </c>
      <c r="C307" s="4" t="b">
        <v>0</v>
      </c>
      <c r="D307" s="3">
        <v>0</v>
      </c>
    </row>
    <row r="308" spans="1:4" ht="14.4" x14ac:dyDescent="0.3">
      <c r="A308" s="3">
        <v>50505060</v>
      </c>
      <c r="B308" s="3" t="s">
        <v>266</v>
      </c>
      <c r="C308" s="4" t="b">
        <v>0</v>
      </c>
      <c r="D308" s="3">
        <v>154</v>
      </c>
    </row>
    <row r="309" spans="1:4" ht="14.4" x14ac:dyDescent="0.3">
      <c r="A309" s="3">
        <v>505050630</v>
      </c>
      <c r="B309" s="3" t="s">
        <v>993</v>
      </c>
      <c r="C309" s="4" t="b">
        <v>0</v>
      </c>
      <c r="D309" s="3">
        <v>285</v>
      </c>
    </row>
    <row r="310" spans="1:4" ht="14.4" x14ac:dyDescent="0.3">
      <c r="A310" s="3">
        <v>50505074</v>
      </c>
      <c r="B310" s="3">
        <v>0</v>
      </c>
      <c r="C310" s="4" t="b">
        <v>0</v>
      </c>
      <c r="D310" s="3">
        <v>0</v>
      </c>
    </row>
    <row r="311" spans="1:4" ht="14.4" x14ac:dyDescent="0.3">
      <c r="A311" s="3">
        <v>50505041</v>
      </c>
      <c r="B311" s="3">
        <v>0</v>
      </c>
      <c r="C311" s="4" t="b">
        <v>0</v>
      </c>
      <c r="D311" s="3">
        <v>119</v>
      </c>
    </row>
    <row r="312" spans="1:4" ht="14.4" x14ac:dyDescent="0.3">
      <c r="A312" s="3">
        <v>50503054</v>
      </c>
      <c r="B312" s="3">
        <v>0</v>
      </c>
      <c r="C312" s="4" t="b">
        <v>0</v>
      </c>
      <c r="D312" s="3">
        <v>6</v>
      </c>
    </row>
    <row r="313" spans="1:4" ht="14.4" x14ac:dyDescent="0.3">
      <c r="A313" s="3">
        <v>505030504</v>
      </c>
      <c r="B313" s="3" t="s">
        <v>1447</v>
      </c>
      <c r="C313" s="4" t="b">
        <v>0</v>
      </c>
      <c r="D313" s="3">
        <v>1372</v>
      </c>
    </row>
    <row r="314" spans="1:4" ht="14.4" x14ac:dyDescent="0.3">
      <c r="A314" s="3">
        <v>50506504</v>
      </c>
      <c r="B314" s="3" t="s">
        <v>611</v>
      </c>
      <c r="C314" s="4" t="b">
        <v>0</v>
      </c>
      <c r="D314" s="3">
        <v>706</v>
      </c>
    </row>
    <row r="315" spans="1:4" ht="14.4" x14ac:dyDescent="0.3">
      <c r="A315" s="3">
        <v>5050664</v>
      </c>
      <c r="B315" s="3" t="s">
        <v>192</v>
      </c>
      <c r="C315" s="4" t="b">
        <v>0</v>
      </c>
      <c r="D315" s="3">
        <v>47</v>
      </c>
    </row>
    <row r="316" spans="1:4" ht="14.4" x14ac:dyDescent="0.3">
      <c r="A316" s="3">
        <v>5050745</v>
      </c>
      <c r="B316" s="3" t="s">
        <v>1458</v>
      </c>
      <c r="C316" s="4" t="b">
        <v>0</v>
      </c>
      <c r="D316" s="3">
        <v>94</v>
      </c>
    </row>
    <row r="317" spans="1:4" ht="14.4" x14ac:dyDescent="0.3">
      <c r="A317" s="3">
        <v>5050740</v>
      </c>
      <c r="B317" s="3">
        <v>0</v>
      </c>
      <c r="C317" s="4" t="b">
        <v>0</v>
      </c>
      <c r="D317" s="3">
        <v>1271</v>
      </c>
    </row>
    <row r="318" spans="1:4" ht="14.4" x14ac:dyDescent="0.3">
      <c r="A318" s="3">
        <v>50504550</v>
      </c>
      <c r="B318" s="3" t="s">
        <v>1148</v>
      </c>
      <c r="C318" s="4" t="b">
        <v>0</v>
      </c>
      <c r="D318" s="3">
        <v>48</v>
      </c>
    </row>
    <row r="319" spans="1:4" ht="14.4" x14ac:dyDescent="0.3">
      <c r="A319" s="3">
        <v>5050446</v>
      </c>
      <c r="B319" s="3" t="s">
        <v>213</v>
      </c>
      <c r="C319" s="4" t="b">
        <v>0</v>
      </c>
      <c r="D319" s="3">
        <v>113</v>
      </c>
    </row>
    <row r="320" spans="1:4" ht="14.4" x14ac:dyDescent="0.3">
      <c r="A320" s="3">
        <v>50504305</v>
      </c>
      <c r="B320" s="3" t="s">
        <v>1477</v>
      </c>
      <c r="C320" s="4" t="b">
        <v>0</v>
      </c>
      <c r="D320" s="3">
        <v>49</v>
      </c>
    </row>
    <row r="321" spans="1:4" ht="14.4" x14ac:dyDescent="0.3">
      <c r="A321" s="3">
        <v>5050506</v>
      </c>
      <c r="B321" s="3">
        <v>0</v>
      </c>
      <c r="C321" s="4" t="b">
        <v>0</v>
      </c>
      <c r="D321" s="3">
        <v>597</v>
      </c>
    </row>
    <row r="322" spans="1:4" ht="14.4" x14ac:dyDescent="0.3">
      <c r="A322" s="3">
        <v>5050511</v>
      </c>
      <c r="B322" s="3" t="s">
        <v>1487</v>
      </c>
      <c r="C322" s="4" t="b">
        <v>0</v>
      </c>
      <c r="D322" s="3">
        <v>405</v>
      </c>
    </row>
    <row r="323" spans="1:4" ht="14.4" x14ac:dyDescent="0.3">
      <c r="A323" s="3">
        <v>5040504</v>
      </c>
      <c r="B323" s="3">
        <v>0</v>
      </c>
      <c r="C323" s="4" t="b">
        <v>1</v>
      </c>
      <c r="D323" s="3">
        <v>71</v>
      </c>
    </row>
    <row r="324" spans="1:4" ht="14.4" x14ac:dyDescent="0.3">
      <c r="A324" s="3">
        <v>504054</v>
      </c>
      <c r="B324" s="3" t="s">
        <v>302</v>
      </c>
      <c r="C324" s="4" t="b">
        <v>1</v>
      </c>
      <c r="D324" s="3">
        <v>348</v>
      </c>
    </row>
    <row r="325" spans="1:4" ht="14.4" x14ac:dyDescent="0.3">
      <c r="A325" s="3">
        <v>504554</v>
      </c>
      <c r="B325" s="3" t="s">
        <v>1501</v>
      </c>
      <c r="C325" s="4" t="b">
        <v>0</v>
      </c>
      <c r="D325" s="3">
        <v>113</v>
      </c>
    </row>
    <row r="326" spans="1:4" ht="14.4" x14ac:dyDescent="0.3">
      <c r="A326" s="3">
        <v>5045307</v>
      </c>
      <c r="B326" s="3" t="s">
        <v>1507</v>
      </c>
      <c r="C326" s="4" t="b">
        <v>0</v>
      </c>
      <c r="D326" s="3">
        <v>619</v>
      </c>
    </row>
    <row r="327" spans="1:4" ht="14.4" x14ac:dyDescent="0.3">
      <c r="A327" s="3">
        <v>5045046</v>
      </c>
      <c r="B327" s="3" t="s">
        <v>1010</v>
      </c>
      <c r="C327" s="4" t="b">
        <v>0</v>
      </c>
      <c r="D327" s="3">
        <v>180</v>
      </c>
    </row>
    <row r="328" spans="1:4" ht="14.4" x14ac:dyDescent="0.3">
      <c r="A328" s="3">
        <v>5045070</v>
      </c>
      <c r="B328" s="3" t="s">
        <v>764</v>
      </c>
      <c r="C328" s="4" t="b">
        <v>1</v>
      </c>
      <c r="D328" s="3">
        <v>55</v>
      </c>
    </row>
    <row r="329" spans="1:4" ht="14.4" x14ac:dyDescent="0.3">
      <c r="A329" s="3">
        <v>5044030</v>
      </c>
      <c r="B329" s="3" t="s">
        <v>1521</v>
      </c>
      <c r="C329" s="4" t="b">
        <v>0</v>
      </c>
      <c r="D329" s="3">
        <v>126</v>
      </c>
    </row>
    <row r="330" spans="1:4" ht="14.4" x14ac:dyDescent="0.3">
      <c r="A330" s="3">
        <v>504475</v>
      </c>
      <c r="B330" s="3">
        <v>0</v>
      </c>
      <c r="C330" s="4" t="b">
        <v>0</v>
      </c>
      <c r="D330" s="3">
        <v>0</v>
      </c>
    </row>
    <row r="331" spans="1:4" ht="14.4" x14ac:dyDescent="0.3">
      <c r="A331" s="3">
        <v>5044450</v>
      </c>
      <c r="B331" s="3">
        <v>0</v>
      </c>
      <c r="C331" s="4" t="b">
        <v>0</v>
      </c>
      <c r="D331" s="3">
        <v>13</v>
      </c>
    </row>
    <row r="332" spans="1:4" ht="14.4" x14ac:dyDescent="0.3">
      <c r="A332" s="3">
        <v>5043050</v>
      </c>
      <c r="B332" s="3">
        <v>0</v>
      </c>
      <c r="C332" s="4" t="b">
        <v>0</v>
      </c>
      <c r="D332" s="3">
        <v>372</v>
      </c>
    </row>
    <row r="333" spans="1:4" ht="14.4" x14ac:dyDescent="0.3">
      <c r="A333" s="3">
        <v>5046501</v>
      </c>
      <c r="B333" s="3">
        <v>0</v>
      </c>
      <c r="C333" s="4" t="b">
        <v>0</v>
      </c>
      <c r="D333" s="3">
        <v>52</v>
      </c>
    </row>
    <row r="334" spans="1:4" ht="14.4" x14ac:dyDescent="0.3">
      <c r="A334" s="3">
        <v>50463030</v>
      </c>
      <c r="B334" s="3" t="s">
        <v>1537</v>
      </c>
      <c r="C334" s="4" t="b">
        <v>0</v>
      </c>
      <c r="D334" s="3">
        <v>1787</v>
      </c>
    </row>
    <row r="335" spans="1:4" ht="14.4" x14ac:dyDescent="0.3">
      <c r="A335" s="3">
        <v>5047430</v>
      </c>
      <c r="B335" s="3">
        <v>0</v>
      </c>
      <c r="C335" s="4" t="b">
        <v>0</v>
      </c>
      <c r="D335" s="3">
        <v>121</v>
      </c>
    </row>
    <row r="336" spans="1:4" ht="14.4" x14ac:dyDescent="0.3">
      <c r="A336" s="3">
        <v>5047301</v>
      </c>
      <c r="B336" s="3">
        <v>0</v>
      </c>
      <c r="C336" s="4" t="b">
        <v>0</v>
      </c>
      <c r="D336" s="3">
        <v>1</v>
      </c>
    </row>
    <row r="337" spans="1:4" ht="14.4" x14ac:dyDescent="0.3">
      <c r="A337" s="3">
        <v>504404</v>
      </c>
      <c r="B337" s="3">
        <v>0</v>
      </c>
      <c r="C337" s="4" t="b">
        <v>1</v>
      </c>
      <c r="D337" s="3">
        <v>60</v>
      </c>
    </row>
    <row r="338" spans="1:4" ht="14.4" x14ac:dyDescent="0.3">
      <c r="A338" s="3">
        <v>5044506</v>
      </c>
      <c r="B338" s="3">
        <v>0</v>
      </c>
      <c r="C338" s="4" t="b">
        <v>0</v>
      </c>
      <c r="D338" s="3">
        <v>0</v>
      </c>
    </row>
    <row r="339" spans="1:4" ht="14.4" x14ac:dyDescent="0.3">
      <c r="A339" s="3">
        <v>5044450</v>
      </c>
      <c r="B339" s="3">
        <v>0</v>
      </c>
      <c r="C339" s="4" t="b">
        <v>0</v>
      </c>
      <c r="D339" s="3">
        <v>462</v>
      </c>
    </row>
    <row r="340" spans="1:4" ht="14.4" x14ac:dyDescent="0.3">
      <c r="A340" s="3">
        <v>504464</v>
      </c>
      <c r="B340" s="3" t="s">
        <v>993</v>
      </c>
      <c r="C340" s="4" t="b">
        <v>0</v>
      </c>
      <c r="D340" s="3">
        <v>534</v>
      </c>
    </row>
    <row r="341" spans="1:4" ht="14.4" x14ac:dyDescent="0.3">
      <c r="A341" s="3">
        <v>504451</v>
      </c>
      <c r="B341" s="3">
        <v>0</v>
      </c>
      <c r="C341" s="4" t="b">
        <v>0</v>
      </c>
      <c r="D341" s="3">
        <v>1</v>
      </c>
    </row>
    <row r="342" spans="1:4" ht="14.4" x14ac:dyDescent="0.3">
      <c r="A342" s="3">
        <v>504455</v>
      </c>
      <c r="B342" s="3" t="s">
        <v>323</v>
      </c>
      <c r="C342" s="4" t="b">
        <v>0</v>
      </c>
      <c r="D342" s="3">
        <v>68</v>
      </c>
    </row>
    <row r="343" spans="1:4" ht="14.4" x14ac:dyDescent="0.3">
      <c r="A343" s="3">
        <v>504545</v>
      </c>
      <c r="B343" s="3" t="s">
        <v>323</v>
      </c>
      <c r="C343" s="4" t="b">
        <v>0</v>
      </c>
      <c r="D343" s="3">
        <v>18</v>
      </c>
    </row>
    <row r="344" spans="1:4" ht="14.4" x14ac:dyDescent="0.3">
      <c r="A344" s="3">
        <v>5045304</v>
      </c>
      <c r="B344" s="3">
        <v>0</v>
      </c>
      <c r="C344" s="4" t="b">
        <v>0</v>
      </c>
      <c r="D344" s="3">
        <v>11</v>
      </c>
    </row>
    <row r="345" spans="1:4" ht="14.4" x14ac:dyDescent="0.3">
      <c r="A345" s="3">
        <v>504540</v>
      </c>
      <c r="B345" s="3" t="s">
        <v>323</v>
      </c>
      <c r="C345" s="4" t="b">
        <v>0</v>
      </c>
      <c r="D345" s="3">
        <v>261</v>
      </c>
    </row>
    <row r="346" spans="1:4" ht="14.4" x14ac:dyDescent="0.3">
      <c r="A346" s="3">
        <v>5045530</v>
      </c>
      <c r="B346" s="3">
        <v>0</v>
      </c>
      <c r="C346" s="4" t="b">
        <v>1</v>
      </c>
      <c r="D346" s="3">
        <v>285</v>
      </c>
    </row>
    <row r="347" spans="1:4" ht="14.4" x14ac:dyDescent="0.3">
      <c r="A347" s="3">
        <v>50300304</v>
      </c>
      <c r="B347" s="3">
        <v>0</v>
      </c>
      <c r="C347" s="4" t="b">
        <v>0</v>
      </c>
      <c r="D347" s="3">
        <v>0</v>
      </c>
    </row>
    <row r="348" spans="1:4" ht="14.4" x14ac:dyDescent="0.3">
      <c r="A348" s="3">
        <v>50300450</v>
      </c>
      <c r="B348" s="3">
        <v>0</v>
      </c>
      <c r="C348" s="4" t="b">
        <v>0</v>
      </c>
      <c r="D348" s="3">
        <v>1</v>
      </c>
    </row>
    <row r="349" spans="1:4" ht="14.4" x14ac:dyDescent="0.3">
      <c r="A349" s="3">
        <v>50301507</v>
      </c>
      <c r="B349" s="3" t="s">
        <v>576</v>
      </c>
      <c r="C349" s="4" t="b">
        <v>0</v>
      </c>
      <c r="D349" s="3">
        <v>507</v>
      </c>
    </row>
    <row r="350" spans="1:4" ht="14.4" x14ac:dyDescent="0.3">
      <c r="A350" s="3">
        <v>5030144</v>
      </c>
      <c r="B350" s="3">
        <v>0</v>
      </c>
      <c r="C350" s="4" t="b">
        <v>0</v>
      </c>
      <c r="D350" s="3">
        <v>48</v>
      </c>
    </row>
    <row r="351" spans="1:4" ht="14.4" x14ac:dyDescent="0.3">
      <c r="A351" s="3">
        <v>5030144</v>
      </c>
      <c r="B351" s="3" t="s">
        <v>1601</v>
      </c>
      <c r="C351" s="4" t="b">
        <v>0</v>
      </c>
      <c r="D351" s="3">
        <v>21</v>
      </c>
    </row>
    <row r="352" spans="1:4" ht="14.4" x14ac:dyDescent="0.3">
      <c r="A352" s="3">
        <v>50301305</v>
      </c>
      <c r="B352" s="3" t="s">
        <v>611</v>
      </c>
      <c r="C352" s="4" t="b">
        <v>0</v>
      </c>
      <c r="D352" s="3">
        <v>585</v>
      </c>
    </row>
    <row r="353" spans="1:4" ht="14.4" x14ac:dyDescent="0.3">
      <c r="A353" s="3">
        <v>5030170</v>
      </c>
      <c r="B353" s="3" t="s">
        <v>1611</v>
      </c>
      <c r="C353" s="4" t="b">
        <v>0</v>
      </c>
      <c r="D353" s="3">
        <v>246</v>
      </c>
    </row>
    <row r="354" spans="1:4" ht="14.4" x14ac:dyDescent="0.3">
      <c r="A354" s="3">
        <v>50301730</v>
      </c>
      <c r="B354" s="3">
        <v>0</v>
      </c>
      <c r="C354" s="4" t="b">
        <v>0</v>
      </c>
      <c r="D354" s="3">
        <v>17</v>
      </c>
    </row>
    <row r="355" spans="1:4" ht="14.4" x14ac:dyDescent="0.3">
      <c r="A355" s="3">
        <v>5030154</v>
      </c>
      <c r="B355" s="3">
        <v>0</v>
      </c>
      <c r="C355" s="4" t="b">
        <v>0</v>
      </c>
      <c r="D355" s="3">
        <v>32</v>
      </c>
    </row>
    <row r="356" spans="1:4" ht="14.4" x14ac:dyDescent="0.3">
      <c r="A356" s="3">
        <v>5030504</v>
      </c>
      <c r="B356" s="3">
        <v>0</v>
      </c>
      <c r="C356" s="4" t="b">
        <v>0</v>
      </c>
      <c r="D356" s="3">
        <v>273</v>
      </c>
    </row>
    <row r="357" spans="1:4" ht="14.4" x14ac:dyDescent="0.3">
      <c r="A357" s="3">
        <v>50305505</v>
      </c>
      <c r="B357" s="3" t="s">
        <v>1322</v>
      </c>
      <c r="C357" s="4" t="b">
        <v>0</v>
      </c>
      <c r="D357" s="3">
        <v>144</v>
      </c>
    </row>
    <row r="358" spans="1:4" ht="14.4" x14ac:dyDescent="0.3">
      <c r="A358" s="3">
        <v>50305307</v>
      </c>
      <c r="B358" s="3">
        <v>0</v>
      </c>
      <c r="C358" s="4" t="b">
        <v>0</v>
      </c>
      <c r="D358" s="3">
        <v>709</v>
      </c>
    </row>
    <row r="359" spans="1:4" ht="14.4" x14ac:dyDescent="0.3">
      <c r="A359" s="3">
        <v>50305530</v>
      </c>
      <c r="B359" s="3">
        <v>0</v>
      </c>
      <c r="C359" s="4" t="b">
        <v>0</v>
      </c>
      <c r="D359" s="3">
        <v>23</v>
      </c>
    </row>
    <row r="360" spans="1:4" ht="14.4" x14ac:dyDescent="0.3">
      <c r="A360" s="3">
        <v>50305017</v>
      </c>
      <c r="B360" s="3">
        <v>0</v>
      </c>
      <c r="C360" s="4" t="b">
        <v>0</v>
      </c>
      <c r="D360" s="3">
        <v>106</v>
      </c>
    </row>
    <row r="361" spans="1:4" ht="14.4" x14ac:dyDescent="0.3">
      <c r="A361" s="3">
        <v>503050550</v>
      </c>
      <c r="B361" s="3">
        <v>0</v>
      </c>
      <c r="C361" s="4" t="b">
        <v>0</v>
      </c>
      <c r="D361" s="3">
        <v>1</v>
      </c>
    </row>
    <row r="362" spans="1:4" ht="14.4" x14ac:dyDescent="0.3">
      <c r="A362" s="3">
        <v>50305047</v>
      </c>
      <c r="B362" s="3">
        <v>0</v>
      </c>
      <c r="C362" s="4" t="b">
        <v>0</v>
      </c>
      <c r="D362" s="3">
        <v>7</v>
      </c>
    </row>
    <row r="363" spans="1:4" ht="14.4" x14ac:dyDescent="0.3">
      <c r="A363" s="3">
        <v>503050300</v>
      </c>
      <c r="B363" s="3">
        <v>0</v>
      </c>
      <c r="C363" s="4" t="b">
        <v>0</v>
      </c>
      <c r="D363" s="3">
        <v>9</v>
      </c>
    </row>
    <row r="364" spans="1:4" ht="14.4" x14ac:dyDescent="0.3">
      <c r="A364" s="3">
        <v>5030400</v>
      </c>
      <c r="B364" s="3">
        <v>0</v>
      </c>
      <c r="C364" s="4" t="b">
        <v>0</v>
      </c>
      <c r="D364" s="3">
        <v>21</v>
      </c>
    </row>
    <row r="365" spans="1:4" ht="14.4" x14ac:dyDescent="0.3">
      <c r="A365" s="3">
        <v>5030404</v>
      </c>
      <c r="B365" s="3">
        <v>0</v>
      </c>
      <c r="C365" s="4" t="b">
        <v>0</v>
      </c>
      <c r="D365" s="3">
        <v>32</v>
      </c>
    </row>
    <row r="366" spans="1:4" ht="14.4" x14ac:dyDescent="0.3">
      <c r="A366" s="3">
        <v>5030444</v>
      </c>
      <c r="B366" s="3" t="s">
        <v>1601</v>
      </c>
      <c r="C366" s="4" t="b">
        <v>0</v>
      </c>
      <c r="D366" s="3">
        <v>51</v>
      </c>
    </row>
    <row r="367" spans="1:4" ht="14.4" x14ac:dyDescent="0.3">
      <c r="A367" s="3">
        <v>50303005</v>
      </c>
      <c r="B367" s="3" t="s">
        <v>976</v>
      </c>
      <c r="C367" s="4" t="b">
        <v>0</v>
      </c>
      <c r="D367" s="3">
        <v>169</v>
      </c>
    </row>
    <row r="368" spans="1:4" ht="14.4" x14ac:dyDescent="0.3">
      <c r="A368" s="3">
        <v>50303016</v>
      </c>
      <c r="B368" s="3" t="s">
        <v>192</v>
      </c>
      <c r="C368" s="4" t="b">
        <v>0</v>
      </c>
      <c r="D368" s="3">
        <v>65</v>
      </c>
    </row>
    <row r="369" spans="1:4" ht="14.4" x14ac:dyDescent="0.3">
      <c r="A369" s="3">
        <v>503030505</v>
      </c>
      <c r="B369" s="3">
        <v>0</v>
      </c>
      <c r="C369" s="4" t="b">
        <v>0</v>
      </c>
      <c r="D369" s="3">
        <v>1</v>
      </c>
    </row>
    <row r="370" spans="1:4" ht="14.4" x14ac:dyDescent="0.3">
      <c r="A370" s="3">
        <v>5030604</v>
      </c>
      <c r="B370" s="3">
        <v>0</v>
      </c>
      <c r="C370" s="4" t="b">
        <v>0</v>
      </c>
      <c r="D370" s="3">
        <v>1</v>
      </c>
    </row>
    <row r="371" spans="1:4" ht="14.4" x14ac:dyDescent="0.3">
      <c r="A371" s="3">
        <v>5030617</v>
      </c>
      <c r="B371" s="3">
        <v>0</v>
      </c>
      <c r="C371" s="4" t="b">
        <v>0</v>
      </c>
      <c r="D371" s="3">
        <v>23</v>
      </c>
    </row>
    <row r="372" spans="1:4" ht="14.4" x14ac:dyDescent="0.3">
      <c r="A372" s="3">
        <v>50306505</v>
      </c>
      <c r="B372" s="3">
        <v>0</v>
      </c>
      <c r="C372" s="4" t="b">
        <v>0</v>
      </c>
      <c r="D372" s="3">
        <v>57</v>
      </c>
    </row>
    <row r="373" spans="1:4" ht="14.4" x14ac:dyDescent="0.3">
      <c r="A373" s="3">
        <v>5030641</v>
      </c>
      <c r="B373" s="3" t="s">
        <v>1601</v>
      </c>
      <c r="C373" s="4" t="b">
        <v>1</v>
      </c>
      <c r="D373" s="3">
        <v>4</v>
      </c>
    </row>
    <row r="374" spans="1:4" ht="14.4" x14ac:dyDescent="0.3">
      <c r="A374" s="3">
        <v>5030644</v>
      </c>
      <c r="B374" s="3">
        <v>0</v>
      </c>
      <c r="C374" s="4" t="b">
        <v>0</v>
      </c>
      <c r="D374" s="3">
        <v>641</v>
      </c>
    </row>
    <row r="375" spans="1:4" ht="14.4" x14ac:dyDescent="0.3">
      <c r="A375" s="3">
        <v>5030646</v>
      </c>
      <c r="B375" s="3">
        <v>0</v>
      </c>
      <c r="C375" s="4" t="b">
        <v>0</v>
      </c>
      <c r="D375" s="3">
        <v>37</v>
      </c>
    </row>
    <row r="376" spans="1:4" ht="14.4" x14ac:dyDescent="0.3">
      <c r="A376" s="3">
        <v>5030655</v>
      </c>
      <c r="B376" s="3" t="s">
        <v>764</v>
      </c>
      <c r="C376" s="4" t="b">
        <v>0</v>
      </c>
      <c r="D376" s="3">
        <v>23</v>
      </c>
    </row>
    <row r="377" spans="1:4" ht="14.4" x14ac:dyDescent="0.3">
      <c r="A377" s="3">
        <v>50307050</v>
      </c>
      <c r="B377" s="3">
        <v>0</v>
      </c>
      <c r="C377" s="4" t="b">
        <v>0</v>
      </c>
      <c r="D377" s="3">
        <v>1</v>
      </c>
    </row>
    <row r="378" spans="1:4" ht="14.4" x14ac:dyDescent="0.3">
      <c r="A378" s="3">
        <v>50307530</v>
      </c>
      <c r="B378" s="3">
        <v>0</v>
      </c>
      <c r="C378" s="4" t="b">
        <v>0</v>
      </c>
      <c r="D378" s="3">
        <v>28</v>
      </c>
    </row>
    <row r="379" spans="1:4" ht="14.4" x14ac:dyDescent="0.3">
      <c r="A379" s="3">
        <v>5030740</v>
      </c>
      <c r="B379" s="3">
        <v>0</v>
      </c>
      <c r="C379" s="4" t="b">
        <v>0</v>
      </c>
      <c r="D379" s="3">
        <v>4</v>
      </c>
    </row>
    <row r="380" spans="1:4" ht="14.4" x14ac:dyDescent="0.3">
      <c r="A380" s="3">
        <v>50307304</v>
      </c>
      <c r="B380" s="3">
        <v>0</v>
      </c>
      <c r="C380" s="4" t="b">
        <v>0</v>
      </c>
      <c r="D380" s="3">
        <v>39</v>
      </c>
    </row>
    <row r="381" spans="1:4" ht="14.4" x14ac:dyDescent="0.3">
      <c r="A381" s="3">
        <v>50307750</v>
      </c>
      <c r="B381" s="3" t="s">
        <v>1601</v>
      </c>
      <c r="C381" s="4" t="b">
        <v>0</v>
      </c>
      <c r="D381" s="3">
        <v>230</v>
      </c>
    </row>
    <row r="382" spans="1:4" ht="14.4" x14ac:dyDescent="0.3">
      <c r="A382" s="3">
        <v>5030744</v>
      </c>
      <c r="B382" s="3">
        <v>0</v>
      </c>
      <c r="C382" s="4" t="b">
        <v>0</v>
      </c>
      <c r="D382" s="3">
        <v>32</v>
      </c>
    </row>
    <row r="383" spans="1:4" ht="14.4" x14ac:dyDescent="0.3">
      <c r="A383" s="3">
        <v>50307530</v>
      </c>
      <c r="B383" s="3">
        <v>0</v>
      </c>
      <c r="C383" s="4" t="b">
        <v>0</v>
      </c>
      <c r="D383" s="3">
        <v>18</v>
      </c>
    </row>
    <row r="384" spans="1:4" ht="14.4" x14ac:dyDescent="0.3">
      <c r="A384" s="3">
        <v>5030756</v>
      </c>
      <c r="B384" s="3">
        <v>0</v>
      </c>
      <c r="C384" s="4" t="b">
        <v>1</v>
      </c>
      <c r="D384" s="3">
        <v>0</v>
      </c>
    </row>
    <row r="385" spans="1:4" ht="14.4" x14ac:dyDescent="0.3">
      <c r="A385" s="3">
        <v>5030414</v>
      </c>
      <c r="B385" s="3">
        <v>0</v>
      </c>
      <c r="C385" s="4" t="b">
        <v>0</v>
      </c>
      <c r="D385" s="3">
        <v>80</v>
      </c>
    </row>
    <row r="386" spans="1:4" ht="14.4" x14ac:dyDescent="0.3">
      <c r="A386" s="3">
        <v>5030454</v>
      </c>
      <c r="B386" s="3">
        <v>0</v>
      </c>
      <c r="C386" s="4" t="b">
        <v>0</v>
      </c>
      <c r="D386" s="3">
        <v>20</v>
      </c>
    </row>
    <row r="387" spans="1:4" ht="14.4" x14ac:dyDescent="0.3">
      <c r="A387" s="3">
        <v>5030444</v>
      </c>
      <c r="B387" s="3">
        <v>0</v>
      </c>
      <c r="C387" s="4" t="b">
        <v>0</v>
      </c>
      <c r="D387" s="3">
        <v>3</v>
      </c>
    </row>
    <row r="388" spans="1:4" ht="14.4" x14ac:dyDescent="0.3">
      <c r="A388" s="3">
        <v>5030454</v>
      </c>
      <c r="B388" s="3">
        <v>0</v>
      </c>
      <c r="C388" s="4" t="b">
        <v>0</v>
      </c>
      <c r="D388" s="3">
        <v>0</v>
      </c>
    </row>
    <row r="389" spans="1:4" ht="14.4" x14ac:dyDescent="0.3">
      <c r="A389" s="3">
        <v>5030507</v>
      </c>
      <c r="B389" s="3" t="s">
        <v>1748</v>
      </c>
      <c r="C389" s="4" t="b">
        <v>0</v>
      </c>
      <c r="D389" s="3">
        <v>66</v>
      </c>
    </row>
    <row r="390" spans="1:4" ht="14.4" x14ac:dyDescent="0.3">
      <c r="A390" s="3">
        <v>50305150</v>
      </c>
      <c r="B390" s="3">
        <v>0</v>
      </c>
      <c r="C390" s="4" t="b">
        <v>0</v>
      </c>
      <c r="D390" s="3">
        <v>14</v>
      </c>
    </row>
    <row r="391" spans="1:4" ht="14.4" x14ac:dyDescent="0.3">
      <c r="A391" s="3">
        <v>5030515</v>
      </c>
      <c r="B391" s="3">
        <v>0</v>
      </c>
      <c r="C391" s="4" t="b">
        <v>0</v>
      </c>
      <c r="D391" s="3">
        <v>45</v>
      </c>
    </row>
    <row r="392" spans="1:4" ht="14.4" x14ac:dyDescent="0.3">
      <c r="A392" s="3">
        <v>5030550</v>
      </c>
      <c r="B392" s="3">
        <v>0</v>
      </c>
      <c r="C392" s="4" t="b">
        <v>1</v>
      </c>
      <c r="D392" s="3">
        <v>49</v>
      </c>
    </row>
    <row r="393" spans="1:4" ht="14.4" x14ac:dyDescent="0.3">
      <c r="A393" s="3">
        <v>50305430</v>
      </c>
      <c r="B393" s="3">
        <v>0</v>
      </c>
      <c r="C393" s="4" t="b">
        <v>0</v>
      </c>
      <c r="D393" s="3">
        <v>20</v>
      </c>
    </row>
    <row r="394" spans="1:4" ht="14.4" x14ac:dyDescent="0.3">
      <c r="A394" s="3">
        <v>5030577</v>
      </c>
      <c r="B394" s="3">
        <v>0</v>
      </c>
      <c r="C394" s="4" t="b">
        <v>0</v>
      </c>
      <c r="D394" s="3">
        <v>109</v>
      </c>
    </row>
    <row r="395" spans="1:4" ht="14.4" x14ac:dyDescent="0.3">
      <c r="A395" s="3">
        <v>5030540</v>
      </c>
      <c r="B395" s="3">
        <v>0</v>
      </c>
      <c r="C395" s="4" t="b">
        <v>0</v>
      </c>
      <c r="D395" s="3">
        <v>5</v>
      </c>
    </row>
    <row r="396" spans="1:4" ht="14.4" x14ac:dyDescent="0.3">
      <c r="A396" s="3">
        <v>5030545</v>
      </c>
      <c r="B396" s="3" t="s">
        <v>287</v>
      </c>
      <c r="C396" s="4" t="b">
        <v>0</v>
      </c>
      <c r="D396" s="3">
        <v>59</v>
      </c>
    </row>
    <row r="397" spans="1:4" ht="14.4" x14ac:dyDescent="0.3">
      <c r="A397" s="3">
        <v>5030544</v>
      </c>
      <c r="B397" s="3">
        <v>0</v>
      </c>
      <c r="C397" s="4" t="b">
        <v>1</v>
      </c>
      <c r="D397" s="3">
        <v>23</v>
      </c>
    </row>
    <row r="398" spans="1:4" ht="14.4" x14ac:dyDescent="0.3">
      <c r="A398" s="3">
        <v>5030547</v>
      </c>
      <c r="B398" s="3" t="s">
        <v>1601</v>
      </c>
      <c r="C398" s="4" t="b">
        <v>0</v>
      </c>
      <c r="D398" s="3">
        <v>29</v>
      </c>
    </row>
    <row r="399" spans="1:4" ht="14.4" x14ac:dyDescent="0.3">
      <c r="A399" s="3">
        <v>5030556</v>
      </c>
      <c r="B399" s="3">
        <v>0</v>
      </c>
      <c r="C399" s="4" t="b">
        <v>1</v>
      </c>
      <c r="D399" s="3">
        <v>50</v>
      </c>
    </row>
    <row r="400" spans="1:4" ht="14.4" x14ac:dyDescent="0.3">
      <c r="A400" s="3">
        <v>5030555</v>
      </c>
      <c r="B400" s="3" t="s">
        <v>323</v>
      </c>
      <c r="C400" s="4" t="b">
        <v>0</v>
      </c>
      <c r="D400" s="3">
        <v>24</v>
      </c>
    </row>
    <row r="401" spans="1:4" ht="14.4" x14ac:dyDescent="0.3">
      <c r="A401" s="3">
        <v>5060150</v>
      </c>
      <c r="B401" s="3">
        <v>0</v>
      </c>
      <c r="C401" s="4" t="b">
        <v>0</v>
      </c>
      <c r="D401" s="3">
        <v>0</v>
      </c>
    </row>
    <row r="402" spans="1:4" ht="14.4" x14ac:dyDescent="0.3">
      <c r="A402" s="3">
        <v>50603050</v>
      </c>
      <c r="B402" s="3">
        <v>0</v>
      </c>
      <c r="C402" s="4" t="b">
        <v>0</v>
      </c>
      <c r="D402" s="3">
        <v>56</v>
      </c>
    </row>
    <row r="403" spans="1:4" ht="14.4" x14ac:dyDescent="0.3">
      <c r="A403" s="3">
        <v>506074</v>
      </c>
      <c r="B403" s="3">
        <v>0</v>
      </c>
      <c r="C403" s="4" t="b">
        <v>0</v>
      </c>
      <c r="D403" s="3">
        <v>534</v>
      </c>
    </row>
    <row r="404" spans="1:4" ht="14.4" x14ac:dyDescent="0.3">
      <c r="A404" s="3">
        <v>506044</v>
      </c>
      <c r="B404" s="3">
        <v>0</v>
      </c>
      <c r="C404" s="4" t="b">
        <v>0</v>
      </c>
      <c r="D404" s="3">
        <v>0</v>
      </c>
    </row>
    <row r="405" spans="1:4" ht="14.4" x14ac:dyDescent="0.3">
      <c r="A405" s="3">
        <v>506046</v>
      </c>
      <c r="B405" s="3">
        <v>0</v>
      </c>
      <c r="C405" s="4" t="b">
        <v>0</v>
      </c>
      <c r="D405" s="3">
        <v>40</v>
      </c>
    </row>
    <row r="406" spans="1:4" ht="14.4" x14ac:dyDescent="0.3">
      <c r="A406" s="3">
        <v>506110</v>
      </c>
      <c r="B406" s="3">
        <v>0</v>
      </c>
      <c r="C406" s="4" t="b">
        <v>0</v>
      </c>
      <c r="D406" s="3">
        <v>25</v>
      </c>
    </row>
    <row r="407" spans="1:4" ht="14.4" x14ac:dyDescent="0.3">
      <c r="A407" s="3">
        <v>506115</v>
      </c>
      <c r="B407" s="3">
        <v>0</v>
      </c>
      <c r="C407" s="4" t="b">
        <v>0</v>
      </c>
      <c r="D407" s="3">
        <v>0</v>
      </c>
    </row>
    <row r="408" spans="1:4" ht="14.4" x14ac:dyDescent="0.3">
      <c r="A408" s="3">
        <v>5061501</v>
      </c>
      <c r="B408" s="3">
        <v>0</v>
      </c>
      <c r="C408" s="4" t="b">
        <v>0</v>
      </c>
      <c r="D408" s="3">
        <v>4</v>
      </c>
    </row>
    <row r="409" spans="1:4" ht="14.4" x14ac:dyDescent="0.3">
      <c r="A409" s="3">
        <v>506146</v>
      </c>
      <c r="B409" s="3">
        <v>0</v>
      </c>
      <c r="C409" s="4" t="b">
        <v>1</v>
      </c>
      <c r="D409" s="3">
        <v>0</v>
      </c>
    </row>
    <row r="410" spans="1:4" ht="14.4" x14ac:dyDescent="0.3">
      <c r="A410" s="3">
        <v>506177</v>
      </c>
      <c r="B410" s="3" t="s">
        <v>192</v>
      </c>
      <c r="C410" s="4" t="b">
        <v>0</v>
      </c>
      <c r="D410" s="3">
        <v>13</v>
      </c>
    </row>
    <row r="411" spans="1:4" ht="14.4" x14ac:dyDescent="0.3">
      <c r="A411" s="3">
        <v>506141</v>
      </c>
      <c r="B411" s="3">
        <v>0</v>
      </c>
      <c r="C411" s="4" t="b">
        <v>0</v>
      </c>
      <c r="D411" s="3">
        <v>15</v>
      </c>
    </row>
    <row r="412" spans="1:4" ht="14.4" x14ac:dyDescent="0.3">
      <c r="A412" s="3">
        <v>506154</v>
      </c>
      <c r="B412" s="3">
        <v>0</v>
      </c>
      <c r="C412" s="4" t="b">
        <v>0</v>
      </c>
      <c r="D412" s="3">
        <v>1</v>
      </c>
    </row>
    <row r="413" spans="1:4" ht="14.4" x14ac:dyDescent="0.3">
      <c r="A413" s="3">
        <v>506554</v>
      </c>
      <c r="B413" s="3">
        <v>0</v>
      </c>
      <c r="C413" s="4" t="b">
        <v>0</v>
      </c>
      <c r="D413" s="3">
        <v>0</v>
      </c>
    </row>
    <row r="414" spans="1:4" ht="14.4" x14ac:dyDescent="0.3">
      <c r="A414" s="3">
        <v>506541</v>
      </c>
      <c r="B414" s="3">
        <v>0</v>
      </c>
      <c r="C414" s="4" t="b">
        <v>0</v>
      </c>
      <c r="D414" s="3">
        <v>52</v>
      </c>
    </row>
    <row r="415" spans="1:4" ht="14.4" x14ac:dyDescent="0.3">
      <c r="A415" s="3">
        <v>5065430</v>
      </c>
      <c r="B415" s="3">
        <v>0</v>
      </c>
      <c r="C415" s="4" t="b">
        <v>1</v>
      </c>
      <c r="D415" s="3">
        <v>56</v>
      </c>
    </row>
    <row r="416" spans="1:4" ht="14.4" x14ac:dyDescent="0.3">
      <c r="A416" s="3">
        <v>506546</v>
      </c>
      <c r="B416" s="3">
        <v>0</v>
      </c>
      <c r="C416" s="4" t="b">
        <v>0</v>
      </c>
      <c r="D416" s="3">
        <v>15</v>
      </c>
    </row>
    <row r="417" spans="1:4" ht="14.4" x14ac:dyDescent="0.3">
      <c r="A417" s="3">
        <v>5065306</v>
      </c>
      <c r="B417" s="3">
        <v>0</v>
      </c>
      <c r="C417" s="4" t="b">
        <v>0</v>
      </c>
      <c r="D417" s="3">
        <v>39</v>
      </c>
    </row>
    <row r="418" spans="1:4" ht="14.4" x14ac:dyDescent="0.3">
      <c r="A418" s="3">
        <v>506565</v>
      </c>
      <c r="B418" s="3">
        <v>0</v>
      </c>
      <c r="C418" s="4" t="b">
        <v>0</v>
      </c>
      <c r="D418" s="3">
        <v>90</v>
      </c>
    </row>
    <row r="419" spans="1:4" ht="14.4" x14ac:dyDescent="0.3">
      <c r="A419" s="3">
        <v>506571</v>
      </c>
      <c r="B419" s="3">
        <v>0</v>
      </c>
      <c r="C419" s="4" t="b">
        <v>0</v>
      </c>
      <c r="D419" s="3">
        <v>16</v>
      </c>
    </row>
    <row r="420" spans="1:4" ht="14.4" x14ac:dyDescent="0.3">
      <c r="A420" s="3">
        <v>506576</v>
      </c>
      <c r="B420" s="3">
        <v>0</v>
      </c>
      <c r="C420" s="4" t="b">
        <v>0</v>
      </c>
      <c r="D420" s="3">
        <v>0</v>
      </c>
    </row>
    <row r="421" spans="1:4" ht="14.4" x14ac:dyDescent="0.3">
      <c r="A421" s="3">
        <v>50650030</v>
      </c>
      <c r="B421" s="3">
        <v>0</v>
      </c>
      <c r="C421" s="4" t="b">
        <v>0</v>
      </c>
      <c r="D421" s="3">
        <v>68</v>
      </c>
    </row>
    <row r="422" spans="1:4" ht="14.4" x14ac:dyDescent="0.3">
      <c r="A422" s="3">
        <v>5065055</v>
      </c>
      <c r="B422" s="3">
        <v>0</v>
      </c>
      <c r="C422" s="4" t="b">
        <v>0</v>
      </c>
      <c r="D422" s="3">
        <v>61</v>
      </c>
    </row>
    <row r="423" spans="1:4" ht="14.4" x14ac:dyDescent="0.3">
      <c r="A423" s="3">
        <v>50650550</v>
      </c>
      <c r="B423" s="3">
        <v>0</v>
      </c>
      <c r="C423" s="4" t="b">
        <v>0</v>
      </c>
      <c r="D423" s="3">
        <v>0</v>
      </c>
    </row>
    <row r="424" spans="1:4" ht="14.4" x14ac:dyDescent="0.3">
      <c r="A424" s="3">
        <v>5065055</v>
      </c>
      <c r="B424" s="3">
        <v>0</v>
      </c>
      <c r="C424" s="4" t="b">
        <v>1</v>
      </c>
      <c r="D424" s="3">
        <v>11</v>
      </c>
    </row>
    <row r="425" spans="1:4" ht="14.4" x14ac:dyDescent="0.3">
      <c r="A425" s="3">
        <v>50650506</v>
      </c>
      <c r="B425" s="3">
        <v>0</v>
      </c>
      <c r="C425" s="4" t="b">
        <v>0</v>
      </c>
      <c r="D425" s="3">
        <v>0</v>
      </c>
    </row>
    <row r="426" spans="1:4" ht="14.4" x14ac:dyDescent="0.3">
      <c r="A426" s="3">
        <v>5065045</v>
      </c>
      <c r="B426" s="3">
        <v>0</v>
      </c>
      <c r="C426" s="4" t="b">
        <v>0</v>
      </c>
      <c r="D426" s="3">
        <v>0</v>
      </c>
    </row>
    <row r="427" spans="1:4" ht="14.4" x14ac:dyDescent="0.3">
      <c r="A427" s="3">
        <v>50650307</v>
      </c>
      <c r="B427" s="3">
        <v>0</v>
      </c>
      <c r="C427" s="4" t="b">
        <v>0</v>
      </c>
      <c r="D427" s="3">
        <v>0</v>
      </c>
    </row>
    <row r="428" spans="1:4" ht="14.4" x14ac:dyDescent="0.3">
      <c r="A428" s="3">
        <v>50650630</v>
      </c>
      <c r="B428" s="3">
        <v>0</v>
      </c>
      <c r="C428" s="4" t="b">
        <v>0</v>
      </c>
      <c r="D428" s="3">
        <v>52</v>
      </c>
    </row>
    <row r="429" spans="1:4" ht="14.4" x14ac:dyDescent="0.3">
      <c r="A429" s="3">
        <v>5065065</v>
      </c>
      <c r="B429" s="3">
        <v>0</v>
      </c>
      <c r="C429" s="4" t="b">
        <v>0</v>
      </c>
      <c r="D429" s="3">
        <v>0</v>
      </c>
    </row>
    <row r="430" spans="1:4" ht="14.4" x14ac:dyDescent="0.3">
      <c r="A430" s="3">
        <v>5065074</v>
      </c>
      <c r="B430" s="3">
        <v>0</v>
      </c>
      <c r="C430" s="4" t="b">
        <v>0</v>
      </c>
      <c r="D430" s="3">
        <v>0</v>
      </c>
    </row>
    <row r="431" spans="1:4" ht="14.4" x14ac:dyDescent="0.3">
      <c r="A431" s="3">
        <v>5065047</v>
      </c>
      <c r="B431" s="3" t="s">
        <v>192</v>
      </c>
      <c r="C431" s="4" t="b">
        <v>0</v>
      </c>
      <c r="D431" s="3">
        <v>36</v>
      </c>
    </row>
    <row r="432" spans="1:4" ht="14.4" x14ac:dyDescent="0.3">
      <c r="A432" s="3">
        <v>5065045</v>
      </c>
      <c r="B432" s="3">
        <v>0</v>
      </c>
      <c r="C432" s="4" t="b">
        <v>0</v>
      </c>
      <c r="D432" s="3">
        <v>0</v>
      </c>
    </row>
    <row r="433" spans="1:4" ht="14.4" x14ac:dyDescent="0.3">
      <c r="A433" s="3">
        <v>5065056</v>
      </c>
      <c r="B433" s="3">
        <v>0</v>
      </c>
      <c r="C433" s="4" t="b">
        <v>0</v>
      </c>
      <c r="D433" s="3">
        <v>0</v>
      </c>
    </row>
    <row r="434" spans="1:4" ht="14.4" x14ac:dyDescent="0.3">
      <c r="A434" s="3">
        <v>5065054</v>
      </c>
      <c r="B434" s="3">
        <v>0</v>
      </c>
      <c r="C434" s="4" t="b">
        <v>0</v>
      </c>
      <c r="D434" s="3">
        <v>0</v>
      </c>
    </row>
    <row r="435" spans="1:4" ht="14.4" x14ac:dyDescent="0.3">
      <c r="A435" s="3">
        <v>506406</v>
      </c>
      <c r="B435" s="3">
        <v>0</v>
      </c>
      <c r="C435" s="4" t="b">
        <v>0</v>
      </c>
      <c r="D435" s="3">
        <v>94</v>
      </c>
    </row>
    <row r="436" spans="1:4" ht="14.4" x14ac:dyDescent="0.3">
      <c r="A436" s="3">
        <v>506407</v>
      </c>
      <c r="B436" s="3">
        <v>0</v>
      </c>
      <c r="C436" s="4" t="b">
        <v>0</v>
      </c>
      <c r="D436" s="3">
        <v>0</v>
      </c>
    </row>
    <row r="437" spans="1:4" ht="14.4" x14ac:dyDescent="0.3">
      <c r="A437" s="3">
        <v>506414</v>
      </c>
      <c r="B437" s="3">
        <v>0</v>
      </c>
      <c r="C437" s="4" t="b">
        <v>0</v>
      </c>
      <c r="D437" s="3">
        <v>0</v>
      </c>
    </row>
    <row r="438" spans="1:4" ht="14.4" x14ac:dyDescent="0.3">
      <c r="A438" s="3">
        <v>506445</v>
      </c>
      <c r="B438" s="3">
        <v>0</v>
      </c>
      <c r="C438" s="4" t="b">
        <v>0</v>
      </c>
      <c r="D438" s="3">
        <v>0</v>
      </c>
    </row>
    <row r="439" spans="1:4" ht="14.4" x14ac:dyDescent="0.3">
      <c r="A439" s="3">
        <v>506444</v>
      </c>
      <c r="B439" s="3">
        <v>0</v>
      </c>
      <c r="C439" s="4" t="b">
        <v>0</v>
      </c>
      <c r="D439" s="3">
        <v>0</v>
      </c>
    </row>
    <row r="440" spans="1:4" ht="14.4" x14ac:dyDescent="0.3">
      <c r="A440" s="3">
        <v>5064306</v>
      </c>
      <c r="B440" s="3">
        <v>0</v>
      </c>
      <c r="C440" s="4" t="b">
        <v>0</v>
      </c>
      <c r="D440" s="3">
        <v>24</v>
      </c>
    </row>
    <row r="441" spans="1:4" ht="14.4" x14ac:dyDescent="0.3">
      <c r="A441" s="3">
        <v>506461</v>
      </c>
      <c r="B441" s="3">
        <v>0</v>
      </c>
      <c r="C441" s="4" t="b">
        <v>0</v>
      </c>
      <c r="D441" s="3">
        <v>17</v>
      </c>
    </row>
    <row r="442" spans="1:4" ht="14.4" x14ac:dyDescent="0.3">
      <c r="A442" s="3">
        <v>506465</v>
      </c>
      <c r="B442" s="3">
        <v>0</v>
      </c>
      <c r="C442" s="4" t="b">
        <v>0</v>
      </c>
      <c r="D442" s="3">
        <v>0</v>
      </c>
    </row>
    <row r="443" spans="1:4" ht="14.4" x14ac:dyDescent="0.3">
      <c r="A443" s="3">
        <v>506464</v>
      </c>
      <c r="B443" s="3">
        <v>0</v>
      </c>
      <c r="C443" s="4" t="b">
        <v>0</v>
      </c>
      <c r="D443" s="3">
        <v>91</v>
      </c>
    </row>
    <row r="444" spans="1:4" ht="14.4" x14ac:dyDescent="0.3">
      <c r="A444" s="3">
        <v>5064750</v>
      </c>
      <c r="B444" s="3">
        <v>0</v>
      </c>
      <c r="C444" s="4" t="b">
        <v>0</v>
      </c>
      <c r="D444" s="3">
        <v>0</v>
      </c>
    </row>
    <row r="445" spans="1:4" ht="14.4" x14ac:dyDescent="0.3">
      <c r="A445" s="3">
        <v>506474</v>
      </c>
      <c r="B445" s="3" t="s">
        <v>192</v>
      </c>
      <c r="C445" s="4" t="b">
        <v>1</v>
      </c>
      <c r="D445" s="3">
        <v>42</v>
      </c>
    </row>
    <row r="446" spans="1:4" ht="14.4" x14ac:dyDescent="0.3">
      <c r="A446" s="3">
        <v>506440</v>
      </c>
      <c r="B446" s="3">
        <v>0</v>
      </c>
      <c r="C446" s="4" t="b">
        <v>1</v>
      </c>
      <c r="D446" s="3">
        <v>0</v>
      </c>
    </row>
    <row r="447" spans="1:4" ht="14.4" x14ac:dyDescent="0.3">
      <c r="A447" s="3">
        <v>5064450</v>
      </c>
      <c r="B447" s="3">
        <v>0</v>
      </c>
      <c r="C447" s="4" t="b">
        <v>0</v>
      </c>
      <c r="D447" s="3">
        <v>0</v>
      </c>
    </row>
    <row r="448" spans="1:4" ht="14.4" x14ac:dyDescent="0.3">
      <c r="A448" s="3">
        <v>506451</v>
      </c>
      <c r="B448" s="3">
        <v>0</v>
      </c>
      <c r="C448" s="4" t="b">
        <v>0</v>
      </c>
      <c r="D448" s="3">
        <v>26</v>
      </c>
    </row>
    <row r="449" spans="1:4" ht="14.4" x14ac:dyDescent="0.3">
      <c r="A449" s="3">
        <v>506454</v>
      </c>
      <c r="B449" s="3">
        <v>0</v>
      </c>
      <c r="C449" s="4" t="b">
        <v>0</v>
      </c>
      <c r="D449" s="3">
        <v>0</v>
      </c>
    </row>
    <row r="450" spans="1:4" ht="14.4" x14ac:dyDescent="0.3">
      <c r="A450" s="3">
        <v>50630150</v>
      </c>
      <c r="B450" s="3">
        <v>0</v>
      </c>
      <c r="C450" s="4" t="b">
        <v>0</v>
      </c>
      <c r="D450" s="3">
        <v>0</v>
      </c>
    </row>
    <row r="451" spans="1:4" ht="14.4" x14ac:dyDescent="0.3">
      <c r="A451" s="3">
        <v>5063014</v>
      </c>
      <c r="B451" s="3">
        <v>0</v>
      </c>
      <c r="C451" s="4" t="b">
        <v>0</v>
      </c>
      <c r="D451" s="3">
        <v>0</v>
      </c>
    </row>
    <row r="452" spans="1:4" ht="14.4" x14ac:dyDescent="0.3">
      <c r="A452" s="3">
        <v>5063054</v>
      </c>
      <c r="B452" s="3">
        <v>0</v>
      </c>
      <c r="C452" s="4" t="b">
        <v>0</v>
      </c>
      <c r="D452" s="3">
        <v>0</v>
      </c>
    </row>
    <row r="453" spans="1:4" ht="14.4" x14ac:dyDescent="0.3">
      <c r="A453" s="3">
        <v>5063057</v>
      </c>
      <c r="B453" s="3">
        <v>0</v>
      </c>
      <c r="C453" s="4" t="b">
        <v>0</v>
      </c>
      <c r="D453" s="3">
        <v>0</v>
      </c>
    </row>
    <row r="454" spans="1:4" ht="14.4" x14ac:dyDescent="0.3">
      <c r="A454" s="3">
        <v>5063055</v>
      </c>
      <c r="B454" s="3">
        <v>0</v>
      </c>
      <c r="C454" s="4" t="b">
        <v>0</v>
      </c>
      <c r="D454" s="3">
        <v>0</v>
      </c>
    </row>
    <row r="455" spans="1:4" ht="14.4" x14ac:dyDescent="0.3">
      <c r="A455" s="3">
        <v>50630500</v>
      </c>
      <c r="B455" s="3">
        <v>0</v>
      </c>
      <c r="C455" s="4" t="b">
        <v>0</v>
      </c>
      <c r="D455" s="3">
        <v>0</v>
      </c>
    </row>
    <row r="456" spans="1:4" ht="14.4" x14ac:dyDescent="0.3">
      <c r="A456" s="3">
        <v>506305050</v>
      </c>
      <c r="B456" s="3">
        <v>0</v>
      </c>
      <c r="C456" s="4" t="b">
        <v>1</v>
      </c>
      <c r="D456" s="3">
        <v>32</v>
      </c>
    </row>
    <row r="457" spans="1:4" ht="14.4" x14ac:dyDescent="0.3">
      <c r="A457" s="3">
        <v>50630505</v>
      </c>
      <c r="B457" s="3">
        <v>0</v>
      </c>
      <c r="C457" s="4" t="b">
        <v>0</v>
      </c>
      <c r="D457" s="3">
        <v>0</v>
      </c>
    </row>
    <row r="458" spans="1:4" ht="14.4" x14ac:dyDescent="0.3">
      <c r="A458" s="3">
        <v>5063071</v>
      </c>
      <c r="B458" s="3">
        <v>0</v>
      </c>
      <c r="C458" s="4" t="b">
        <v>0</v>
      </c>
      <c r="D458" s="3">
        <v>0</v>
      </c>
    </row>
    <row r="459" spans="1:4" ht="14.4" x14ac:dyDescent="0.3">
      <c r="A459" s="3">
        <v>50630750</v>
      </c>
      <c r="B459" s="3">
        <v>0</v>
      </c>
      <c r="C459" s="4" t="b">
        <v>0</v>
      </c>
      <c r="D459" s="3">
        <v>0</v>
      </c>
    </row>
    <row r="460" spans="1:4" ht="14.4" x14ac:dyDescent="0.3">
      <c r="A460" s="3">
        <v>5063076</v>
      </c>
      <c r="B460" s="3">
        <v>0</v>
      </c>
      <c r="C460" s="4" t="b">
        <v>0</v>
      </c>
      <c r="D460" s="3">
        <v>0</v>
      </c>
    </row>
    <row r="461" spans="1:4" ht="14.4" x14ac:dyDescent="0.3">
      <c r="A461" s="3">
        <v>50630450</v>
      </c>
      <c r="B461" s="3">
        <v>0</v>
      </c>
      <c r="C461" s="4" t="b">
        <v>0</v>
      </c>
      <c r="D461" s="3">
        <v>0</v>
      </c>
    </row>
    <row r="462" spans="1:4" ht="14.4" x14ac:dyDescent="0.3">
      <c r="A462" s="3">
        <v>5063044</v>
      </c>
      <c r="B462" s="3">
        <v>0</v>
      </c>
      <c r="C462" s="4" t="b">
        <v>0</v>
      </c>
      <c r="D462" s="3">
        <v>0</v>
      </c>
    </row>
    <row r="463" spans="1:4" ht="14.4" x14ac:dyDescent="0.3">
      <c r="A463" s="3">
        <v>5063045</v>
      </c>
      <c r="B463" s="3">
        <v>0</v>
      </c>
      <c r="C463" s="4" t="b">
        <v>0</v>
      </c>
      <c r="D463" s="3">
        <v>0</v>
      </c>
    </row>
    <row r="464" spans="1:4" ht="14.4" x14ac:dyDescent="0.3">
      <c r="A464" s="3">
        <v>50630530</v>
      </c>
      <c r="B464" s="3">
        <v>0</v>
      </c>
      <c r="C464" s="4" t="b">
        <v>0</v>
      </c>
      <c r="D464" s="3">
        <v>0</v>
      </c>
    </row>
    <row r="465" spans="1:4" ht="14.4" x14ac:dyDescent="0.3">
      <c r="A465" s="3">
        <v>5063054</v>
      </c>
      <c r="B465" s="3">
        <v>0</v>
      </c>
      <c r="C465" s="4" t="b">
        <v>0</v>
      </c>
      <c r="D465" s="3">
        <v>0</v>
      </c>
    </row>
    <row r="466" spans="1:4" ht="14.4" x14ac:dyDescent="0.3">
      <c r="A466" s="3">
        <v>5066030</v>
      </c>
      <c r="B466" s="3">
        <v>0</v>
      </c>
      <c r="C466" s="4" t="b">
        <v>0</v>
      </c>
      <c r="D466" s="3">
        <v>0</v>
      </c>
    </row>
    <row r="467" spans="1:4" ht="14.4" x14ac:dyDescent="0.3">
      <c r="A467" s="3">
        <v>506607</v>
      </c>
      <c r="B467" s="3">
        <v>0</v>
      </c>
      <c r="C467" s="4" t="b">
        <v>0</v>
      </c>
      <c r="D467" s="3">
        <v>0</v>
      </c>
    </row>
    <row r="468" spans="1:4" ht="14.4" x14ac:dyDescent="0.3">
      <c r="A468" s="3">
        <v>506610</v>
      </c>
      <c r="B468" s="3">
        <v>0</v>
      </c>
      <c r="C468" s="4" t="b">
        <v>0</v>
      </c>
      <c r="D468" s="3">
        <v>0</v>
      </c>
    </row>
    <row r="469" spans="1:4" ht="14.4" x14ac:dyDescent="0.3">
      <c r="A469" s="3">
        <v>506615</v>
      </c>
      <c r="B469" s="3">
        <v>0</v>
      </c>
      <c r="C469" s="4" t="b">
        <v>0</v>
      </c>
      <c r="D469" s="3">
        <v>0</v>
      </c>
    </row>
    <row r="470" spans="1:4" ht="14.4" x14ac:dyDescent="0.3">
      <c r="A470" s="3">
        <v>506616</v>
      </c>
      <c r="B470" s="3">
        <v>0</v>
      </c>
      <c r="C470" s="4" t="b">
        <v>0</v>
      </c>
      <c r="D470" s="3">
        <v>0</v>
      </c>
    </row>
    <row r="471" spans="1:4" ht="14.4" x14ac:dyDescent="0.3">
      <c r="A471" s="3">
        <v>506655</v>
      </c>
      <c r="B471" s="3">
        <v>0</v>
      </c>
      <c r="C471" s="4" t="b">
        <v>0</v>
      </c>
      <c r="D471" s="3">
        <v>0</v>
      </c>
    </row>
    <row r="472" spans="1:4" ht="14.4" x14ac:dyDescent="0.3">
      <c r="A472" s="3">
        <v>506656</v>
      </c>
      <c r="B472" s="3">
        <v>0</v>
      </c>
      <c r="C472" s="4" t="b">
        <v>0</v>
      </c>
      <c r="D472" s="3">
        <v>0</v>
      </c>
    </row>
    <row r="473" spans="1:4" ht="14.4" x14ac:dyDescent="0.3">
      <c r="A473" s="3">
        <v>506655</v>
      </c>
      <c r="B473" s="3">
        <v>0</v>
      </c>
      <c r="C473" s="4" t="b">
        <v>0</v>
      </c>
      <c r="D473" s="3">
        <v>0</v>
      </c>
    </row>
    <row r="474" spans="1:4" ht="14.4" x14ac:dyDescent="0.3">
      <c r="A474" s="3">
        <v>5066507</v>
      </c>
      <c r="B474" s="3">
        <v>0</v>
      </c>
      <c r="C474" s="4" t="b">
        <v>0</v>
      </c>
      <c r="D474" s="3">
        <v>0</v>
      </c>
    </row>
    <row r="475" spans="1:4" ht="14.4" x14ac:dyDescent="0.3">
      <c r="A475" s="3">
        <v>5066450</v>
      </c>
      <c r="B475" s="3">
        <v>0</v>
      </c>
      <c r="C475" s="4" t="b">
        <v>0</v>
      </c>
      <c r="D475" s="3">
        <v>0</v>
      </c>
    </row>
    <row r="476" spans="1:4" ht="14.4" x14ac:dyDescent="0.3">
      <c r="A476" s="3">
        <v>506644</v>
      </c>
      <c r="B476" s="3">
        <v>0</v>
      </c>
      <c r="C476" s="4" t="b">
        <v>0</v>
      </c>
      <c r="D476" s="3">
        <v>0</v>
      </c>
    </row>
    <row r="477" spans="1:4" ht="14.4" x14ac:dyDescent="0.3">
      <c r="A477" s="3">
        <v>5066430</v>
      </c>
      <c r="B477" s="3">
        <v>0</v>
      </c>
      <c r="C477" s="4" t="b">
        <v>0</v>
      </c>
      <c r="D477" s="3">
        <v>0</v>
      </c>
    </row>
    <row r="478" spans="1:4" ht="14.4" x14ac:dyDescent="0.3">
      <c r="A478" s="3">
        <v>5066300</v>
      </c>
      <c r="B478" s="3">
        <v>0</v>
      </c>
      <c r="C478" s="4" t="b">
        <v>0</v>
      </c>
      <c r="D478" s="3">
        <v>0</v>
      </c>
    </row>
    <row r="479" spans="1:4" ht="14.4" x14ac:dyDescent="0.3">
      <c r="A479" s="3">
        <v>5066301</v>
      </c>
      <c r="B479" s="3">
        <v>0</v>
      </c>
      <c r="C479" s="4" t="b">
        <v>0</v>
      </c>
      <c r="D479" s="3">
        <v>0</v>
      </c>
    </row>
    <row r="480" spans="1:4" ht="14.4" x14ac:dyDescent="0.3">
      <c r="A480" s="3">
        <v>5066304</v>
      </c>
      <c r="B480" s="3">
        <v>0</v>
      </c>
      <c r="C480" s="4" t="b">
        <v>0</v>
      </c>
      <c r="D480" s="3">
        <v>0</v>
      </c>
    </row>
    <row r="481" spans="1:4" ht="14.4" x14ac:dyDescent="0.3">
      <c r="A481" s="3">
        <v>50663030</v>
      </c>
      <c r="B481" s="3">
        <v>0</v>
      </c>
      <c r="C481" s="4" t="b">
        <v>0</v>
      </c>
      <c r="D481" s="3">
        <v>0</v>
      </c>
    </row>
    <row r="482" spans="1:4" ht="14.4" x14ac:dyDescent="0.3">
      <c r="A482" s="3">
        <v>5066304</v>
      </c>
      <c r="B482" s="3">
        <v>0</v>
      </c>
      <c r="C482" s="4" t="b">
        <v>0</v>
      </c>
      <c r="D482" s="3">
        <v>0</v>
      </c>
    </row>
    <row r="483" spans="1:4" ht="14.4" x14ac:dyDescent="0.3">
      <c r="A483" s="3">
        <v>5066305</v>
      </c>
      <c r="B483" s="3">
        <v>0</v>
      </c>
      <c r="C483" s="4" t="b">
        <v>0</v>
      </c>
      <c r="D483" s="3">
        <v>0</v>
      </c>
    </row>
    <row r="484" spans="1:4" ht="14.4" x14ac:dyDescent="0.3">
      <c r="A484" s="3">
        <v>506661</v>
      </c>
      <c r="B484" s="3">
        <v>0</v>
      </c>
      <c r="C484" s="4" t="b">
        <v>0</v>
      </c>
      <c r="D484" s="3">
        <v>0</v>
      </c>
    </row>
    <row r="485" spans="1:4" ht="14.4" x14ac:dyDescent="0.3">
      <c r="A485" s="3">
        <v>5066630</v>
      </c>
      <c r="B485" s="3">
        <v>0</v>
      </c>
      <c r="C485" s="4" t="b">
        <v>0</v>
      </c>
      <c r="D485" s="3">
        <v>0</v>
      </c>
    </row>
    <row r="486" spans="1:4" ht="14.4" x14ac:dyDescent="0.3">
      <c r="A486" s="3">
        <v>506666</v>
      </c>
      <c r="B486" s="3">
        <v>0</v>
      </c>
      <c r="C486" s="4" t="b">
        <v>0</v>
      </c>
      <c r="D486" s="3">
        <v>0</v>
      </c>
    </row>
    <row r="487" spans="1:4" ht="14.4" x14ac:dyDescent="0.3">
      <c r="A487" s="3">
        <v>506664</v>
      </c>
      <c r="B487" s="3">
        <v>0</v>
      </c>
      <c r="C487" s="4" t="b">
        <v>0</v>
      </c>
      <c r="D487" s="3">
        <v>0</v>
      </c>
    </row>
    <row r="488" spans="1:4" ht="14.4" x14ac:dyDescent="0.3">
      <c r="A488" s="3">
        <v>506677</v>
      </c>
      <c r="B488" s="3">
        <v>0</v>
      </c>
      <c r="C488" s="4" t="b">
        <v>0</v>
      </c>
      <c r="D488" s="3">
        <v>0</v>
      </c>
    </row>
    <row r="489" spans="1:4" ht="14.4" x14ac:dyDescent="0.3">
      <c r="A489" s="3">
        <v>506674</v>
      </c>
      <c r="B489" s="3">
        <v>0</v>
      </c>
      <c r="C489" s="4" t="b">
        <v>0</v>
      </c>
      <c r="D489" s="3">
        <v>0</v>
      </c>
    </row>
    <row r="490" spans="1:4" ht="14.4" x14ac:dyDescent="0.3">
      <c r="A490" s="3">
        <v>506675</v>
      </c>
      <c r="B490" s="3">
        <v>0</v>
      </c>
      <c r="C490" s="4" t="b">
        <v>0</v>
      </c>
      <c r="D490" s="3">
        <v>0</v>
      </c>
    </row>
    <row r="491" spans="1:4" ht="14.4" x14ac:dyDescent="0.3">
      <c r="A491" s="3">
        <v>506645</v>
      </c>
      <c r="B491" s="3">
        <v>0</v>
      </c>
      <c r="C491" s="4" t="b">
        <v>0</v>
      </c>
      <c r="D491" s="3">
        <v>0</v>
      </c>
    </row>
    <row r="492" spans="1:4" ht="14.4" x14ac:dyDescent="0.3">
      <c r="A492" s="3">
        <v>506644</v>
      </c>
      <c r="B492" s="3">
        <v>0</v>
      </c>
      <c r="C492" s="4" t="b">
        <v>0</v>
      </c>
      <c r="D492" s="3">
        <v>0</v>
      </c>
    </row>
    <row r="493" spans="1:4" ht="14.4" x14ac:dyDescent="0.3">
      <c r="A493" s="3">
        <v>506646</v>
      </c>
      <c r="B493" s="3">
        <v>0</v>
      </c>
      <c r="C493" s="4" t="b">
        <v>0</v>
      </c>
      <c r="D493" s="3">
        <v>0</v>
      </c>
    </row>
    <row r="494" spans="1:4" ht="14.4" x14ac:dyDescent="0.3">
      <c r="A494" s="3">
        <v>506644</v>
      </c>
      <c r="B494" s="3">
        <v>0</v>
      </c>
      <c r="C494" s="4" t="b">
        <v>0</v>
      </c>
      <c r="D494" s="3">
        <v>0</v>
      </c>
    </row>
    <row r="495" spans="1:4" ht="14.4" x14ac:dyDescent="0.3">
      <c r="A495" s="3">
        <v>506645</v>
      </c>
      <c r="B495" s="3">
        <v>0</v>
      </c>
      <c r="C495" s="4" t="b">
        <v>0</v>
      </c>
      <c r="D495" s="3">
        <v>0</v>
      </c>
    </row>
    <row r="496" spans="1:4" ht="14.4" x14ac:dyDescent="0.3">
      <c r="A496" s="3">
        <v>506650</v>
      </c>
      <c r="B496" s="3">
        <v>0</v>
      </c>
      <c r="C496" s="4" t="b">
        <v>0</v>
      </c>
      <c r="D496" s="3">
        <v>0</v>
      </c>
    </row>
    <row r="497" spans="1:4" ht="14.4" x14ac:dyDescent="0.3">
      <c r="A497" s="3">
        <v>506651</v>
      </c>
      <c r="B497" s="3">
        <v>0</v>
      </c>
      <c r="C497" s="4" t="b">
        <v>0</v>
      </c>
      <c r="D497" s="3">
        <v>0</v>
      </c>
    </row>
    <row r="498" spans="1:4" ht="14.4" x14ac:dyDescent="0.3">
      <c r="A498" s="3">
        <v>506655</v>
      </c>
      <c r="B498" s="3">
        <v>0</v>
      </c>
      <c r="C498" s="4" t="b">
        <v>0</v>
      </c>
      <c r="D498" s="3">
        <v>0</v>
      </c>
    </row>
    <row r="499" spans="1:4" ht="14.4" x14ac:dyDescent="0.3">
      <c r="A499" s="3">
        <v>5066550</v>
      </c>
      <c r="B499" s="3">
        <v>0</v>
      </c>
      <c r="C499" s="4" t="b">
        <v>0</v>
      </c>
      <c r="D499" s="3">
        <v>0</v>
      </c>
    </row>
    <row r="500" spans="1:4" ht="14.4" x14ac:dyDescent="0.3">
      <c r="A500" s="3">
        <v>506654</v>
      </c>
      <c r="B500" s="3">
        <v>0</v>
      </c>
      <c r="C500" s="4" t="b">
        <v>0</v>
      </c>
      <c r="D500" s="3">
        <v>0</v>
      </c>
    </row>
    <row r="501" spans="1:4" ht="14.4" x14ac:dyDescent="0.3">
      <c r="A501" s="3">
        <v>5066530</v>
      </c>
      <c r="B501" s="3">
        <v>0</v>
      </c>
      <c r="C501" s="4" t="b">
        <v>0</v>
      </c>
      <c r="D501" s="3">
        <v>0</v>
      </c>
    </row>
    <row r="502" spans="1:4" ht="14.4" x14ac:dyDescent="0.3">
      <c r="A502" s="3">
        <v>506656</v>
      </c>
      <c r="B502" s="3">
        <v>0</v>
      </c>
      <c r="C502" s="4" t="b">
        <v>0</v>
      </c>
      <c r="D502" s="3">
        <v>0</v>
      </c>
    </row>
    <row r="503" spans="1:4" ht="14.4" x14ac:dyDescent="0.3">
      <c r="A503" s="3">
        <v>506657</v>
      </c>
      <c r="B503" s="3">
        <v>0</v>
      </c>
      <c r="C503" s="4" t="b">
        <v>0</v>
      </c>
      <c r="D503" s="3">
        <v>0</v>
      </c>
    </row>
    <row r="504" spans="1:4" ht="14.4" x14ac:dyDescent="0.3">
      <c r="A504" s="3">
        <v>506654</v>
      </c>
      <c r="B504" s="3">
        <v>0</v>
      </c>
      <c r="C504" s="4" t="b">
        <v>0</v>
      </c>
      <c r="D504" s="3">
        <v>0</v>
      </c>
    </row>
    <row r="505" spans="1:4" ht="14.4" x14ac:dyDescent="0.3">
      <c r="A505" s="3">
        <v>506655</v>
      </c>
      <c r="B505" s="3">
        <v>0</v>
      </c>
      <c r="C505" s="4" t="b">
        <v>0</v>
      </c>
      <c r="D505" s="3">
        <v>0</v>
      </c>
    </row>
    <row r="506" spans="1:4" ht="14.4" x14ac:dyDescent="0.3">
      <c r="A506" s="3">
        <v>506700</v>
      </c>
      <c r="B506" s="3">
        <v>0</v>
      </c>
      <c r="C506" s="4" t="b">
        <v>0</v>
      </c>
      <c r="D506" s="3">
        <v>0</v>
      </c>
    </row>
    <row r="507" spans="1:4" ht="14.4" x14ac:dyDescent="0.3">
      <c r="A507" s="3">
        <v>506701</v>
      </c>
      <c r="B507" s="3">
        <v>0</v>
      </c>
      <c r="C507" s="4" t="b">
        <v>0</v>
      </c>
      <c r="D507" s="3">
        <v>0</v>
      </c>
    </row>
    <row r="508" spans="1:4" ht="14.4" x14ac:dyDescent="0.3">
      <c r="A508" s="3">
        <v>506705</v>
      </c>
      <c r="B508" s="3">
        <v>0</v>
      </c>
      <c r="C508" s="4" t="b">
        <v>0</v>
      </c>
      <c r="D508" s="3">
        <v>0</v>
      </c>
    </row>
    <row r="509" spans="1:4" ht="14.4" x14ac:dyDescent="0.3">
      <c r="A509" s="3">
        <v>5067050</v>
      </c>
      <c r="B509" s="3">
        <v>0</v>
      </c>
      <c r="C509" s="4" t="b">
        <v>0</v>
      </c>
      <c r="D509" s="3">
        <v>0</v>
      </c>
    </row>
    <row r="510" spans="1:4" ht="14.4" x14ac:dyDescent="0.3">
      <c r="A510" s="3">
        <v>506704</v>
      </c>
      <c r="B510" s="3">
        <v>0</v>
      </c>
      <c r="C510" s="4" t="b">
        <v>0</v>
      </c>
      <c r="D510" s="3">
        <v>0</v>
      </c>
    </row>
    <row r="511" spans="1:4" ht="14.4" x14ac:dyDescent="0.3">
      <c r="A511" s="3">
        <v>5067030</v>
      </c>
      <c r="B511" s="3">
        <v>0</v>
      </c>
      <c r="C511" s="4" t="b">
        <v>0</v>
      </c>
      <c r="D511" s="3">
        <v>0</v>
      </c>
    </row>
    <row r="512" spans="1:4" ht="14.4" x14ac:dyDescent="0.3">
      <c r="A512" s="3">
        <v>506706</v>
      </c>
      <c r="B512" s="3">
        <v>0</v>
      </c>
      <c r="C512" s="4" t="b">
        <v>0</v>
      </c>
      <c r="D512" s="3">
        <v>0</v>
      </c>
    </row>
    <row r="513" spans="1:4" ht="14.4" x14ac:dyDescent="0.3">
      <c r="A513" s="3">
        <v>506704</v>
      </c>
      <c r="B513" s="3">
        <v>0</v>
      </c>
      <c r="C513" s="4" t="b">
        <v>0</v>
      </c>
      <c r="D513" s="3">
        <v>0</v>
      </c>
    </row>
    <row r="514" spans="1:4" ht="14.4" x14ac:dyDescent="0.3">
      <c r="A514" s="3">
        <v>506705</v>
      </c>
      <c r="B514" s="3">
        <v>0</v>
      </c>
      <c r="C514" s="4" t="b">
        <v>0</v>
      </c>
      <c r="D514" s="3">
        <v>0</v>
      </c>
    </row>
    <row r="515" spans="1:4" ht="14.4" x14ac:dyDescent="0.3">
      <c r="A515" s="3">
        <v>506710</v>
      </c>
      <c r="B515" s="3">
        <v>0</v>
      </c>
      <c r="C515" s="4" t="b">
        <v>1</v>
      </c>
      <c r="D515" s="3">
        <v>0</v>
      </c>
    </row>
    <row r="516" spans="1:4" ht="14.4" x14ac:dyDescent="0.3">
      <c r="A516" s="3">
        <v>506711</v>
      </c>
      <c r="B516" s="3">
        <v>0</v>
      </c>
      <c r="C516" s="4" t="b">
        <v>0</v>
      </c>
      <c r="D516" s="3">
        <v>0</v>
      </c>
    </row>
    <row r="517" spans="1:4" ht="14.4" x14ac:dyDescent="0.3">
      <c r="A517" s="3">
        <v>506715</v>
      </c>
      <c r="B517" s="3">
        <v>0</v>
      </c>
      <c r="C517" s="4" t="b">
        <v>0</v>
      </c>
      <c r="D517" s="3">
        <v>0</v>
      </c>
    </row>
    <row r="518" spans="1:4" ht="14.4" x14ac:dyDescent="0.3">
      <c r="A518" s="3">
        <v>5067150</v>
      </c>
      <c r="B518" s="3">
        <v>0</v>
      </c>
      <c r="C518" s="4" t="b">
        <v>0</v>
      </c>
      <c r="D518" s="3">
        <v>0</v>
      </c>
    </row>
    <row r="519" spans="1:4" ht="14.4" x14ac:dyDescent="0.3">
      <c r="A519" s="3">
        <v>506717</v>
      </c>
      <c r="B519" s="3">
        <v>0</v>
      </c>
      <c r="C519" s="4" t="b">
        <v>0</v>
      </c>
      <c r="D519" s="3">
        <v>0</v>
      </c>
    </row>
    <row r="520" spans="1:4" ht="14.4" x14ac:dyDescent="0.3">
      <c r="A520" s="3">
        <v>506714</v>
      </c>
      <c r="B520" s="3">
        <v>0</v>
      </c>
      <c r="C520" s="4" t="b">
        <v>1</v>
      </c>
      <c r="D520" s="3">
        <v>0</v>
      </c>
    </row>
    <row r="521" spans="1:4" ht="14.4" x14ac:dyDescent="0.3">
      <c r="A521" s="3">
        <v>506715</v>
      </c>
      <c r="B521" s="3">
        <v>0</v>
      </c>
      <c r="C521" s="4" t="b">
        <v>0</v>
      </c>
      <c r="D521" s="3">
        <v>0</v>
      </c>
    </row>
    <row r="522" spans="1:4" ht="14.4" x14ac:dyDescent="0.3">
      <c r="A522" s="3">
        <v>506750</v>
      </c>
      <c r="B522" s="3">
        <v>0</v>
      </c>
      <c r="C522" s="4" t="b">
        <v>0</v>
      </c>
      <c r="D522" s="3">
        <v>0</v>
      </c>
    </row>
    <row r="523" spans="1:4" ht="14.4" x14ac:dyDescent="0.3">
      <c r="A523" s="3">
        <v>506751</v>
      </c>
      <c r="B523" s="3">
        <v>0</v>
      </c>
      <c r="C523" s="4" t="b">
        <v>1</v>
      </c>
      <c r="D523" s="3">
        <v>0</v>
      </c>
    </row>
    <row r="524" spans="1:4" ht="14.4" x14ac:dyDescent="0.3">
      <c r="A524" s="3">
        <v>506755</v>
      </c>
      <c r="B524" s="3">
        <v>0</v>
      </c>
      <c r="C524" s="4" t="b">
        <v>0</v>
      </c>
      <c r="D524" s="3">
        <v>0</v>
      </c>
    </row>
    <row r="525" spans="1:4" ht="14.4" x14ac:dyDescent="0.3">
      <c r="A525" s="3">
        <v>5067550</v>
      </c>
      <c r="B525" s="3">
        <v>0</v>
      </c>
      <c r="C525" s="4" t="b">
        <v>0</v>
      </c>
      <c r="D525" s="3">
        <v>0</v>
      </c>
    </row>
    <row r="526" spans="1:4" ht="14.4" x14ac:dyDescent="0.3">
      <c r="A526" s="3">
        <v>506754</v>
      </c>
      <c r="B526" s="3">
        <v>0</v>
      </c>
      <c r="C526" s="4" t="b">
        <v>0</v>
      </c>
      <c r="D526" s="3">
        <v>0</v>
      </c>
    </row>
    <row r="527" spans="1:4" ht="14.4" x14ac:dyDescent="0.3">
      <c r="A527" s="3">
        <v>5067530</v>
      </c>
      <c r="B527" s="3">
        <v>0</v>
      </c>
      <c r="C527" s="4" t="b">
        <v>0</v>
      </c>
      <c r="D527" s="3">
        <v>0</v>
      </c>
    </row>
    <row r="528" spans="1:4" ht="14.4" x14ac:dyDescent="0.3">
      <c r="A528" s="3">
        <v>506756</v>
      </c>
      <c r="B528" s="3">
        <v>0</v>
      </c>
      <c r="C528" s="4" t="b">
        <v>0</v>
      </c>
      <c r="D528" s="3">
        <v>0</v>
      </c>
    </row>
    <row r="529" spans="1:4" ht="14.4" x14ac:dyDescent="0.3">
      <c r="A529" s="3">
        <v>506757</v>
      </c>
      <c r="B529" s="3">
        <v>0</v>
      </c>
      <c r="C529" s="4" t="b">
        <v>0</v>
      </c>
      <c r="D529" s="3">
        <v>0</v>
      </c>
    </row>
    <row r="530" spans="1:4" ht="14.4" x14ac:dyDescent="0.3">
      <c r="A530" s="3">
        <v>506754</v>
      </c>
      <c r="B530" s="3">
        <v>0</v>
      </c>
      <c r="C530" s="4" t="b">
        <v>0</v>
      </c>
      <c r="D530" s="3">
        <v>0</v>
      </c>
    </row>
    <row r="531" spans="1:4" ht="14.4" x14ac:dyDescent="0.3">
      <c r="A531" s="3">
        <v>506755</v>
      </c>
      <c r="B531" s="3">
        <v>0</v>
      </c>
      <c r="C531" s="4" t="b">
        <v>0</v>
      </c>
      <c r="D531" s="3">
        <v>0</v>
      </c>
    </row>
    <row r="532" spans="1:4" ht="14.4" x14ac:dyDescent="0.3">
      <c r="A532" s="3">
        <v>5067500</v>
      </c>
      <c r="B532" s="3">
        <v>0</v>
      </c>
      <c r="C532" s="4" t="b">
        <v>0</v>
      </c>
      <c r="D532" s="3">
        <v>0</v>
      </c>
    </row>
    <row r="533" spans="1:4" ht="14.4" x14ac:dyDescent="0.3">
      <c r="A533" s="3">
        <v>5067501</v>
      </c>
      <c r="B533" s="3">
        <v>0</v>
      </c>
      <c r="C533" s="4" t="b">
        <v>0</v>
      </c>
      <c r="D533" s="3">
        <v>0</v>
      </c>
    </row>
    <row r="534" spans="1:4" ht="14.4" x14ac:dyDescent="0.3">
      <c r="A534" s="3">
        <v>5067505</v>
      </c>
      <c r="B534" s="3">
        <v>0</v>
      </c>
      <c r="C534" s="4" t="b">
        <v>0</v>
      </c>
      <c r="D534" s="3">
        <v>0</v>
      </c>
    </row>
    <row r="535" spans="1:4" ht="14.4" x14ac:dyDescent="0.3">
      <c r="A535" s="3">
        <v>50675050</v>
      </c>
      <c r="B535" s="3">
        <v>0</v>
      </c>
      <c r="C535" s="4" t="b">
        <v>0</v>
      </c>
      <c r="D535" s="3">
        <v>0</v>
      </c>
    </row>
    <row r="536" spans="1:4" ht="14.4" x14ac:dyDescent="0.3">
      <c r="A536" s="3">
        <v>5067504</v>
      </c>
      <c r="B536" s="3">
        <v>0</v>
      </c>
      <c r="C536" s="4" t="b">
        <v>0</v>
      </c>
      <c r="D536" s="3">
        <v>0</v>
      </c>
    </row>
    <row r="537" spans="1:4" ht="14.4" x14ac:dyDescent="0.3">
      <c r="A537" s="3">
        <v>50675030</v>
      </c>
      <c r="B537" s="3">
        <v>0</v>
      </c>
      <c r="C537" s="4" t="b">
        <v>0</v>
      </c>
      <c r="D537" s="3">
        <v>0</v>
      </c>
    </row>
    <row r="538" spans="1:4" ht="14.4" x14ac:dyDescent="0.3">
      <c r="A538" s="3">
        <v>5067506</v>
      </c>
      <c r="B538" s="3">
        <v>0</v>
      </c>
      <c r="C538" s="4" t="b">
        <v>0</v>
      </c>
      <c r="D538" s="3">
        <v>0</v>
      </c>
    </row>
    <row r="539" spans="1:4" ht="14.4" x14ac:dyDescent="0.3">
      <c r="A539" s="3">
        <v>5067507</v>
      </c>
      <c r="B539" s="3">
        <v>0</v>
      </c>
      <c r="C539" s="4" t="b">
        <v>0</v>
      </c>
      <c r="D539" s="3">
        <v>0</v>
      </c>
    </row>
    <row r="540" spans="1:4" ht="14.4" x14ac:dyDescent="0.3">
      <c r="A540" s="3">
        <v>5067504</v>
      </c>
      <c r="B540" s="3">
        <v>0</v>
      </c>
      <c r="C540" s="4" t="b">
        <v>0</v>
      </c>
      <c r="D540" s="3">
        <v>0</v>
      </c>
    </row>
    <row r="541" spans="1:4" ht="14.4" x14ac:dyDescent="0.3">
      <c r="A541" s="3">
        <v>5067505</v>
      </c>
      <c r="B541" s="3">
        <v>0</v>
      </c>
      <c r="C541" s="4" t="b">
        <v>0</v>
      </c>
      <c r="D541" s="3">
        <v>0</v>
      </c>
    </row>
    <row r="542" spans="1:4" ht="14.4" x14ac:dyDescent="0.3">
      <c r="A542" s="3">
        <v>506740</v>
      </c>
      <c r="B542" s="3">
        <v>0</v>
      </c>
      <c r="C542" s="4" t="b">
        <v>0</v>
      </c>
      <c r="D542" s="3">
        <v>0</v>
      </c>
    </row>
    <row r="543" spans="1:4" ht="14.4" x14ac:dyDescent="0.3">
      <c r="A543" s="3">
        <v>506741</v>
      </c>
      <c r="B543" s="3">
        <v>0</v>
      </c>
      <c r="C543" s="4" t="b">
        <v>0</v>
      </c>
      <c r="D543" s="3">
        <v>0</v>
      </c>
    </row>
    <row r="544" spans="1:4" ht="14.4" x14ac:dyDescent="0.3">
      <c r="A544" s="3">
        <v>506745</v>
      </c>
      <c r="B544" s="3">
        <v>0</v>
      </c>
      <c r="C544" s="4" t="b">
        <v>0</v>
      </c>
      <c r="D544" s="3">
        <v>0</v>
      </c>
    </row>
    <row r="545" spans="1:4" ht="14.4" x14ac:dyDescent="0.3">
      <c r="A545" s="3">
        <v>5067450</v>
      </c>
      <c r="B545" s="3">
        <v>0</v>
      </c>
      <c r="C545" s="4" t="b">
        <v>0</v>
      </c>
      <c r="D545" s="3">
        <v>0</v>
      </c>
    </row>
    <row r="546" spans="1:4" ht="14.4" x14ac:dyDescent="0.3">
      <c r="A546" s="3">
        <v>506744</v>
      </c>
      <c r="B546" s="3">
        <v>0</v>
      </c>
      <c r="C546" s="4" t="b">
        <v>0</v>
      </c>
      <c r="D546" s="3">
        <v>0</v>
      </c>
    </row>
    <row r="547" spans="1:4" ht="14.4" x14ac:dyDescent="0.3">
      <c r="A547" s="3">
        <v>5067430</v>
      </c>
      <c r="B547" s="3">
        <v>0</v>
      </c>
      <c r="C547" s="4" t="b">
        <v>0</v>
      </c>
      <c r="D547" s="3">
        <v>0</v>
      </c>
    </row>
    <row r="548" spans="1:4" ht="14.4" x14ac:dyDescent="0.3">
      <c r="A548" s="3">
        <v>506746</v>
      </c>
      <c r="B548" s="3">
        <v>0</v>
      </c>
      <c r="C548" s="4" t="b">
        <v>0</v>
      </c>
      <c r="D548" s="3">
        <v>0</v>
      </c>
    </row>
    <row r="549" spans="1:4" ht="14.4" x14ac:dyDescent="0.3">
      <c r="A549" s="3">
        <v>506747</v>
      </c>
      <c r="B549" s="3">
        <v>0</v>
      </c>
      <c r="C549" s="4" t="b">
        <v>0</v>
      </c>
      <c r="D549" s="3">
        <v>0</v>
      </c>
    </row>
    <row r="550" spans="1:4" ht="14.4" x14ac:dyDescent="0.3">
      <c r="A550" s="3">
        <v>506744</v>
      </c>
      <c r="B550" s="3">
        <v>0</v>
      </c>
      <c r="C550" s="4" t="b">
        <v>0</v>
      </c>
      <c r="D550" s="3">
        <v>0</v>
      </c>
    </row>
    <row r="551" spans="1:4" ht="14.4" x14ac:dyDescent="0.3">
      <c r="A551" s="3"/>
      <c r="B551" s="3"/>
      <c r="C551" s="4"/>
      <c r="D551" s="3"/>
    </row>
    <row r="552" spans="1:4" ht="14.4" x14ac:dyDescent="0.3">
      <c r="A552" s="3"/>
      <c r="B552" s="3"/>
      <c r="C552" s="4"/>
      <c r="D552" s="3"/>
    </row>
  </sheetData>
  <autoFilter ref="A1:D550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F2E5-4759-4C1C-B1DB-34CD32F1BF7C}">
  <dimension ref="A1:V14"/>
  <sheetViews>
    <sheetView workbookViewId="0">
      <selection sqref="A1:F2"/>
    </sheetView>
  </sheetViews>
  <sheetFormatPr baseColWidth="10" defaultRowHeight="13.2" x14ac:dyDescent="0.25"/>
  <cols>
    <col min="1" max="1" width="17.33203125" bestFit="1" customWidth="1"/>
    <col min="2" max="2" width="12.21875" bestFit="1" customWidth="1"/>
    <col min="3" max="3" width="9" bestFit="1" customWidth="1"/>
    <col min="4" max="4" width="7.109375" bestFit="1" customWidth="1"/>
    <col min="5" max="5" width="10.77734375" bestFit="1" customWidth="1"/>
    <col min="6" max="6" width="16.21875" customWidth="1"/>
  </cols>
  <sheetData>
    <row r="1" spans="1:22" x14ac:dyDescent="0.25">
      <c r="A1" s="40" t="s">
        <v>2359</v>
      </c>
      <c r="B1" s="41"/>
      <c r="C1" s="41"/>
      <c r="D1" s="41"/>
      <c r="E1" s="41"/>
      <c r="F1" s="41"/>
    </row>
    <row r="2" spans="1:22" x14ac:dyDescent="0.25">
      <c r="A2" s="41"/>
      <c r="B2" s="41"/>
      <c r="C2" s="41"/>
      <c r="D2" s="41"/>
      <c r="E2" s="41"/>
      <c r="F2" s="41"/>
    </row>
    <row r="3" spans="1:22" x14ac:dyDescent="0.25">
      <c r="A3" s="18" t="s">
        <v>2352</v>
      </c>
      <c r="B3" s="18" t="s">
        <v>2357</v>
      </c>
    </row>
    <row r="4" spans="1:22" x14ac:dyDescent="0.25">
      <c r="A4" s="18" t="s">
        <v>2349</v>
      </c>
      <c r="B4" t="s">
        <v>33</v>
      </c>
      <c r="C4" t="s">
        <v>28</v>
      </c>
      <c r="D4" t="s">
        <v>39</v>
      </c>
      <c r="E4" t="s">
        <v>2350</v>
      </c>
      <c r="F4" t="s">
        <v>2351</v>
      </c>
    </row>
    <row r="5" spans="1:22" s="27" customFormat="1" x14ac:dyDescent="0.25">
      <c r="A5" s="19" t="s">
        <v>2354</v>
      </c>
      <c r="B5">
        <v>25</v>
      </c>
      <c r="C5">
        <v>45</v>
      </c>
      <c r="D5">
        <v>33</v>
      </c>
      <c r="E5"/>
      <c r="F5">
        <v>103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5">
      <c r="A6" s="19" t="s">
        <v>2355</v>
      </c>
      <c r="B6">
        <v>144</v>
      </c>
      <c r="C6">
        <v>163</v>
      </c>
      <c r="D6">
        <v>139</v>
      </c>
      <c r="F6">
        <v>446</v>
      </c>
    </row>
    <row r="7" spans="1:22" x14ac:dyDescent="0.25">
      <c r="A7" s="19" t="s">
        <v>2350</v>
      </c>
    </row>
    <row r="8" spans="1:22" s="27" customFormat="1" x14ac:dyDescent="0.25">
      <c r="A8" s="19" t="s">
        <v>2351</v>
      </c>
      <c r="B8">
        <v>169</v>
      </c>
      <c r="C8">
        <v>208</v>
      </c>
      <c r="D8">
        <v>172</v>
      </c>
      <c r="E8"/>
      <c r="F8">
        <v>549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s="26" customFormat="1" x14ac:dyDescent="0.25">
      <c r="A9"/>
      <c r="B9"/>
      <c r="C9"/>
      <c r="D9"/>
      <c r="E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1" spans="1:22" s="27" customFormat="1" hidden="1" x14ac:dyDescent="0.25">
      <c r="A11"/>
      <c r="B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s="26" customFormat="1" x14ac:dyDescent="0.25">
      <c r="A12"/>
      <c r="B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4" spans="1:22" x14ac:dyDescent="0.25">
      <c r="F14" t="s">
        <v>2358</v>
      </c>
    </row>
  </sheetData>
  <mergeCells count="1">
    <mergeCell ref="A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1862-7859-4404-95B0-EB5AFDB839D1}">
  <dimension ref="A2:B7"/>
  <sheetViews>
    <sheetView workbookViewId="0">
      <selection activeCell="A2" sqref="A2:XFD7"/>
    </sheetView>
  </sheetViews>
  <sheetFormatPr baseColWidth="10" defaultRowHeight="13.2" x14ac:dyDescent="0.25"/>
  <cols>
    <col min="1" max="1" width="17.33203125" bestFit="1" customWidth="1"/>
    <col min="2" max="2" width="12.21875" bestFit="1" customWidth="1"/>
  </cols>
  <sheetData>
    <row r="2" spans="1:2" x14ac:dyDescent="0.25">
      <c r="A2" s="18" t="s">
        <v>2349</v>
      </c>
      <c r="B2" t="s">
        <v>2352</v>
      </c>
    </row>
    <row r="3" spans="1:2" x14ac:dyDescent="0.25">
      <c r="A3" s="19" t="s">
        <v>33</v>
      </c>
      <c r="B3">
        <v>172</v>
      </c>
    </row>
    <row r="4" spans="1:2" x14ac:dyDescent="0.25">
      <c r="A4" s="19" t="s">
        <v>28</v>
      </c>
      <c r="B4">
        <v>205</v>
      </c>
    </row>
    <row r="5" spans="1:2" x14ac:dyDescent="0.25">
      <c r="A5" s="19" t="s">
        <v>39</v>
      </c>
      <c r="B5">
        <v>172</v>
      </c>
    </row>
    <row r="6" spans="1:2" x14ac:dyDescent="0.25">
      <c r="A6" s="19" t="s">
        <v>2350</v>
      </c>
    </row>
    <row r="7" spans="1:2" x14ac:dyDescent="0.25">
      <c r="A7" s="19" t="s">
        <v>2351</v>
      </c>
      <c r="B7">
        <v>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F35B-8B51-488C-B559-5B67C5D9ECCC}">
  <dimension ref="A3:B7"/>
  <sheetViews>
    <sheetView workbookViewId="0">
      <selection activeCell="A6" sqref="A6"/>
    </sheetView>
  </sheetViews>
  <sheetFormatPr baseColWidth="10" defaultRowHeight="13.2" x14ac:dyDescent="0.25"/>
  <cols>
    <col min="1" max="1" width="17.33203125" bestFit="1" customWidth="1"/>
    <col min="2" max="2" width="12.21875" bestFit="1" customWidth="1"/>
  </cols>
  <sheetData>
    <row r="3" spans="1:2" x14ac:dyDescent="0.25">
      <c r="A3" s="18" t="s">
        <v>2349</v>
      </c>
      <c r="B3" t="s">
        <v>2352</v>
      </c>
    </row>
    <row r="4" spans="1:2" x14ac:dyDescent="0.25">
      <c r="A4" s="19" t="s">
        <v>2354</v>
      </c>
      <c r="B4">
        <v>103</v>
      </c>
    </row>
    <row r="5" spans="1:2" x14ac:dyDescent="0.25">
      <c r="A5" s="19" t="s">
        <v>2355</v>
      </c>
      <c r="B5">
        <v>446</v>
      </c>
    </row>
    <row r="6" spans="1:2" x14ac:dyDescent="0.25">
      <c r="A6" s="19" t="s">
        <v>2350</v>
      </c>
    </row>
    <row r="7" spans="1:2" x14ac:dyDescent="0.25">
      <c r="A7" s="19" t="s">
        <v>2351</v>
      </c>
      <c r="B7">
        <v>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Case 1</vt:lpstr>
      <vt:lpstr>Case 1.1</vt:lpstr>
      <vt:lpstr>Case 1.2</vt:lpstr>
      <vt:lpstr>Hoja1</vt:lpstr>
      <vt:lpstr>Hoja8</vt:lpstr>
      <vt:lpstr>Hoja9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</cp:lastModifiedBy>
  <dcterms:modified xsi:type="dcterms:W3CDTF">2023-03-25T13:36:16Z</dcterms:modified>
</cp:coreProperties>
</file>