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 lanza\Documents\Home\"/>
    </mc:Choice>
  </mc:AlternateContent>
  <bookViews>
    <workbookView xWindow="0" yWindow="0" windowWidth="28770" windowHeight="12270" activeTab="5"/>
  </bookViews>
  <sheets>
    <sheet name="Início" sheetId="7" r:id="rId1"/>
    <sheet name="Produtos" sheetId="1" r:id="rId2"/>
    <sheet name="Clientes" sheetId="2" r:id="rId3"/>
    <sheet name="Pedidos" sheetId="3" r:id="rId4"/>
    <sheet name="Dashboard Produtos" sheetId="4" r:id="rId5"/>
    <sheet name="Dashboard Clientes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F3" i="2"/>
  <c r="F3" i="1"/>
  <c r="T8" i="1"/>
  <c r="T11" i="1"/>
  <c r="T12" i="1"/>
  <c r="T13" i="1"/>
  <c r="T17" i="1"/>
  <c r="T18" i="1"/>
  <c r="T20" i="1"/>
  <c r="T21" i="1"/>
  <c r="T23" i="1"/>
  <c r="T7" i="1"/>
  <c r="S8" i="1"/>
  <c r="S11" i="1"/>
  <c r="S13" i="1"/>
  <c r="S14" i="1"/>
  <c r="S16" i="1"/>
  <c r="S18" i="1"/>
  <c r="S23" i="1"/>
  <c r="S24" i="1"/>
  <c r="R8" i="1"/>
  <c r="R9" i="1"/>
  <c r="R13" i="1"/>
  <c r="R14" i="1"/>
  <c r="R16" i="1"/>
  <c r="R17" i="1"/>
  <c r="R19" i="1"/>
  <c r="R20" i="1"/>
  <c r="Q8" i="1"/>
  <c r="Q10" i="1"/>
  <c r="Q13" i="1"/>
  <c r="Q14" i="1"/>
  <c r="Q16" i="1"/>
  <c r="Q18" i="1"/>
  <c r="Q19" i="1"/>
  <c r="Q22" i="1"/>
  <c r="Q23" i="1"/>
  <c r="Q24" i="1"/>
  <c r="P9" i="1"/>
  <c r="P10" i="1"/>
  <c r="P13" i="1"/>
  <c r="P14" i="1"/>
  <c r="P15" i="1"/>
  <c r="P17" i="1"/>
  <c r="P20" i="1"/>
  <c r="P21" i="1"/>
  <c r="P22" i="1"/>
  <c r="P24" i="1"/>
  <c r="O9" i="1"/>
  <c r="O11" i="1"/>
  <c r="O17" i="1"/>
  <c r="O20" i="1"/>
  <c r="O21" i="1"/>
  <c r="O23" i="1"/>
  <c r="N9" i="1"/>
  <c r="N10" i="1"/>
  <c r="N12" i="1"/>
  <c r="N14" i="1"/>
  <c r="N15" i="1"/>
  <c r="N16" i="1"/>
  <c r="N19" i="1"/>
  <c r="N21" i="1"/>
  <c r="N22" i="1"/>
  <c r="N7" i="1"/>
  <c r="M9" i="1"/>
  <c r="M13" i="1"/>
  <c r="M14" i="1"/>
  <c r="M15" i="1"/>
  <c r="M16" i="1"/>
  <c r="M19" i="1"/>
  <c r="M20" i="1"/>
  <c r="M21" i="1"/>
  <c r="M23" i="1"/>
  <c r="M24" i="1"/>
  <c r="M7" i="1"/>
  <c r="L9" i="1"/>
  <c r="L11" i="1"/>
  <c r="L14" i="1"/>
  <c r="L17" i="1"/>
  <c r="L19" i="1"/>
  <c r="L20" i="1"/>
  <c r="L21" i="1"/>
  <c r="L22" i="1"/>
  <c r="L23" i="1"/>
  <c r="K10" i="1"/>
  <c r="K11" i="1"/>
  <c r="K13" i="1"/>
  <c r="K14" i="1"/>
  <c r="K16" i="1"/>
  <c r="K17" i="1"/>
  <c r="K20" i="1"/>
  <c r="K21" i="1"/>
  <c r="J9" i="1"/>
  <c r="J15" i="1"/>
  <c r="J23" i="1"/>
  <c r="I15" i="1"/>
  <c r="I19" i="1"/>
  <c r="I22" i="1"/>
  <c r="U8" i="2"/>
  <c r="U10" i="2"/>
  <c r="U11" i="2"/>
  <c r="U12" i="2"/>
  <c r="U13" i="2"/>
  <c r="T9" i="2"/>
  <c r="T14" i="2"/>
  <c r="T15" i="2"/>
  <c r="T16" i="2"/>
  <c r="T17" i="2"/>
  <c r="S14" i="2"/>
  <c r="S7" i="2"/>
  <c r="R8" i="2"/>
  <c r="R9" i="2"/>
  <c r="R14" i="2"/>
  <c r="R16" i="2"/>
  <c r="Q9" i="2"/>
  <c r="Q17" i="2"/>
  <c r="Q18" i="2"/>
  <c r="P12" i="2"/>
  <c r="P13" i="2"/>
  <c r="P14" i="2"/>
  <c r="P17" i="2"/>
  <c r="O8" i="2"/>
  <c r="O9" i="2"/>
  <c r="O14" i="2"/>
  <c r="O18" i="2"/>
  <c r="N16" i="2"/>
  <c r="N17" i="2"/>
  <c r="N7" i="2"/>
  <c r="M8" i="2"/>
  <c r="M9" i="2"/>
  <c r="M11" i="2"/>
  <c r="M17" i="2"/>
  <c r="M7" i="2"/>
  <c r="L8" i="2"/>
  <c r="L9" i="2"/>
  <c r="L11" i="2"/>
  <c r="L19" i="2"/>
  <c r="L7" i="2"/>
  <c r="K8" i="2"/>
  <c r="K9" i="2"/>
  <c r="K11" i="2"/>
  <c r="K17" i="2"/>
  <c r="K7" i="2"/>
  <c r="J11" i="2"/>
  <c r="J14" i="2"/>
  <c r="J16" i="2"/>
  <c r="H8" i="2"/>
  <c r="H9" i="2"/>
  <c r="H10" i="2"/>
  <c r="H11" i="2"/>
  <c r="H12" i="2"/>
  <c r="H13" i="2"/>
  <c r="H14" i="2"/>
  <c r="H15" i="2"/>
  <c r="H16" i="2"/>
  <c r="H17" i="2"/>
  <c r="H18" i="2"/>
  <c r="H19" i="2"/>
  <c r="H7" i="2"/>
  <c r="L8" i="3"/>
  <c r="J8" i="2" s="1"/>
  <c r="L9" i="3"/>
  <c r="L10" i="3"/>
  <c r="L12" i="3"/>
  <c r="I21" i="1" s="1"/>
  <c r="L14" i="3"/>
  <c r="L15" i="3"/>
  <c r="L16" i="3"/>
  <c r="L17" i="3"/>
  <c r="H23" i="1" s="1"/>
  <c r="L18" i="3"/>
  <c r="L20" i="3"/>
  <c r="L22" i="3"/>
  <c r="I11" i="1" s="1"/>
  <c r="L24" i="3"/>
  <c r="H21" i="1" s="1"/>
  <c r="L25" i="3"/>
  <c r="I12" i="1" s="1"/>
  <c r="L26" i="3"/>
  <c r="L28" i="3"/>
  <c r="L32" i="3"/>
  <c r="L33" i="3"/>
  <c r="L34" i="3"/>
  <c r="I24" i="1" s="1"/>
  <c r="L36" i="3"/>
  <c r="L38" i="3"/>
  <c r="L39" i="3"/>
  <c r="L40" i="3"/>
  <c r="J22" i="1" s="1"/>
  <c r="L41" i="3"/>
  <c r="L42" i="3"/>
  <c r="L44" i="3"/>
  <c r="L46" i="3"/>
  <c r="L47" i="3"/>
  <c r="J8" i="1" s="1"/>
  <c r="L48" i="3"/>
  <c r="J18" i="1" s="1"/>
  <c r="L49" i="3"/>
  <c r="H19" i="1" s="1"/>
  <c r="L50" i="3"/>
  <c r="L52" i="3"/>
  <c r="J13" i="1" s="1"/>
  <c r="L54" i="3"/>
  <c r="K10" i="2" s="1"/>
  <c r="L56" i="3"/>
  <c r="K12" i="2" s="1"/>
  <c r="L57" i="3"/>
  <c r="L58" i="3"/>
  <c r="L60" i="3"/>
  <c r="L64" i="3"/>
  <c r="L65" i="3"/>
  <c r="L66" i="3"/>
  <c r="J20" i="1" s="1"/>
  <c r="L68" i="3"/>
  <c r="J10" i="1" s="1"/>
  <c r="L70" i="3"/>
  <c r="L10" i="2" s="1"/>
  <c r="L71" i="3"/>
  <c r="K8" i="1" s="1"/>
  <c r="L72" i="3"/>
  <c r="L73" i="3"/>
  <c r="L74" i="3"/>
  <c r="L13" i="2" s="1"/>
  <c r="L76" i="3"/>
  <c r="L78" i="3"/>
  <c r="L79" i="3"/>
  <c r="K15" i="1" s="1"/>
  <c r="L80" i="3"/>
  <c r="L16" i="2" s="1"/>
  <c r="L81" i="3"/>
  <c r="L17" i="2" s="1"/>
  <c r="L82" i="3"/>
  <c r="L84" i="3"/>
  <c r="K24" i="1" s="1"/>
  <c r="L86" i="3"/>
  <c r="M14" i="2" s="1"/>
  <c r="L88" i="3"/>
  <c r="L24" i="1" s="1"/>
  <c r="L89" i="3"/>
  <c r="L90" i="3"/>
  <c r="L92" i="3"/>
  <c r="L7" i="1" s="1"/>
  <c r="L96" i="3"/>
  <c r="M12" i="2" s="1"/>
  <c r="L97" i="3"/>
  <c r="L98" i="3"/>
  <c r="L100" i="3"/>
  <c r="N18" i="2" s="1"/>
  <c r="L102" i="3"/>
  <c r="M18" i="1" s="1"/>
  <c r="L103" i="3"/>
  <c r="M17" i="1" s="1"/>
  <c r="L104" i="3"/>
  <c r="L105" i="3"/>
  <c r="N15" i="2" s="1"/>
  <c r="L106" i="3"/>
  <c r="L108" i="3"/>
  <c r="L110" i="3"/>
  <c r="N8" i="2" s="1"/>
  <c r="L111" i="3"/>
  <c r="L112" i="3"/>
  <c r="N10" i="2" s="1"/>
  <c r="L113" i="3"/>
  <c r="N11" i="2" s="1"/>
  <c r="L114" i="3"/>
  <c r="L116" i="3"/>
  <c r="L118" i="3"/>
  <c r="O16" i="2" s="1"/>
  <c r="L120" i="3"/>
  <c r="L121" i="3"/>
  <c r="L122" i="3"/>
  <c r="L124" i="3"/>
  <c r="N8" i="1" s="1"/>
  <c r="L128" i="3"/>
  <c r="O11" i="2" s="1"/>
  <c r="L129" i="3"/>
  <c r="L130" i="3"/>
  <c r="L132" i="3"/>
  <c r="L134" i="3"/>
  <c r="P10" i="2" s="1"/>
  <c r="L135" i="3"/>
  <c r="P11" i="2" s="1"/>
  <c r="L136" i="3"/>
  <c r="O15" i="1" s="1"/>
  <c r="L137" i="3"/>
  <c r="O24" i="1" s="1"/>
  <c r="L138" i="3"/>
  <c r="L140" i="3"/>
  <c r="L142" i="3"/>
  <c r="L143" i="3"/>
  <c r="P19" i="2" s="1"/>
  <c r="L144" i="3"/>
  <c r="O12" i="1" s="1"/>
  <c r="L145" i="3"/>
  <c r="L146" i="3"/>
  <c r="L148" i="3"/>
  <c r="Q11" i="2" s="1"/>
  <c r="L150" i="3"/>
  <c r="Q13" i="2" s="1"/>
  <c r="L152" i="3"/>
  <c r="L153" i="3"/>
  <c r="P23" i="1" s="1"/>
  <c r="L154" i="3"/>
  <c r="L156" i="3"/>
  <c r="P16" i="1" s="1"/>
  <c r="L160" i="3"/>
  <c r="P12" i="1" s="1"/>
  <c r="L161" i="3"/>
  <c r="L162" i="3"/>
  <c r="R11" i="2" s="1"/>
  <c r="L164" i="3"/>
  <c r="L166" i="3"/>
  <c r="Q9" i="1" s="1"/>
  <c r="L167" i="3"/>
  <c r="Q7" i="1" s="1"/>
  <c r="L168" i="3"/>
  <c r="L169" i="3"/>
  <c r="R18" i="2" s="1"/>
  <c r="L170" i="3"/>
  <c r="L172" i="3"/>
  <c r="L174" i="3"/>
  <c r="L175" i="3"/>
  <c r="R7" i="2" s="1"/>
  <c r="L176" i="3"/>
  <c r="L177" i="3"/>
  <c r="L178" i="3"/>
  <c r="S10" i="2" s="1"/>
  <c r="L180" i="3"/>
  <c r="R24" i="1" s="1"/>
  <c r="L182" i="3"/>
  <c r="L184" i="3"/>
  <c r="L185" i="3"/>
  <c r="L186" i="3"/>
  <c r="S18" i="2" s="1"/>
  <c r="L188" i="3"/>
  <c r="L192" i="3"/>
  <c r="T7" i="2" s="1"/>
  <c r="L193" i="3"/>
  <c r="L194" i="3"/>
  <c r="S22" i="1" s="1"/>
  <c r="L196" i="3"/>
  <c r="S21" i="1" s="1"/>
  <c r="L198" i="3"/>
  <c r="L199" i="3"/>
  <c r="S20" i="1" s="1"/>
  <c r="L200" i="3"/>
  <c r="S9" i="1" s="1"/>
  <c r="L201" i="3"/>
  <c r="S15" i="1" s="1"/>
  <c r="L202" i="3"/>
  <c r="L204" i="3"/>
  <c r="T11" i="2" s="1"/>
  <c r="L206" i="3"/>
  <c r="T13" i="2" s="1"/>
  <c r="L207" i="3"/>
  <c r="T15" i="1" s="1"/>
  <c r="L208" i="3"/>
  <c r="T16" i="1" s="1"/>
  <c r="L209" i="3"/>
  <c r="T10" i="1" s="1"/>
  <c r="L210" i="3"/>
  <c r="L212" i="3"/>
  <c r="L214" i="3"/>
  <c r="L216" i="3"/>
  <c r="T22" i="1" s="1"/>
  <c r="L217" i="3"/>
  <c r="U7" i="2" s="1"/>
  <c r="L218" i="3"/>
  <c r="L220" i="3"/>
  <c r="L7" i="3"/>
  <c r="K8" i="3"/>
  <c r="K9" i="3"/>
  <c r="K10" i="3"/>
  <c r="K11" i="3"/>
  <c r="L11" i="3" s="1"/>
  <c r="J12" i="2" s="1"/>
  <c r="K12" i="3"/>
  <c r="K13" i="3"/>
  <c r="L13" i="3" s="1"/>
  <c r="K14" i="3"/>
  <c r="K15" i="3"/>
  <c r="K16" i="3"/>
  <c r="K17" i="3"/>
  <c r="K18" i="3"/>
  <c r="K19" i="3"/>
  <c r="L19" i="3" s="1"/>
  <c r="K20" i="3"/>
  <c r="K21" i="3"/>
  <c r="L21" i="3" s="1"/>
  <c r="K22" i="3"/>
  <c r="K23" i="3"/>
  <c r="L23" i="3" s="1"/>
  <c r="K24" i="3"/>
  <c r="K25" i="3"/>
  <c r="K26" i="3"/>
  <c r="K27" i="3"/>
  <c r="L27" i="3" s="1"/>
  <c r="I18" i="1" s="1"/>
  <c r="K28" i="3"/>
  <c r="K29" i="3"/>
  <c r="L29" i="3" s="1"/>
  <c r="K30" i="3"/>
  <c r="L30" i="3" s="1"/>
  <c r="K31" i="3"/>
  <c r="L31" i="3" s="1"/>
  <c r="K32" i="3"/>
  <c r="K33" i="3"/>
  <c r="K34" i="3"/>
  <c r="K35" i="3"/>
  <c r="L35" i="3" s="1"/>
  <c r="K36" i="3"/>
  <c r="K37" i="3"/>
  <c r="L37" i="3" s="1"/>
  <c r="K38" i="3"/>
  <c r="K39" i="3"/>
  <c r="K40" i="3"/>
  <c r="K41" i="3"/>
  <c r="K42" i="3"/>
  <c r="K43" i="3"/>
  <c r="L43" i="3" s="1"/>
  <c r="J21" i="1" s="1"/>
  <c r="K44" i="3"/>
  <c r="K45" i="3"/>
  <c r="L45" i="3" s="1"/>
  <c r="K46" i="3"/>
  <c r="K47" i="3"/>
  <c r="K48" i="3"/>
  <c r="K49" i="3"/>
  <c r="K50" i="3"/>
  <c r="K51" i="3"/>
  <c r="L51" i="3" s="1"/>
  <c r="J11" i="1" s="1"/>
  <c r="K52" i="3"/>
  <c r="K53" i="3"/>
  <c r="L53" i="3" s="1"/>
  <c r="K54" i="3"/>
  <c r="K55" i="3"/>
  <c r="L55" i="3" s="1"/>
  <c r="K56" i="3"/>
  <c r="K57" i="3"/>
  <c r="K58" i="3"/>
  <c r="K59" i="3"/>
  <c r="L59" i="3" s="1"/>
  <c r="K60" i="3"/>
  <c r="K61" i="3"/>
  <c r="L61" i="3" s="1"/>
  <c r="K62" i="3"/>
  <c r="L62" i="3" s="1"/>
  <c r="K63" i="3"/>
  <c r="L63" i="3" s="1"/>
  <c r="K64" i="3"/>
  <c r="K65" i="3"/>
  <c r="K66" i="3"/>
  <c r="K67" i="3"/>
  <c r="L67" i="3" s="1"/>
  <c r="K14" i="2" s="1"/>
  <c r="K68" i="3"/>
  <c r="K69" i="3"/>
  <c r="L69" i="3" s="1"/>
  <c r="K9" i="1" s="1"/>
  <c r="K70" i="3"/>
  <c r="K71" i="3"/>
  <c r="K72" i="3"/>
  <c r="K73" i="3"/>
  <c r="K74" i="3"/>
  <c r="K75" i="3"/>
  <c r="L75" i="3" s="1"/>
  <c r="K22" i="1" s="1"/>
  <c r="K76" i="3"/>
  <c r="K77" i="3"/>
  <c r="L77" i="3" s="1"/>
  <c r="K23" i="1" s="1"/>
  <c r="K78" i="3"/>
  <c r="K79" i="3"/>
  <c r="K80" i="3"/>
  <c r="K81" i="3"/>
  <c r="K82" i="3"/>
  <c r="K83" i="3"/>
  <c r="L83" i="3" s="1"/>
  <c r="K12" i="1" s="1"/>
  <c r="K84" i="3"/>
  <c r="K85" i="3"/>
  <c r="L85" i="3" s="1"/>
  <c r="L16" i="1" s="1"/>
  <c r="K86" i="3"/>
  <c r="K87" i="3"/>
  <c r="L87" i="3" s="1"/>
  <c r="K88" i="3"/>
  <c r="K89" i="3"/>
  <c r="K90" i="3"/>
  <c r="K91" i="3"/>
  <c r="L91" i="3" s="1"/>
  <c r="K92" i="3"/>
  <c r="K93" i="3"/>
  <c r="L93" i="3" s="1"/>
  <c r="K94" i="3"/>
  <c r="L94" i="3" s="1"/>
  <c r="K95" i="3"/>
  <c r="L95" i="3" s="1"/>
  <c r="K96" i="3"/>
  <c r="K97" i="3"/>
  <c r="K98" i="3"/>
  <c r="K99" i="3"/>
  <c r="L99" i="3" s="1"/>
  <c r="L12" i="1" s="1"/>
  <c r="K100" i="3"/>
  <c r="K101" i="3"/>
  <c r="L101" i="3" s="1"/>
  <c r="N19" i="2" s="1"/>
  <c r="K102" i="3"/>
  <c r="K103" i="3"/>
  <c r="K104" i="3"/>
  <c r="K105" i="3"/>
  <c r="K106" i="3"/>
  <c r="K107" i="3"/>
  <c r="L107" i="3" s="1"/>
  <c r="M11" i="1" s="1"/>
  <c r="K108" i="3"/>
  <c r="K109" i="3"/>
  <c r="L109" i="3" s="1"/>
  <c r="M22" i="1" s="1"/>
  <c r="K110" i="3"/>
  <c r="K111" i="3"/>
  <c r="K112" i="3"/>
  <c r="K113" i="3"/>
  <c r="K114" i="3"/>
  <c r="K115" i="3"/>
  <c r="L115" i="3" s="1"/>
  <c r="K116" i="3"/>
  <c r="K117" i="3"/>
  <c r="L117" i="3" s="1"/>
  <c r="K118" i="3"/>
  <c r="K119" i="3"/>
  <c r="L119" i="3" s="1"/>
  <c r="K120" i="3"/>
  <c r="K121" i="3"/>
  <c r="K122" i="3"/>
  <c r="K123" i="3"/>
  <c r="L123" i="3" s="1"/>
  <c r="O12" i="2" s="1"/>
  <c r="K124" i="3"/>
  <c r="K125" i="3"/>
  <c r="L125" i="3" s="1"/>
  <c r="K126" i="3"/>
  <c r="L126" i="3" s="1"/>
  <c r="N18" i="1" s="1"/>
  <c r="K127" i="3"/>
  <c r="L127" i="3" s="1"/>
  <c r="N24" i="1" s="1"/>
  <c r="K128" i="3"/>
  <c r="K129" i="3"/>
  <c r="K130" i="3"/>
  <c r="K131" i="3"/>
  <c r="L131" i="3" s="1"/>
  <c r="O7" i="1" s="1"/>
  <c r="K132" i="3"/>
  <c r="K133" i="3"/>
  <c r="L133" i="3" s="1"/>
  <c r="P9" i="2" s="1"/>
  <c r="K134" i="3"/>
  <c r="K135" i="3"/>
  <c r="K136" i="3"/>
  <c r="K137" i="3"/>
  <c r="K138" i="3"/>
  <c r="K139" i="3"/>
  <c r="L139" i="3" s="1"/>
  <c r="P15" i="2" s="1"/>
  <c r="K140" i="3"/>
  <c r="K141" i="3"/>
  <c r="L141" i="3" s="1"/>
  <c r="O10" i="1" s="1"/>
  <c r="K142" i="3"/>
  <c r="K143" i="3"/>
  <c r="K144" i="3"/>
  <c r="K145" i="3"/>
  <c r="K146" i="3"/>
  <c r="K147" i="3"/>
  <c r="L147" i="3" s="1"/>
  <c r="Q10" i="2" s="1"/>
  <c r="K148" i="3"/>
  <c r="K149" i="3"/>
  <c r="L149" i="3" s="1"/>
  <c r="K150" i="3"/>
  <c r="K151" i="3"/>
  <c r="L151" i="3" s="1"/>
  <c r="K152" i="3"/>
  <c r="K153" i="3"/>
  <c r="K154" i="3"/>
  <c r="K155" i="3"/>
  <c r="L155" i="3" s="1"/>
  <c r="K156" i="3"/>
  <c r="K157" i="3"/>
  <c r="L157" i="3" s="1"/>
  <c r="K158" i="3"/>
  <c r="L158" i="3" s="1"/>
  <c r="K159" i="3"/>
  <c r="L159" i="3" s="1"/>
  <c r="Q8" i="2" s="1"/>
  <c r="K160" i="3"/>
  <c r="K161" i="3"/>
  <c r="K162" i="3"/>
  <c r="K163" i="3"/>
  <c r="L163" i="3" s="1"/>
  <c r="K164" i="3"/>
  <c r="K165" i="3"/>
  <c r="L165" i="3" s="1"/>
  <c r="Q11" i="1" s="1"/>
  <c r="K166" i="3"/>
  <c r="K167" i="3"/>
  <c r="K168" i="3"/>
  <c r="K169" i="3"/>
  <c r="K170" i="3"/>
  <c r="K171" i="3"/>
  <c r="L171" i="3" s="1"/>
  <c r="R17" i="2" s="1"/>
  <c r="K172" i="3"/>
  <c r="K173" i="3"/>
  <c r="L173" i="3" s="1"/>
  <c r="Q15" i="1" s="1"/>
  <c r="K174" i="3"/>
  <c r="K175" i="3"/>
  <c r="K176" i="3"/>
  <c r="K177" i="3"/>
  <c r="K178" i="3"/>
  <c r="K179" i="3"/>
  <c r="L179" i="3" s="1"/>
  <c r="K180" i="3"/>
  <c r="K181" i="3"/>
  <c r="L181" i="3" s="1"/>
  <c r="S13" i="2" s="1"/>
  <c r="K182" i="3"/>
  <c r="K183" i="3"/>
  <c r="L183" i="3" s="1"/>
  <c r="K184" i="3"/>
  <c r="K185" i="3"/>
  <c r="K186" i="3"/>
  <c r="K187" i="3"/>
  <c r="L187" i="3" s="1"/>
  <c r="S19" i="2" s="1"/>
  <c r="K188" i="3"/>
  <c r="K189" i="3"/>
  <c r="L189" i="3" s="1"/>
  <c r="R18" i="1" s="1"/>
  <c r="K190" i="3"/>
  <c r="L190" i="3" s="1"/>
  <c r="R15" i="1" s="1"/>
  <c r="K191" i="3"/>
  <c r="L191" i="3" s="1"/>
  <c r="R10" i="1" s="1"/>
  <c r="K192" i="3"/>
  <c r="K193" i="3"/>
  <c r="K194" i="3"/>
  <c r="K195" i="3"/>
  <c r="L195" i="3" s="1"/>
  <c r="S19" i="1" s="1"/>
  <c r="K196" i="3"/>
  <c r="K197" i="3"/>
  <c r="L197" i="3" s="1"/>
  <c r="T18" i="2" s="1"/>
  <c r="K198" i="3"/>
  <c r="K199" i="3"/>
  <c r="K200" i="3"/>
  <c r="K201" i="3"/>
  <c r="K202" i="3"/>
  <c r="K203" i="3"/>
  <c r="L203" i="3" s="1"/>
  <c r="T10" i="2" s="1"/>
  <c r="K204" i="3"/>
  <c r="K205" i="3"/>
  <c r="L205" i="3" s="1"/>
  <c r="K206" i="3"/>
  <c r="K207" i="3"/>
  <c r="K208" i="3"/>
  <c r="K209" i="3"/>
  <c r="K210" i="3"/>
  <c r="K211" i="3"/>
  <c r="L211" i="3" s="1"/>
  <c r="K212" i="3"/>
  <c r="K213" i="3"/>
  <c r="L213" i="3" s="1"/>
  <c r="K214" i="3"/>
  <c r="K215" i="3"/>
  <c r="L215" i="3" s="1"/>
  <c r="K216" i="3"/>
  <c r="K217" i="3"/>
  <c r="K218" i="3"/>
  <c r="K219" i="3"/>
  <c r="L219" i="3" s="1"/>
  <c r="U9" i="2" s="1"/>
  <c r="K220" i="3"/>
  <c r="K221" i="3"/>
  <c r="L221" i="3" s="1"/>
  <c r="T9" i="1" s="1"/>
  <c r="K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G7" i="3"/>
  <c r="F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7" i="3"/>
  <c r="G7" i="1"/>
  <c r="S15" i="2" l="1"/>
  <c r="R7" i="1"/>
  <c r="Q14" i="2"/>
  <c r="P7" i="1"/>
  <c r="N11" i="1"/>
  <c r="O17" i="2"/>
  <c r="L15" i="1"/>
  <c r="M19" i="2"/>
  <c r="L10" i="1"/>
  <c r="M15" i="2"/>
  <c r="K19" i="2"/>
  <c r="J16" i="1"/>
  <c r="H14" i="1"/>
  <c r="I14" i="1"/>
  <c r="I19" i="2"/>
  <c r="I20" i="1"/>
  <c r="H20" i="1"/>
  <c r="Q7" i="2"/>
  <c r="P11" i="1"/>
  <c r="L8" i="1"/>
  <c r="M18" i="2"/>
  <c r="J12" i="1"/>
  <c r="H12" i="1"/>
  <c r="H10" i="1"/>
  <c r="J19" i="2"/>
  <c r="J13" i="2"/>
  <c r="J15" i="2"/>
  <c r="N13" i="2"/>
  <c r="U16" i="2"/>
  <c r="K7" i="1"/>
  <c r="J17" i="2"/>
  <c r="I17" i="1"/>
  <c r="H17" i="1"/>
  <c r="K15" i="2"/>
  <c r="R13" i="2"/>
  <c r="Q21" i="1"/>
  <c r="K13" i="2"/>
  <c r="U14" i="2"/>
  <c r="T14" i="1"/>
  <c r="R12" i="1"/>
  <c r="S16" i="2"/>
  <c r="P8" i="1"/>
  <c r="Q15" i="2"/>
  <c r="O13" i="1"/>
  <c r="P18" i="2"/>
  <c r="O16" i="1"/>
  <c r="O10" i="2"/>
  <c r="I15" i="2"/>
  <c r="I14" i="2"/>
  <c r="O7" i="2"/>
  <c r="I13" i="1"/>
  <c r="K19" i="1"/>
  <c r="N17" i="1"/>
  <c r="S7" i="1"/>
  <c r="Q17" i="1"/>
  <c r="R10" i="2"/>
  <c r="P16" i="2"/>
  <c r="O8" i="1"/>
  <c r="L15" i="2"/>
  <c r="I13" i="2"/>
  <c r="L14" i="2"/>
  <c r="M16" i="2"/>
  <c r="P7" i="2"/>
  <c r="R15" i="2"/>
  <c r="S12" i="2"/>
  <c r="I23" i="1"/>
  <c r="K18" i="1"/>
  <c r="L13" i="1"/>
  <c r="M8" i="1"/>
  <c r="R21" i="1"/>
  <c r="S9" i="2"/>
  <c r="K16" i="2"/>
  <c r="H24" i="1"/>
  <c r="I16" i="1"/>
  <c r="H16" i="1"/>
  <c r="I7" i="2"/>
  <c r="R11" i="1"/>
  <c r="R12" i="2"/>
  <c r="Q12" i="1"/>
  <c r="O13" i="2"/>
  <c r="N23" i="1"/>
  <c r="S10" i="1"/>
  <c r="P8" i="2"/>
  <c r="O22" i="1"/>
  <c r="N20" i="1"/>
  <c r="O19" i="2"/>
  <c r="Q19" i="2"/>
  <c r="J17" i="1"/>
  <c r="H8" i="1"/>
  <c r="O14" i="1"/>
  <c r="J10" i="2"/>
  <c r="Q16" i="2"/>
  <c r="S11" i="2"/>
  <c r="T24" i="1"/>
  <c r="U19" i="2"/>
  <c r="L12" i="2"/>
  <c r="J19" i="1"/>
  <c r="K18" i="2"/>
  <c r="J18" i="2"/>
  <c r="I18" i="2"/>
  <c r="J9" i="2"/>
  <c r="I10" i="1"/>
  <c r="I11" i="2"/>
  <c r="T19" i="2"/>
  <c r="H18" i="1"/>
  <c r="I8" i="1"/>
  <c r="O19" i="1"/>
  <c r="U18" i="2"/>
  <c r="T19" i="1"/>
  <c r="S8" i="2"/>
  <c r="R22" i="1"/>
  <c r="I7" i="1"/>
  <c r="L18" i="2"/>
  <c r="N12" i="2"/>
  <c r="U15" i="2"/>
  <c r="H11" i="1"/>
  <c r="S17" i="2"/>
  <c r="R23" i="1"/>
  <c r="M10" i="1"/>
  <c r="N9" i="2"/>
  <c r="I17" i="2"/>
  <c r="R19" i="2"/>
  <c r="I12" i="2"/>
  <c r="J7" i="2"/>
  <c r="J7" i="1"/>
  <c r="T12" i="2"/>
  <c r="S17" i="1"/>
  <c r="Q12" i="2"/>
  <c r="P19" i="1"/>
  <c r="N13" i="1"/>
  <c r="M10" i="2"/>
  <c r="L18" i="1"/>
  <c r="J14" i="1"/>
  <c r="H15" i="1"/>
  <c r="H22" i="1"/>
  <c r="U17" i="2"/>
  <c r="P18" i="1"/>
  <c r="N14" i="2"/>
  <c r="M12" i="1"/>
  <c r="I16" i="2"/>
  <c r="I9" i="1"/>
  <c r="I8" i="2"/>
  <c r="H9" i="1"/>
  <c r="I9" i="2"/>
  <c r="M13" i="2"/>
  <c r="O15" i="2"/>
  <c r="T8" i="2"/>
  <c r="H13" i="1"/>
  <c r="J24" i="1"/>
  <c r="O18" i="1"/>
  <c r="S12" i="1"/>
  <c r="I10" i="2"/>
  <c r="H7" i="1"/>
  <c r="Q20" i="1"/>
  <c r="E26" i="3" l="1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7" i="3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F7" i="1"/>
  <c r="B216" i="3" l="1"/>
  <c r="B10" i="3"/>
  <c r="B8" i="3"/>
  <c r="B65" i="3" l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7" i="3" s="1"/>
  <c r="B218" i="3" s="1"/>
  <c r="B219" i="3" s="1"/>
  <c r="B220" i="3" s="1"/>
  <c r="B221" i="3" s="1"/>
  <c r="B38" i="3"/>
  <c r="B39" i="3" s="1"/>
  <c r="B40" i="3" s="1"/>
  <c r="B41" i="3" s="1"/>
  <c r="B42" i="3" s="1"/>
  <c r="B43" i="3" s="1"/>
  <c r="B44" i="3" s="1"/>
  <c r="B27" i="3"/>
  <c r="B28" i="3" s="1"/>
  <c r="B29" i="3" s="1"/>
  <c r="B30" i="3" s="1"/>
  <c r="B31" i="3" s="1"/>
  <c r="B32" i="3" s="1"/>
  <c r="B33" i="3" s="1"/>
  <c r="B34" i="3" s="1"/>
  <c r="B35" i="3" s="1"/>
  <c r="B36" i="3" s="1"/>
  <c r="B9" i="3"/>
  <c r="B11" i="3" s="1"/>
  <c r="B12" i="3" s="1"/>
  <c r="B13" i="3" s="1"/>
  <c r="B14" i="3" s="1"/>
  <c r="F22" i="1"/>
  <c r="F23" i="1"/>
  <c r="F24" i="1"/>
  <c r="F21" i="1"/>
  <c r="F20" i="1"/>
  <c r="F19" i="1"/>
  <c r="F15" i="1"/>
  <c r="F14" i="1"/>
  <c r="F16" i="1"/>
  <c r="F17" i="1"/>
  <c r="F18" i="1"/>
  <c r="F13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<sst xmlns="http://schemas.openxmlformats.org/spreadsheetml/2006/main" count="620" uniqueCount="339">
  <si>
    <t>Cod.Prod</t>
  </si>
  <si>
    <t>Descrição</t>
  </si>
  <si>
    <t>Custo</t>
  </si>
  <si>
    <t>% lucro</t>
  </si>
  <si>
    <t>Venda</t>
  </si>
  <si>
    <t>Tipo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</si>
  <si>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</si>
  <si>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</si>
  <si>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</si>
  <si>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</si>
  <si>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</si>
  <si>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</si>
  <si>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</si>
  <si>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</si>
  <si>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</si>
  <si>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</si>
  <si>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</si>
  <si>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</si>
  <si>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</t>
  </si>
  <si>
    <t>Endereço</t>
  </si>
  <si>
    <t>Bairro</t>
  </si>
  <si>
    <t>Fone</t>
  </si>
  <si>
    <t>CEP</t>
  </si>
  <si>
    <t>Data</t>
  </si>
  <si>
    <t>Cliente</t>
  </si>
  <si>
    <t>Produto</t>
  </si>
  <si>
    <t>Qtd</t>
  </si>
  <si>
    <t>Valor Produto</t>
  </si>
  <si>
    <t>Valor Total</t>
  </si>
  <si>
    <t>Cod. Cli</t>
  </si>
  <si>
    <t>Cod.Cli</t>
  </si>
  <si>
    <t>Cod.Pro</t>
  </si>
  <si>
    <t>Mês</t>
  </si>
  <si>
    <t>Cod.Ped</t>
  </si>
  <si>
    <t>Qtd. Total Vendas</t>
  </si>
  <si>
    <t>Valor Total Vendas</t>
  </si>
  <si>
    <t>Valor Total Compras</t>
  </si>
  <si>
    <t>Qtd. Total Compras</t>
  </si>
  <si>
    <t>Salgado</t>
  </si>
  <si>
    <t>Refrigerante</t>
  </si>
  <si>
    <t>Doce</t>
  </si>
  <si>
    <t>Brigadeiro 50 un.</t>
  </si>
  <si>
    <t>Beijinho 50 un.</t>
  </si>
  <si>
    <t>Brigadeiro 100 un.</t>
  </si>
  <si>
    <t>Beijinho 100 un.</t>
  </si>
  <si>
    <t>Coxinha de Frango - 100 un.</t>
  </si>
  <si>
    <t>Coxinha de Frango - 50 un.</t>
  </si>
  <si>
    <t>Coxinha de Carne - 100 un.</t>
  </si>
  <si>
    <t>Coxinha de Carne - 50 un.</t>
  </si>
  <si>
    <t>Mini quibe 100 - un.</t>
  </si>
  <si>
    <t>Mini quibe 50 - un.</t>
  </si>
  <si>
    <t>Enroladinho  Salsicha - 100 un.</t>
  </si>
  <si>
    <t>Enroladinho  Salsicha -  50 un.</t>
  </si>
  <si>
    <t>Esfiha de Carne - 100 un.</t>
  </si>
  <si>
    <t>Esfiha de Carne - 50 un.</t>
  </si>
  <si>
    <t>Esfiha de Frango - 100 un.</t>
  </si>
  <si>
    <t>Esfiha de Frango - 50 un.</t>
  </si>
  <si>
    <t>Coca-Cola 2L - 2 un.</t>
  </si>
  <si>
    <t>Guaraná 2L - 2 un.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</si>
  <si>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</si>
  <si>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</si>
  <si>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</si>
  <si>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</si>
  <si>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</si>
  <si>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</si>
  <si>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</si>
  <si>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</si>
  <si>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</si>
  <si>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</si>
  <si>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</si>
  <si>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</si>
  <si>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</si>
  <si>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Ronaldo Leite</t>
  </si>
  <si>
    <t>Gilvan Souza</t>
  </si>
  <si>
    <t>Pedro Silva</t>
  </si>
  <si>
    <t>Gabriel Lanza</t>
  </si>
  <si>
    <t>Matheus Lucas</t>
  </si>
  <si>
    <t>João Silva</t>
  </si>
  <si>
    <t>Junior Henrique</t>
  </si>
  <si>
    <t>Paulo Cesar</t>
  </si>
  <si>
    <t>Alexandre Souza</t>
  </si>
  <si>
    <t>Amanda Souza</t>
  </si>
  <si>
    <t>Gabriela Antunes</t>
  </si>
  <si>
    <t>Eloá Azevedo</t>
  </si>
  <si>
    <t>Alice Silva</t>
  </si>
  <si>
    <t>Comum</t>
  </si>
  <si>
    <t>VIP</t>
  </si>
  <si>
    <t>Familiar</t>
  </si>
  <si>
    <t>Rua julia caseiro, 135</t>
  </si>
  <si>
    <t>Rua 7 de setembro, 167</t>
  </si>
  <si>
    <t>Rua Pedro Cabral, 89</t>
  </si>
  <si>
    <t>Rua Japão, 98</t>
  </si>
  <si>
    <t>Rua São Lucas, 221</t>
  </si>
  <si>
    <t>Rua Osvaldo Cruz,131</t>
  </si>
  <si>
    <t>Rua Joaquim Silva, 76</t>
  </si>
  <si>
    <t>Av. das americas, 99</t>
  </si>
  <si>
    <t>Rua 11 de Novembro, 55</t>
  </si>
  <si>
    <t>Rua Joao emilio, 13</t>
  </si>
  <si>
    <t>Rua São Simao, 43</t>
  </si>
  <si>
    <t>Rua México, 76</t>
  </si>
  <si>
    <t>Rua Pernambucanos, 31</t>
  </si>
  <si>
    <t>99687-2356</t>
  </si>
  <si>
    <t>99687-2358</t>
  </si>
  <si>
    <t>99687-2359</t>
  </si>
  <si>
    <t>99687-2360</t>
  </si>
  <si>
    <t>99687-2362</t>
  </si>
  <si>
    <t>99687-2363</t>
  </si>
  <si>
    <t>99687-2365</t>
  </si>
  <si>
    <t>99687-2366</t>
  </si>
  <si>
    <t>99687-2367</t>
  </si>
  <si>
    <t>99687-2368</t>
  </si>
  <si>
    <t>98187-2357</t>
  </si>
  <si>
    <t>99787-2361</t>
  </si>
  <si>
    <t>98187-2364</t>
  </si>
  <si>
    <t>19187-000</t>
  </si>
  <si>
    <t>Vila Romana</t>
  </si>
  <si>
    <t>Centro</t>
  </si>
  <si>
    <t>Vila Paulista</t>
  </si>
  <si>
    <t>São José</t>
  </si>
  <si>
    <t>Bela Vista</t>
  </si>
  <si>
    <t>PD001</t>
  </si>
  <si>
    <t>PD002</t>
  </si>
  <si>
    <t>PD003</t>
  </si>
  <si>
    <t>PD004</t>
  </si>
  <si>
    <t>PD005</t>
  </si>
  <si>
    <t>PD006</t>
  </si>
  <si>
    <t>PD007</t>
  </si>
  <si>
    <t>PD008</t>
  </si>
  <si>
    <t>PD009</t>
  </si>
  <si>
    <t>PD010</t>
  </si>
  <si>
    <t>PD011</t>
  </si>
  <si>
    <t>PD012</t>
  </si>
  <si>
    <t>PD013</t>
  </si>
  <si>
    <t>PD014</t>
  </si>
  <si>
    <t>PD015</t>
  </si>
  <si>
    <t>PD016</t>
  </si>
  <si>
    <t>PD017</t>
  </si>
  <si>
    <t>PD018</t>
  </si>
  <si>
    <t>PD019</t>
  </si>
  <si>
    <t>PD020</t>
  </si>
  <si>
    <t>PD021</t>
  </si>
  <si>
    <t>PD022</t>
  </si>
  <si>
    <t>PD023</t>
  </si>
  <si>
    <t>PD024</t>
  </si>
  <si>
    <t>PD025</t>
  </si>
  <si>
    <t>PD026</t>
  </si>
  <si>
    <t>PD027</t>
  </si>
  <si>
    <t>PD028</t>
  </si>
  <si>
    <t>PD029</t>
  </si>
  <si>
    <t>PD030</t>
  </si>
  <si>
    <t>PD031</t>
  </si>
  <si>
    <t>PD032</t>
  </si>
  <si>
    <t>PD033</t>
  </si>
  <si>
    <t>PD034</t>
  </si>
  <si>
    <t>PD035</t>
  </si>
  <si>
    <t>PD036</t>
  </si>
  <si>
    <t>PD037</t>
  </si>
  <si>
    <t>PD038</t>
  </si>
  <si>
    <t>PD039</t>
  </si>
  <si>
    <t>PD040</t>
  </si>
  <si>
    <t>PD041</t>
  </si>
  <si>
    <t>PD042</t>
  </si>
  <si>
    <t>PD043</t>
  </si>
  <si>
    <t>PD044</t>
  </si>
  <si>
    <t>PD045</t>
  </si>
  <si>
    <t>PD046</t>
  </si>
  <si>
    <t>PD047</t>
  </si>
  <si>
    <t>PD048</t>
  </si>
  <si>
    <t>PD049</t>
  </si>
  <si>
    <t>PD050</t>
  </si>
  <si>
    <t>PD051</t>
  </si>
  <si>
    <t>PD052</t>
  </si>
  <si>
    <t>PD053</t>
  </si>
  <si>
    <t>PD054</t>
  </si>
  <si>
    <t>PD055</t>
  </si>
  <si>
    <t>PD056</t>
  </si>
  <si>
    <t>PD057</t>
  </si>
  <si>
    <t>PD058</t>
  </si>
  <si>
    <t>PD059</t>
  </si>
  <si>
    <t>PD060</t>
  </si>
  <si>
    <t>PD061</t>
  </si>
  <si>
    <t>PD062</t>
  </si>
  <si>
    <t>PD063</t>
  </si>
  <si>
    <t>PD064</t>
  </si>
  <si>
    <t>PD065</t>
  </si>
  <si>
    <t>PD066</t>
  </si>
  <si>
    <t>PD067</t>
  </si>
  <si>
    <t>PD068</t>
  </si>
  <si>
    <t>PD069</t>
  </si>
  <si>
    <t>PD070</t>
  </si>
  <si>
    <t>PD071</t>
  </si>
  <si>
    <t>PD072</t>
  </si>
  <si>
    <t>PD073</t>
  </si>
  <si>
    <t>PD074</t>
  </si>
  <si>
    <t>PD075</t>
  </si>
  <si>
    <t>PD076</t>
  </si>
  <si>
    <t>PD077</t>
  </si>
  <si>
    <t>PD078</t>
  </si>
  <si>
    <t>PD079</t>
  </si>
  <si>
    <t>PD080</t>
  </si>
  <si>
    <t>PD081</t>
  </si>
  <si>
    <t>PD082</t>
  </si>
  <si>
    <t>PD083</t>
  </si>
  <si>
    <t>PD084</t>
  </si>
  <si>
    <t>PD085</t>
  </si>
  <si>
    <t>PD086</t>
  </si>
  <si>
    <t>PD087</t>
  </si>
  <si>
    <t>PD088</t>
  </si>
  <si>
    <t>PD089</t>
  </si>
  <si>
    <t>PD090</t>
  </si>
  <si>
    <t>PD091</t>
  </si>
  <si>
    <t>PD092</t>
  </si>
  <si>
    <t>PD093</t>
  </si>
  <si>
    <t>PD094</t>
  </si>
  <si>
    <t>PD095</t>
  </si>
  <si>
    <t>PD096</t>
  </si>
  <si>
    <t>PD097</t>
  </si>
  <si>
    <t>PD098</t>
  </si>
  <si>
    <t>PD099</t>
  </si>
  <si>
    <t>PD100</t>
  </si>
  <si>
    <t>PD101</t>
  </si>
  <si>
    <t>PD102</t>
  </si>
  <si>
    <t>PD103</t>
  </si>
  <si>
    <t>PD104</t>
  </si>
  <si>
    <t>PD105</t>
  </si>
  <si>
    <t>PD106</t>
  </si>
  <si>
    <t>PD107</t>
  </si>
  <si>
    <t>PD108</t>
  </si>
  <si>
    <t>PD109</t>
  </si>
  <si>
    <t>PD110</t>
  </si>
  <si>
    <t>PD111</t>
  </si>
  <si>
    <t>PD112</t>
  </si>
  <si>
    <t>PD113</t>
  </si>
  <si>
    <t>PD114</t>
  </si>
  <si>
    <t>PD115</t>
  </si>
  <si>
    <t>PD116</t>
  </si>
  <si>
    <t>PD117</t>
  </si>
  <si>
    <t>PD118</t>
  </si>
  <si>
    <t>PD119</t>
  </si>
  <si>
    <t>PD120</t>
  </si>
  <si>
    <t>PD121</t>
  </si>
  <si>
    <t>PD122</t>
  </si>
  <si>
    <t>PD123</t>
  </si>
  <si>
    <t>PD124</t>
  </si>
  <si>
    <t>PD125</t>
  </si>
  <si>
    <t>PD126</t>
  </si>
  <si>
    <t>PD127</t>
  </si>
  <si>
    <t>PD128</t>
  </si>
  <si>
    <t>PD129</t>
  </si>
  <si>
    <t>PD130</t>
  </si>
  <si>
    <t>PD131</t>
  </si>
  <si>
    <t>PD132</t>
  </si>
  <si>
    <t>PD133</t>
  </si>
  <si>
    <t>PD134</t>
  </si>
  <si>
    <t>PD135</t>
  </si>
  <si>
    <t>PD136</t>
  </si>
  <si>
    <t>PD137</t>
  </si>
  <si>
    <t>PD138</t>
  </si>
  <si>
    <t>PD139</t>
  </si>
  <si>
    <t>PD140</t>
  </si>
  <si>
    <t>PD141</t>
  </si>
  <si>
    <t>PD142</t>
  </si>
  <si>
    <t>PD143</t>
  </si>
  <si>
    <t>PD144</t>
  </si>
  <si>
    <t>PD145</t>
  </si>
  <si>
    <t>PD146</t>
  </si>
  <si>
    <t>PD147</t>
  </si>
  <si>
    <t>PD148</t>
  </si>
  <si>
    <t>PD149</t>
  </si>
  <si>
    <t>PD150</t>
  </si>
  <si>
    <t>PD151</t>
  </si>
  <si>
    <t>PD152</t>
  </si>
  <si>
    <t>PD153</t>
  </si>
  <si>
    <t>PD154</t>
  </si>
  <si>
    <t>PD155</t>
  </si>
  <si>
    <t>PD156</t>
  </si>
  <si>
    <t>PD157</t>
  </si>
  <si>
    <t>PD158</t>
  </si>
  <si>
    <t>PD159</t>
  </si>
  <si>
    <t>PD160</t>
  </si>
  <si>
    <t>PD161</t>
  </si>
  <si>
    <t>PD162</t>
  </si>
  <si>
    <t>PD163</t>
  </si>
  <si>
    <t>PD164</t>
  </si>
  <si>
    <t>PD165</t>
  </si>
  <si>
    <t>PD166</t>
  </si>
  <si>
    <t>PD167</t>
  </si>
  <si>
    <t>PD168</t>
  </si>
  <si>
    <t>PD169</t>
  </si>
  <si>
    <t>PD170</t>
  </si>
  <si>
    <t>PD171</t>
  </si>
  <si>
    <t>PD172</t>
  </si>
  <si>
    <t>PD173</t>
  </si>
  <si>
    <t>PD174</t>
  </si>
  <si>
    <t>PD175</t>
  </si>
  <si>
    <t>PD176</t>
  </si>
  <si>
    <t>PD177</t>
  </si>
  <si>
    <t>PD178</t>
  </si>
  <si>
    <t>PD179</t>
  </si>
  <si>
    <t>PD180</t>
  </si>
  <si>
    <t>PD181</t>
  </si>
  <si>
    <t>PD182</t>
  </si>
  <si>
    <t>PD183</t>
  </si>
  <si>
    <t>PD184</t>
  </si>
  <si>
    <t>PD185</t>
  </si>
  <si>
    <t>PD186</t>
  </si>
  <si>
    <t>PD187</t>
  </si>
  <si>
    <t>PD188</t>
  </si>
  <si>
    <t>PD189</t>
  </si>
  <si>
    <t>PD190</t>
  </si>
  <si>
    <t>PD191</t>
  </si>
  <si>
    <t>PD192</t>
  </si>
  <si>
    <t>PD193</t>
  </si>
  <si>
    <t>PD194</t>
  </si>
  <si>
    <t>PD195</t>
  </si>
  <si>
    <t>PD196</t>
  </si>
  <si>
    <t>PD197</t>
  </si>
  <si>
    <t>PD198</t>
  </si>
  <si>
    <t>PD199</t>
  </si>
  <si>
    <t>PD200</t>
  </si>
  <si>
    <t>PD201</t>
  </si>
  <si>
    <t>PD202</t>
  </si>
  <si>
    <t>PD203</t>
  </si>
  <si>
    <t>PD204</t>
  </si>
  <si>
    <t>PD205</t>
  </si>
  <si>
    <t>PD206</t>
  </si>
  <si>
    <t>PD207</t>
  </si>
  <si>
    <t>PD208</t>
  </si>
  <si>
    <t>PD209</t>
  </si>
  <si>
    <t>PD210</t>
  </si>
  <si>
    <t>PD211</t>
  </si>
  <si>
    <t>PD212</t>
  </si>
  <si>
    <t>PD213</t>
  </si>
  <si>
    <t>PD214</t>
  </si>
  <si>
    <t>PD215</t>
  </si>
  <si>
    <t>Sistema de Controle de Pedidos</t>
  </si>
  <si>
    <t>Ingredientes Salgados e Doces</t>
  </si>
  <si>
    <t>Cadastro de Produtos</t>
  </si>
  <si>
    <t>Cadastro de 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</si>
</sst>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 tint="-0.499984740745262"/>
      <name val="Edwardian Script ITC"/>
      <family val="4"/>
    </font>
    <font>
      <b/>
      <sz val="16"/>
      <color theme="1"/>
      <name val="Bradley Hand ITC"/>
      <family val="4"/>
    </font>
    <font>
      <sz val="16"/>
      <color theme="0" tint="-0.499984740745262"/>
      <name val="Bradley Hand ITC"/>
      <family val="4"/>
    </font>
    <font>
      <b/>
      <sz val="24"/>
      <color theme="5" tint="-0.249977111117893"/>
      <name val="Bradley Hand ITC"/>
      <family val="4"/>
    </font>
    <font>
      <sz val="9"/>
      <color theme="1"/>
      <name val="Calibri"/>
      <family val="2"/>
      <scheme val="minor"/>
    </font>
    <font>
      <sz val="12"/>
      <color theme="0" tint="-0.499984740745262"/>
      <name val="Bradley Hand ITC"/>
      <family val="4"/>
    </font>
    <font>
      <u/>
      <sz val="11"/>
      <color theme="1"/>
      <name val="Calibri"/>
      <family val="2"/>
      <scheme val="minor"/>
    </font>
    <font>
      <b/>
      <sz val="18"/>
      <color theme="1"/>
      <name val="Bradley Hand ITC"/>
      <family val="4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4" fontId="0" fillId="0" borderId="1" xfId="1" applyFont="1" applyBorder="1"/>
    <xf numFmtId="9" fontId="0" fillId="0" borderId="1" xfId="0" applyNumberFormat="1" applyBorder="1"/>
    <xf numFmtId="44" fontId="0" fillId="2" borderId="1" xfId="0" applyNumberFormat="1" applyFill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/>
    <xf numFmtId="44" fontId="2" fillId="3" borderId="1" xfId="1" applyFont="1" applyFill="1" applyBorder="1"/>
    <xf numFmtId="44" fontId="0" fillId="2" borderId="1" xfId="1" applyFont="1" applyFill="1" applyBorder="1"/>
    <xf numFmtId="0" fontId="0" fillId="2" borderId="1" xfId="0" applyFill="1" applyBorder="1" applyAlignment="1">
      <alignment horizontal="center"/>
    </xf>
    <xf numFmtId="14" fontId="7" fillId="0" borderId="0" xfId="0" applyNumberFormat="1" applyFont="1"/>
    <xf numFmtId="14" fontId="8" fillId="0" borderId="0" xfId="0" applyNumberFormat="1" applyFont="1"/>
    <xf numFmtId="0" fontId="0" fillId="0" borderId="2" xfId="0" applyFill="1" applyBorder="1"/>
    <xf numFmtId="0" fontId="9" fillId="0" borderId="0" xfId="0" applyFont="1"/>
    <xf numFmtId="0" fontId="0" fillId="2" borderId="1" xfId="0" applyNumberFormat="1" applyFill="1" applyBorder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44" fontId="2" fillId="3" borderId="1" xfId="0" applyNumberFormat="1" applyFont="1" applyFill="1" applyBorder="1" applyAlignment="1">
      <alignment horizontal="center"/>
    </xf>
    <xf numFmtId="44" fontId="0" fillId="0" borderId="0" xfId="0" applyNumberFormat="1" applyFont="1"/>
    <xf numFmtId="0" fontId="10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Qtde.</a:t>
            </a:r>
            <a:r>
              <a:rPr lang="pt-BR" baseline="0"/>
              <a:t> Total de vendas por Produto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Produtos!$B$7:$B$24</c:f>
              <c:strCache>
                <c:ptCount val="18"/>
                <c:pt idx="0">
                  <c:v>Coxinha de Frango - 100 un.</c:v>
                </c:pt>
                <c:pt idx="1">
                  <c:v>Coxinha de Frango - 50 un.</c:v>
                </c:pt>
                <c:pt idx="2">
                  <c:v>Coxinha de Carne - 100 un.</c:v>
                </c:pt>
                <c:pt idx="3">
                  <c:v>Coxinha de Carne - 50 un.</c:v>
                </c:pt>
                <c:pt idx="4">
                  <c:v>Mini quibe 100 - un.</c:v>
                </c:pt>
                <c:pt idx="5">
                  <c:v>Mini quibe 50 - un.</c:v>
                </c:pt>
                <c:pt idx="6">
                  <c:v>Enroladinho  Salsicha - 100 un.</c:v>
                </c:pt>
                <c:pt idx="7">
                  <c:v>Enroladinho  Salsicha -  50 un.</c:v>
                </c:pt>
                <c:pt idx="8">
                  <c:v>Esfiha de Carne - 100 un.</c:v>
                </c:pt>
                <c:pt idx="9">
                  <c:v>Esfiha de Carne - 50 un.</c:v>
                </c:pt>
                <c:pt idx="10">
                  <c:v>Esfiha de Frango - 100 un.</c:v>
                </c:pt>
                <c:pt idx="11">
                  <c:v>Esfiha de Frango - 50 un.</c:v>
                </c:pt>
                <c:pt idx="12">
                  <c:v>Coca-Cola 2L - 2 un.</c:v>
                </c:pt>
                <c:pt idx="13">
                  <c:v>Guaraná 2L - 2 un.</c:v>
                </c:pt>
                <c:pt idx="14">
                  <c:v>Brigadeiro 100 un.</c:v>
                </c:pt>
                <c:pt idx="15">
                  <c:v>Brigadeiro 50 un.</c:v>
                </c:pt>
                <c:pt idx="16">
                  <c:v>Beijinho 100 un.</c:v>
                </c:pt>
                <c:pt idx="17">
                  <c:v>Beijinho 50 un.</c:v>
                </c:pt>
              </c:strCache>
            </c:strRef>
          </c:cat>
          <c:val>
            <c:numRef>
              <c:f>Produtos!$G$7:$G$24</c:f>
              <c:numCache>
                <c:formatCode>General</c:formatCode>
                <c:ptCount val="18"/>
                <c:pt idx="0">
                  <c:v>19</c:v>
                </c:pt>
                <c:pt idx="1">
                  <c:v>15</c:v>
                </c:pt>
                <c:pt idx="2">
                  <c:v>10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9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6-41E9-822D-EB5EF3A04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55978144"/>
        <c:axId val="355977728"/>
      </c:barChart>
      <c:catAx>
        <c:axId val="35597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977728"/>
        <c:crosses val="autoZero"/>
        <c:auto val="1"/>
        <c:lblAlgn val="ctr"/>
        <c:lblOffset val="100"/>
        <c:noMultiLvlLbl val="0"/>
      </c:catAx>
      <c:valAx>
        <c:axId val="35597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597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Total</a:t>
            </a:r>
            <a:r>
              <a:rPr lang="pt-BR" baseline="0"/>
              <a:t> Vendas por Produtos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Produtos!$B$7:$B$24</c:f>
              <c:strCache>
                <c:ptCount val="18"/>
                <c:pt idx="0">
                  <c:v>Coxinha de Frango - 100 un.</c:v>
                </c:pt>
                <c:pt idx="1">
                  <c:v>Coxinha de Frango - 50 un.</c:v>
                </c:pt>
                <c:pt idx="2">
                  <c:v>Coxinha de Carne - 100 un.</c:v>
                </c:pt>
                <c:pt idx="3">
                  <c:v>Coxinha de Carne - 50 un.</c:v>
                </c:pt>
                <c:pt idx="4">
                  <c:v>Mini quibe 100 - un.</c:v>
                </c:pt>
                <c:pt idx="5">
                  <c:v>Mini quibe 50 - un.</c:v>
                </c:pt>
                <c:pt idx="6">
                  <c:v>Enroladinho  Salsicha - 100 un.</c:v>
                </c:pt>
                <c:pt idx="7">
                  <c:v>Enroladinho  Salsicha -  50 un.</c:v>
                </c:pt>
                <c:pt idx="8">
                  <c:v>Esfiha de Carne - 100 un.</c:v>
                </c:pt>
                <c:pt idx="9">
                  <c:v>Esfiha de Carne - 50 un.</c:v>
                </c:pt>
                <c:pt idx="10">
                  <c:v>Esfiha de Frango - 100 un.</c:v>
                </c:pt>
                <c:pt idx="11">
                  <c:v>Esfiha de Frango - 50 un.</c:v>
                </c:pt>
                <c:pt idx="12">
                  <c:v>Coca-Cola 2L - 2 un.</c:v>
                </c:pt>
                <c:pt idx="13">
                  <c:v>Guaraná 2L - 2 un.</c:v>
                </c:pt>
                <c:pt idx="14">
                  <c:v>Brigadeiro 100 un.</c:v>
                </c:pt>
                <c:pt idx="15">
                  <c:v>Brigadeiro 50 un.</c:v>
                </c:pt>
                <c:pt idx="16">
                  <c:v>Beijinho 100 un.</c:v>
                </c:pt>
                <c:pt idx="17">
                  <c:v>Beijinho 50 un.</c:v>
                </c:pt>
              </c:strCache>
            </c:strRef>
          </c:cat>
          <c:val>
            <c:numRef>
              <c:f>Produtos!$H$7:$H$24</c:f>
              <c:numCache>
                <c:formatCode>_("R$"* #,##0.00_);_("R$"* \(#,##0.00\);_("R$"* "-"??_);_(@_)</c:formatCode>
                <c:ptCount val="18"/>
                <c:pt idx="0">
                  <c:v>2115</c:v>
                </c:pt>
                <c:pt idx="1">
                  <c:v>999</c:v>
                </c:pt>
                <c:pt idx="2">
                  <c:v>900</c:v>
                </c:pt>
                <c:pt idx="3">
                  <c:v>943.5</c:v>
                </c:pt>
                <c:pt idx="4">
                  <c:v>1350</c:v>
                </c:pt>
                <c:pt idx="5">
                  <c:v>999</c:v>
                </c:pt>
                <c:pt idx="6">
                  <c:v>1242</c:v>
                </c:pt>
                <c:pt idx="7">
                  <c:v>462.5</c:v>
                </c:pt>
                <c:pt idx="8">
                  <c:v>1512.0000000000005</c:v>
                </c:pt>
                <c:pt idx="9">
                  <c:v>666</c:v>
                </c:pt>
                <c:pt idx="10">
                  <c:v>1612.8</c:v>
                </c:pt>
                <c:pt idx="11">
                  <c:v>1258</c:v>
                </c:pt>
                <c:pt idx="12">
                  <c:v>588</c:v>
                </c:pt>
                <c:pt idx="13">
                  <c:v>386.40000000000003</c:v>
                </c:pt>
                <c:pt idx="14">
                  <c:v>960</c:v>
                </c:pt>
                <c:pt idx="15">
                  <c:v>529.20000000000005</c:v>
                </c:pt>
                <c:pt idx="16">
                  <c:v>1600</c:v>
                </c:pt>
                <c:pt idx="17">
                  <c:v>756.00000000000011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6-4F25-91FA-3F90A4BC45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62916416"/>
        <c:axId val="362916832"/>
      </c:barChart>
      <c:catAx>
        <c:axId val="36291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916832"/>
        <c:crosses val="autoZero"/>
        <c:auto val="1"/>
        <c:lblAlgn val="ctr"/>
        <c:lblOffset val="100"/>
        <c:noMultiLvlLbl val="0"/>
      </c:catAx>
      <c:valAx>
        <c:axId val="3629168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629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Valor de Vendas de Produtos por Mês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Produtos!$B$7</c:f>
              <c:strCache>
                <c:ptCount val="1"/>
                <c:pt idx="0">
                  <c:v>Coxinha de Frango - 100 un.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Produtos!$I$7:$T$7</c:f>
              <c:numCache>
                <c:formatCode>_("R$"* #,##0.00_);_("R$"* \(#,##0.00\);_("R$"* "-"??_);_(@_)</c:formatCode>
                <c:ptCount val="12"/>
                <c:pt idx="0">
                  <c:v>180</c:v>
                </c:pt>
                <c:pt idx="1">
                  <c:v>90</c:v>
                </c:pt>
                <c:pt idx="2">
                  <c:v>450</c:v>
                </c:pt>
                <c:pt idx="3">
                  <c:v>180</c:v>
                </c:pt>
                <c:pt idx="4">
                  <c:v>0</c:v>
                </c:pt>
                <c:pt idx="5">
                  <c:v>0</c:v>
                </c:pt>
                <c:pt idx="6">
                  <c:v>225</c:v>
                </c:pt>
                <c:pt idx="7">
                  <c:v>225</c:v>
                </c:pt>
                <c:pt idx="8">
                  <c:v>315</c:v>
                </c:pt>
                <c:pt idx="9">
                  <c:v>135</c:v>
                </c:pt>
                <c:pt idx="10">
                  <c:v>315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2-4836-B6BE-EEF6BCDBD59E}"/>
            </c:ext>
          </c:extLst>
        </c:ser>
        <c:ser>
          <c:idx val="1"/>
          <c:order val="1"/>
          <c:tx>
            <c:strRef>
              <c:f>Produtos!$B$8</c:f>
              <c:strCache>
                <c:ptCount val="1"/>
                <c:pt idx="0">
                  <c:v>Coxinha de Frango - 50 un.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Produtos!$I$8:$T$8</c:f>
              <c:numCache>
                <c:formatCode>_("R$"* #,##0.00_);_("R$"* \(#,##0.00\);_("R$"* "-"??_);_(@_)</c:formatCode>
                <c:ptCount val="12"/>
                <c:pt idx="0">
                  <c:v>194.25</c:v>
                </c:pt>
                <c:pt idx="1">
                  <c:v>249.75</c:v>
                </c:pt>
                <c:pt idx="2">
                  <c:v>194.25</c:v>
                </c:pt>
                <c:pt idx="3">
                  <c:v>55.5</c:v>
                </c:pt>
                <c:pt idx="4">
                  <c:v>55.5</c:v>
                </c:pt>
                <c:pt idx="5">
                  <c:v>27.75</c:v>
                </c:pt>
                <c:pt idx="6">
                  <c:v>83.25</c:v>
                </c:pt>
                <c:pt idx="7">
                  <c:v>138.75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2-4836-B6BE-EEF6BCDBD59E}"/>
            </c:ext>
          </c:extLst>
        </c:ser>
        <c:ser>
          <c:idx val="2"/>
          <c:order val="2"/>
          <c:tx>
            <c:strRef>
              <c:f>Produtos!$B$9</c:f>
              <c:strCache>
                <c:ptCount val="1"/>
                <c:pt idx="0">
                  <c:v>Coxinha de Carne - 100 un.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Produtos!$I$9:$T$9</c:f>
              <c:numCache>
                <c:formatCode>_("R$"* #,##0.00_);_("R$"* \(#,##0.00\);_("R$"* "-"??_);_(@_)</c:formatCode>
                <c:ptCount val="12"/>
                <c:pt idx="0">
                  <c:v>315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45</c:v>
                </c:pt>
                <c:pt idx="9">
                  <c:v>180</c:v>
                </c:pt>
                <c:pt idx="10">
                  <c:v>90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2-4836-B6BE-EEF6BCDBD59E}"/>
            </c:ext>
          </c:extLst>
        </c:ser>
        <c:ser>
          <c:idx val="3"/>
          <c:order val="3"/>
          <c:tx>
            <c:strRef>
              <c:f>Produtos!$B$10</c:f>
              <c:strCache>
                <c:ptCount val="1"/>
                <c:pt idx="0">
                  <c:v>Coxinha de Carne - 50 un.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Produtos!$I$10:$T$10</c:f>
              <c:numCache>
                <c:formatCode>_("R$"* #,##0.00_);_("R$"* \(#,##0.00\);_("R$"* "-"??_);_(@_)</c:formatCode>
                <c:ptCount val="12"/>
                <c:pt idx="0">
                  <c:v>194.25</c:v>
                </c:pt>
                <c:pt idx="1">
                  <c:v>55.5</c:v>
                </c:pt>
                <c:pt idx="2">
                  <c:v>0</c:v>
                </c:pt>
                <c:pt idx="3">
                  <c:v>55.5</c:v>
                </c:pt>
                <c:pt idx="4">
                  <c:v>138.75</c:v>
                </c:pt>
                <c:pt idx="5">
                  <c:v>27.75</c:v>
                </c:pt>
                <c:pt idx="6">
                  <c:v>138.75</c:v>
                </c:pt>
                <c:pt idx="7">
                  <c:v>0</c:v>
                </c:pt>
                <c:pt idx="8">
                  <c:v>0</c:v>
                </c:pt>
                <c:pt idx="9">
                  <c:v>111</c:v>
                </c:pt>
                <c:pt idx="10">
                  <c:v>27.75</c:v>
                </c:pt>
                <c:pt idx="11">
                  <c:v>194.25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2-4836-B6BE-EEF6BCDBD59E}"/>
            </c:ext>
          </c:extLst>
        </c:ser>
        <c:ser>
          <c:idx val="4"/>
          <c:order val="4"/>
          <c:tx>
            <c:strRef>
              <c:f>Produtos!$B$11</c:f>
              <c:strCache>
                <c:ptCount val="1"/>
                <c:pt idx="0">
                  <c:v>Mini quibe 100 - un.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Produtos!$I$11:$T$11</c:f>
              <c:numCache>
                <c:formatCode>_("R$"* #,##0.00_);_("R$"* \(#,##0.00\);_("R$"* "-"??_);_(@_)</c:formatCode>
                <c:ptCount val="12"/>
                <c:pt idx="0">
                  <c:v>270</c:v>
                </c:pt>
                <c:pt idx="1">
                  <c:v>180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315</c:v>
                </c:pt>
                <c:pt idx="6">
                  <c:v>0</c:v>
                </c:pt>
                <c:pt idx="7">
                  <c:v>135</c:v>
                </c:pt>
                <c:pt idx="8">
                  <c:v>45</c:v>
                </c:pt>
                <c:pt idx="9">
                  <c:v>135</c:v>
                </c:pt>
                <c:pt idx="10">
                  <c:v>90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2-4836-B6BE-EEF6BCDBD59E}"/>
            </c:ext>
          </c:extLst>
        </c:ser>
        <c:ser>
          <c:idx val="5"/>
          <c:order val="5"/>
          <c:tx>
            <c:strRef>
              <c:f>Produtos!$B$12</c:f>
              <c:strCache>
                <c:ptCount val="1"/>
                <c:pt idx="0">
                  <c:v>Mini quibe 50 - un.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Produtos!$I$12:$T$12</c:f>
              <c:numCache>
                <c:formatCode>_("R$"* #,##0.00_);_("R$"* \(#,##0.00\);_("R$"* "-"??_);_(@_)</c:formatCode>
                <c:ptCount val="12"/>
                <c:pt idx="0">
                  <c:v>166.5</c:v>
                </c:pt>
                <c:pt idx="1">
                  <c:v>83.25</c:v>
                </c:pt>
                <c:pt idx="2">
                  <c:v>55.5</c:v>
                </c:pt>
                <c:pt idx="3">
                  <c:v>111</c:v>
                </c:pt>
                <c:pt idx="4">
                  <c:v>83.25</c:v>
                </c:pt>
                <c:pt idx="5">
                  <c:v>0</c:v>
                </c:pt>
                <c:pt idx="6">
                  <c:v>27.75</c:v>
                </c:pt>
                <c:pt idx="7">
                  <c:v>83.25</c:v>
                </c:pt>
                <c:pt idx="8">
                  <c:v>111</c:v>
                </c:pt>
                <c:pt idx="9">
                  <c:v>83.25</c:v>
                </c:pt>
                <c:pt idx="10">
                  <c:v>194.25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2-4836-B6BE-EEF6BCDBD59E}"/>
            </c:ext>
          </c:extLst>
        </c:ser>
        <c:ser>
          <c:idx val="6"/>
          <c:order val="6"/>
          <c:tx>
            <c:strRef>
              <c:f>Produtos!$B$13</c:f>
              <c:strCache>
                <c:ptCount val="1"/>
                <c:pt idx="0">
                  <c:v>Enroladinho  Salsicha - 100 un.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Produtos!$I$13:$T$13</c:f>
              <c:numCache>
                <c:formatCode>_("R$"* #,##0.00_);_("R$"* \(#,##0.00\);_("R$"* "-"??_);_(@_)</c:formatCode>
                <c:ptCount val="12"/>
                <c:pt idx="0">
                  <c:v>162</c:v>
                </c:pt>
                <c:pt idx="1">
                  <c:v>162</c:v>
                </c:pt>
                <c:pt idx="2">
                  <c:v>0</c:v>
                </c:pt>
                <c:pt idx="3">
                  <c:v>540</c:v>
                </c:pt>
                <c:pt idx="4">
                  <c:v>0</c:v>
                </c:pt>
                <c:pt idx="5">
                  <c:v>162</c:v>
                </c:pt>
                <c:pt idx="6">
                  <c:v>216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2-4836-B6BE-EEF6BCDBD59E}"/>
            </c:ext>
          </c:extLst>
        </c:ser>
        <c:ser>
          <c:idx val="7"/>
          <c:order val="7"/>
          <c:tx>
            <c:strRef>
              <c:f>Produtos!$B$14</c:f>
              <c:strCache>
                <c:ptCount val="1"/>
                <c:pt idx="0">
                  <c:v>Enroladinho  Salsicha -  50 un.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Produtos!$I$14:$T$14</c:f>
              <c:numCache>
                <c:formatCode>_("R$"* #,##0.00_);_("R$"* \(#,##0.00\);_("R$"* "-"??_);_(@_)</c:formatCode>
                <c:ptCount val="12"/>
                <c:pt idx="0">
                  <c:v>46.25</c:v>
                </c:pt>
                <c:pt idx="1">
                  <c:v>277.5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12-4836-B6BE-EEF6BCDBD59E}"/>
            </c:ext>
          </c:extLst>
        </c:ser>
        <c:ser>
          <c:idx val="8"/>
          <c:order val="8"/>
          <c:tx>
            <c:strRef>
              <c:f>Produtos!$B$15</c:f>
              <c:strCache>
                <c:ptCount val="1"/>
                <c:pt idx="0">
                  <c:v>Esfiha de Carne - 100 un.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Produtos!$I$15:$T$15</c:f>
              <c:numCache>
                <c:formatCode>_("R$"* #,##0.00_);_("R$"* \(#,##0.00\);_("R$"* "-"??_);_(@_)</c:formatCode>
                <c:ptCount val="12"/>
                <c:pt idx="0">
                  <c:v>100.80000000000001</c:v>
                </c:pt>
                <c:pt idx="1">
                  <c:v>0</c:v>
                </c:pt>
                <c:pt idx="2">
                  <c:v>201.60000000000002</c:v>
                </c:pt>
                <c:pt idx="3">
                  <c:v>201.60000000000002</c:v>
                </c:pt>
                <c:pt idx="4">
                  <c:v>201.60000000000002</c:v>
                </c:pt>
                <c:pt idx="5">
                  <c:v>0</c:v>
                </c:pt>
                <c:pt idx="6">
                  <c:v>201.60000000000002</c:v>
                </c:pt>
                <c:pt idx="7">
                  <c:v>0</c:v>
                </c:pt>
                <c:pt idx="8">
                  <c:v>100.80000000000001</c:v>
                </c:pt>
                <c:pt idx="9">
                  <c:v>201.60000000000002</c:v>
                </c:pt>
                <c:pt idx="10">
                  <c:v>50.400000000000006</c:v>
                </c:pt>
                <c:pt idx="11">
                  <c:v>252.00000000000003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12-4836-B6BE-EEF6BCDBD59E}"/>
            </c:ext>
          </c:extLst>
        </c:ser>
        <c:ser>
          <c:idx val="9"/>
          <c:order val="9"/>
          <c:tx>
            <c:strRef>
              <c:f>Produtos!$B$16</c:f>
              <c:strCache>
                <c:ptCount val="1"/>
                <c:pt idx="0">
                  <c:v>Esfiha de Carne - 50 un.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Produtos!$I$16:$T$16</c:f>
              <c:numCache>
                <c:formatCode>_("R$"* #,##0.00_);_("R$"* \(#,##0.00\);_("R$"* "-"??_);_(@_)</c:formatCode>
                <c:ptCount val="12"/>
                <c:pt idx="0">
                  <c:v>111</c:v>
                </c:pt>
                <c:pt idx="1">
                  <c:v>148</c:v>
                </c:pt>
                <c:pt idx="2">
                  <c:v>0</c:v>
                </c:pt>
                <c:pt idx="3">
                  <c:v>74</c:v>
                </c:pt>
                <c:pt idx="4">
                  <c:v>0</c:v>
                </c:pt>
                <c:pt idx="5">
                  <c:v>0</c:v>
                </c:pt>
                <c:pt idx="6">
                  <c:v>185</c:v>
                </c:pt>
                <c:pt idx="7">
                  <c:v>74</c:v>
                </c:pt>
                <c:pt idx="8">
                  <c:v>37</c:v>
                </c:pt>
                <c:pt idx="9">
                  <c:v>0</c:v>
                </c:pt>
                <c:pt idx="10">
                  <c:v>0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12-4836-B6BE-EEF6BCDBD59E}"/>
            </c:ext>
          </c:extLst>
        </c:ser>
        <c:ser>
          <c:idx val="10"/>
          <c:order val="10"/>
          <c:tx>
            <c:strRef>
              <c:f>Produtos!$B$17</c:f>
              <c:strCache>
                <c:ptCount val="1"/>
                <c:pt idx="0">
                  <c:v>Esfiha de Frango - 100 un.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Produtos!$I$17:$T$17</c:f>
              <c:numCache>
                <c:formatCode>_("R$"* #,##0.00_);_("R$"* \(#,##0.00\);_("R$"* "-"??_);_(@_)</c:formatCode>
                <c:ptCount val="12"/>
                <c:pt idx="0">
                  <c:v>151.20000000000002</c:v>
                </c:pt>
                <c:pt idx="1">
                  <c:v>504.00000000000006</c:v>
                </c:pt>
                <c:pt idx="2">
                  <c:v>0</c:v>
                </c:pt>
                <c:pt idx="3">
                  <c:v>100.80000000000001</c:v>
                </c:pt>
                <c:pt idx="4">
                  <c:v>50.400000000000006</c:v>
                </c:pt>
                <c:pt idx="5">
                  <c:v>403.20000000000005</c:v>
                </c:pt>
                <c:pt idx="6">
                  <c:v>0</c:v>
                </c:pt>
                <c:pt idx="7">
                  <c:v>0</c:v>
                </c:pt>
                <c:pt idx="8">
                  <c:v>201.60000000000002</c:v>
                </c:pt>
                <c:pt idx="9">
                  <c:v>151.20000000000002</c:v>
                </c:pt>
                <c:pt idx="10">
                  <c:v>50.400000000000006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12-4836-B6BE-EEF6BCDBD59E}"/>
            </c:ext>
          </c:extLst>
        </c:ser>
        <c:ser>
          <c:idx val="11"/>
          <c:order val="11"/>
          <c:tx>
            <c:strRef>
              <c:f>Produtos!$B$18</c:f>
              <c:strCache>
                <c:ptCount val="1"/>
                <c:pt idx="0">
                  <c:v>Esfiha de Frango - 50 un.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Produtos!$I$18:$T$18</c:f>
              <c:numCache>
                <c:formatCode>_("R$"* #,##0.00_);_("R$"* \(#,##0.00\);_("R$"* "-"??_);_(@_)</c:formatCode>
                <c:ptCount val="12"/>
                <c:pt idx="0">
                  <c:v>74</c:v>
                </c:pt>
                <c:pt idx="1">
                  <c:v>148</c:v>
                </c:pt>
                <c:pt idx="2">
                  <c:v>74</c:v>
                </c:pt>
                <c:pt idx="3">
                  <c:v>148</c:v>
                </c:pt>
                <c:pt idx="4">
                  <c:v>111</c:v>
                </c:pt>
                <c:pt idx="5">
                  <c:v>296</c:v>
                </c:pt>
                <c:pt idx="6">
                  <c:v>148</c:v>
                </c:pt>
                <c:pt idx="7">
                  <c:v>185</c:v>
                </c:pt>
                <c:pt idx="8">
                  <c:v>0</c:v>
                </c:pt>
                <c:pt idx="9">
                  <c:v>74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12-4836-B6BE-EEF6BCDBD59E}"/>
            </c:ext>
          </c:extLst>
        </c:ser>
        <c:ser>
          <c:idx val="12"/>
          <c:order val="12"/>
          <c:tx>
            <c:strRef>
              <c:f>Produtos!$B$19</c:f>
              <c:strCache>
                <c:ptCount val="1"/>
                <c:pt idx="0">
                  <c:v>Coca-Cola 2L - 2 un.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Produtos!$I$19:$T$19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147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</c:v>
                </c:pt>
                <c:pt idx="7">
                  <c:v>105</c:v>
                </c:pt>
                <c:pt idx="8">
                  <c:v>0</c:v>
                </c:pt>
                <c:pt idx="9">
                  <c:v>0</c:v>
                </c:pt>
                <c:pt idx="10">
                  <c:v>63</c:v>
                </c:pt>
                <c:pt idx="11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12-4836-B6BE-EEF6BCDBD59E}"/>
            </c:ext>
          </c:extLst>
        </c:ser>
        <c:ser>
          <c:idx val="13"/>
          <c:order val="13"/>
          <c:tx>
            <c:strRef>
              <c:f>Produtos!$B$20</c:f>
              <c:strCache>
                <c:ptCount val="1"/>
                <c:pt idx="0">
                  <c:v>Guaraná 2L - 2 un.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Produtos!$I$20:$T$20</c:f>
              <c:numCache>
                <c:formatCode>_("R$"* #,##0.00_);_("R$"* \(#,##0.00\);_("R$"* "-"??_);_(@_)</c:formatCode>
                <c:ptCount val="12"/>
                <c:pt idx="0">
                  <c:v>16.100000000000001</c:v>
                </c:pt>
                <c:pt idx="1">
                  <c:v>64.400000000000006</c:v>
                </c:pt>
                <c:pt idx="2">
                  <c:v>16.100000000000001</c:v>
                </c:pt>
                <c:pt idx="3">
                  <c:v>48.300000000000004</c:v>
                </c:pt>
                <c:pt idx="4">
                  <c:v>0</c:v>
                </c:pt>
                <c:pt idx="5">
                  <c:v>48.300000000000004</c:v>
                </c:pt>
                <c:pt idx="6">
                  <c:v>0</c:v>
                </c:pt>
                <c:pt idx="7">
                  <c:v>48.300000000000004</c:v>
                </c:pt>
                <c:pt idx="8">
                  <c:v>32.200000000000003</c:v>
                </c:pt>
                <c:pt idx="9">
                  <c:v>0</c:v>
                </c:pt>
                <c:pt idx="10">
                  <c:v>112.70000000000002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312-4836-B6BE-EEF6BCDBD59E}"/>
            </c:ext>
          </c:extLst>
        </c:ser>
        <c:ser>
          <c:idx val="14"/>
          <c:order val="14"/>
          <c:tx>
            <c:strRef>
              <c:f>Produtos!$B$21</c:f>
              <c:strCache>
                <c:ptCount val="1"/>
                <c:pt idx="0">
                  <c:v>Brigadeiro 100 un.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Produtos!$I$21:$T$21</c:f>
              <c:numCache>
                <c:formatCode>_("R$"* #,##0.00_);_("R$"* \(#,##0.00\);_("R$"* "-"??_);_(@_)</c:formatCode>
                <c:ptCount val="12"/>
                <c:pt idx="0">
                  <c:v>280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280</c:v>
                </c:pt>
                <c:pt idx="9">
                  <c:v>200</c:v>
                </c:pt>
                <c:pt idx="10">
                  <c:v>80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312-4836-B6BE-EEF6BCDBD59E}"/>
            </c:ext>
          </c:extLst>
        </c:ser>
        <c:ser>
          <c:idx val="15"/>
          <c:order val="15"/>
          <c:tx>
            <c:strRef>
              <c:f>Produtos!$B$22</c:f>
              <c:strCache>
                <c:ptCount val="1"/>
                <c:pt idx="0">
                  <c:v>Brigadeiro 50 un.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Produtos!$I$22:$T$22</c:f>
              <c:numCache>
                <c:formatCode>_("R$"* #,##0.00_);_("R$"* \(#,##0.00\);_("R$"* "-"??_);_(@_)</c:formatCode>
                <c:ptCount val="12"/>
                <c:pt idx="0">
                  <c:v>100.80000000000001</c:v>
                </c:pt>
                <c:pt idx="1">
                  <c:v>50.400000000000006</c:v>
                </c:pt>
                <c:pt idx="2">
                  <c:v>50.400000000000006</c:v>
                </c:pt>
                <c:pt idx="3">
                  <c:v>0</c:v>
                </c:pt>
                <c:pt idx="4">
                  <c:v>100.80000000000001</c:v>
                </c:pt>
                <c:pt idx="5">
                  <c:v>0</c:v>
                </c:pt>
                <c:pt idx="6">
                  <c:v>100.80000000000001</c:v>
                </c:pt>
                <c:pt idx="7">
                  <c:v>0</c:v>
                </c:pt>
                <c:pt idx="8">
                  <c:v>0</c:v>
                </c:pt>
                <c:pt idx="9">
                  <c:v>50.400000000000006</c:v>
                </c:pt>
                <c:pt idx="10">
                  <c:v>50.400000000000006</c:v>
                </c:pt>
                <c:pt idx="11">
                  <c:v>25.200000000000003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312-4836-B6BE-EEF6BCDBD59E}"/>
            </c:ext>
          </c:extLst>
        </c:ser>
        <c:ser>
          <c:idx val="16"/>
          <c:order val="16"/>
          <c:tx>
            <c:strRef>
              <c:f>Produtos!$B$23</c:f>
              <c:strCache>
                <c:ptCount val="1"/>
                <c:pt idx="0">
                  <c:v>Beijinho 100 un.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Produtos!$I$23:$T$23</c:f>
              <c:numCache>
                <c:formatCode>_("R$"* #,##0.00_);_("R$"* \(#,##0.00\);_("R$"* "-"??_);_(@_)</c:formatCode>
                <c:ptCount val="12"/>
                <c:pt idx="0">
                  <c:v>160</c:v>
                </c:pt>
                <c:pt idx="1">
                  <c:v>480</c:v>
                </c:pt>
                <c:pt idx="2">
                  <c:v>80</c:v>
                </c:pt>
                <c:pt idx="3">
                  <c:v>0</c:v>
                </c:pt>
                <c:pt idx="4">
                  <c:v>80</c:v>
                </c:pt>
                <c:pt idx="5">
                  <c:v>200</c:v>
                </c:pt>
                <c:pt idx="6">
                  <c:v>0</c:v>
                </c:pt>
                <c:pt idx="7">
                  <c:v>120</c:v>
                </c:pt>
                <c:pt idx="8">
                  <c:v>320</c:v>
                </c:pt>
                <c:pt idx="9">
                  <c:v>160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12-4836-B6BE-EEF6BCDBD59E}"/>
            </c:ext>
          </c:extLst>
        </c:ser>
        <c:ser>
          <c:idx val="17"/>
          <c:order val="17"/>
          <c:tx>
            <c:strRef>
              <c:f>Produtos!$B$24</c:f>
              <c:strCache>
                <c:ptCount val="1"/>
                <c:pt idx="0">
                  <c:v>Beijinho 50 un.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Produtos!$I$6:$T$6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Produtos!$I$24:$T$24</c:f>
              <c:numCache>
                <c:formatCode>_("R$"* #,##0.00_);_("R$"* \(#,##0.00\);_("R$"* "-"??_);_(@_)</c:formatCode>
                <c:ptCount val="12"/>
                <c:pt idx="0">
                  <c:v>50.400000000000006</c:v>
                </c:pt>
                <c:pt idx="1">
                  <c:v>100.80000000000001</c:v>
                </c:pt>
                <c:pt idx="2">
                  <c:v>25.200000000000003</c:v>
                </c:pt>
                <c:pt idx="3">
                  <c:v>50.400000000000006</c:v>
                </c:pt>
                <c:pt idx="4">
                  <c:v>126.00000000000001</c:v>
                </c:pt>
                <c:pt idx="5">
                  <c:v>75.600000000000009</c:v>
                </c:pt>
                <c:pt idx="6">
                  <c:v>50.400000000000006</c:v>
                </c:pt>
                <c:pt idx="7">
                  <c:v>0</c:v>
                </c:pt>
                <c:pt idx="8">
                  <c:v>0</c:v>
                </c:pt>
                <c:pt idx="9">
                  <c:v>75.600000000000009</c:v>
                </c:pt>
                <c:pt idx="10">
                  <c:v>0</c:v>
                </c:pt>
                <c:pt idx="11">
                  <c:v>201.60000000000002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312-4836-B6BE-EEF6BCDBD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35296"/>
        <c:axId val="428933632"/>
      </c:lineChart>
      <c:catAx>
        <c:axId val="4289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933632"/>
        <c:crosses val="autoZero"/>
        <c:auto val="1"/>
        <c:lblAlgn val="ctr"/>
        <c:lblOffset val="100"/>
        <c:noMultiLvlLbl val="0"/>
      </c:catAx>
      <c:valAx>
        <c:axId val="4289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9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Qtde.</a:t>
            </a:r>
            <a:r>
              <a:rPr lang="pt-BR" baseline="0"/>
              <a:t> Total de Compras por Cliente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842-4FD1-8C84-84DC4E1B41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42-4FD1-8C84-84DC4E1B41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42-4FD1-8C84-84DC4E1B4191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42-4FD1-8C84-84DC4E1B41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42-4FD1-8C84-84DC4E1B41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42-4FD1-8C84-84DC4E1B41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42-4FD1-8C84-84DC4E1B419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42-4FD1-8C84-84DC4E1B419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42-4FD1-8C84-84DC4E1B419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42-4FD1-8C84-84DC4E1B419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842-4FD1-8C84-84DC4E1B419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842-4FD1-8C84-84DC4E1B419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842-4FD1-8C84-84DC4E1B41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Clientes!$B$7:$B$19</c:f>
              <c:strCache>
                <c:ptCount val="13"/>
                <c:pt idx="0">
                  <c:v>Ronaldo Leite</c:v>
                </c:pt>
                <c:pt idx="1">
                  <c:v>Gilvan Souza</c:v>
                </c:pt>
                <c:pt idx="2">
                  <c:v>Pedro Silva</c:v>
                </c:pt>
                <c:pt idx="3">
                  <c:v>Gabriel Lanza</c:v>
                </c:pt>
                <c:pt idx="4">
                  <c:v>Matheus Lucas</c:v>
                </c:pt>
                <c:pt idx="5">
                  <c:v>Eloá Azevedo</c:v>
                </c:pt>
                <c:pt idx="6">
                  <c:v>João Silva</c:v>
                </c:pt>
                <c:pt idx="7">
                  <c:v>Junior Henrique</c:v>
                </c:pt>
                <c:pt idx="8">
                  <c:v>Gabriela Antunes</c:v>
                </c:pt>
                <c:pt idx="9">
                  <c:v>Paulo Cesar</c:v>
                </c:pt>
                <c:pt idx="10">
                  <c:v>Alexandre Souza</c:v>
                </c:pt>
                <c:pt idx="11">
                  <c:v>Amanda Souza</c:v>
                </c:pt>
                <c:pt idx="12">
                  <c:v>Alice Silva</c:v>
                </c:pt>
              </c:strCache>
            </c:strRef>
          </c:cat>
          <c:val>
            <c:numRef>
              <c:f>Clientes!$H$7:$H$19</c:f>
              <c:numCache>
                <c:formatCode>General</c:formatCode>
                <c:ptCount val="13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22</c:v>
                </c:pt>
                <c:pt idx="4">
                  <c:v>7</c:v>
                </c:pt>
                <c:pt idx="5">
                  <c:v>15</c:v>
                </c:pt>
                <c:pt idx="6">
                  <c:v>27</c:v>
                </c:pt>
                <c:pt idx="7">
                  <c:v>21</c:v>
                </c:pt>
                <c:pt idx="8">
                  <c:v>23</c:v>
                </c:pt>
                <c:pt idx="9">
                  <c:v>12</c:v>
                </c:pt>
                <c:pt idx="10">
                  <c:v>14</c:v>
                </c:pt>
                <c:pt idx="11">
                  <c:v>17</c:v>
                </c:pt>
                <c:pt idx="1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842-4FD1-8C84-84DC4E1B41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Valor Total de Compras por Cliente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Clientes!$I$6</c:f>
              <c:strCache>
                <c:ptCount val="1"/>
                <c:pt idx="0">
                  <c:v>Valor Total Compras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Clientes!$B$7:$B$19</c:f>
              <c:strCache>
                <c:ptCount val="13"/>
                <c:pt idx="0">
                  <c:v>Ronaldo Leite</c:v>
                </c:pt>
                <c:pt idx="1">
                  <c:v>Gilvan Souza</c:v>
                </c:pt>
                <c:pt idx="2">
                  <c:v>Pedro Silva</c:v>
                </c:pt>
                <c:pt idx="3">
                  <c:v>Gabriel Lanza</c:v>
                </c:pt>
                <c:pt idx="4">
                  <c:v>Matheus Lucas</c:v>
                </c:pt>
                <c:pt idx="5">
                  <c:v>Eloá Azevedo</c:v>
                </c:pt>
                <c:pt idx="6">
                  <c:v>João Silva</c:v>
                </c:pt>
                <c:pt idx="7">
                  <c:v>Junior Henrique</c:v>
                </c:pt>
                <c:pt idx="8">
                  <c:v>Gabriela Antunes</c:v>
                </c:pt>
                <c:pt idx="9">
                  <c:v>Paulo Cesar</c:v>
                </c:pt>
                <c:pt idx="10">
                  <c:v>Alexandre Souza</c:v>
                </c:pt>
                <c:pt idx="11">
                  <c:v>Amanda Souza</c:v>
                </c:pt>
                <c:pt idx="12">
                  <c:v>Alice Silva</c:v>
                </c:pt>
              </c:strCache>
            </c:strRef>
          </c:cat>
          <c:val>
            <c:numRef>
              <c:f>Clientes!$I$7:$I$19</c:f>
              <c:numCache>
                <c:formatCode>_("R$"* #,##0.00_);_("R$"* \(#,##0.00\);_("R$"* "-"??_);_(@_)</c:formatCode>
                <c:ptCount val="13"/>
                <c:pt idx="0">
                  <c:v>775.15</c:v>
                </c:pt>
                <c:pt idx="1">
                  <c:v>585.54999999999995</c:v>
                </c:pt>
                <c:pt idx="2">
                  <c:v>681.19999999999993</c:v>
                </c:pt>
                <c:pt idx="3">
                  <c:v>1973.8999999999999</c:v>
                </c:pt>
                <c:pt idx="4">
                  <c:v>488.5</c:v>
                </c:pt>
                <c:pt idx="5">
                  <c:v>1375.6000000000001</c:v>
                </c:pt>
                <c:pt idx="6">
                  <c:v>2180.2000000000003</c:v>
                </c:pt>
                <c:pt idx="7">
                  <c:v>1984.4500000000003</c:v>
                </c:pt>
                <c:pt idx="8">
                  <c:v>2143.8000000000002</c:v>
                </c:pt>
                <c:pt idx="9">
                  <c:v>1133.95</c:v>
                </c:pt>
                <c:pt idx="10">
                  <c:v>1403.2</c:v>
                </c:pt>
                <c:pt idx="11">
                  <c:v>1564.95</c:v>
                </c:pt>
                <c:pt idx="12">
                  <c:v>2588.9499999999998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6-4E66-9D15-0FBED4CD3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55007872"/>
        <c:axId val="455008288"/>
      </c:barChart>
      <c:catAx>
        <c:axId val="45500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008288"/>
        <c:crosses val="autoZero"/>
        <c:auto val="1"/>
        <c:lblAlgn val="ctr"/>
        <c:lblOffset val="100"/>
        <c:noMultiLvlLbl val="0"/>
      </c:catAx>
      <c:valAx>
        <c:axId val="45500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00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Valor de Compras de Clientes por Mês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Clientes!$B$7</c:f>
              <c:strCache>
                <c:ptCount val="1"/>
                <c:pt idx="0">
                  <c:v>Ronaldo Leite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Clientes!$J$7:$U$7</c:f>
              <c:numCache>
                <c:formatCode>_("R$"* #,##0.00_);_("R$"* \(#,##0.00\);_("R$"* "-"??_);_(@_)</c:formatCode>
                <c:ptCount val="12"/>
                <c:pt idx="0">
                  <c:v>27.75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50.400000000000006</c:v>
                </c:pt>
                <c:pt idx="5">
                  <c:v>27.75</c:v>
                </c:pt>
                <c:pt idx="6">
                  <c:v>90</c:v>
                </c:pt>
                <c:pt idx="7">
                  <c:v>135</c:v>
                </c:pt>
                <c:pt idx="8">
                  <c:v>160</c:v>
                </c:pt>
                <c:pt idx="9">
                  <c:v>0</c:v>
                </c:pt>
                <c:pt idx="10">
                  <c:v>173.25</c:v>
                </c:pt>
                <c:pt idx="11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1F-486F-9F83-160E042549F0}"/>
            </c:ext>
          </c:extLst>
        </c:ser>
        <c:ser>
          <c:idx val="1"/>
          <c:order val="1"/>
          <c:tx>
            <c:strRef>
              <c:f>Clientes!$B$8</c:f>
              <c:strCache>
                <c:ptCount val="1"/>
                <c:pt idx="0">
                  <c:v>Gilvan Souza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Clientes!$J$8:$U$8</c:f>
              <c:numCache>
                <c:formatCode>_("R$"* #,##0.00_);_("R$"* \(#,##0.00\);_("R$"* "-"??_);_(@_)</c:formatCode>
                <c:ptCount val="12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27.75</c:v>
                </c:pt>
                <c:pt idx="6">
                  <c:v>156.30000000000001</c:v>
                </c:pt>
                <c:pt idx="7">
                  <c:v>55.5</c:v>
                </c:pt>
                <c:pt idx="8">
                  <c:v>0</c:v>
                </c:pt>
                <c:pt idx="9">
                  <c:v>25.200000000000003</c:v>
                </c:pt>
                <c:pt idx="10">
                  <c:v>185.4</c:v>
                </c:pt>
                <c:pt idx="11">
                  <c:v>50.400000000000006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1F-486F-9F83-160E042549F0}"/>
            </c:ext>
          </c:extLst>
        </c:ser>
        <c:ser>
          <c:idx val="2"/>
          <c:order val="2"/>
          <c:tx>
            <c:strRef>
              <c:f>Clientes!$B$9</c:f>
              <c:strCache>
                <c:ptCount val="1"/>
                <c:pt idx="0">
                  <c:v>Pedro Silva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Clientes!$J$9:$U$9</c:f>
              <c:numCache>
                <c:formatCode>_("R$"* #,##0.00_);_("R$"* \(#,##0.00\);_("R$"* "-"??_);_(@_)</c:formatCode>
                <c:ptCount val="12"/>
                <c:pt idx="0">
                  <c:v>83.25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27.75</c:v>
                </c:pt>
                <c:pt idx="5">
                  <c:v>0</c:v>
                </c:pt>
                <c:pt idx="6">
                  <c:v>148</c:v>
                </c:pt>
                <c:pt idx="7">
                  <c:v>157.25</c:v>
                </c:pt>
                <c:pt idx="8">
                  <c:v>0</c:v>
                </c:pt>
                <c:pt idx="9">
                  <c:v>120</c:v>
                </c:pt>
                <c:pt idx="10">
                  <c:v>98.700000000000017</c:v>
                </c:pt>
                <c:pt idx="11">
                  <c:v>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1F-486F-9F83-160E042549F0}"/>
            </c:ext>
          </c:extLst>
        </c:ser>
        <c:ser>
          <c:idx val="3"/>
          <c:order val="3"/>
          <c:tx>
            <c:strRef>
              <c:f>Clientes!$B$10</c:f>
              <c:strCache>
                <c:ptCount val="1"/>
                <c:pt idx="0">
                  <c:v>Gabriel Lanza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Clientes!$J$10:$U$10</c:f>
              <c:numCache>
                <c:formatCode>_("R$"* #,##0.00_);_("R$"* \(#,##0.00\);_("R$"* "-"??_);_(@_)</c:formatCode>
                <c:ptCount val="12"/>
                <c:pt idx="0">
                  <c:v>462</c:v>
                </c:pt>
                <c:pt idx="1">
                  <c:v>154.4</c:v>
                </c:pt>
                <c:pt idx="2">
                  <c:v>58.1</c:v>
                </c:pt>
                <c:pt idx="3">
                  <c:v>148</c:v>
                </c:pt>
                <c:pt idx="4">
                  <c:v>126.00000000000001</c:v>
                </c:pt>
                <c:pt idx="5">
                  <c:v>425.20000000000005</c:v>
                </c:pt>
                <c:pt idx="6">
                  <c:v>194.25</c:v>
                </c:pt>
                <c:pt idx="7">
                  <c:v>156</c:v>
                </c:pt>
                <c:pt idx="8">
                  <c:v>197</c:v>
                </c:pt>
                <c:pt idx="9">
                  <c:v>25.200000000000003</c:v>
                </c:pt>
                <c:pt idx="10">
                  <c:v>27.75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1F-486F-9F83-160E042549F0}"/>
            </c:ext>
          </c:extLst>
        </c:ser>
        <c:ser>
          <c:idx val="4"/>
          <c:order val="4"/>
          <c:tx>
            <c:strRef>
              <c:f>Clientes!$B$11</c:f>
              <c:strCache>
                <c:ptCount val="1"/>
                <c:pt idx="0">
                  <c:v>Matheus Lucas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Clientes!$J$11:$U$11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</c:v>
                </c:pt>
                <c:pt idx="5">
                  <c:v>54</c:v>
                </c:pt>
                <c:pt idx="6">
                  <c:v>63</c:v>
                </c:pt>
                <c:pt idx="7">
                  <c:v>48.300000000000004</c:v>
                </c:pt>
                <c:pt idx="8">
                  <c:v>32.200000000000003</c:v>
                </c:pt>
                <c:pt idx="9">
                  <c:v>90</c:v>
                </c:pt>
                <c:pt idx="10">
                  <c:v>90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1F-486F-9F83-160E042549F0}"/>
            </c:ext>
          </c:extLst>
        </c:ser>
        <c:ser>
          <c:idx val="5"/>
          <c:order val="5"/>
          <c:tx>
            <c:strRef>
              <c:f>Clientes!$B$12</c:f>
              <c:strCache>
                <c:ptCount val="1"/>
                <c:pt idx="0">
                  <c:v>Eloá Azevedo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Clientes!$J$12:$U$12</c:f>
              <c:numCache>
                <c:formatCode>_("R$"* #,##0.00_);_("R$"* \(#,##0.00\);_("R$"* "-"??_);_(@_)</c:formatCode>
                <c:ptCount val="12"/>
                <c:pt idx="0">
                  <c:v>252</c:v>
                </c:pt>
                <c:pt idx="1">
                  <c:v>219.45</c:v>
                </c:pt>
                <c:pt idx="2">
                  <c:v>52.95</c:v>
                </c:pt>
                <c:pt idx="3">
                  <c:v>162</c:v>
                </c:pt>
                <c:pt idx="4">
                  <c:v>37</c:v>
                </c:pt>
                <c:pt idx="5">
                  <c:v>180</c:v>
                </c:pt>
                <c:pt idx="6">
                  <c:v>201.60000000000002</c:v>
                </c:pt>
                <c:pt idx="7">
                  <c:v>84</c:v>
                </c:pt>
                <c:pt idx="8">
                  <c:v>111</c:v>
                </c:pt>
                <c:pt idx="9">
                  <c:v>25.200000000000003</c:v>
                </c:pt>
                <c:pt idx="10">
                  <c:v>50.400000000000006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1F-486F-9F83-160E042549F0}"/>
            </c:ext>
          </c:extLst>
        </c:ser>
        <c:ser>
          <c:idx val="6"/>
          <c:order val="6"/>
          <c:tx>
            <c:strRef>
              <c:f>Clientes!$B$13</c:f>
              <c:strCache>
                <c:ptCount val="1"/>
                <c:pt idx="0">
                  <c:v>João Silva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Clientes!$J$13:$U$13</c:f>
              <c:numCache>
                <c:formatCode>_("R$"* #,##0.00_);_("R$"* \(#,##0.00\);_("R$"* "-"??_);_(@_)</c:formatCode>
                <c:ptCount val="12"/>
                <c:pt idx="0">
                  <c:v>421.5</c:v>
                </c:pt>
                <c:pt idx="1">
                  <c:v>414.75</c:v>
                </c:pt>
                <c:pt idx="2">
                  <c:v>260</c:v>
                </c:pt>
                <c:pt idx="3">
                  <c:v>223.4</c:v>
                </c:pt>
                <c:pt idx="4">
                  <c:v>124.4</c:v>
                </c:pt>
                <c:pt idx="5">
                  <c:v>117</c:v>
                </c:pt>
                <c:pt idx="6">
                  <c:v>152.15</c:v>
                </c:pt>
                <c:pt idx="7">
                  <c:v>21</c:v>
                </c:pt>
                <c:pt idx="8">
                  <c:v>255</c:v>
                </c:pt>
                <c:pt idx="9">
                  <c:v>80</c:v>
                </c:pt>
                <c:pt idx="10">
                  <c:v>111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1F-486F-9F83-160E042549F0}"/>
            </c:ext>
          </c:extLst>
        </c:ser>
        <c:ser>
          <c:idx val="7"/>
          <c:order val="7"/>
          <c:tx>
            <c:strRef>
              <c:f>Clientes!$B$14</c:f>
              <c:strCache>
                <c:ptCount val="1"/>
                <c:pt idx="0">
                  <c:v>Junior Henrique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Clientes!$J$14:$U$14</c:f>
              <c:numCache>
                <c:formatCode>_("R$"* #,##0.00_);_("R$"* \(#,##0.00\);_("R$"* "-"??_);_(@_)</c:formatCode>
                <c:ptCount val="12"/>
                <c:pt idx="0">
                  <c:v>100.80000000000001</c:v>
                </c:pt>
                <c:pt idx="1">
                  <c:v>651.35</c:v>
                </c:pt>
                <c:pt idx="2">
                  <c:v>95.4</c:v>
                </c:pt>
                <c:pt idx="3">
                  <c:v>424.8</c:v>
                </c:pt>
                <c:pt idx="4">
                  <c:v>263.25</c:v>
                </c:pt>
                <c:pt idx="5">
                  <c:v>111</c:v>
                </c:pt>
                <c:pt idx="6">
                  <c:v>46.25</c:v>
                </c:pt>
                <c:pt idx="7">
                  <c:v>45</c:v>
                </c:pt>
                <c:pt idx="8">
                  <c:v>45</c:v>
                </c:pt>
                <c:pt idx="9">
                  <c:v>151.20000000000002</c:v>
                </c:pt>
                <c:pt idx="10">
                  <c:v>0</c:v>
                </c:pt>
                <c:pt idx="11">
                  <c:v>50.400000000000006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1F-486F-9F83-160E042549F0}"/>
            </c:ext>
          </c:extLst>
        </c:ser>
        <c:ser>
          <c:idx val="8"/>
          <c:order val="8"/>
          <c:tx>
            <c:strRef>
              <c:f>Clientes!$B$15</c:f>
              <c:strCache>
                <c:ptCount val="1"/>
                <c:pt idx="0">
                  <c:v>Gabriela Antunes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Clientes!$J$15:$U$15</c:f>
              <c:numCache>
                <c:formatCode>_("R$"* #,##0.00_);_("R$"* \(#,##0.00\);_("R$"* "-"??_);_(@_)</c:formatCode>
                <c:ptCount val="12"/>
                <c:pt idx="0">
                  <c:v>361</c:v>
                </c:pt>
                <c:pt idx="1">
                  <c:v>507.55</c:v>
                </c:pt>
                <c:pt idx="2">
                  <c:v>275.60000000000002</c:v>
                </c:pt>
                <c:pt idx="3">
                  <c:v>214.8</c:v>
                </c:pt>
                <c:pt idx="4">
                  <c:v>241.60000000000002</c:v>
                </c:pt>
                <c:pt idx="5">
                  <c:v>108</c:v>
                </c:pt>
                <c:pt idx="6">
                  <c:v>135</c:v>
                </c:pt>
                <c:pt idx="7">
                  <c:v>83.25</c:v>
                </c:pt>
                <c:pt idx="8">
                  <c:v>45</c:v>
                </c:pt>
                <c:pt idx="9">
                  <c:v>135</c:v>
                </c:pt>
                <c:pt idx="10">
                  <c:v>0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1F-486F-9F83-160E042549F0}"/>
            </c:ext>
          </c:extLst>
        </c:ser>
        <c:ser>
          <c:idx val="9"/>
          <c:order val="9"/>
          <c:tx>
            <c:strRef>
              <c:f>Clientes!$B$16</c:f>
              <c:strCache>
                <c:ptCount val="1"/>
                <c:pt idx="0">
                  <c:v>Paulo Cesar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Clientes!$J$16:$U$16</c:f>
              <c:numCache>
                <c:formatCode>_("R$"* #,##0.00_);_("R$"* \(#,##0.00\);_("R$"* "-"??_);_(@_)</c:formatCode>
                <c:ptCount val="12"/>
                <c:pt idx="0">
                  <c:v>140.4</c:v>
                </c:pt>
                <c:pt idx="1">
                  <c:v>187.2</c:v>
                </c:pt>
                <c:pt idx="2">
                  <c:v>180</c:v>
                </c:pt>
                <c:pt idx="3">
                  <c:v>135</c:v>
                </c:pt>
                <c:pt idx="4">
                  <c:v>0</c:v>
                </c:pt>
                <c:pt idx="5">
                  <c:v>201.60000000000002</c:v>
                </c:pt>
                <c:pt idx="6">
                  <c:v>83.25</c:v>
                </c:pt>
                <c:pt idx="7">
                  <c:v>40</c:v>
                </c:pt>
                <c:pt idx="8">
                  <c:v>0</c:v>
                </c:pt>
                <c:pt idx="9">
                  <c:v>83.25</c:v>
                </c:pt>
                <c:pt idx="10">
                  <c:v>0</c:v>
                </c:pt>
                <c:pt idx="11">
                  <c:v>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1F-486F-9F83-160E042549F0}"/>
            </c:ext>
          </c:extLst>
        </c:ser>
        <c:ser>
          <c:idx val="10"/>
          <c:order val="10"/>
          <c:tx>
            <c:strRef>
              <c:f>Clientes!$B$17</c:f>
              <c:strCache>
                <c:ptCount val="1"/>
                <c:pt idx="0">
                  <c:v>Alexandre Souza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Clientes!$J$17:$U$17</c:f>
              <c:numCache>
                <c:formatCode>_("R$"* #,##0.00_);_("R$"* \(#,##0.00\);_("R$"* "-"??_);_(@_)</c:formatCode>
                <c:ptCount val="12"/>
                <c:pt idx="0">
                  <c:v>174.8</c:v>
                </c:pt>
                <c:pt idx="1">
                  <c:v>100.80000000000001</c:v>
                </c:pt>
                <c:pt idx="2">
                  <c:v>135</c:v>
                </c:pt>
                <c:pt idx="3">
                  <c:v>0</c:v>
                </c:pt>
                <c:pt idx="4">
                  <c:v>0</c:v>
                </c:pt>
                <c:pt idx="5">
                  <c:v>135</c:v>
                </c:pt>
                <c:pt idx="6">
                  <c:v>0</c:v>
                </c:pt>
                <c:pt idx="7">
                  <c:v>80</c:v>
                </c:pt>
                <c:pt idx="8">
                  <c:v>90</c:v>
                </c:pt>
                <c:pt idx="9">
                  <c:v>205</c:v>
                </c:pt>
                <c:pt idx="10">
                  <c:v>80</c:v>
                </c:pt>
                <c:pt idx="11">
                  <c:v>402.6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1F-486F-9F83-160E042549F0}"/>
            </c:ext>
          </c:extLst>
        </c:ser>
        <c:ser>
          <c:idx val="11"/>
          <c:order val="11"/>
          <c:tx>
            <c:strRef>
              <c:f>Clientes!$B$18</c:f>
              <c:strCache>
                <c:ptCount val="1"/>
                <c:pt idx="0">
                  <c:v>Amanda Souza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Clientes!$J$18:$U$18</c:f>
              <c:numCache>
                <c:formatCode>_("R$"* #,##0.00_);_("R$"* \(#,##0.00\);_("R$"* "-"??_);_(@_)</c:formatCode>
                <c:ptCount val="12"/>
                <c:pt idx="0">
                  <c:v>246</c:v>
                </c:pt>
                <c:pt idx="1">
                  <c:v>231.75</c:v>
                </c:pt>
                <c:pt idx="2">
                  <c:v>111</c:v>
                </c:pt>
                <c:pt idx="3">
                  <c:v>55.5</c:v>
                </c:pt>
                <c:pt idx="4">
                  <c:v>55.5</c:v>
                </c:pt>
                <c:pt idx="5">
                  <c:v>0</c:v>
                </c:pt>
                <c:pt idx="6">
                  <c:v>216</c:v>
                </c:pt>
                <c:pt idx="7">
                  <c:v>0</c:v>
                </c:pt>
                <c:pt idx="8">
                  <c:v>260.8</c:v>
                </c:pt>
                <c:pt idx="9">
                  <c:v>254</c:v>
                </c:pt>
                <c:pt idx="10">
                  <c:v>21</c:v>
                </c:pt>
                <c:pt idx="11">
                  <c:v>113.4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1F-486F-9F83-160E042549F0}"/>
            </c:ext>
          </c:extLst>
        </c:ser>
        <c:ser>
          <c:idx val="12"/>
          <c:order val="12"/>
          <c:tx>
            <c:strRef>
              <c:f>Clientes!$B$19</c:f>
              <c:strCache>
                <c:ptCount val="1"/>
                <c:pt idx="0">
                  <c:v>Alice Silva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Clientes!$J$6:$U$6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Clientes!$J$19:$U$19</c:f>
              <c:numCache>
                <c:formatCode>_("R$"* #,##0.00_);_("R$"* \(#,##0.00\);_("R$"* "-"??_);_(@_)</c:formatCode>
                <c:ptCount val="12"/>
                <c:pt idx="0">
                  <c:v>258.05</c:v>
                </c:pt>
                <c:pt idx="1">
                  <c:v>393.35</c:v>
                </c:pt>
                <c:pt idx="2">
                  <c:v>111</c:v>
                </c:pt>
                <c:pt idx="3">
                  <c:v>201.60000000000002</c:v>
                </c:pt>
                <c:pt idx="4">
                  <c:v>50.400000000000006</c:v>
                </c:pt>
                <c:pt idx="5">
                  <c:v>168.3</c:v>
                </c:pt>
                <c:pt idx="6">
                  <c:v>46.25</c:v>
                </c:pt>
                <c:pt idx="7">
                  <c:v>209</c:v>
                </c:pt>
                <c:pt idx="8">
                  <c:v>291.60000000000002</c:v>
                </c:pt>
                <c:pt idx="9">
                  <c:v>363</c:v>
                </c:pt>
                <c:pt idx="10">
                  <c:v>286.39999999999998</c:v>
                </c:pt>
                <c:pt idx="1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1F-486F-9F83-160E04254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0371680"/>
        <c:axId val="510373760"/>
      </c:barChart>
      <c:catAx>
        <c:axId val="5103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73760"/>
        <c:crosses val="autoZero"/>
        <c:auto val="1"/>
        <c:lblAlgn val="ctr"/>
        <c:lblOffset val="100"/>
        <c:noMultiLvlLbl val="0"/>
      </c:catAx>
      <c:valAx>
        <c:axId val="5103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3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hyperlink" Target="#Pedido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image" Target="../media/image4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0" Type="http://schemas.openxmlformats.org/officeDocument/2006/relationships/hyperlink" Target="#Clientes!A1"/><Relationship Id="rId4" Type="http://schemas.openxmlformats.org/officeDocument/2006/relationships/hyperlink" Target="#Produtos!A1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124600</xdr:colOff>
      <xdr:row>8</xdr:row>
      <xdr:rowOff>54750</xdr:rowOff>
    </xdr:from>
    <xdr:ext cx="1800000" cy="1863500"/>
    <xdr:pic>
      <xdr:nvPicPr>
        <xdr:cNvPr id="2" name="Gráfico 4" descr="Gráfico de barras com tendência ascenden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2D4CF4-B014-4567-887D-CF109E1A21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6830200" y="1578750"/>
          <a:ext cx="1800000" cy="1863500"/>
        </a:xfrm>
        <a:prstGeom prst="rect">
          <a:avLst/>
        </a:prstGeom>
      </xdr:spPr>
    </xdr:pic>
    <xdr:clientData/>
  </xdr:oneCellAnchor>
  <xdr:oneCellAnchor>
    <xdr:from>
      <xdr:col>4</xdr:col>
      <xdr:colOff>306350</xdr:colOff>
      <xdr:row>7</xdr:row>
      <xdr:rowOff>179350</xdr:rowOff>
    </xdr:from>
    <xdr:ext cx="1800000" cy="1863499"/>
    <xdr:pic>
      <xdr:nvPicPr>
        <xdr:cNvPr id="3" name="Gráfico 6" descr="Pipoc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59427C-C4E7-476C-A9B2-5E2D53785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2744750" y="1512850"/>
          <a:ext cx="1800000" cy="1863499"/>
        </a:xfrm>
        <a:prstGeom prst="rect">
          <a:avLst/>
        </a:prstGeom>
      </xdr:spPr>
    </xdr:pic>
    <xdr:clientData/>
  </xdr:oneCellAnchor>
  <xdr:oneCellAnchor>
    <xdr:from>
      <xdr:col>7</xdr:col>
      <xdr:colOff>526200</xdr:colOff>
      <xdr:row>7</xdr:row>
      <xdr:rowOff>170600</xdr:rowOff>
    </xdr:from>
    <xdr:ext cx="1800000" cy="1863499"/>
    <xdr:pic>
      <xdr:nvPicPr>
        <xdr:cNvPr id="4" name="Gráfico 8" descr="Call center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D8BB45-B52B-4189-976C-0C0E90C1D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4793400" y="1504100"/>
          <a:ext cx="1800000" cy="1863499"/>
        </a:xfrm>
        <a:prstGeom prst="rect">
          <a:avLst/>
        </a:prstGeom>
      </xdr:spPr>
    </xdr:pic>
    <xdr:clientData/>
  </xdr:oneCellAnchor>
  <xdr:oneCellAnchor>
    <xdr:from>
      <xdr:col>0</xdr:col>
      <xdr:colOff>568250</xdr:colOff>
      <xdr:row>7</xdr:row>
      <xdr:rowOff>180900</xdr:rowOff>
    </xdr:from>
    <xdr:ext cx="1800000" cy="1863499"/>
    <xdr:pic>
      <xdr:nvPicPr>
        <xdr:cNvPr id="5" name="Gráfico 10" descr="Grupo de homen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947CB3B-06CB-4CCB-A61A-7DCF0A434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568250" y="1514400"/>
          <a:ext cx="1800000" cy="1863499"/>
        </a:xfrm>
        <a:prstGeom prst="rect">
          <a:avLst/>
        </a:prstGeom>
      </xdr:spPr>
    </xdr:pic>
    <xdr:clientData/>
  </xdr:oneCellAnchor>
  <xdr:twoCellAnchor>
    <xdr:from>
      <xdr:col>1</xdr:col>
      <xdr:colOff>304800</xdr:colOff>
      <xdr:row>16</xdr:row>
      <xdr:rowOff>158750</xdr:rowOff>
    </xdr:from>
    <xdr:to>
      <xdr:col>3</xdr:col>
      <xdr:colOff>120650</xdr:colOff>
      <xdr:row>18</xdr:row>
      <xdr:rowOff>88900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20C52B5-153E-4009-91B9-80C6E844FED9}"/>
            </a:ext>
          </a:extLst>
        </xdr:cNvPr>
        <xdr:cNvSpPr/>
      </xdr:nvSpPr>
      <xdr:spPr>
        <a:xfrm>
          <a:off x="914400" y="3206750"/>
          <a:ext cx="1035050" cy="311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Clientes</a:t>
          </a:r>
        </a:p>
      </xdr:txBody>
    </xdr:sp>
    <xdr:clientData/>
  </xdr:twoCellAnchor>
  <xdr:twoCellAnchor>
    <xdr:from>
      <xdr:col>5</xdr:col>
      <xdr:colOff>114300</xdr:colOff>
      <xdr:row>16</xdr:row>
      <xdr:rowOff>152400</xdr:rowOff>
    </xdr:from>
    <xdr:to>
      <xdr:col>6</xdr:col>
      <xdr:colOff>539750</xdr:colOff>
      <xdr:row>18</xdr:row>
      <xdr:rowOff>82550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3763F57-6AC7-4E93-A99A-056C7C103B72}"/>
            </a:ext>
          </a:extLst>
        </xdr:cNvPr>
        <xdr:cNvSpPr/>
      </xdr:nvSpPr>
      <xdr:spPr>
        <a:xfrm>
          <a:off x="3162300" y="3200400"/>
          <a:ext cx="1035050" cy="311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Produtos</a:t>
          </a:r>
        </a:p>
      </xdr:txBody>
    </xdr:sp>
    <xdr:clientData/>
  </xdr:twoCellAnchor>
  <xdr:twoCellAnchor>
    <xdr:from>
      <xdr:col>11</xdr:col>
      <xdr:colOff>584200</xdr:colOff>
      <xdr:row>16</xdr:row>
      <xdr:rowOff>158750</xdr:rowOff>
    </xdr:from>
    <xdr:to>
      <xdr:col>13</xdr:col>
      <xdr:colOff>400050</xdr:colOff>
      <xdr:row>18</xdr:row>
      <xdr:rowOff>88900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943AC54-EC34-43EE-BA56-3BBD184551A0}"/>
            </a:ext>
          </a:extLst>
        </xdr:cNvPr>
        <xdr:cNvSpPr/>
      </xdr:nvSpPr>
      <xdr:spPr>
        <a:xfrm>
          <a:off x="7289800" y="3206750"/>
          <a:ext cx="1035050" cy="311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Dashboard</a:t>
          </a:r>
        </a:p>
      </xdr:txBody>
    </xdr:sp>
    <xdr:clientData/>
  </xdr:twoCellAnchor>
  <xdr:twoCellAnchor>
    <xdr:from>
      <xdr:col>8</xdr:col>
      <xdr:colOff>349250</xdr:colOff>
      <xdr:row>16</xdr:row>
      <xdr:rowOff>139700</xdr:rowOff>
    </xdr:from>
    <xdr:to>
      <xdr:col>10</xdr:col>
      <xdr:colOff>165100</xdr:colOff>
      <xdr:row>18</xdr:row>
      <xdr:rowOff>69850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092FC85-F4A4-4109-94A9-BD19A6641363}"/>
            </a:ext>
          </a:extLst>
        </xdr:cNvPr>
        <xdr:cNvSpPr/>
      </xdr:nvSpPr>
      <xdr:spPr>
        <a:xfrm>
          <a:off x="5226050" y="3187700"/>
          <a:ext cx="1035050" cy="311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</a:rPr>
            <a:t>Pedidos</a:t>
          </a:r>
        </a:p>
      </xdr:txBody>
    </xdr:sp>
    <xdr:clientData/>
  </xdr:twoCellAnchor>
  <xdr:oneCellAnchor>
    <xdr:from>
      <xdr:col>6</xdr:col>
      <xdr:colOff>254001</xdr:colOff>
      <xdr:row>0</xdr:row>
      <xdr:rowOff>166078</xdr:rowOff>
    </xdr:from>
    <xdr:ext cx="1272930" cy="584488"/>
    <xdr:pic>
      <xdr:nvPicPr>
        <xdr:cNvPr id="10" name="Imagem 9">
          <a:extLst>
            <a:ext uri="{FF2B5EF4-FFF2-40B4-BE49-F238E27FC236}">
              <a16:creationId xmlns:a16="http://schemas.microsoft.com/office/drawing/2014/main" id="{F0E50A53-1BF3-4C15-8EF1-479C09E80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911601" y="166078"/>
          <a:ext cx="1272930" cy="58448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53731</xdr:colOff>
      <xdr:row>0</xdr:row>
      <xdr:rowOff>83038</xdr:rowOff>
    </xdr:from>
    <xdr:to>
      <xdr:col>1</xdr:col>
      <xdr:colOff>1857501</xdr:colOff>
      <xdr:row>3</xdr:row>
      <xdr:rowOff>147038</xdr:rowOff>
    </xdr:to>
    <xdr:pic>
      <xdr:nvPicPr>
        <xdr:cNvPr id="2" name="Imagem 1" descr="Ingredientes Salgados – Salgados com Sabor de Qualida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46F7B-414B-44AE-9220-6C1A70F12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1" y="83038"/>
          <a:ext cx="2413370" cy="107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53731</xdr:colOff>
      <xdr:row>0</xdr:row>
      <xdr:rowOff>83038</xdr:rowOff>
    </xdr:from>
    <xdr:to>
      <xdr:col>2</xdr:col>
      <xdr:colOff>47751</xdr:colOff>
      <xdr:row>3</xdr:row>
      <xdr:rowOff>147038</xdr:rowOff>
    </xdr:to>
    <xdr:pic>
      <xdr:nvPicPr>
        <xdr:cNvPr id="2" name="Imagem 1" descr="Ingredientes Salgados – Salgados com Sabor de Qualida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246F7B-414B-44AE-9220-6C1A70F12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31" y="83038"/>
          <a:ext cx="2413370" cy="107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52917</xdr:colOff>
      <xdr:row>0</xdr:row>
      <xdr:rowOff>0</xdr:rowOff>
    </xdr:from>
    <xdr:to>
      <xdr:col>3</xdr:col>
      <xdr:colOff>228405</xdr:colOff>
      <xdr:row>3</xdr:row>
      <xdr:rowOff>11234</xdr:rowOff>
    </xdr:to>
    <xdr:pic>
      <xdr:nvPicPr>
        <xdr:cNvPr id="3" name="Imagem 2" descr="Ingredientes Salgados – Salgados com Sabor de Qualidad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FEC7D6-E640-4991-8E8E-DF59C9F2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0"/>
          <a:ext cx="2232888" cy="10208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400050</xdr:colOff>
      <xdr:row>25</xdr:row>
      <xdr:rowOff>28574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495299</xdr:colOff>
      <xdr:row>0</xdr:row>
      <xdr:rowOff>0</xdr:rowOff>
    </xdr:from>
    <xdr:to>
      <xdr:col>24</xdr:col>
      <xdr:colOff>161925</xdr:colOff>
      <xdr:row>25</xdr:row>
      <xdr:rowOff>47625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25</xdr:row>
      <xdr:rowOff>152399</xdr:rowOff>
    </xdr:from>
    <xdr:to>
      <xdr:col>24</xdr:col>
      <xdr:colOff>95249</xdr:colOff>
      <xdr:row>49</xdr:row>
      <xdr:rowOff>47624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22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</xdr:colOff>
      <xdr:row>0</xdr:row>
      <xdr:rowOff>0</xdr:rowOff>
    </xdr:from>
    <xdr:to>
      <xdr:col>24</xdr:col>
      <xdr:colOff>104774</xdr:colOff>
      <xdr:row>22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371476</xdr:colOff>
      <xdr:row>23</xdr:row>
      <xdr:rowOff>57149</xdr:rowOff>
    </xdr:from>
    <xdr:to>
      <xdr:col>23</xdr:col>
      <xdr:colOff>381000</xdr:colOff>
      <xdr:row>41</xdr:row>
      <xdr:rowOff>104774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showGridLines="0" zoomScale="115" zoomScaleNormal="115" workbookViewId="0"/>
  </sheetViews>
  <sheetFormatPr defaultRowHeight="15" x14ac:dyDescent="0.25"/>
  <sheetData>
    <row r="1" spans="1:15" x14ac:dyDescent="0.25">
      <c r="A1" s="23"/>
    </row>
    <row r="5" spans="1:15" ht="23.1" customHeight="1" x14ac:dyDescent="0.55000000000000004">
      <c r="A5" s="29" t="s">
        <v>335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22.5" x14ac:dyDescent="0.45">
      <c r="C6" s="12"/>
      <c r="D6" s="12"/>
      <c r="G6" s="6"/>
      <c r="H6" s="12"/>
      <c r="J6" s="12"/>
      <c r="K6" s="16"/>
    </row>
    <row r="7" spans="1:15" ht="21.75" x14ac:dyDescent="0.4">
      <c r="C7" s="13"/>
      <c r="D7" s="12"/>
      <c r="E7" s="20"/>
      <c r="H7" s="12"/>
      <c r="J7" s="12"/>
      <c r="K7" s="16"/>
    </row>
  </sheetData>
  <mergeCells count="1">
    <mergeCell ref="A5:O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showGridLines="0" zoomScale="55" zoomScaleNormal="55" workbookViewId="0">
      <selection activeCell="I6" activeCellId="1" sqref="B6:B24 I6:T24"/>
    </sheetView>
  </sheetViews>
  <sheetFormatPr defaultRowHeight="15" x14ac:dyDescent="0.25"/>
  <cols>
    <col min="2" max="2" width="28.85546875" customWidth="1"/>
    <col min="3" max="3" width="12.28515625" customWidth="1"/>
    <col min="4" max="4" width="10.42578125" customWidth="1"/>
    <col min="5" max="5" width="11.140625" customWidth="1"/>
    <col min="6" max="6" width="14.42578125" customWidth="1"/>
    <col min="7" max="7" width="15.7109375" style="12" bestFit="1" customWidth="1"/>
    <col min="8" max="8" width="16.42578125" bestFit="1" customWidth="1"/>
    <col min="9" max="20" width="14" style="25" customWidth="1"/>
    <col min="21" max="21" width="12.7109375" bestFit="1" customWidth="1"/>
  </cols>
  <sheetData>
    <row r="1" spans="1:21" ht="34.5" x14ac:dyDescent="0.7">
      <c r="C1" s="7" t="s">
        <v>336</v>
      </c>
      <c r="I1" s="28"/>
    </row>
    <row r="2" spans="1:21" ht="22.5" x14ac:dyDescent="0.45">
      <c r="C2" s="5" t="s">
        <v>335</v>
      </c>
    </row>
    <row r="3" spans="1:21" ht="22.5" x14ac:dyDescent="0.45">
      <c r="C3" s="6" t="s">
        <v>337</v>
      </c>
      <c r="F3" s="21">
        <f ca="1">TODAY()</f>
        <v>43972</v>
      </c>
    </row>
    <row r="4" spans="1:21" ht="21.75" x14ac:dyDescent="0.4">
      <c r="C4" s="4"/>
    </row>
    <row r="6" spans="1:21" x14ac:dyDescent="0.25">
      <c r="A6" s="3" t="s">
        <v>0</v>
      </c>
      <c r="B6" s="3" t="s">
        <v>1</v>
      </c>
      <c r="C6" s="3" t="s">
        <v>5</v>
      </c>
      <c r="D6" s="3" t="s">
        <v>2</v>
      </c>
      <c r="E6" s="3" t="s">
        <v>3</v>
      </c>
      <c r="F6" s="3" t="s">
        <v>4</v>
      </c>
      <c r="G6" s="14" t="s">
        <v>34</v>
      </c>
      <c r="H6" s="3" t="s">
        <v>35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O6" s="27" t="s">
        <v>12</v>
      </c>
      <c r="P6" s="27" t="s">
        <v>13</v>
      </c>
      <c r="Q6" s="27" t="s">
        <v>14</v>
      </c>
      <c r="R6" s="27" t="s">
        <v>15</v>
      </c>
      <c r="S6" s="27" t="s">
        <v>16</v>
      </c>
      <c r="T6" s="27" t="s">
        <v>17</v>
      </c>
    </row>
    <row r="7" spans="1:21" x14ac:dyDescent="0.25">
      <c r="A7" s="15">
        <v>1</v>
      </c>
      <c r="B7" s="1" t="s">
        <v>45</v>
      </c>
      <c r="C7" s="1" t="s">
        <v>38</v>
      </c>
      <c r="D7" s="8">
        <v>25</v>
      </c>
      <c r="E7" s="9">
        <v>0.8</v>
      </c>
      <c r="F7" s="10">
        <f>D7+E7*D7</f>
        <v>45</v>
      </c>
      <c r="G7" s="24">
        <f>COUNTIF(Pedidos!H:H,Produtos!A7)</f>
        <v>19</v>
      </c>
      <c r="H7" s="10">
        <f>SUMIF(Pedidos!H:H,Produtos!A7,Pedidos!L:L)</f>
        <v>2115</v>
      </c>
      <c r="I7" s="10">
        <f>SUMIFS(Pedidos!L:L,Pedidos!C:C,1,Pedidos!H:H,Produtos!A7)</f>
        <v>180</v>
      </c>
      <c r="J7" s="10">
        <f>SUMIFS(Pedidos!L:L,Pedidos!C:C,2,Pedidos!H:H,Produtos!A7)</f>
        <v>90</v>
      </c>
      <c r="K7" s="10">
        <f>SUMIFS(Pedidos!L:L,Pedidos!C:C,3,Pedidos!H:H,Produtos!A7)</f>
        <v>450</v>
      </c>
      <c r="L7" s="10">
        <f>SUMIFS(Pedidos!L:L,Pedidos!C:C,4,Pedidos!H:H,Produtos!A7)</f>
        <v>180</v>
      </c>
      <c r="M7" s="10">
        <f>SUMIFS(Pedidos!L:L,Pedidos!C:C,5,Pedidos!H:H,Produtos!A7)</f>
        <v>0</v>
      </c>
      <c r="N7" s="10">
        <f>SUMIFS(Pedidos!L:L,Pedidos!C:C,6,Pedidos!H:H,Produtos!A7)</f>
        <v>0</v>
      </c>
      <c r="O7" s="10">
        <f>SUMIFS(Pedidos!L:L,Pedidos!C:C,7,Pedidos!H:H,Produtos!A7)</f>
        <v>225</v>
      </c>
      <c r="P7" s="10">
        <f>SUMIFS(Pedidos!L:L,Pedidos!C:C,8,Pedidos!H:H,Produtos!A7)</f>
        <v>225</v>
      </c>
      <c r="Q7" s="10">
        <f>SUMIFS(Pedidos!L:L,Pedidos!C:C,9,Pedidos!H:H,Produtos!A7)</f>
        <v>315</v>
      </c>
      <c r="R7" s="10">
        <f>SUMIFS(Pedidos!L:L,Pedidos!C:C,10,Pedidos!H:H,Produtos!A7)</f>
        <v>135</v>
      </c>
      <c r="S7" s="10">
        <f>SUMIFS(Pedidos!L:L,Pedidos!C:C,11,Pedidos!H:H,Produtos!A7)</f>
        <v>315</v>
      </c>
      <c r="T7" s="10">
        <f>SUMIFS(Pedidos!L:L,Pedidos!C:C,12,Pedidos!H:H,Produtos!A7)</f>
        <v>0</v>
      </c>
      <c r="U7" s="25"/>
    </row>
    <row r="8" spans="1:21" x14ac:dyDescent="0.25">
      <c r="A8" s="15">
        <v>2</v>
      </c>
      <c r="B8" s="1" t="s">
        <v>46</v>
      </c>
      <c r="C8" s="1" t="s">
        <v>38</v>
      </c>
      <c r="D8" s="8">
        <v>15</v>
      </c>
      <c r="E8" s="9">
        <v>0.85</v>
      </c>
      <c r="F8" s="10">
        <f t="shared" ref="F8:F24" si="0">D8+E8*D8</f>
        <v>27.75</v>
      </c>
      <c r="G8" s="24">
        <f>COUNTIF(Pedidos!H:H,Produtos!A8)</f>
        <v>15</v>
      </c>
      <c r="H8" s="10">
        <f>SUMIF(Pedidos!H:H,Produtos!A8,Pedidos!L:L)</f>
        <v>999</v>
      </c>
      <c r="I8" s="10">
        <f>SUMIFS(Pedidos!L:L,Pedidos!C:C,1,Pedidos!H:H,Produtos!A8)</f>
        <v>194.25</v>
      </c>
      <c r="J8" s="10">
        <f>SUMIFS(Pedidos!L:L,Pedidos!C:C,2,Pedidos!H:H,Produtos!A8)</f>
        <v>249.75</v>
      </c>
      <c r="K8" s="10">
        <f>SUMIFS(Pedidos!L:L,Pedidos!C:C,3,Pedidos!H:H,Produtos!A8)</f>
        <v>194.25</v>
      </c>
      <c r="L8" s="10">
        <f>SUMIFS(Pedidos!L:L,Pedidos!C:C,4,Pedidos!H:H,Produtos!A8)</f>
        <v>55.5</v>
      </c>
      <c r="M8" s="10">
        <f>SUMIFS(Pedidos!L:L,Pedidos!C:C,5,Pedidos!H:H,Produtos!A8)</f>
        <v>55.5</v>
      </c>
      <c r="N8" s="10">
        <f>SUMIFS(Pedidos!L:L,Pedidos!C:C,6,Pedidos!H:H,Produtos!A8)</f>
        <v>27.75</v>
      </c>
      <c r="O8" s="10">
        <f>SUMIFS(Pedidos!L:L,Pedidos!C:C,7,Pedidos!H:H,Produtos!A8)</f>
        <v>83.25</v>
      </c>
      <c r="P8" s="10">
        <f>SUMIFS(Pedidos!L:L,Pedidos!C:C,8,Pedidos!H:H,Produtos!A8)</f>
        <v>138.75</v>
      </c>
      <c r="Q8" s="10">
        <f>SUMIFS(Pedidos!L:L,Pedidos!C:C,9,Pedidos!H:H,Produtos!A8)</f>
        <v>0</v>
      </c>
      <c r="R8" s="10">
        <f>SUMIFS(Pedidos!L:L,Pedidos!C:C,10,Pedidos!H:H,Produtos!A8)</f>
        <v>0</v>
      </c>
      <c r="S8" s="10">
        <f>SUMIFS(Pedidos!L:L,Pedidos!C:C,11,Pedidos!H:H,Produtos!A8)</f>
        <v>0</v>
      </c>
      <c r="T8" s="10">
        <f>SUMIFS(Pedidos!L:L,Pedidos!C:C,12,Pedidos!H:H,Produtos!A8)</f>
        <v>0</v>
      </c>
    </row>
    <row r="9" spans="1:21" x14ac:dyDescent="0.25">
      <c r="A9" s="15">
        <v>3</v>
      </c>
      <c r="B9" s="1" t="s">
        <v>47</v>
      </c>
      <c r="C9" s="1" t="s">
        <v>38</v>
      </c>
      <c r="D9" s="8">
        <v>25</v>
      </c>
      <c r="E9" s="9">
        <v>0.8</v>
      </c>
      <c r="F9" s="10">
        <f t="shared" si="0"/>
        <v>45</v>
      </c>
      <c r="G9" s="24">
        <f>COUNTIF(Pedidos!H:H,Produtos!A9)</f>
        <v>10</v>
      </c>
      <c r="H9" s="10">
        <f>SUMIF(Pedidos!H:H,Produtos!A9,Pedidos!L:L)</f>
        <v>900</v>
      </c>
      <c r="I9" s="10">
        <f>SUMIFS(Pedidos!L:L,Pedidos!C:C,1,Pedidos!H:H,Produtos!A9)</f>
        <v>315</v>
      </c>
      <c r="J9" s="10">
        <f>SUMIFS(Pedidos!L:L,Pedidos!C:C,2,Pedidos!H:H,Produtos!A9)</f>
        <v>0</v>
      </c>
      <c r="K9" s="10">
        <f>SUMIFS(Pedidos!L:L,Pedidos!C:C,3,Pedidos!H:H,Produtos!A9)</f>
        <v>90</v>
      </c>
      <c r="L9" s="10">
        <f>SUMIFS(Pedidos!L:L,Pedidos!C:C,4,Pedidos!H:H,Produtos!A9)</f>
        <v>0</v>
      </c>
      <c r="M9" s="10">
        <f>SUMIFS(Pedidos!L:L,Pedidos!C:C,5,Pedidos!H:H,Produtos!A9)</f>
        <v>0</v>
      </c>
      <c r="N9" s="10">
        <f>SUMIFS(Pedidos!L:L,Pedidos!C:C,6,Pedidos!H:H,Produtos!A9)</f>
        <v>0</v>
      </c>
      <c r="O9" s="10">
        <f>SUMIFS(Pedidos!L:L,Pedidos!C:C,7,Pedidos!H:H,Produtos!A9)</f>
        <v>0</v>
      </c>
      <c r="P9" s="10">
        <f>SUMIFS(Pedidos!L:L,Pedidos!C:C,8,Pedidos!H:H,Produtos!A9)</f>
        <v>0</v>
      </c>
      <c r="Q9" s="10">
        <f>SUMIFS(Pedidos!L:L,Pedidos!C:C,9,Pedidos!H:H,Produtos!A9)</f>
        <v>45</v>
      </c>
      <c r="R9" s="10">
        <f>SUMIFS(Pedidos!L:L,Pedidos!C:C,10,Pedidos!H:H,Produtos!A9)</f>
        <v>180</v>
      </c>
      <c r="S9" s="10">
        <f>SUMIFS(Pedidos!L:L,Pedidos!C:C,11,Pedidos!H:H,Produtos!A9)</f>
        <v>90</v>
      </c>
      <c r="T9" s="10">
        <f>SUMIFS(Pedidos!L:L,Pedidos!C:C,12,Pedidos!H:H,Produtos!A9)</f>
        <v>180</v>
      </c>
    </row>
    <row r="10" spans="1:21" x14ac:dyDescent="0.25">
      <c r="A10" s="15">
        <v>4</v>
      </c>
      <c r="B10" s="1" t="s">
        <v>48</v>
      </c>
      <c r="C10" s="1" t="s">
        <v>38</v>
      </c>
      <c r="D10" s="8">
        <v>15</v>
      </c>
      <c r="E10" s="9">
        <v>0.85</v>
      </c>
      <c r="F10" s="10">
        <f t="shared" si="0"/>
        <v>27.75</v>
      </c>
      <c r="G10" s="24">
        <f>COUNTIF(Pedidos!H:H,Produtos!A10)</f>
        <v>14</v>
      </c>
      <c r="H10" s="10">
        <f>SUMIF(Pedidos!H:H,Produtos!A10,Pedidos!L:L)</f>
        <v>943.5</v>
      </c>
      <c r="I10" s="10">
        <f>SUMIFS(Pedidos!L:L,Pedidos!C:C,1,Pedidos!H:H,Produtos!A10)</f>
        <v>194.25</v>
      </c>
      <c r="J10" s="10">
        <f>SUMIFS(Pedidos!L:L,Pedidos!C:C,2,Pedidos!H:H,Produtos!A10)</f>
        <v>55.5</v>
      </c>
      <c r="K10" s="10">
        <f>SUMIFS(Pedidos!L:L,Pedidos!C:C,3,Pedidos!H:H,Produtos!A10)</f>
        <v>0</v>
      </c>
      <c r="L10" s="10">
        <f>SUMIFS(Pedidos!L:L,Pedidos!C:C,4,Pedidos!H:H,Produtos!A10)</f>
        <v>55.5</v>
      </c>
      <c r="M10" s="10">
        <f>SUMIFS(Pedidos!L:L,Pedidos!C:C,5,Pedidos!H:H,Produtos!A10)</f>
        <v>138.75</v>
      </c>
      <c r="N10" s="10">
        <f>SUMIFS(Pedidos!L:L,Pedidos!C:C,6,Pedidos!H:H,Produtos!A10)</f>
        <v>27.75</v>
      </c>
      <c r="O10" s="10">
        <f>SUMIFS(Pedidos!L:L,Pedidos!C:C,7,Pedidos!H:H,Produtos!A10)</f>
        <v>138.75</v>
      </c>
      <c r="P10" s="10">
        <f>SUMIFS(Pedidos!L:L,Pedidos!C:C,8,Pedidos!H:H,Produtos!A10)</f>
        <v>0</v>
      </c>
      <c r="Q10" s="10">
        <f>SUMIFS(Pedidos!L:L,Pedidos!C:C,9,Pedidos!H:H,Produtos!A10)</f>
        <v>0</v>
      </c>
      <c r="R10" s="10">
        <f>SUMIFS(Pedidos!L:L,Pedidos!C:C,10,Pedidos!H:H,Produtos!A10)</f>
        <v>111</v>
      </c>
      <c r="S10" s="10">
        <f>SUMIFS(Pedidos!L:L,Pedidos!C:C,11,Pedidos!H:H,Produtos!A10)</f>
        <v>27.75</v>
      </c>
      <c r="T10" s="10">
        <f>SUMIFS(Pedidos!L:L,Pedidos!C:C,12,Pedidos!H:H,Produtos!A10)</f>
        <v>194.25</v>
      </c>
    </row>
    <row r="11" spans="1:21" x14ac:dyDescent="0.25">
      <c r="A11" s="15">
        <v>5</v>
      </c>
      <c r="B11" s="1" t="s">
        <v>49</v>
      </c>
      <c r="C11" s="1" t="s">
        <v>38</v>
      </c>
      <c r="D11" s="8">
        <v>25</v>
      </c>
      <c r="E11" s="9">
        <v>0.8</v>
      </c>
      <c r="F11" s="10">
        <f t="shared" si="0"/>
        <v>45</v>
      </c>
      <c r="G11" s="24">
        <f>COUNTIF(Pedidos!H:H,Produtos!A11)</f>
        <v>12</v>
      </c>
      <c r="H11" s="10">
        <f>SUMIF(Pedidos!H:H,Produtos!A11,Pedidos!L:L)</f>
        <v>1350</v>
      </c>
      <c r="I11" s="10">
        <f>SUMIFS(Pedidos!L:L,Pedidos!C:C,1,Pedidos!H:H,Produtos!A11)</f>
        <v>270</v>
      </c>
      <c r="J11" s="10">
        <f>SUMIFS(Pedidos!L:L,Pedidos!C:C,2,Pedidos!H:H,Produtos!A11)</f>
        <v>180</v>
      </c>
      <c r="K11" s="10">
        <f>SUMIFS(Pedidos!L:L,Pedidos!C:C,3,Pedidos!H:H,Produtos!A11)</f>
        <v>0</v>
      </c>
      <c r="L11" s="10">
        <f>SUMIFS(Pedidos!L:L,Pedidos!C:C,4,Pedidos!H:H,Produtos!A11)</f>
        <v>0</v>
      </c>
      <c r="M11" s="10">
        <f>SUMIFS(Pedidos!L:L,Pedidos!C:C,5,Pedidos!H:H,Produtos!A11)</f>
        <v>180</v>
      </c>
      <c r="N11" s="10">
        <f>SUMIFS(Pedidos!L:L,Pedidos!C:C,6,Pedidos!H:H,Produtos!A11)</f>
        <v>315</v>
      </c>
      <c r="O11" s="10">
        <f>SUMIFS(Pedidos!L:L,Pedidos!C:C,7,Pedidos!H:H,Produtos!A11)</f>
        <v>0</v>
      </c>
      <c r="P11" s="10">
        <f>SUMIFS(Pedidos!L:L,Pedidos!C:C,8,Pedidos!H:H,Produtos!A11)</f>
        <v>135</v>
      </c>
      <c r="Q11" s="10">
        <f>SUMIFS(Pedidos!L:L,Pedidos!C:C,9,Pedidos!H:H,Produtos!A11)</f>
        <v>45</v>
      </c>
      <c r="R11" s="10">
        <f>SUMIFS(Pedidos!L:L,Pedidos!C:C,10,Pedidos!H:H,Produtos!A11)</f>
        <v>135</v>
      </c>
      <c r="S11" s="10">
        <f>SUMIFS(Pedidos!L:L,Pedidos!C:C,11,Pedidos!H:H,Produtos!A11)</f>
        <v>90</v>
      </c>
      <c r="T11" s="10">
        <f>SUMIFS(Pedidos!L:L,Pedidos!C:C,12,Pedidos!H:H,Produtos!A11)</f>
        <v>0</v>
      </c>
    </row>
    <row r="12" spans="1:21" x14ac:dyDescent="0.25">
      <c r="A12" s="15">
        <v>6</v>
      </c>
      <c r="B12" s="1" t="s">
        <v>50</v>
      </c>
      <c r="C12" s="1" t="s">
        <v>38</v>
      </c>
      <c r="D12" s="8">
        <v>15</v>
      </c>
      <c r="E12" s="9">
        <v>0.85</v>
      </c>
      <c r="F12" s="10">
        <f t="shared" si="0"/>
        <v>27.75</v>
      </c>
      <c r="G12" s="24">
        <f>COUNTIF(Pedidos!H:H,Produtos!A12)</f>
        <v>12</v>
      </c>
      <c r="H12" s="10">
        <f>SUMIF(Pedidos!H:H,Produtos!A12,Pedidos!L:L)</f>
        <v>999</v>
      </c>
      <c r="I12" s="10">
        <f>SUMIFS(Pedidos!L:L,Pedidos!C:C,1,Pedidos!H:H,Produtos!A12)</f>
        <v>166.5</v>
      </c>
      <c r="J12" s="10">
        <f>SUMIFS(Pedidos!L:L,Pedidos!C:C,2,Pedidos!H:H,Produtos!A12)</f>
        <v>83.25</v>
      </c>
      <c r="K12" s="10">
        <f>SUMIFS(Pedidos!L:L,Pedidos!C:C,3,Pedidos!H:H,Produtos!A12)</f>
        <v>55.5</v>
      </c>
      <c r="L12" s="10">
        <f>SUMIFS(Pedidos!L:L,Pedidos!C:C,4,Pedidos!H:H,Produtos!A12)</f>
        <v>111</v>
      </c>
      <c r="M12" s="10">
        <f>SUMIFS(Pedidos!L:L,Pedidos!C:C,5,Pedidos!H:H,Produtos!A12)</f>
        <v>83.25</v>
      </c>
      <c r="N12" s="10">
        <f>SUMIFS(Pedidos!L:L,Pedidos!C:C,6,Pedidos!H:H,Produtos!A12)</f>
        <v>0</v>
      </c>
      <c r="O12" s="10">
        <f>SUMIFS(Pedidos!L:L,Pedidos!C:C,7,Pedidos!H:H,Produtos!A12)</f>
        <v>27.75</v>
      </c>
      <c r="P12" s="10">
        <f>SUMIFS(Pedidos!L:L,Pedidos!C:C,8,Pedidos!H:H,Produtos!A12)</f>
        <v>83.25</v>
      </c>
      <c r="Q12" s="10">
        <f>SUMIFS(Pedidos!L:L,Pedidos!C:C,9,Pedidos!H:H,Produtos!A12)</f>
        <v>111</v>
      </c>
      <c r="R12" s="10">
        <f>SUMIFS(Pedidos!L:L,Pedidos!C:C,10,Pedidos!H:H,Produtos!A12)</f>
        <v>83.25</v>
      </c>
      <c r="S12" s="10">
        <f>SUMIFS(Pedidos!L:L,Pedidos!C:C,11,Pedidos!H:H,Produtos!A12)</f>
        <v>194.25</v>
      </c>
      <c r="T12" s="10">
        <f>SUMIFS(Pedidos!L:L,Pedidos!C:C,12,Pedidos!H:H,Produtos!A12)</f>
        <v>0</v>
      </c>
    </row>
    <row r="13" spans="1:21" x14ac:dyDescent="0.25">
      <c r="A13" s="15">
        <v>7</v>
      </c>
      <c r="B13" s="1" t="s">
        <v>51</v>
      </c>
      <c r="C13" s="1" t="s">
        <v>38</v>
      </c>
      <c r="D13" s="8">
        <v>30</v>
      </c>
      <c r="E13" s="9">
        <v>0.8</v>
      </c>
      <c r="F13" s="10">
        <f t="shared" si="0"/>
        <v>54</v>
      </c>
      <c r="G13" s="24">
        <f>COUNTIF(Pedidos!H:H,Produtos!A13)</f>
        <v>9</v>
      </c>
      <c r="H13" s="10">
        <f>SUMIF(Pedidos!H:H,Produtos!A13,Pedidos!L:L)</f>
        <v>1242</v>
      </c>
      <c r="I13" s="10">
        <f>SUMIFS(Pedidos!L:L,Pedidos!C:C,1,Pedidos!H:H,Produtos!A13)</f>
        <v>162</v>
      </c>
      <c r="J13" s="10">
        <f>SUMIFS(Pedidos!L:L,Pedidos!C:C,2,Pedidos!H:H,Produtos!A13)</f>
        <v>162</v>
      </c>
      <c r="K13" s="10">
        <f>SUMIFS(Pedidos!L:L,Pedidos!C:C,3,Pedidos!H:H,Produtos!A13)</f>
        <v>0</v>
      </c>
      <c r="L13" s="10">
        <f>SUMIFS(Pedidos!L:L,Pedidos!C:C,4,Pedidos!H:H,Produtos!A13)</f>
        <v>540</v>
      </c>
      <c r="M13" s="10">
        <f>SUMIFS(Pedidos!L:L,Pedidos!C:C,5,Pedidos!H:H,Produtos!A13)</f>
        <v>0</v>
      </c>
      <c r="N13" s="10">
        <f>SUMIFS(Pedidos!L:L,Pedidos!C:C,6,Pedidos!H:H,Produtos!A13)</f>
        <v>162</v>
      </c>
      <c r="O13" s="10">
        <f>SUMIFS(Pedidos!L:L,Pedidos!C:C,7,Pedidos!H:H,Produtos!A13)</f>
        <v>216</v>
      </c>
      <c r="P13" s="10">
        <f>SUMIFS(Pedidos!L:L,Pedidos!C:C,8,Pedidos!H:H,Produtos!A13)</f>
        <v>0</v>
      </c>
      <c r="Q13" s="10">
        <f>SUMIFS(Pedidos!L:L,Pedidos!C:C,9,Pedidos!H:H,Produtos!A13)</f>
        <v>0</v>
      </c>
      <c r="R13" s="10">
        <f>SUMIFS(Pedidos!L:L,Pedidos!C:C,10,Pedidos!H:H,Produtos!A13)</f>
        <v>0</v>
      </c>
      <c r="S13" s="10">
        <f>SUMIFS(Pedidos!L:L,Pedidos!C:C,11,Pedidos!H:H,Produtos!A13)</f>
        <v>0</v>
      </c>
      <c r="T13" s="10">
        <f>SUMIFS(Pedidos!L:L,Pedidos!C:C,12,Pedidos!H:H,Produtos!A13)</f>
        <v>0</v>
      </c>
    </row>
    <row r="14" spans="1:21" x14ac:dyDescent="0.25">
      <c r="A14" s="15">
        <v>8</v>
      </c>
      <c r="B14" s="1" t="s">
        <v>52</v>
      </c>
      <c r="C14" s="1" t="s">
        <v>38</v>
      </c>
      <c r="D14" s="8">
        <v>25</v>
      </c>
      <c r="E14" s="9">
        <v>0.85</v>
      </c>
      <c r="F14" s="10">
        <f t="shared" si="0"/>
        <v>46.25</v>
      </c>
      <c r="G14" s="24">
        <f>COUNTIF(Pedidos!H:H,Produtos!A14)</f>
        <v>6</v>
      </c>
      <c r="H14" s="10">
        <f>SUMIF(Pedidos!H:H,Produtos!A14,Pedidos!L:L)</f>
        <v>462.5</v>
      </c>
      <c r="I14" s="10">
        <f>SUMIFS(Pedidos!L:L,Pedidos!C:C,1,Pedidos!H:H,Produtos!A14)</f>
        <v>46.25</v>
      </c>
      <c r="J14" s="10">
        <f>SUMIFS(Pedidos!L:L,Pedidos!C:C,2,Pedidos!H:H,Produtos!A14)</f>
        <v>277.5</v>
      </c>
      <c r="K14" s="10">
        <f>SUMIFS(Pedidos!L:L,Pedidos!C:C,3,Pedidos!H:H,Produtos!A14)</f>
        <v>0</v>
      </c>
      <c r="L14" s="10">
        <f>SUMIFS(Pedidos!L:L,Pedidos!C:C,4,Pedidos!H:H,Produtos!A14)</f>
        <v>0</v>
      </c>
      <c r="M14" s="10">
        <f>SUMIFS(Pedidos!L:L,Pedidos!C:C,5,Pedidos!H:H,Produtos!A14)</f>
        <v>0</v>
      </c>
      <c r="N14" s="10">
        <f>SUMIFS(Pedidos!L:L,Pedidos!C:C,6,Pedidos!H:H,Produtos!A14)</f>
        <v>0</v>
      </c>
      <c r="O14" s="10">
        <f>SUMIFS(Pedidos!L:L,Pedidos!C:C,7,Pedidos!H:H,Produtos!A14)</f>
        <v>92.5</v>
      </c>
      <c r="P14" s="10">
        <f>SUMIFS(Pedidos!L:L,Pedidos!C:C,8,Pedidos!H:H,Produtos!A14)</f>
        <v>0</v>
      </c>
      <c r="Q14" s="10">
        <f>SUMIFS(Pedidos!L:L,Pedidos!C:C,9,Pedidos!H:H,Produtos!A14)</f>
        <v>0</v>
      </c>
      <c r="R14" s="10">
        <f>SUMIFS(Pedidos!L:L,Pedidos!C:C,10,Pedidos!H:H,Produtos!A14)</f>
        <v>0</v>
      </c>
      <c r="S14" s="10">
        <f>SUMIFS(Pedidos!L:L,Pedidos!C:C,11,Pedidos!H:H,Produtos!A14)</f>
        <v>0</v>
      </c>
      <c r="T14" s="10">
        <f>SUMIFS(Pedidos!L:L,Pedidos!C:C,12,Pedidos!H:H,Produtos!A14)</f>
        <v>46.25</v>
      </c>
    </row>
    <row r="15" spans="1:21" x14ac:dyDescent="0.25">
      <c r="A15" s="15">
        <v>9</v>
      </c>
      <c r="B15" s="1" t="s">
        <v>53</v>
      </c>
      <c r="C15" s="1" t="s">
        <v>38</v>
      </c>
      <c r="D15" s="8">
        <v>28</v>
      </c>
      <c r="E15" s="9">
        <v>0.8</v>
      </c>
      <c r="F15" s="10">
        <f>D15+E15*D15</f>
        <v>50.400000000000006</v>
      </c>
      <c r="G15" s="24">
        <f>COUNTIF(Pedidos!H:H,Produtos!A15)</f>
        <v>10</v>
      </c>
      <c r="H15" s="10">
        <f>SUMIF(Pedidos!H:H,Produtos!A15,Pedidos!L:L)</f>
        <v>1512.0000000000005</v>
      </c>
      <c r="I15" s="10">
        <f>SUMIFS(Pedidos!L:L,Pedidos!C:C,1,Pedidos!H:H,Produtos!A15)</f>
        <v>100.80000000000001</v>
      </c>
      <c r="J15" s="10">
        <f>SUMIFS(Pedidos!L:L,Pedidos!C:C,2,Pedidos!H:H,Produtos!A15)</f>
        <v>0</v>
      </c>
      <c r="K15" s="10">
        <f>SUMIFS(Pedidos!L:L,Pedidos!C:C,3,Pedidos!H:H,Produtos!A15)</f>
        <v>201.60000000000002</v>
      </c>
      <c r="L15" s="10">
        <f>SUMIFS(Pedidos!L:L,Pedidos!C:C,4,Pedidos!H:H,Produtos!A15)</f>
        <v>201.60000000000002</v>
      </c>
      <c r="M15" s="10">
        <f>SUMIFS(Pedidos!L:L,Pedidos!C:C,5,Pedidos!H:H,Produtos!A15)</f>
        <v>201.60000000000002</v>
      </c>
      <c r="N15" s="10">
        <f>SUMIFS(Pedidos!L:L,Pedidos!C:C,6,Pedidos!H:H,Produtos!A15)</f>
        <v>0</v>
      </c>
      <c r="O15" s="10">
        <f>SUMIFS(Pedidos!L:L,Pedidos!C:C,7,Pedidos!H:H,Produtos!A15)</f>
        <v>201.60000000000002</v>
      </c>
      <c r="P15" s="10">
        <f>SUMIFS(Pedidos!L:L,Pedidos!C:C,8,Pedidos!H:H,Produtos!A15)</f>
        <v>0</v>
      </c>
      <c r="Q15" s="10">
        <f>SUMIFS(Pedidos!L:L,Pedidos!C:C,9,Pedidos!H:H,Produtos!A15)</f>
        <v>100.80000000000001</v>
      </c>
      <c r="R15" s="10">
        <f>SUMIFS(Pedidos!L:L,Pedidos!C:C,10,Pedidos!H:H,Produtos!A15)</f>
        <v>201.60000000000002</v>
      </c>
      <c r="S15" s="10">
        <f>SUMIFS(Pedidos!L:L,Pedidos!C:C,11,Pedidos!H:H,Produtos!A15)</f>
        <v>50.400000000000006</v>
      </c>
      <c r="T15" s="10">
        <f>SUMIFS(Pedidos!L:L,Pedidos!C:C,12,Pedidos!H:H,Produtos!A15)</f>
        <v>252.00000000000003</v>
      </c>
    </row>
    <row r="16" spans="1:21" x14ac:dyDescent="0.25">
      <c r="A16" s="15">
        <v>10</v>
      </c>
      <c r="B16" s="1" t="s">
        <v>54</v>
      </c>
      <c r="C16" s="1" t="s">
        <v>38</v>
      </c>
      <c r="D16" s="8">
        <v>20</v>
      </c>
      <c r="E16" s="9">
        <v>0.85</v>
      </c>
      <c r="F16" s="10">
        <f t="shared" si="0"/>
        <v>37</v>
      </c>
      <c r="G16" s="24">
        <f>COUNTIF(Pedidos!H:H,Produtos!A16)</f>
        <v>9</v>
      </c>
      <c r="H16" s="10">
        <f>SUMIF(Pedidos!H:H,Produtos!A16,Pedidos!L:L)</f>
        <v>666</v>
      </c>
      <c r="I16" s="10">
        <f>SUMIFS(Pedidos!L:L,Pedidos!C:C,1,Pedidos!H:H,Produtos!A16)</f>
        <v>111</v>
      </c>
      <c r="J16" s="10">
        <f>SUMIFS(Pedidos!L:L,Pedidos!C:C,2,Pedidos!H:H,Produtos!A16)</f>
        <v>148</v>
      </c>
      <c r="K16" s="10">
        <f>SUMIFS(Pedidos!L:L,Pedidos!C:C,3,Pedidos!H:H,Produtos!A16)</f>
        <v>0</v>
      </c>
      <c r="L16" s="10">
        <f>SUMIFS(Pedidos!L:L,Pedidos!C:C,4,Pedidos!H:H,Produtos!A16)</f>
        <v>74</v>
      </c>
      <c r="M16" s="10">
        <f>SUMIFS(Pedidos!L:L,Pedidos!C:C,5,Pedidos!H:H,Produtos!A16)</f>
        <v>0</v>
      </c>
      <c r="N16" s="10">
        <f>SUMIFS(Pedidos!L:L,Pedidos!C:C,6,Pedidos!H:H,Produtos!A16)</f>
        <v>0</v>
      </c>
      <c r="O16" s="10">
        <f>SUMIFS(Pedidos!L:L,Pedidos!C:C,7,Pedidos!H:H,Produtos!A16)</f>
        <v>185</v>
      </c>
      <c r="P16" s="10">
        <f>SUMIFS(Pedidos!L:L,Pedidos!C:C,8,Pedidos!H:H,Produtos!A16)</f>
        <v>74</v>
      </c>
      <c r="Q16" s="10">
        <f>SUMIFS(Pedidos!L:L,Pedidos!C:C,9,Pedidos!H:H,Produtos!A16)</f>
        <v>37</v>
      </c>
      <c r="R16" s="10">
        <f>SUMIFS(Pedidos!L:L,Pedidos!C:C,10,Pedidos!H:H,Produtos!A16)</f>
        <v>0</v>
      </c>
      <c r="S16" s="10">
        <f>SUMIFS(Pedidos!L:L,Pedidos!C:C,11,Pedidos!H:H,Produtos!A16)</f>
        <v>0</v>
      </c>
      <c r="T16" s="10">
        <f>SUMIFS(Pedidos!L:L,Pedidos!C:C,12,Pedidos!H:H,Produtos!A16)</f>
        <v>37</v>
      </c>
    </row>
    <row r="17" spans="1:20" x14ac:dyDescent="0.25">
      <c r="A17" s="15">
        <v>11</v>
      </c>
      <c r="B17" s="1" t="s">
        <v>55</v>
      </c>
      <c r="C17" s="1" t="s">
        <v>38</v>
      </c>
      <c r="D17" s="8">
        <v>28</v>
      </c>
      <c r="E17" s="9">
        <v>0.8</v>
      </c>
      <c r="F17" s="10">
        <f t="shared" si="0"/>
        <v>50.400000000000006</v>
      </c>
      <c r="G17" s="24">
        <f>COUNTIF(Pedidos!H:H,Produtos!A17)</f>
        <v>14</v>
      </c>
      <c r="H17" s="10">
        <f>SUMIF(Pedidos!H:H,Produtos!A17,Pedidos!L:L)</f>
        <v>1612.8</v>
      </c>
      <c r="I17" s="10">
        <f>SUMIFS(Pedidos!L:L,Pedidos!C:C,1,Pedidos!H:H,Produtos!A17)</f>
        <v>151.20000000000002</v>
      </c>
      <c r="J17" s="10">
        <f>SUMIFS(Pedidos!L:L,Pedidos!C:C,2,Pedidos!H:H,Produtos!A17)</f>
        <v>504.00000000000006</v>
      </c>
      <c r="K17" s="10">
        <f>SUMIFS(Pedidos!L:L,Pedidos!C:C,3,Pedidos!H:H,Produtos!A17)</f>
        <v>0</v>
      </c>
      <c r="L17" s="10">
        <f>SUMIFS(Pedidos!L:L,Pedidos!C:C,4,Pedidos!H:H,Produtos!A17)</f>
        <v>100.80000000000001</v>
      </c>
      <c r="M17" s="10">
        <f>SUMIFS(Pedidos!L:L,Pedidos!C:C,5,Pedidos!H:H,Produtos!A17)</f>
        <v>50.400000000000006</v>
      </c>
      <c r="N17" s="10">
        <f>SUMIFS(Pedidos!L:L,Pedidos!C:C,6,Pedidos!H:H,Produtos!A17)</f>
        <v>403.20000000000005</v>
      </c>
      <c r="O17" s="10">
        <f>SUMIFS(Pedidos!L:L,Pedidos!C:C,7,Pedidos!H:H,Produtos!A17)</f>
        <v>0</v>
      </c>
      <c r="P17" s="10">
        <f>SUMIFS(Pedidos!L:L,Pedidos!C:C,8,Pedidos!H:H,Produtos!A17)</f>
        <v>0</v>
      </c>
      <c r="Q17" s="10">
        <f>SUMIFS(Pedidos!L:L,Pedidos!C:C,9,Pedidos!H:H,Produtos!A17)</f>
        <v>201.60000000000002</v>
      </c>
      <c r="R17" s="10">
        <f>SUMIFS(Pedidos!L:L,Pedidos!C:C,10,Pedidos!H:H,Produtos!A17)</f>
        <v>151.20000000000002</v>
      </c>
      <c r="S17" s="10">
        <f>SUMIFS(Pedidos!L:L,Pedidos!C:C,11,Pedidos!H:H,Produtos!A17)</f>
        <v>50.400000000000006</v>
      </c>
      <c r="T17" s="10">
        <f>SUMIFS(Pedidos!L:L,Pedidos!C:C,12,Pedidos!H:H,Produtos!A17)</f>
        <v>0</v>
      </c>
    </row>
    <row r="18" spans="1:20" x14ac:dyDescent="0.25">
      <c r="A18" s="15">
        <v>12</v>
      </c>
      <c r="B18" s="1" t="s">
        <v>56</v>
      </c>
      <c r="C18" s="1" t="s">
        <v>38</v>
      </c>
      <c r="D18" s="8">
        <v>20</v>
      </c>
      <c r="E18" s="9">
        <v>0.85</v>
      </c>
      <c r="F18" s="10">
        <f t="shared" si="0"/>
        <v>37</v>
      </c>
      <c r="G18" s="24">
        <f>COUNTIF(Pedidos!H:H,Produtos!A18)</f>
        <v>13</v>
      </c>
      <c r="H18" s="10">
        <f>SUMIF(Pedidos!H:H,Produtos!A18,Pedidos!L:L)</f>
        <v>1258</v>
      </c>
      <c r="I18" s="10">
        <f>SUMIFS(Pedidos!L:L,Pedidos!C:C,1,Pedidos!H:H,Produtos!A18)</f>
        <v>74</v>
      </c>
      <c r="J18" s="10">
        <f>SUMIFS(Pedidos!L:L,Pedidos!C:C,2,Pedidos!H:H,Produtos!A18)</f>
        <v>148</v>
      </c>
      <c r="K18" s="10">
        <f>SUMIFS(Pedidos!L:L,Pedidos!C:C,3,Pedidos!H:H,Produtos!A18)</f>
        <v>74</v>
      </c>
      <c r="L18" s="10">
        <f>SUMIFS(Pedidos!L:L,Pedidos!C:C,4,Pedidos!H:H,Produtos!A18)</f>
        <v>148</v>
      </c>
      <c r="M18" s="10">
        <f>SUMIFS(Pedidos!L:L,Pedidos!C:C,5,Pedidos!H:H,Produtos!A18)</f>
        <v>111</v>
      </c>
      <c r="N18" s="10">
        <f>SUMIFS(Pedidos!L:L,Pedidos!C:C,6,Pedidos!H:H,Produtos!A18)</f>
        <v>296</v>
      </c>
      <c r="O18" s="10">
        <f>SUMIFS(Pedidos!L:L,Pedidos!C:C,7,Pedidos!H:H,Produtos!A18)</f>
        <v>148</v>
      </c>
      <c r="P18" s="10">
        <f>SUMIFS(Pedidos!L:L,Pedidos!C:C,8,Pedidos!H:H,Produtos!A18)</f>
        <v>185</v>
      </c>
      <c r="Q18" s="10">
        <f>SUMIFS(Pedidos!L:L,Pedidos!C:C,9,Pedidos!H:H,Produtos!A18)</f>
        <v>0</v>
      </c>
      <c r="R18" s="10">
        <f>SUMIFS(Pedidos!L:L,Pedidos!C:C,10,Pedidos!H:H,Produtos!A18)</f>
        <v>74</v>
      </c>
      <c r="S18" s="10">
        <f>SUMIFS(Pedidos!L:L,Pedidos!C:C,11,Pedidos!H:H,Produtos!A18)</f>
        <v>0</v>
      </c>
      <c r="T18" s="10">
        <f>SUMIFS(Pedidos!L:L,Pedidos!C:C,12,Pedidos!H:H,Produtos!A18)</f>
        <v>0</v>
      </c>
    </row>
    <row r="19" spans="1:20" x14ac:dyDescent="0.25">
      <c r="A19" s="15">
        <v>13</v>
      </c>
      <c r="B19" s="22" t="s">
        <v>57</v>
      </c>
      <c r="C19" s="1" t="s">
        <v>39</v>
      </c>
      <c r="D19" s="8">
        <v>15</v>
      </c>
      <c r="E19" s="9">
        <v>0.4</v>
      </c>
      <c r="F19" s="10">
        <f t="shared" si="0"/>
        <v>21</v>
      </c>
      <c r="G19" s="24">
        <f>COUNTIF(Pedidos!H:H,Produtos!A19)</f>
        <v>12</v>
      </c>
      <c r="H19" s="10">
        <f>SUMIF(Pedidos!H:H,Produtos!A19,Pedidos!L:L)</f>
        <v>588</v>
      </c>
      <c r="I19" s="10">
        <f>SUMIFS(Pedidos!L:L,Pedidos!C:C,1,Pedidos!H:H,Produtos!A19)</f>
        <v>0</v>
      </c>
      <c r="J19" s="10">
        <f>SUMIFS(Pedidos!L:L,Pedidos!C:C,2,Pedidos!H:H,Produtos!A19)</f>
        <v>147</v>
      </c>
      <c r="K19" s="10">
        <f>SUMIFS(Pedidos!L:L,Pedidos!C:C,3,Pedidos!H:H,Produtos!A19)</f>
        <v>42</v>
      </c>
      <c r="L19" s="10">
        <f>SUMIFS(Pedidos!L:L,Pedidos!C:C,4,Pedidos!H:H,Produtos!A19)</f>
        <v>0</v>
      </c>
      <c r="M19" s="10">
        <f>SUMIFS(Pedidos!L:L,Pedidos!C:C,5,Pedidos!H:H,Produtos!A19)</f>
        <v>0</v>
      </c>
      <c r="N19" s="10">
        <f>SUMIFS(Pedidos!L:L,Pedidos!C:C,6,Pedidos!H:H,Produtos!A19)</f>
        <v>0</v>
      </c>
      <c r="O19" s="10">
        <f>SUMIFS(Pedidos!L:L,Pedidos!C:C,7,Pedidos!H:H,Produtos!A19)</f>
        <v>63</v>
      </c>
      <c r="P19" s="10">
        <f>SUMIFS(Pedidos!L:L,Pedidos!C:C,8,Pedidos!H:H,Produtos!A19)</f>
        <v>105</v>
      </c>
      <c r="Q19" s="10">
        <f>SUMIFS(Pedidos!L:L,Pedidos!C:C,9,Pedidos!H:H,Produtos!A19)</f>
        <v>0</v>
      </c>
      <c r="R19" s="10">
        <f>SUMIFS(Pedidos!L:L,Pedidos!C:C,10,Pedidos!H:H,Produtos!A19)</f>
        <v>0</v>
      </c>
      <c r="S19" s="10">
        <f>SUMIFS(Pedidos!L:L,Pedidos!C:C,11,Pedidos!H:H,Produtos!A19)</f>
        <v>63</v>
      </c>
      <c r="T19" s="10">
        <f>SUMIFS(Pedidos!L:L,Pedidos!C:C,12,Pedidos!H:H,Produtos!A19)</f>
        <v>168</v>
      </c>
    </row>
    <row r="20" spans="1:20" x14ac:dyDescent="0.25">
      <c r="A20" s="15">
        <v>14</v>
      </c>
      <c r="B20" s="1" t="s">
        <v>58</v>
      </c>
      <c r="C20" s="1" t="s">
        <v>39</v>
      </c>
      <c r="D20" s="8">
        <v>11.5</v>
      </c>
      <c r="E20" s="9">
        <v>0.4</v>
      </c>
      <c r="F20" s="10">
        <f t="shared" si="0"/>
        <v>16.100000000000001</v>
      </c>
      <c r="G20" s="24">
        <f>COUNTIF(Pedidos!H:H,Produtos!A20)</f>
        <v>9</v>
      </c>
      <c r="H20" s="10">
        <f>SUMIF(Pedidos!H:H,Produtos!A20,Pedidos!L:L)</f>
        <v>386.40000000000003</v>
      </c>
      <c r="I20" s="10">
        <f>SUMIFS(Pedidos!L:L,Pedidos!C:C,1,Pedidos!H:H,Produtos!A20)</f>
        <v>16.100000000000001</v>
      </c>
      <c r="J20" s="10">
        <f>SUMIFS(Pedidos!L:L,Pedidos!C:C,2,Pedidos!H:H,Produtos!A20)</f>
        <v>64.400000000000006</v>
      </c>
      <c r="K20" s="10">
        <f>SUMIFS(Pedidos!L:L,Pedidos!C:C,3,Pedidos!H:H,Produtos!A20)</f>
        <v>16.100000000000001</v>
      </c>
      <c r="L20" s="10">
        <f>SUMIFS(Pedidos!L:L,Pedidos!C:C,4,Pedidos!H:H,Produtos!A20)</f>
        <v>48.300000000000004</v>
      </c>
      <c r="M20" s="10">
        <f>SUMIFS(Pedidos!L:L,Pedidos!C:C,5,Pedidos!H:H,Produtos!A20)</f>
        <v>0</v>
      </c>
      <c r="N20" s="10">
        <f>SUMIFS(Pedidos!L:L,Pedidos!C:C,6,Pedidos!H:H,Produtos!A20)</f>
        <v>48.300000000000004</v>
      </c>
      <c r="O20" s="10">
        <f>SUMIFS(Pedidos!L:L,Pedidos!C:C,7,Pedidos!H:H,Produtos!A20)</f>
        <v>0</v>
      </c>
      <c r="P20" s="10">
        <f>SUMIFS(Pedidos!L:L,Pedidos!C:C,8,Pedidos!H:H,Produtos!A20)</f>
        <v>48.300000000000004</v>
      </c>
      <c r="Q20" s="10">
        <f>SUMIFS(Pedidos!L:L,Pedidos!C:C,9,Pedidos!H:H,Produtos!A20)</f>
        <v>32.200000000000003</v>
      </c>
      <c r="R20" s="10">
        <f>SUMIFS(Pedidos!L:L,Pedidos!C:C,10,Pedidos!H:H,Produtos!A20)</f>
        <v>0</v>
      </c>
      <c r="S20" s="10">
        <f>SUMIFS(Pedidos!L:L,Pedidos!C:C,11,Pedidos!H:H,Produtos!A20)</f>
        <v>112.70000000000002</v>
      </c>
      <c r="T20" s="10">
        <f>SUMIFS(Pedidos!L:L,Pedidos!C:C,12,Pedidos!H:H,Produtos!A20)</f>
        <v>0</v>
      </c>
    </row>
    <row r="21" spans="1:20" x14ac:dyDescent="0.25">
      <c r="A21" s="15">
        <v>15</v>
      </c>
      <c r="B21" s="1" t="s">
        <v>43</v>
      </c>
      <c r="C21" s="1" t="s">
        <v>40</v>
      </c>
      <c r="D21" s="8">
        <v>20</v>
      </c>
      <c r="E21" s="9">
        <v>1</v>
      </c>
      <c r="F21" s="10">
        <f t="shared" si="0"/>
        <v>40</v>
      </c>
      <c r="G21" s="24">
        <f>COUNTIF(Pedidos!H:H,Produtos!A21)</f>
        <v>9</v>
      </c>
      <c r="H21" s="10">
        <f>SUMIF(Pedidos!H:H,Produtos!A21,Pedidos!L:L)</f>
        <v>960</v>
      </c>
      <c r="I21" s="10">
        <f>SUMIFS(Pedidos!L:L,Pedidos!C:C,1,Pedidos!H:H,Produtos!A21)</f>
        <v>280</v>
      </c>
      <c r="J21" s="10">
        <f>SUMIFS(Pedidos!L:L,Pedidos!C:C,2,Pedidos!H:H,Produtos!A21)</f>
        <v>120</v>
      </c>
      <c r="K21" s="10">
        <f>SUMIFS(Pedidos!L:L,Pedidos!C:C,3,Pedidos!H:H,Produtos!A21)</f>
        <v>0</v>
      </c>
      <c r="L21" s="10">
        <f>SUMIFS(Pedidos!L:L,Pedidos!C:C,4,Pedidos!H:H,Produtos!A21)</f>
        <v>0</v>
      </c>
      <c r="M21" s="10">
        <f>SUMIFS(Pedidos!L:L,Pedidos!C:C,5,Pedidos!H:H,Produtos!A21)</f>
        <v>0</v>
      </c>
      <c r="N21" s="10">
        <f>SUMIFS(Pedidos!L:L,Pedidos!C:C,6,Pedidos!H:H,Produtos!A21)</f>
        <v>0</v>
      </c>
      <c r="O21" s="10">
        <f>SUMIFS(Pedidos!L:L,Pedidos!C:C,7,Pedidos!H:H,Produtos!A21)</f>
        <v>0</v>
      </c>
      <c r="P21" s="10">
        <f>SUMIFS(Pedidos!L:L,Pedidos!C:C,8,Pedidos!H:H,Produtos!A21)</f>
        <v>0</v>
      </c>
      <c r="Q21" s="10">
        <f>SUMIFS(Pedidos!L:L,Pedidos!C:C,9,Pedidos!H:H,Produtos!A21)</f>
        <v>280</v>
      </c>
      <c r="R21" s="10">
        <f>SUMIFS(Pedidos!L:L,Pedidos!C:C,10,Pedidos!H:H,Produtos!A21)</f>
        <v>200</v>
      </c>
      <c r="S21" s="10">
        <f>SUMIFS(Pedidos!L:L,Pedidos!C:C,11,Pedidos!H:H,Produtos!A21)</f>
        <v>80</v>
      </c>
      <c r="T21" s="10">
        <f>SUMIFS(Pedidos!L:L,Pedidos!C:C,12,Pedidos!H:H,Produtos!A21)</f>
        <v>0</v>
      </c>
    </row>
    <row r="22" spans="1:20" x14ac:dyDescent="0.25">
      <c r="A22" s="15">
        <v>16</v>
      </c>
      <c r="B22" s="1" t="s">
        <v>41</v>
      </c>
      <c r="C22" s="1" t="s">
        <v>40</v>
      </c>
      <c r="D22" s="8">
        <v>12</v>
      </c>
      <c r="E22" s="9">
        <v>1.1000000000000001</v>
      </c>
      <c r="F22" s="10">
        <f t="shared" si="0"/>
        <v>25.200000000000003</v>
      </c>
      <c r="G22" s="24">
        <f>COUNTIF(Pedidos!H:H,Produtos!A22)</f>
        <v>11</v>
      </c>
      <c r="H22" s="10">
        <f>SUMIF(Pedidos!H:H,Produtos!A22,Pedidos!L:L)</f>
        <v>529.20000000000005</v>
      </c>
      <c r="I22" s="10">
        <f>SUMIFS(Pedidos!L:L,Pedidos!C:C,1,Pedidos!H:H,Produtos!A22)</f>
        <v>100.80000000000001</v>
      </c>
      <c r="J22" s="10">
        <f>SUMIFS(Pedidos!L:L,Pedidos!C:C,2,Pedidos!H:H,Produtos!A22)</f>
        <v>50.400000000000006</v>
      </c>
      <c r="K22" s="10">
        <f>SUMIFS(Pedidos!L:L,Pedidos!C:C,3,Pedidos!H:H,Produtos!A22)</f>
        <v>50.400000000000006</v>
      </c>
      <c r="L22" s="10">
        <f>SUMIFS(Pedidos!L:L,Pedidos!C:C,4,Pedidos!H:H,Produtos!A22)</f>
        <v>0</v>
      </c>
      <c r="M22" s="10">
        <f>SUMIFS(Pedidos!L:L,Pedidos!C:C,5,Pedidos!H:H,Produtos!A22)</f>
        <v>100.80000000000001</v>
      </c>
      <c r="N22" s="10">
        <f>SUMIFS(Pedidos!L:L,Pedidos!C:C,6,Pedidos!H:H,Produtos!A22)</f>
        <v>0</v>
      </c>
      <c r="O22" s="10">
        <f>SUMIFS(Pedidos!L:L,Pedidos!C:C,7,Pedidos!H:H,Produtos!A22)</f>
        <v>100.80000000000001</v>
      </c>
      <c r="P22" s="10">
        <f>SUMIFS(Pedidos!L:L,Pedidos!C:C,8,Pedidos!H:H,Produtos!A22)</f>
        <v>0</v>
      </c>
      <c r="Q22" s="10">
        <f>SUMIFS(Pedidos!L:L,Pedidos!C:C,9,Pedidos!H:H,Produtos!A22)</f>
        <v>0</v>
      </c>
      <c r="R22" s="10">
        <f>SUMIFS(Pedidos!L:L,Pedidos!C:C,10,Pedidos!H:H,Produtos!A22)</f>
        <v>50.400000000000006</v>
      </c>
      <c r="S22" s="10">
        <f>SUMIFS(Pedidos!L:L,Pedidos!C:C,11,Pedidos!H:H,Produtos!A22)</f>
        <v>50.400000000000006</v>
      </c>
      <c r="T22" s="10">
        <f>SUMIFS(Pedidos!L:L,Pedidos!C:C,12,Pedidos!H:H,Produtos!A22)</f>
        <v>25.200000000000003</v>
      </c>
    </row>
    <row r="23" spans="1:20" x14ac:dyDescent="0.25">
      <c r="A23" s="15">
        <v>17</v>
      </c>
      <c r="B23" s="1" t="s">
        <v>44</v>
      </c>
      <c r="C23" s="1" t="s">
        <v>40</v>
      </c>
      <c r="D23" s="8">
        <v>20</v>
      </c>
      <c r="E23" s="9">
        <v>1</v>
      </c>
      <c r="F23" s="10">
        <f t="shared" si="0"/>
        <v>40</v>
      </c>
      <c r="G23" s="24">
        <f>COUNTIF(Pedidos!H:H,Produtos!A23)</f>
        <v>15</v>
      </c>
      <c r="H23" s="10">
        <f>SUMIF(Pedidos!H:H,Produtos!A23,Pedidos!L:L)</f>
        <v>1600</v>
      </c>
      <c r="I23" s="10">
        <f>SUMIFS(Pedidos!L:L,Pedidos!C:C,1,Pedidos!H:H,Produtos!A23)</f>
        <v>160</v>
      </c>
      <c r="J23" s="10">
        <f>SUMIFS(Pedidos!L:L,Pedidos!C:C,2,Pedidos!H:H,Produtos!A23)</f>
        <v>480</v>
      </c>
      <c r="K23" s="10">
        <f>SUMIFS(Pedidos!L:L,Pedidos!C:C,3,Pedidos!H:H,Produtos!A23)</f>
        <v>80</v>
      </c>
      <c r="L23" s="10">
        <f>SUMIFS(Pedidos!L:L,Pedidos!C:C,4,Pedidos!H:H,Produtos!A23)</f>
        <v>0</v>
      </c>
      <c r="M23" s="10">
        <f>SUMIFS(Pedidos!L:L,Pedidos!C:C,5,Pedidos!H:H,Produtos!A23)</f>
        <v>80</v>
      </c>
      <c r="N23" s="10">
        <f>SUMIFS(Pedidos!L:L,Pedidos!C:C,6,Pedidos!H:H,Produtos!A23)</f>
        <v>200</v>
      </c>
      <c r="O23" s="10">
        <f>SUMIFS(Pedidos!L:L,Pedidos!C:C,7,Pedidos!H:H,Produtos!A23)</f>
        <v>0</v>
      </c>
      <c r="P23" s="10">
        <f>SUMIFS(Pedidos!L:L,Pedidos!C:C,8,Pedidos!H:H,Produtos!A23)</f>
        <v>120</v>
      </c>
      <c r="Q23" s="10">
        <f>SUMIFS(Pedidos!L:L,Pedidos!C:C,9,Pedidos!H:H,Produtos!A23)</f>
        <v>320</v>
      </c>
      <c r="R23" s="10">
        <f>SUMIFS(Pedidos!L:L,Pedidos!C:C,10,Pedidos!H:H,Produtos!A23)</f>
        <v>160</v>
      </c>
      <c r="S23" s="10">
        <f>SUMIFS(Pedidos!L:L,Pedidos!C:C,11,Pedidos!H:H,Produtos!A23)</f>
        <v>0</v>
      </c>
      <c r="T23" s="10">
        <f>SUMIFS(Pedidos!L:L,Pedidos!C:C,12,Pedidos!H:H,Produtos!A23)</f>
        <v>0</v>
      </c>
    </row>
    <row r="24" spans="1:20" x14ac:dyDescent="0.25">
      <c r="A24" s="15">
        <v>18</v>
      </c>
      <c r="B24" s="1" t="s">
        <v>42</v>
      </c>
      <c r="C24" s="1" t="s">
        <v>40</v>
      </c>
      <c r="D24" s="8">
        <v>12</v>
      </c>
      <c r="E24" s="9">
        <v>1.1000000000000001</v>
      </c>
      <c r="F24" s="10">
        <f t="shared" si="0"/>
        <v>25.200000000000003</v>
      </c>
      <c r="G24" s="24">
        <f>COUNTIF(Pedidos!H:H,Produtos!A24)</f>
        <v>16</v>
      </c>
      <c r="H24" s="10">
        <f>SUMIF(Pedidos!H:H,Produtos!A24,Pedidos!L:L)</f>
        <v>756.00000000000011</v>
      </c>
      <c r="I24" s="10">
        <f>SUMIFS(Pedidos!L:L,Pedidos!C:C,1,Pedidos!H:H,Produtos!A24)</f>
        <v>50.400000000000006</v>
      </c>
      <c r="J24" s="10">
        <f>SUMIFS(Pedidos!L:L,Pedidos!C:C,2,Pedidos!H:H,Produtos!A24)</f>
        <v>100.80000000000001</v>
      </c>
      <c r="K24" s="10">
        <f>SUMIFS(Pedidos!L:L,Pedidos!C:C,3,Pedidos!H:H,Produtos!A24)</f>
        <v>25.200000000000003</v>
      </c>
      <c r="L24" s="10">
        <f>SUMIFS(Pedidos!L:L,Pedidos!C:C,4,Pedidos!H:H,Produtos!A24)</f>
        <v>50.400000000000006</v>
      </c>
      <c r="M24" s="10">
        <f>SUMIFS(Pedidos!L:L,Pedidos!C:C,5,Pedidos!H:H,Produtos!A24)</f>
        <v>126.00000000000001</v>
      </c>
      <c r="N24" s="10">
        <f>SUMIFS(Pedidos!L:L,Pedidos!C:C,6,Pedidos!H:H,Produtos!A24)</f>
        <v>75.600000000000009</v>
      </c>
      <c r="O24" s="10">
        <f>SUMIFS(Pedidos!L:L,Pedidos!C:C,7,Pedidos!H:H,Produtos!A24)</f>
        <v>50.400000000000006</v>
      </c>
      <c r="P24" s="10">
        <f>SUMIFS(Pedidos!L:L,Pedidos!C:C,8,Pedidos!H:H,Produtos!A24)</f>
        <v>0</v>
      </c>
      <c r="Q24" s="10">
        <f>SUMIFS(Pedidos!L:L,Pedidos!C:C,9,Pedidos!H:H,Produtos!A24)</f>
        <v>0</v>
      </c>
      <c r="R24" s="10">
        <f>SUMIFS(Pedidos!L:L,Pedidos!C:C,10,Pedidos!H:H,Produtos!A24)</f>
        <v>75.600000000000009</v>
      </c>
      <c r="S24" s="10">
        <f>SUMIFS(Pedidos!L:L,Pedidos!C:C,11,Pedidos!H:H,Produtos!A24)</f>
        <v>0</v>
      </c>
      <c r="T24" s="10">
        <f>SUMIFS(Pedidos!L:L,Pedidos!C:C,12,Pedidos!H:H,Produtos!A24)</f>
        <v>201.60000000000002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showGridLines="0" topLeftCell="B1" zoomScale="85" zoomScaleNormal="85" workbookViewId="0">
      <selection activeCell="J6" activeCellId="1" sqref="B6:B19 J6:U19"/>
    </sheetView>
  </sheetViews>
  <sheetFormatPr defaultRowHeight="15" x14ac:dyDescent="0.25"/>
  <cols>
    <col min="2" max="2" width="27.140625" customWidth="1"/>
    <col min="4" max="4" width="23.7109375" customWidth="1"/>
    <col min="5" max="6" width="13.42578125" customWidth="1"/>
    <col min="7" max="7" width="13.28515625" customWidth="1"/>
    <col min="8" max="8" width="17.140625" style="12" bestFit="1" customWidth="1"/>
    <col min="9" max="9" width="17.85546875" bestFit="1" customWidth="1"/>
    <col min="10" max="10" width="17.28515625" customWidth="1"/>
    <col min="11" max="11" width="12.85546875" customWidth="1"/>
    <col min="12" max="21" width="12.7109375" customWidth="1"/>
  </cols>
  <sheetData>
    <row r="1" spans="1:21" ht="34.5" x14ac:dyDescent="0.7">
      <c r="C1" s="7" t="s">
        <v>336</v>
      </c>
      <c r="G1" s="12"/>
      <c r="H1"/>
    </row>
    <row r="2" spans="1:21" ht="22.5" x14ac:dyDescent="0.45">
      <c r="C2" s="5" t="s">
        <v>335</v>
      </c>
      <c r="G2" s="12"/>
      <c r="H2"/>
    </row>
    <row r="3" spans="1:21" ht="22.5" x14ac:dyDescent="0.45">
      <c r="C3" s="6" t="s">
        <v>337</v>
      </c>
      <c r="F3" s="21">
        <f ca="1">TODAY()</f>
        <v>43972</v>
      </c>
      <c r="G3" s="12"/>
      <c r="H3"/>
    </row>
    <row r="4" spans="1:21" ht="21.75" x14ac:dyDescent="0.4">
      <c r="C4" s="4"/>
      <c r="G4" s="12"/>
      <c r="H4"/>
    </row>
    <row r="6" spans="1:21" x14ac:dyDescent="0.25">
      <c r="A6" s="3" t="s">
        <v>30</v>
      </c>
      <c r="B6" s="3" t="s">
        <v>18</v>
      </c>
      <c r="C6" s="3" t="s">
        <v>5</v>
      </c>
      <c r="D6" s="3" t="s">
        <v>19</v>
      </c>
      <c r="E6" s="3" t="s">
        <v>21</v>
      </c>
      <c r="F6" s="3" t="s">
        <v>22</v>
      </c>
      <c r="G6" s="3" t="s">
        <v>20</v>
      </c>
      <c r="H6" s="14" t="s">
        <v>37</v>
      </c>
      <c r="I6" s="3" t="s">
        <v>36</v>
      </c>
      <c r="J6" s="14" t="s">
        <v>6</v>
      </c>
      <c r="K6" s="14" t="s">
        <v>7</v>
      </c>
      <c r="L6" s="14" t="s">
        <v>8</v>
      </c>
      <c r="M6" s="14" t="s">
        <v>9</v>
      </c>
      <c r="N6" s="14" t="s">
        <v>10</v>
      </c>
      <c r="O6" s="14" t="s">
        <v>11</v>
      </c>
      <c r="P6" s="14" t="s">
        <v>12</v>
      </c>
      <c r="Q6" s="14" t="s">
        <v>13</v>
      </c>
      <c r="R6" s="14" t="s">
        <v>14</v>
      </c>
      <c r="S6" s="14" t="s">
        <v>15</v>
      </c>
      <c r="T6" s="14" t="s">
        <v>16</v>
      </c>
      <c r="U6" s="14" t="s">
        <v>17</v>
      </c>
    </row>
    <row r="7" spans="1:21" x14ac:dyDescent="0.25">
      <c r="A7" s="1" t="s">
        <v>59</v>
      </c>
      <c r="B7" s="1" t="s">
        <v>72</v>
      </c>
      <c r="C7" s="1" t="s">
        <v>85</v>
      </c>
      <c r="D7" s="1" t="s">
        <v>88</v>
      </c>
      <c r="E7" s="1" t="s">
        <v>101</v>
      </c>
      <c r="F7" s="1" t="s">
        <v>114</v>
      </c>
      <c r="G7" s="1" t="s">
        <v>115</v>
      </c>
      <c r="H7" s="24">
        <f>COUNTIF(Pedidos!D:D,Clientes!A7)</f>
        <v>9</v>
      </c>
      <c r="I7" s="10">
        <f>SUMIF(Pedidos!D:D,Clientes!A7,Pedidos!L:L)</f>
        <v>775.15</v>
      </c>
      <c r="J7" s="10">
        <f>SUMIFS(Pedidos!L:L,Pedidos!C:C,1,Pedidos!D:D,Clientes!A7)</f>
        <v>27.75</v>
      </c>
      <c r="K7" s="10">
        <f>SUMIFS(Pedidos!L:L,Pedidos!C:C,2,Pedidos!D:D,Clientes!A7)</f>
        <v>0</v>
      </c>
      <c r="L7" s="10">
        <f>SUMIFS(Pedidos!L:L,Pedidos!C:C,3,Pedidos!D:D,Clientes!A7)</f>
        <v>0</v>
      </c>
      <c r="M7" s="10">
        <f>SUMIFS(Pedidos!L:L,Pedidos!C:C,4,Pedidos!D:D,Clientes!A7)</f>
        <v>0</v>
      </c>
      <c r="N7" s="10">
        <f>SUMIFS(Pedidos!L:L,Pedidos!C:C,5,Pedidos!D:D,Clientes!A7)</f>
        <v>50.400000000000006</v>
      </c>
      <c r="O7" s="10">
        <f>SUMIFS(Pedidos!L:L,Pedidos!C:C,6,Pedidos!D:D,Clientes!A7)</f>
        <v>27.75</v>
      </c>
      <c r="P7" s="10">
        <f>SUMIFS(Pedidos!L:L,Pedidos!C:C,7,Pedidos!D:D,Clientes!A7)</f>
        <v>90</v>
      </c>
      <c r="Q7" s="10">
        <f>SUMIFS(Pedidos!L:L,Pedidos!C:C,8,Pedidos!D:D,Clientes!A7)</f>
        <v>135</v>
      </c>
      <c r="R7" s="10">
        <f>SUMIFS(Pedidos!L:L,Pedidos!C:C,9,Pedidos!D:D,Clientes!A7)</f>
        <v>160</v>
      </c>
      <c r="S7" s="10">
        <f>SUMIFS(Pedidos!L:L,Pedidos!C:C,10,Pedidos!D:D,Clientes!A7)</f>
        <v>0</v>
      </c>
      <c r="T7" s="10">
        <f>SUMIFS(Pedidos!L:L,Pedidos!C:C,11,Pedidos!D:D,Clientes!A7)</f>
        <v>173.25</v>
      </c>
      <c r="U7" s="10">
        <f>SUMIFS(Pedidos!L:L,Pedidos!C:C,12,Pedidos!D:D,Clientes!A7)</f>
        <v>111</v>
      </c>
    </row>
    <row r="8" spans="1:21" x14ac:dyDescent="0.25">
      <c r="A8" s="1" t="s">
        <v>60</v>
      </c>
      <c r="B8" s="1" t="s">
        <v>73</v>
      </c>
      <c r="C8" s="1" t="s">
        <v>85</v>
      </c>
      <c r="D8" s="1" t="s">
        <v>89</v>
      </c>
      <c r="E8" s="1" t="s">
        <v>111</v>
      </c>
      <c r="F8" s="1" t="s">
        <v>114</v>
      </c>
      <c r="G8" s="1" t="s">
        <v>116</v>
      </c>
      <c r="H8" s="24">
        <f>COUNTIF(Pedidos!D:D,Clientes!A8)</f>
        <v>10</v>
      </c>
      <c r="I8" s="10">
        <f>SUMIF(Pedidos!D:D,Clientes!A8,Pedidos!L:L)</f>
        <v>585.54999999999995</v>
      </c>
      <c r="J8" s="10">
        <f>SUMIFS(Pedidos!L:L,Pedidos!C:C,1,Pedidos!D:D,Clientes!A8)</f>
        <v>45</v>
      </c>
      <c r="K8" s="10">
        <f>SUMIFS(Pedidos!L:L,Pedidos!C:C,2,Pedidos!D:D,Clientes!A8)</f>
        <v>0</v>
      </c>
      <c r="L8" s="10">
        <f>SUMIFS(Pedidos!L:L,Pedidos!C:C,3,Pedidos!D:D,Clientes!A8)</f>
        <v>0</v>
      </c>
      <c r="M8" s="10">
        <f>SUMIFS(Pedidos!L:L,Pedidos!C:C,4,Pedidos!D:D,Clientes!A8)</f>
        <v>0</v>
      </c>
      <c r="N8" s="10">
        <f>SUMIFS(Pedidos!L:L,Pedidos!C:C,5,Pedidos!D:D,Clientes!A8)</f>
        <v>40</v>
      </c>
      <c r="O8" s="10">
        <f>SUMIFS(Pedidos!L:L,Pedidos!C:C,6,Pedidos!D:D,Clientes!A8)</f>
        <v>27.75</v>
      </c>
      <c r="P8" s="10">
        <f>SUMIFS(Pedidos!L:L,Pedidos!C:C,7,Pedidos!D:D,Clientes!A8)</f>
        <v>156.30000000000001</v>
      </c>
      <c r="Q8" s="10">
        <f>SUMIFS(Pedidos!L:L,Pedidos!C:C,8,Pedidos!D:D,Clientes!A8)</f>
        <v>55.5</v>
      </c>
      <c r="R8" s="10">
        <f>SUMIFS(Pedidos!L:L,Pedidos!C:C,9,Pedidos!D:D,Clientes!A8)</f>
        <v>0</v>
      </c>
      <c r="S8" s="10">
        <f>SUMIFS(Pedidos!L:L,Pedidos!C:C,10,Pedidos!D:D,Clientes!A8)</f>
        <v>25.200000000000003</v>
      </c>
      <c r="T8" s="10">
        <f>SUMIFS(Pedidos!L:L,Pedidos!C:C,11,Pedidos!D:D,Clientes!A8)</f>
        <v>185.4</v>
      </c>
      <c r="U8" s="10">
        <f>SUMIFS(Pedidos!L:L,Pedidos!C:C,12,Pedidos!D:D,Clientes!A8)</f>
        <v>50.400000000000006</v>
      </c>
    </row>
    <row r="9" spans="1:21" x14ac:dyDescent="0.25">
      <c r="A9" s="1" t="s">
        <v>61</v>
      </c>
      <c r="B9" s="1" t="s">
        <v>74</v>
      </c>
      <c r="C9" s="1" t="s">
        <v>85</v>
      </c>
      <c r="D9" s="1" t="s">
        <v>90</v>
      </c>
      <c r="E9" s="1" t="s">
        <v>102</v>
      </c>
      <c r="F9" s="1" t="s">
        <v>114</v>
      </c>
      <c r="G9" s="1" t="s">
        <v>115</v>
      </c>
      <c r="H9" s="24">
        <f>COUNTIF(Pedidos!D:D,Clientes!A9)</f>
        <v>9</v>
      </c>
      <c r="I9" s="10">
        <f>SUMIF(Pedidos!D:D,Clientes!A9,Pedidos!L:L)</f>
        <v>681.19999999999993</v>
      </c>
      <c r="J9" s="10">
        <f>SUMIFS(Pedidos!L:L,Pedidos!C:C,1,Pedidos!D:D,Clientes!A9)</f>
        <v>83.25</v>
      </c>
      <c r="K9" s="10">
        <f>SUMIFS(Pedidos!L:L,Pedidos!C:C,2,Pedidos!D:D,Clientes!A9)</f>
        <v>0</v>
      </c>
      <c r="L9" s="10">
        <f>SUMIFS(Pedidos!L:L,Pedidos!C:C,3,Pedidos!D:D,Clientes!A9)</f>
        <v>0</v>
      </c>
      <c r="M9" s="10">
        <f>SUMIFS(Pedidos!L:L,Pedidos!C:C,4,Pedidos!D:D,Clientes!A9)</f>
        <v>0</v>
      </c>
      <c r="N9" s="10">
        <f>SUMIFS(Pedidos!L:L,Pedidos!C:C,5,Pedidos!D:D,Clientes!A9)</f>
        <v>27.75</v>
      </c>
      <c r="O9" s="10">
        <f>SUMIFS(Pedidos!L:L,Pedidos!C:C,6,Pedidos!D:D,Clientes!A9)</f>
        <v>0</v>
      </c>
      <c r="P9" s="10">
        <f>SUMIFS(Pedidos!L:L,Pedidos!C:C,7,Pedidos!D:D,Clientes!A9)</f>
        <v>148</v>
      </c>
      <c r="Q9" s="10">
        <f>SUMIFS(Pedidos!L:L,Pedidos!C:C,8,Pedidos!D:D,Clientes!A9)</f>
        <v>157.25</v>
      </c>
      <c r="R9" s="10">
        <f>SUMIFS(Pedidos!L:L,Pedidos!C:C,9,Pedidos!D:D,Clientes!A9)</f>
        <v>0</v>
      </c>
      <c r="S9" s="10">
        <f>SUMIFS(Pedidos!L:L,Pedidos!C:C,10,Pedidos!D:D,Clientes!A9)</f>
        <v>120</v>
      </c>
      <c r="T9" s="10">
        <f>SUMIFS(Pedidos!L:L,Pedidos!C:C,11,Pedidos!D:D,Clientes!A9)</f>
        <v>98.700000000000017</v>
      </c>
      <c r="U9" s="10">
        <f>SUMIFS(Pedidos!L:L,Pedidos!C:C,12,Pedidos!D:D,Clientes!A9)</f>
        <v>46.25</v>
      </c>
    </row>
    <row r="10" spans="1:21" x14ac:dyDescent="0.25">
      <c r="A10" s="1" t="s">
        <v>62</v>
      </c>
      <c r="B10" s="1" t="s">
        <v>75</v>
      </c>
      <c r="C10" s="1" t="s">
        <v>86</v>
      </c>
      <c r="D10" s="1" t="s">
        <v>91</v>
      </c>
      <c r="E10" s="1" t="s">
        <v>103</v>
      </c>
      <c r="F10" s="1" t="s">
        <v>114</v>
      </c>
      <c r="G10" s="1" t="s">
        <v>116</v>
      </c>
      <c r="H10" s="24">
        <f>COUNTIF(Pedidos!D:D,Clientes!A10)</f>
        <v>22</v>
      </c>
      <c r="I10" s="10">
        <f>SUMIF(Pedidos!D:D,Clientes!A10,Pedidos!L:L)</f>
        <v>1973.8999999999999</v>
      </c>
      <c r="J10" s="10">
        <f>SUMIFS(Pedidos!L:L,Pedidos!C:C,1,Pedidos!D:D,Clientes!A10)</f>
        <v>462</v>
      </c>
      <c r="K10" s="10">
        <f>SUMIFS(Pedidos!L:L,Pedidos!C:C,2,Pedidos!D:D,Clientes!A10)</f>
        <v>154.4</v>
      </c>
      <c r="L10" s="10">
        <f>SUMIFS(Pedidos!L:L,Pedidos!C:C,3,Pedidos!D:D,Clientes!A10)</f>
        <v>58.1</v>
      </c>
      <c r="M10" s="10">
        <f>SUMIFS(Pedidos!L:L,Pedidos!C:C,4,Pedidos!D:D,Clientes!A10)</f>
        <v>148</v>
      </c>
      <c r="N10" s="10">
        <f>SUMIFS(Pedidos!L:L,Pedidos!C:C,5,Pedidos!D:D,Clientes!A10)</f>
        <v>126.00000000000001</v>
      </c>
      <c r="O10" s="10">
        <f>SUMIFS(Pedidos!L:L,Pedidos!C:C,6,Pedidos!D:D,Clientes!A10)</f>
        <v>425.20000000000005</v>
      </c>
      <c r="P10" s="10">
        <f>SUMIFS(Pedidos!L:L,Pedidos!C:C,7,Pedidos!D:D,Clientes!A10)</f>
        <v>194.25</v>
      </c>
      <c r="Q10" s="10">
        <f>SUMIFS(Pedidos!L:L,Pedidos!C:C,8,Pedidos!D:D,Clientes!A10)</f>
        <v>156</v>
      </c>
      <c r="R10" s="10">
        <f>SUMIFS(Pedidos!L:L,Pedidos!C:C,9,Pedidos!D:D,Clientes!A10)</f>
        <v>197</v>
      </c>
      <c r="S10" s="10">
        <f>SUMIFS(Pedidos!L:L,Pedidos!C:C,10,Pedidos!D:D,Clientes!A10)</f>
        <v>25.200000000000003</v>
      </c>
      <c r="T10" s="10">
        <f>SUMIFS(Pedidos!L:L,Pedidos!C:C,11,Pedidos!D:D,Clientes!A10)</f>
        <v>27.75</v>
      </c>
      <c r="U10" s="10">
        <f>SUMIFS(Pedidos!L:L,Pedidos!C:C,12,Pedidos!D:D,Clientes!A10)</f>
        <v>0</v>
      </c>
    </row>
    <row r="11" spans="1:21" x14ac:dyDescent="0.25">
      <c r="A11" s="1" t="s">
        <v>63</v>
      </c>
      <c r="B11" s="1" t="s">
        <v>76</v>
      </c>
      <c r="C11" s="1" t="s">
        <v>85</v>
      </c>
      <c r="D11" s="1" t="s">
        <v>92</v>
      </c>
      <c r="E11" s="1" t="s">
        <v>104</v>
      </c>
      <c r="F11" s="1" t="s">
        <v>114</v>
      </c>
      <c r="G11" s="1" t="s">
        <v>117</v>
      </c>
      <c r="H11" s="24">
        <f>COUNTIF(Pedidos!D:D,Clientes!A11)</f>
        <v>7</v>
      </c>
      <c r="I11" s="10">
        <f>SUMIF(Pedidos!D:D,Clientes!A11,Pedidos!L:L)</f>
        <v>488.5</v>
      </c>
      <c r="J11" s="10">
        <f>SUMIFS(Pedidos!L:L,Pedidos!C:C,1,Pedidos!D:D,Clientes!A11)</f>
        <v>0</v>
      </c>
      <c r="K11" s="10">
        <f>SUMIFS(Pedidos!L:L,Pedidos!C:C,2,Pedidos!D:D,Clientes!A11)</f>
        <v>0</v>
      </c>
      <c r="L11" s="10">
        <f>SUMIFS(Pedidos!L:L,Pedidos!C:C,3,Pedidos!D:D,Clientes!A11)</f>
        <v>0</v>
      </c>
      <c r="M11" s="10">
        <f>SUMIFS(Pedidos!L:L,Pedidos!C:C,4,Pedidos!D:D,Clientes!A11)</f>
        <v>0</v>
      </c>
      <c r="N11" s="10">
        <f>SUMIFS(Pedidos!L:L,Pedidos!C:C,5,Pedidos!D:D,Clientes!A11)</f>
        <v>111</v>
      </c>
      <c r="O11" s="10">
        <f>SUMIFS(Pedidos!L:L,Pedidos!C:C,6,Pedidos!D:D,Clientes!A11)</f>
        <v>54</v>
      </c>
      <c r="P11" s="10">
        <f>SUMIFS(Pedidos!L:L,Pedidos!C:C,7,Pedidos!D:D,Clientes!A11)</f>
        <v>63</v>
      </c>
      <c r="Q11" s="10">
        <f>SUMIFS(Pedidos!L:L,Pedidos!C:C,8,Pedidos!D:D,Clientes!A11)</f>
        <v>48.300000000000004</v>
      </c>
      <c r="R11" s="10">
        <f>SUMIFS(Pedidos!L:L,Pedidos!C:C,9,Pedidos!D:D,Clientes!A11)</f>
        <v>32.200000000000003</v>
      </c>
      <c r="S11" s="10">
        <f>SUMIFS(Pedidos!L:L,Pedidos!C:C,10,Pedidos!D:D,Clientes!A11)</f>
        <v>90</v>
      </c>
      <c r="T11" s="10">
        <f>SUMIFS(Pedidos!L:L,Pedidos!C:C,11,Pedidos!D:D,Clientes!A11)</f>
        <v>90</v>
      </c>
      <c r="U11" s="10">
        <f>SUMIFS(Pedidos!L:L,Pedidos!C:C,12,Pedidos!D:D,Clientes!A11)</f>
        <v>0</v>
      </c>
    </row>
    <row r="12" spans="1:21" x14ac:dyDescent="0.25">
      <c r="A12" s="1" t="s">
        <v>64</v>
      </c>
      <c r="B12" s="1" t="s">
        <v>83</v>
      </c>
      <c r="C12" s="1" t="s">
        <v>87</v>
      </c>
      <c r="D12" s="1" t="s">
        <v>93</v>
      </c>
      <c r="E12" s="1" t="s">
        <v>112</v>
      </c>
      <c r="F12" s="1" t="s">
        <v>114</v>
      </c>
      <c r="G12" s="1" t="s">
        <v>118</v>
      </c>
      <c r="H12" s="24">
        <f>COUNTIF(Pedidos!D:D,Clientes!A12)</f>
        <v>15</v>
      </c>
      <c r="I12" s="10">
        <f>SUMIF(Pedidos!D:D,Clientes!A12,Pedidos!L:L)</f>
        <v>1375.6000000000001</v>
      </c>
      <c r="J12" s="10">
        <f>SUMIFS(Pedidos!L:L,Pedidos!C:C,1,Pedidos!D:D,Clientes!A12)</f>
        <v>252</v>
      </c>
      <c r="K12" s="10">
        <f>SUMIFS(Pedidos!L:L,Pedidos!C:C,2,Pedidos!D:D,Clientes!A12)</f>
        <v>219.45</v>
      </c>
      <c r="L12" s="10">
        <f>SUMIFS(Pedidos!L:L,Pedidos!C:C,3,Pedidos!D:D,Clientes!A12)</f>
        <v>52.95</v>
      </c>
      <c r="M12" s="10">
        <f>SUMIFS(Pedidos!L:L,Pedidos!C:C,4,Pedidos!D:D,Clientes!A12)</f>
        <v>162</v>
      </c>
      <c r="N12" s="10">
        <f>SUMIFS(Pedidos!L:L,Pedidos!C:C,5,Pedidos!D:D,Clientes!A12)</f>
        <v>37</v>
      </c>
      <c r="O12" s="10">
        <f>SUMIFS(Pedidos!L:L,Pedidos!C:C,6,Pedidos!D:D,Clientes!A12)</f>
        <v>180</v>
      </c>
      <c r="P12" s="10">
        <f>SUMIFS(Pedidos!L:L,Pedidos!C:C,7,Pedidos!D:D,Clientes!A12)</f>
        <v>201.60000000000002</v>
      </c>
      <c r="Q12" s="10">
        <f>SUMIFS(Pedidos!L:L,Pedidos!C:C,8,Pedidos!D:D,Clientes!A12)</f>
        <v>84</v>
      </c>
      <c r="R12" s="10">
        <f>SUMIFS(Pedidos!L:L,Pedidos!C:C,9,Pedidos!D:D,Clientes!A12)</f>
        <v>111</v>
      </c>
      <c r="S12" s="10">
        <f>SUMIFS(Pedidos!L:L,Pedidos!C:C,10,Pedidos!D:D,Clientes!A12)</f>
        <v>25.200000000000003</v>
      </c>
      <c r="T12" s="10">
        <f>SUMIFS(Pedidos!L:L,Pedidos!C:C,11,Pedidos!D:D,Clientes!A12)</f>
        <v>50.400000000000006</v>
      </c>
      <c r="U12" s="10">
        <f>SUMIFS(Pedidos!L:L,Pedidos!C:C,12,Pedidos!D:D,Clientes!A12)</f>
        <v>0</v>
      </c>
    </row>
    <row r="13" spans="1:21" x14ac:dyDescent="0.25">
      <c r="A13" s="1" t="s">
        <v>65</v>
      </c>
      <c r="B13" s="1" t="s">
        <v>77</v>
      </c>
      <c r="C13" s="1" t="s">
        <v>86</v>
      </c>
      <c r="D13" s="1" t="s">
        <v>94</v>
      </c>
      <c r="E13" s="1" t="s">
        <v>105</v>
      </c>
      <c r="F13" s="1" t="s">
        <v>114</v>
      </c>
      <c r="G13" s="1" t="s">
        <v>118</v>
      </c>
      <c r="H13" s="24">
        <f>COUNTIF(Pedidos!D:D,Clientes!A13)</f>
        <v>27</v>
      </c>
      <c r="I13" s="10">
        <f>SUMIF(Pedidos!D:D,Clientes!A13,Pedidos!L:L)</f>
        <v>2180.2000000000003</v>
      </c>
      <c r="J13" s="10">
        <f>SUMIFS(Pedidos!L:L,Pedidos!C:C,1,Pedidos!D:D,Clientes!A13)</f>
        <v>421.5</v>
      </c>
      <c r="K13" s="10">
        <f>SUMIFS(Pedidos!L:L,Pedidos!C:C,2,Pedidos!D:D,Clientes!A13)</f>
        <v>414.75</v>
      </c>
      <c r="L13" s="10">
        <f>SUMIFS(Pedidos!L:L,Pedidos!C:C,3,Pedidos!D:D,Clientes!A13)</f>
        <v>260</v>
      </c>
      <c r="M13" s="10">
        <f>SUMIFS(Pedidos!L:L,Pedidos!C:C,4,Pedidos!D:D,Clientes!A13)</f>
        <v>223.4</v>
      </c>
      <c r="N13" s="10">
        <f>SUMIFS(Pedidos!L:L,Pedidos!C:C,5,Pedidos!D:D,Clientes!A13)</f>
        <v>124.4</v>
      </c>
      <c r="O13" s="10">
        <f>SUMIFS(Pedidos!L:L,Pedidos!C:C,6,Pedidos!D:D,Clientes!A13)</f>
        <v>117</v>
      </c>
      <c r="P13" s="10">
        <f>SUMIFS(Pedidos!L:L,Pedidos!C:C,7,Pedidos!D:D,Clientes!A13)</f>
        <v>152.15</v>
      </c>
      <c r="Q13" s="10">
        <f>SUMIFS(Pedidos!L:L,Pedidos!C:C,8,Pedidos!D:D,Clientes!A13)</f>
        <v>21</v>
      </c>
      <c r="R13" s="10">
        <f>SUMIFS(Pedidos!L:L,Pedidos!C:C,9,Pedidos!D:D,Clientes!A13)</f>
        <v>255</v>
      </c>
      <c r="S13" s="10">
        <f>SUMIFS(Pedidos!L:L,Pedidos!C:C,10,Pedidos!D:D,Clientes!A13)</f>
        <v>80</v>
      </c>
      <c r="T13" s="10">
        <f>SUMIFS(Pedidos!L:L,Pedidos!C:C,11,Pedidos!D:D,Clientes!A13)</f>
        <v>111</v>
      </c>
      <c r="U13" s="10">
        <f>SUMIFS(Pedidos!L:L,Pedidos!C:C,12,Pedidos!D:D,Clientes!A13)</f>
        <v>0</v>
      </c>
    </row>
    <row r="14" spans="1:21" x14ac:dyDescent="0.25">
      <c r="A14" s="1" t="s">
        <v>66</v>
      </c>
      <c r="B14" s="1" t="s">
        <v>78</v>
      </c>
      <c r="C14" s="1" t="s">
        <v>85</v>
      </c>
      <c r="D14" s="1" t="s">
        <v>95</v>
      </c>
      <c r="E14" s="1" t="s">
        <v>106</v>
      </c>
      <c r="F14" s="1" t="s">
        <v>114</v>
      </c>
      <c r="G14" s="1" t="s">
        <v>116</v>
      </c>
      <c r="H14" s="24">
        <f>COUNTIF(Pedidos!D:D,Clientes!A14)</f>
        <v>21</v>
      </c>
      <c r="I14" s="10">
        <f>SUMIF(Pedidos!D:D,Clientes!A14,Pedidos!L:L)</f>
        <v>1984.4500000000003</v>
      </c>
      <c r="J14" s="10">
        <f>SUMIFS(Pedidos!L:L,Pedidos!C:C,1,Pedidos!D:D,Clientes!A14)</f>
        <v>100.80000000000001</v>
      </c>
      <c r="K14" s="10">
        <f>SUMIFS(Pedidos!L:L,Pedidos!C:C,2,Pedidos!D:D,Clientes!A14)</f>
        <v>651.35</v>
      </c>
      <c r="L14" s="10">
        <f>SUMIFS(Pedidos!L:L,Pedidos!C:C,3,Pedidos!D:D,Clientes!A14)</f>
        <v>95.4</v>
      </c>
      <c r="M14" s="10">
        <f>SUMIFS(Pedidos!L:L,Pedidos!C:C,4,Pedidos!D:D,Clientes!A14)</f>
        <v>424.8</v>
      </c>
      <c r="N14" s="10">
        <f>SUMIFS(Pedidos!L:L,Pedidos!C:C,5,Pedidos!D:D,Clientes!A14)</f>
        <v>263.25</v>
      </c>
      <c r="O14" s="10">
        <f>SUMIFS(Pedidos!L:L,Pedidos!C:C,6,Pedidos!D:D,Clientes!A14)</f>
        <v>111</v>
      </c>
      <c r="P14" s="10">
        <f>SUMIFS(Pedidos!L:L,Pedidos!C:C,7,Pedidos!D:D,Clientes!A14)</f>
        <v>46.25</v>
      </c>
      <c r="Q14" s="10">
        <f>SUMIFS(Pedidos!L:L,Pedidos!C:C,8,Pedidos!D:D,Clientes!A14)</f>
        <v>45</v>
      </c>
      <c r="R14" s="10">
        <f>SUMIFS(Pedidos!L:L,Pedidos!C:C,9,Pedidos!D:D,Clientes!A14)</f>
        <v>45</v>
      </c>
      <c r="S14" s="10">
        <f>SUMIFS(Pedidos!L:L,Pedidos!C:C,10,Pedidos!D:D,Clientes!A14)</f>
        <v>151.20000000000002</v>
      </c>
      <c r="T14" s="10">
        <f>SUMIFS(Pedidos!L:L,Pedidos!C:C,11,Pedidos!D:D,Clientes!A14)</f>
        <v>0</v>
      </c>
      <c r="U14" s="10">
        <f>SUMIFS(Pedidos!L:L,Pedidos!C:C,12,Pedidos!D:D,Clientes!A14)</f>
        <v>50.400000000000006</v>
      </c>
    </row>
    <row r="15" spans="1:21" x14ac:dyDescent="0.25">
      <c r="A15" s="1" t="s">
        <v>67</v>
      </c>
      <c r="B15" s="1" t="s">
        <v>82</v>
      </c>
      <c r="C15" s="1" t="s">
        <v>85</v>
      </c>
      <c r="D15" s="1" t="s">
        <v>96</v>
      </c>
      <c r="E15" s="1" t="s">
        <v>113</v>
      </c>
      <c r="F15" s="1" t="s">
        <v>114</v>
      </c>
      <c r="G15" s="1" t="s">
        <v>116</v>
      </c>
      <c r="H15" s="24">
        <f>COUNTIF(Pedidos!D:D,Clientes!A15)</f>
        <v>23</v>
      </c>
      <c r="I15" s="10">
        <f>SUMIF(Pedidos!D:D,Clientes!A15,Pedidos!L:L)</f>
        <v>2143.8000000000002</v>
      </c>
      <c r="J15" s="10">
        <f>SUMIFS(Pedidos!L:L,Pedidos!C:C,1,Pedidos!D:D,Clientes!A15)</f>
        <v>361</v>
      </c>
      <c r="K15" s="10">
        <f>SUMIFS(Pedidos!L:L,Pedidos!C:C,2,Pedidos!D:D,Clientes!A15)</f>
        <v>507.55</v>
      </c>
      <c r="L15" s="10">
        <f>SUMIFS(Pedidos!L:L,Pedidos!C:C,3,Pedidos!D:D,Clientes!A15)</f>
        <v>275.60000000000002</v>
      </c>
      <c r="M15" s="10">
        <f>SUMIFS(Pedidos!L:L,Pedidos!C:C,4,Pedidos!D:D,Clientes!A15)</f>
        <v>214.8</v>
      </c>
      <c r="N15" s="10">
        <f>SUMIFS(Pedidos!L:L,Pedidos!C:C,5,Pedidos!D:D,Clientes!A15)</f>
        <v>241.60000000000002</v>
      </c>
      <c r="O15" s="10">
        <f>SUMIFS(Pedidos!L:L,Pedidos!C:C,6,Pedidos!D:D,Clientes!A15)</f>
        <v>108</v>
      </c>
      <c r="P15" s="10">
        <f>SUMIFS(Pedidos!L:L,Pedidos!C:C,7,Pedidos!D:D,Clientes!A15)</f>
        <v>135</v>
      </c>
      <c r="Q15" s="10">
        <f>SUMIFS(Pedidos!L:L,Pedidos!C:C,8,Pedidos!D:D,Clientes!A15)</f>
        <v>83.25</v>
      </c>
      <c r="R15" s="10">
        <f>SUMIFS(Pedidos!L:L,Pedidos!C:C,9,Pedidos!D:D,Clientes!A15)</f>
        <v>45</v>
      </c>
      <c r="S15" s="10">
        <f>SUMIFS(Pedidos!L:L,Pedidos!C:C,10,Pedidos!D:D,Clientes!A15)</f>
        <v>135</v>
      </c>
      <c r="T15" s="10">
        <f>SUMIFS(Pedidos!L:L,Pedidos!C:C,11,Pedidos!D:D,Clientes!A15)</f>
        <v>0</v>
      </c>
      <c r="U15" s="10">
        <f>SUMIFS(Pedidos!L:L,Pedidos!C:C,12,Pedidos!D:D,Clientes!A15)</f>
        <v>37</v>
      </c>
    </row>
    <row r="16" spans="1:21" x14ac:dyDescent="0.25">
      <c r="A16" s="1" t="s">
        <v>68</v>
      </c>
      <c r="B16" s="1" t="s">
        <v>79</v>
      </c>
      <c r="C16" s="1" t="s">
        <v>87</v>
      </c>
      <c r="D16" s="1" t="s">
        <v>97</v>
      </c>
      <c r="E16" s="1" t="s">
        <v>107</v>
      </c>
      <c r="F16" s="1" t="s">
        <v>114</v>
      </c>
      <c r="G16" s="1" t="s">
        <v>115</v>
      </c>
      <c r="H16" s="24">
        <f>COUNTIF(Pedidos!D:D,Clientes!A16)</f>
        <v>12</v>
      </c>
      <c r="I16" s="10">
        <f>SUMIF(Pedidos!D:D,Clientes!A16,Pedidos!L:L)</f>
        <v>1133.95</v>
      </c>
      <c r="J16" s="10">
        <f>SUMIFS(Pedidos!L:L,Pedidos!C:C,1,Pedidos!D:D,Clientes!A16)</f>
        <v>140.4</v>
      </c>
      <c r="K16" s="10">
        <f>SUMIFS(Pedidos!L:L,Pedidos!C:C,2,Pedidos!D:D,Clientes!A16)</f>
        <v>187.2</v>
      </c>
      <c r="L16" s="10">
        <f>SUMIFS(Pedidos!L:L,Pedidos!C:C,3,Pedidos!D:D,Clientes!A16)</f>
        <v>180</v>
      </c>
      <c r="M16" s="10">
        <f>SUMIFS(Pedidos!L:L,Pedidos!C:C,4,Pedidos!D:D,Clientes!A16)</f>
        <v>135</v>
      </c>
      <c r="N16" s="10">
        <f>SUMIFS(Pedidos!L:L,Pedidos!C:C,5,Pedidos!D:D,Clientes!A16)</f>
        <v>0</v>
      </c>
      <c r="O16" s="10">
        <f>SUMIFS(Pedidos!L:L,Pedidos!C:C,6,Pedidos!D:D,Clientes!A16)</f>
        <v>201.60000000000002</v>
      </c>
      <c r="P16" s="10">
        <f>SUMIFS(Pedidos!L:L,Pedidos!C:C,7,Pedidos!D:D,Clientes!A16)</f>
        <v>83.25</v>
      </c>
      <c r="Q16" s="10">
        <f>SUMIFS(Pedidos!L:L,Pedidos!C:C,8,Pedidos!D:D,Clientes!A16)</f>
        <v>40</v>
      </c>
      <c r="R16" s="10">
        <f>SUMIFS(Pedidos!L:L,Pedidos!C:C,9,Pedidos!D:D,Clientes!A16)</f>
        <v>0</v>
      </c>
      <c r="S16" s="10">
        <f>SUMIFS(Pedidos!L:L,Pedidos!C:C,10,Pedidos!D:D,Clientes!A16)</f>
        <v>83.25</v>
      </c>
      <c r="T16" s="10">
        <f>SUMIFS(Pedidos!L:L,Pedidos!C:C,11,Pedidos!D:D,Clientes!A16)</f>
        <v>0</v>
      </c>
      <c r="U16" s="10">
        <f>SUMIFS(Pedidos!L:L,Pedidos!C:C,12,Pedidos!D:D,Clientes!A16)</f>
        <v>83.25</v>
      </c>
    </row>
    <row r="17" spans="1:21" x14ac:dyDescent="0.25">
      <c r="A17" s="1" t="s">
        <v>69</v>
      </c>
      <c r="B17" s="1" t="s">
        <v>80</v>
      </c>
      <c r="C17" s="1" t="s">
        <v>85</v>
      </c>
      <c r="D17" s="1" t="s">
        <v>98</v>
      </c>
      <c r="E17" s="1" t="s">
        <v>108</v>
      </c>
      <c r="F17" s="1" t="s">
        <v>114</v>
      </c>
      <c r="G17" s="1" t="s">
        <v>117</v>
      </c>
      <c r="H17" s="24">
        <f>COUNTIF(Pedidos!D:D,Clientes!A17)</f>
        <v>14</v>
      </c>
      <c r="I17" s="10">
        <f>SUMIF(Pedidos!D:D,Clientes!A17,Pedidos!L:L)</f>
        <v>1403.2</v>
      </c>
      <c r="J17" s="10">
        <f>SUMIFS(Pedidos!L:L,Pedidos!C:C,1,Pedidos!D:D,Clientes!A17)</f>
        <v>174.8</v>
      </c>
      <c r="K17" s="10">
        <f>SUMIFS(Pedidos!L:L,Pedidos!C:C,2,Pedidos!D:D,Clientes!A17)</f>
        <v>100.80000000000001</v>
      </c>
      <c r="L17" s="10">
        <f>SUMIFS(Pedidos!L:L,Pedidos!C:C,3,Pedidos!D:D,Clientes!A17)</f>
        <v>135</v>
      </c>
      <c r="M17" s="10">
        <f>SUMIFS(Pedidos!L:L,Pedidos!C:C,4,Pedidos!D:D,Clientes!A17)</f>
        <v>0</v>
      </c>
      <c r="N17" s="10">
        <f>SUMIFS(Pedidos!L:L,Pedidos!C:C,5,Pedidos!D:D,Clientes!A17)</f>
        <v>0</v>
      </c>
      <c r="O17" s="10">
        <f>SUMIFS(Pedidos!L:L,Pedidos!C:C,6,Pedidos!D:D,Clientes!A17)</f>
        <v>135</v>
      </c>
      <c r="P17" s="10">
        <f>SUMIFS(Pedidos!L:L,Pedidos!C:C,7,Pedidos!D:D,Clientes!A17)</f>
        <v>0</v>
      </c>
      <c r="Q17" s="10">
        <f>SUMIFS(Pedidos!L:L,Pedidos!C:C,8,Pedidos!D:D,Clientes!A17)</f>
        <v>80</v>
      </c>
      <c r="R17" s="10">
        <f>SUMIFS(Pedidos!L:L,Pedidos!C:C,9,Pedidos!D:D,Clientes!A17)</f>
        <v>90</v>
      </c>
      <c r="S17" s="10">
        <f>SUMIFS(Pedidos!L:L,Pedidos!C:C,10,Pedidos!D:D,Clientes!A17)</f>
        <v>205</v>
      </c>
      <c r="T17" s="10">
        <f>SUMIFS(Pedidos!L:L,Pedidos!C:C,11,Pedidos!D:D,Clientes!A17)</f>
        <v>80</v>
      </c>
      <c r="U17" s="10">
        <f>SUMIFS(Pedidos!L:L,Pedidos!C:C,12,Pedidos!D:D,Clientes!A17)</f>
        <v>402.6</v>
      </c>
    </row>
    <row r="18" spans="1:21" x14ac:dyDescent="0.25">
      <c r="A18" s="1" t="s">
        <v>70</v>
      </c>
      <c r="B18" s="1" t="s">
        <v>81</v>
      </c>
      <c r="C18" s="1" t="s">
        <v>87</v>
      </c>
      <c r="D18" s="1" t="s">
        <v>99</v>
      </c>
      <c r="E18" s="1" t="s">
        <v>109</v>
      </c>
      <c r="F18" s="1" t="s">
        <v>114</v>
      </c>
      <c r="G18" s="1" t="s">
        <v>116</v>
      </c>
      <c r="H18" s="24">
        <f>COUNTIF(Pedidos!D:D,Clientes!A18)</f>
        <v>17</v>
      </c>
      <c r="I18" s="10">
        <f>SUMIF(Pedidos!D:D,Clientes!A18,Pedidos!L:L)</f>
        <v>1564.95</v>
      </c>
      <c r="J18" s="10">
        <f>SUMIFS(Pedidos!L:L,Pedidos!C:C,1,Pedidos!D:D,Clientes!A18)</f>
        <v>246</v>
      </c>
      <c r="K18" s="10">
        <f>SUMIFS(Pedidos!L:L,Pedidos!C:C,2,Pedidos!D:D,Clientes!A18)</f>
        <v>231.75</v>
      </c>
      <c r="L18" s="10">
        <f>SUMIFS(Pedidos!L:L,Pedidos!C:C,3,Pedidos!D:D,Clientes!A18)</f>
        <v>111</v>
      </c>
      <c r="M18" s="10">
        <f>SUMIFS(Pedidos!L:L,Pedidos!C:C,4,Pedidos!D:D,Clientes!A18)</f>
        <v>55.5</v>
      </c>
      <c r="N18" s="10">
        <f>SUMIFS(Pedidos!L:L,Pedidos!C:C,5,Pedidos!D:D,Clientes!A18)</f>
        <v>55.5</v>
      </c>
      <c r="O18" s="10">
        <f>SUMIFS(Pedidos!L:L,Pedidos!C:C,6,Pedidos!D:D,Clientes!A18)</f>
        <v>0</v>
      </c>
      <c r="P18" s="10">
        <f>SUMIFS(Pedidos!L:L,Pedidos!C:C,7,Pedidos!D:D,Clientes!A18)</f>
        <v>216</v>
      </c>
      <c r="Q18" s="10">
        <f>SUMIFS(Pedidos!L:L,Pedidos!C:C,8,Pedidos!D:D,Clientes!A18)</f>
        <v>0</v>
      </c>
      <c r="R18" s="10">
        <f>SUMIFS(Pedidos!L:L,Pedidos!C:C,9,Pedidos!D:D,Clientes!A18)</f>
        <v>260.8</v>
      </c>
      <c r="S18" s="10">
        <f>SUMIFS(Pedidos!L:L,Pedidos!C:C,10,Pedidos!D:D,Clientes!A18)</f>
        <v>254</v>
      </c>
      <c r="T18" s="10">
        <f>SUMIFS(Pedidos!L:L,Pedidos!C:C,11,Pedidos!D:D,Clientes!A18)</f>
        <v>21</v>
      </c>
      <c r="U18" s="10">
        <f>SUMIFS(Pedidos!L:L,Pedidos!C:C,12,Pedidos!D:D,Clientes!A18)</f>
        <v>113.4</v>
      </c>
    </row>
    <row r="19" spans="1:21" x14ac:dyDescent="0.25">
      <c r="A19" s="1" t="s">
        <v>71</v>
      </c>
      <c r="B19" s="1" t="s">
        <v>84</v>
      </c>
      <c r="C19" s="1" t="s">
        <v>85</v>
      </c>
      <c r="D19" s="1" t="s">
        <v>100</v>
      </c>
      <c r="E19" s="1" t="s">
        <v>110</v>
      </c>
      <c r="F19" s="1" t="s">
        <v>114</v>
      </c>
      <c r="G19" s="1" t="s">
        <v>119</v>
      </c>
      <c r="H19" s="24">
        <f>COUNTIF(Pedidos!D:D,Clientes!A19)</f>
        <v>29</v>
      </c>
      <c r="I19" s="10">
        <f>SUMIF(Pedidos!D:D,Clientes!A19,Pedidos!L:L)</f>
        <v>2588.9499999999998</v>
      </c>
      <c r="J19" s="10">
        <f>SUMIFS(Pedidos!L:L,Pedidos!C:C,1,Pedidos!D:D,Clientes!A19)</f>
        <v>258.05</v>
      </c>
      <c r="K19" s="10">
        <f>SUMIFS(Pedidos!L:L,Pedidos!C:C,2,Pedidos!D:D,Clientes!A19)</f>
        <v>393.35</v>
      </c>
      <c r="L19" s="10">
        <f>SUMIFS(Pedidos!L:L,Pedidos!C:C,3,Pedidos!D:D,Clientes!A19)</f>
        <v>111</v>
      </c>
      <c r="M19" s="10">
        <f>SUMIFS(Pedidos!L:L,Pedidos!C:C,4,Pedidos!D:D,Clientes!A19)</f>
        <v>201.60000000000002</v>
      </c>
      <c r="N19" s="10">
        <f>SUMIFS(Pedidos!L:L,Pedidos!C:C,5,Pedidos!D:D,Clientes!A19)</f>
        <v>50.400000000000006</v>
      </c>
      <c r="O19" s="10">
        <f>SUMIFS(Pedidos!L:L,Pedidos!C:C,6,Pedidos!D:D,Clientes!A19)</f>
        <v>168.3</v>
      </c>
      <c r="P19" s="10">
        <f>SUMIFS(Pedidos!L:L,Pedidos!C:C,7,Pedidos!D:D,Clientes!A19)</f>
        <v>46.25</v>
      </c>
      <c r="Q19" s="10">
        <f>SUMIFS(Pedidos!L:L,Pedidos!C:C,8,Pedidos!D:D,Clientes!A19)</f>
        <v>209</v>
      </c>
      <c r="R19" s="10">
        <f>SUMIFS(Pedidos!L:L,Pedidos!C:C,9,Pedidos!D:D,Clientes!A19)</f>
        <v>291.60000000000002</v>
      </c>
      <c r="S19" s="10">
        <f>SUMIFS(Pedidos!L:L,Pedidos!C:C,10,Pedidos!D:D,Clientes!A19)</f>
        <v>363</v>
      </c>
      <c r="T19" s="10">
        <f>SUMIFS(Pedidos!L:L,Pedidos!C:C,11,Pedidos!D:D,Clientes!A19)</f>
        <v>286.39999999999998</v>
      </c>
      <c r="U19" s="10">
        <f>SUMIFS(Pedidos!L:L,Pedidos!C:C,12,Pedidos!D:D,Clientes!A19)</f>
        <v>210</v>
      </c>
    </row>
    <row r="20" spans="1:21" x14ac:dyDescent="0.25">
      <c r="H20" s="2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showGridLines="0" zoomScale="130" zoomScaleNormal="130" workbookViewId="0"/>
  </sheetViews>
  <sheetFormatPr defaultRowHeight="15" x14ac:dyDescent="0.25"/>
  <cols>
    <col min="2" max="2" width="13" customWidth="1"/>
    <col min="3" max="4" width="8.7109375" style="12"/>
    <col min="5" max="5" width="19.85546875" customWidth="1"/>
    <col min="6" max="6" width="22.85546875" customWidth="1"/>
    <col min="7" max="7" width="12.5703125" bestFit="1" customWidth="1"/>
    <col min="8" max="8" width="8.7109375" style="12"/>
    <col min="9" max="9" width="23.42578125" bestFit="1" customWidth="1"/>
    <col min="10" max="10" width="9.85546875" style="12" bestFit="1" customWidth="1"/>
    <col min="11" max="11" width="12.42578125" style="16" bestFit="1" customWidth="1"/>
    <col min="12" max="12" width="12.42578125" customWidth="1"/>
  </cols>
  <sheetData>
    <row r="1" spans="1:14" ht="34.5" x14ac:dyDescent="0.7">
      <c r="E1" s="7" t="s">
        <v>336</v>
      </c>
    </row>
    <row r="2" spans="1:14" ht="22.5" x14ac:dyDescent="0.45">
      <c r="E2" s="5" t="s">
        <v>335</v>
      </c>
    </row>
    <row r="3" spans="1:14" ht="22.5" x14ac:dyDescent="0.45">
      <c r="E3" s="6" t="s">
        <v>338</v>
      </c>
      <c r="G3" s="21">
        <f ca="1">TODAY()</f>
        <v>43972</v>
      </c>
    </row>
    <row r="4" spans="1:14" ht="21.75" x14ac:dyDescent="0.4">
      <c r="C4" s="13"/>
      <c r="E4" s="20"/>
    </row>
    <row r="6" spans="1:14" x14ac:dyDescent="0.25">
      <c r="A6" s="3" t="s">
        <v>33</v>
      </c>
      <c r="B6" s="3" t="s">
        <v>23</v>
      </c>
      <c r="C6" s="14" t="s">
        <v>32</v>
      </c>
      <c r="D6" s="14" t="s">
        <v>29</v>
      </c>
      <c r="E6" s="3" t="s">
        <v>24</v>
      </c>
      <c r="F6" s="3" t="s">
        <v>19</v>
      </c>
      <c r="G6" s="3" t="s">
        <v>21</v>
      </c>
      <c r="H6" s="14" t="s">
        <v>31</v>
      </c>
      <c r="I6" s="3" t="s">
        <v>25</v>
      </c>
      <c r="J6" s="14" t="s">
        <v>26</v>
      </c>
      <c r="K6" s="17" t="s">
        <v>27</v>
      </c>
      <c r="L6" s="3" t="s">
        <v>28</v>
      </c>
    </row>
    <row r="7" spans="1:14" x14ac:dyDescent="0.25">
      <c r="A7" s="1" t="s">
        <v>120</v>
      </c>
      <c r="B7" s="11">
        <v>43831</v>
      </c>
      <c r="C7" s="19">
        <f>MONTH(B7)</f>
        <v>1</v>
      </c>
      <c r="D7" s="1" t="s">
        <v>59</v>
      </c>
      <c r="E7" s="2" t="str">
        <f>VLOOKUP(D7,Clientes!A:B,2,FALSE)</f>
        <v>Ronaldo Leite</v>
      </c>
      <c r="F7" s="2" t="str">
        <f>VLOOKUP(D7,Clientes!A:G,4,FALSE)</f>
        <v>Rua julia caseiro, 135</v>
      </c>
      <c r="G7" s="2" t="str">
        <f>VLOOKUP(D7,Clientes!A:G,5,FALSE)</f>
        <v>99687-2356</v>
      </c>
      <c r="H7" s="15">
        <v>2</v>
      </c>
      <c r="I7" s="2" t="str">
        <f>VLOOKUP(H7,Produtos!A:B,2,FALSE)</f>
        <v>Coxinha de Frango - 50 un.</v>
      </c>
      <c r="J7" s="15">
        <v>1</v>
      </c>
      <c r="K7" s="18">
        <f>VLOOKUP(H7,Produtos!A:F,6,FALSE)</f>
        <v>27.75</v>
      </c>
      <c r="L7" s="10">
        <f>K7*J7</f>
        <v>27.75</v>
      </c>
    </row>
    <row r="8" spans="1:14" x14ac:dyDescent="0.25">
      <c r="A8" s="1" t="s">
        <v>121</v>
      </c>
      <c r="B8" s="11">
        <f>B7+2</f>
        <v>43833</v>
      </c>
      <c r="C8" s="19">
        <f t="shared" ref="C8:C71" si="0">MONTH(B8)</f>
        <v>1</v>
      </c>
      <c r="D8" s="1" t="s">
        <v>60</v>
      </c>
      <c r="E8" s="2" t="str">
        <f>VLOOKUP(D8,Clientes!A:B,2,FALSE)</f>
        <v>Gilvan Souza</v>
      </c>
      <c r="F8" s="2" t="str">
        <f>VLOOKUP(D8,Clientes!A:G,4,FALSE)</f>
        <v>Rua 7 de setembro, 167</v>
      </c>
      <c r="G8" s="2" t="str">
        <f>VLOOKUP(D8,Clientes!A:G,5,FALSE)</f>
        <v>98187-2357</v>
      </c>
      <c r="H8" s="15">
        <v>3</v>
      </c>
      <c r="I8" s="2" t="str">
        <f>VLOOKUP(H8,Produtos!A:B,2,FALSE)</f>
        <v>Coxinha de Carne - 100 un.</v>
      </c>
      <c r="J8" s="15">
        <v>1</v>
      </c>
      <c r="K8" s="18">
        <f>VLOOKUP(H8,Produtos!A:F,6,FALSE)</f>
        <v>45</v>
      </c>
      <c r="L8" s="10">
        <f t="shared" ref="L8:L71" si="1">K8*J8</f>
        <v>45</v>
      </c>
    </row>
    <row r="9" spans="1:14" x14ac:dyDescent="0.25">
      <c r="A9" s="1" t="s">
        <v>122</v>
      </c>
      <c r="B9" s="11">
        <f>B8</f>
        <v>43833</v>
      </c>
      <c r="C9" s="19">
        <f t="shared" si="0"/>
        <v>1</v>
      </c>
      <c r="D9" s="1" t="s">
        <v>61</v>
      </c>
      <c r="E9" s="2" t="str">
        <f>VLOOKUP(D9,Clientes!A:B,2,FALSE)</f>
        <v>Pedro Silva</v>
      </c>
      <c r="F9" s="2" t="str">
        <f>VLOOKUP(D9,Clientes!A:G,4,FALSE)</f>
        <v>Rua Pedro Cabral, 89</v>
      </c>
      <c r="G9" s="2" t="str">
        <f>VLOOKUP(D9,Clientes!A:G,5,FALSE)</f>
        <v>99687-2358</v>
      </c>
      <c r="H9" s="15">
        <v>4</v>
      </c>
      <c r="I9" s="2" t="str">
        <f>VLOOKUP(H9,Produtos!A:B,2,FALSE)</f>
        <v>Coxinha de Carne - 50 un.</v>
      </c>
      <c r="J9" s="15">
        <v>3</v>
      </c>
      <c r="K9" s="18">
        <f>VLOOKUP(H9,Produtos!A:F,6,FALSE)</f>
        <v>27.75</v>
      </c>
      <c r="L9" s="10">
        <f t="shared" si="1"/>
        <v>83.25</v>
      </c>
    </row>
    <row r="10" spans="1:14" x14ac:dyDescent="0.25">
      <c r="A10" s="1" t="s">
        <v>123</v>
      </c>
      <c r="B10" s="11">
        <f>B9</f>
        <v>43833</v>
      </c>
      <c r="C10" s="19">
        <f t="shared" si="0"/>
        <v>1</v>
      </c>
      <c r="D10" s="1" t="s">
        <v>62</v>
      </c>
      <c r="E10" s="2" t="str">
        <f>VLOOKUP(D10,Clientes!A:B,2,FALSE)</f>
        <v>Gabriel Lanza</v>
      </c>
      <c r="F10" s="2" t="str">
        <f>VLOOKUP(D10,Clientes!A:G,4,FALSE)</f>
        <v>Rua Japão, 98</v>
      </c>
      <c r="G10" s="2" t="str">
        <f>VLOOKUP(D10,Clientes!A:G,5,FALSE)</f>
        <v>99687-2359</v>
      </c>
      <c r="H10" s="15">
        <v>6</v>
      </c>
      <c r="I10" s="2" t="str">
        <f>VLOOKUP(H10,Produtos!A:B,2,FALSE)</f>
        <v>Mini quibe 50 - un.</v>
      </c>
      <c r="J10" s="15">
        <v>4</v>
      </c>
      <c r="K10" s="18">
        <f>VLOOKUP(H10,Produtos!A:F,6,FALSE)</f>
        <v>27.75</v>
      </c>
      <c r="L10" s="10">
        <f t="shared" si="1"/>
        <v>111</v>
      </c>
    </row>
    <row r="11" spans="1:14" x14ac:dyDescent="0.25">
      <c r="A11" s="1" t="s">
        <v>124</v>
      </c>
      <c r="B11" s="11">
        <f>B10</f>
        <v>43833</v>
      </c>
      <c r="C11" s="19">
        <f t="shared" si="0"/>
        <v>1</v>
      </c>
      <c r="D11" s="1" t="s">
        <v>64</v>
      </c>
      <c r="E11" s="2" t="str">
        <f>VLOOKUP(D11,Clientes!A:B,2,FALSE)</f>
        <v>Eloá Azevedo</v>
      </c>
      <c r="F11" s="2" t="str">
        <f>VLOOKUP(D11,Clientes!A:G,4,FALSE)</f>
        <v>Rua Osvaldo Cruz,131</v>
      </c>
      <c r="G11" s="2" t="str">
        <f>VLOOKUP(D11,Clientes!A:G,5,FALSE)</f>
        <v>99787-2361</v>
      </c>
      <c r="H11" s="15">
        <v>7</v>
      </c>
      <c r="I11" s="2" t="str">
        <f>VLOOKUP(H11,Produtos!A:B,2,FALSE)</f>
        <v>Enroladinho  Salsicha - 100 un.</v>
      </c>
      <c r="J11" s="15">
        <v>3</v>
      </c>
      <c r="K11" s="18">
        <f>VLOOKUP(H11,Produtos!A:F,6,FALSE)</f>
        <v>54</v>
      </c>
      <c r="L11" s="10">
        <f t="shared" si="1"/>
        <v>162</v>
      </c>
    </row>
    <row r="12" spans="1:14" x14ac:dyDescent="0.25">
      <c r="A12" s="1" t="s">
        <v>125</v>
      </c>
      <c r="B12" s="11">
        <f>B11+3</f>
        <v>43836</v>
      </c>
      <c r="C12" s="19">
        <f t="shared" si="0"/>
        <v>1</v>
      </c>
      <c r="D12" s="1" t="s">
        <v>65</v>
      </c>
      <c r="E12" s="2" t="str">
        <f>VLOOKUP(D12,Clientes!A:B,2,FALSE)</f>
        <v>João Silva</v>
      </c>
      <c r="F12" s="2" t="str">
        <f>VLOOKUP(D12,Clientes!A:G,4,FALSE)</f>
        <v>Rua Joaquim Silva, 76</v>
      </c>
      <c r="G12" s="2" t="str">
        <f>VLOOKUP(D12,Clientes!A:G,5,FALSE)</f>
        <v>99687-2362</v>
      </c>
      <c r="H12" s="15">
        <v>15</v>
      </c>
      <c r="I12" s="2" t="str">
        <f>VLOOKUP(H12,Produtos!A:B,2,FALSE)</f>
        <v>Brigadeiro 100 un.</v>
      </c>
      <c r="J12" s="15">
        <v>1</v>
      </c>
      <c r="K12" s="18">
        <f>VLOOKUP(H12,Produtos!A:F,6,FALSE)</f>
        <v>40</v>
      </c>
      <c r="L12" s="10">
        <f t="shared" si="1"/>
        <v>40</v>
      </c>
    </row>
    <row r="13" spans="1:14" x14ac:dyDescent="0.25">
      <c r="A13" s="1" t="s">
        <v>126</v>
      </c>
      <c r="B13" s="11">
        <f>B12</f>
        <v>43836</v>
      </c>
      <c r="C13" s="19">
        <f t="shared" si="0"/>
        <v>1</v>
      </c>
      <c r="D13" s="1" t="s">
        <v>66</v>
      </c>
      <c r="E13" s="2" t="str">
        <f>VLOOKUP(D13,Clientes!A:B,2,FALSE)</f>
        <v>Junior Henrique</v>
      </c>
      <c r="F13" s="2" t="str">
        <f>VLOOKUP(D13,Clientes!A:G,4,FALSE)</f>
        <v>Av. das americas, 99</v>
      </c>
      <c r="G13" s="2" t="str">
        <f>VLOOKUP(D13,Clientes!A:G,5,FALSE)</f>
        <v>99687-2363</v>
      </c>
      <c r="H13" s="15">
        <v>16</v>
      </c>
      <c r="I13" s="2" t="str">
        <f>VLOOKUP(H13,Produtos!A:B,2,FALSE)</f>
        <v>Brigadeiro 50 un.</v>
      </c>
      <c r="J13" s="15">
        <v>2</v>
      </c>
      <c r="K13" s="18">
        <f>VLOOKUP(H13,Produtos!A:F,6,FALSE)</f>
        <v>25.200000000000003</v>
      </c>
      <c r="L13" s="10">
        <f t="shared" si="1"/>
        <v>50.400000000000006</v>
      </c>
    </row>
    <row r="14" spans="1:14" x14ac:dyDescent="0.25">
      <c r="A14" s="1" t="s">
        <v>127</v>
      </c>
      <c r="B14" s="11">
        <f>B13</f>
        <v>43836</v>
      </c>
      <c r="C14" s="19">
        <f t="shared" si="0"/>
        <v>1</v>
      </c>
      <c r="D14" s="1" t="s">
        <v>67</v>
      </c>
      <c r="E14" s="2" t="str">
        <f>VLOOKUP(D14,Clientes!A:B,2,FALSE)</f>
        <v>Gabriela Antunes</v>
      </c>
      <c r="F14" s="2" t="str">
        <f>VLOOKUP(D14,Clientes!A:G,4,FALSE)</f>
        <v>Rua 11 de Novembro, 55</v>
      </c>
      <c r="G14" s="2" t="str">
        <f>VLOOKUP(D14,Clientes!A:G,5,FALSE)</f>
        <v>98187-2364</v>
      </c>
      <c r="H14" s="15">
        <v>2</v>
      </c>
      <c r="I14" s="2" t="str">
        <f>VLOOKUP(H14,Produtos!A:B,2,FALSE)</f>
        <v>Coxinha de Frango - 50 un.</v>
      </c>
      <c r="J14" s="15">
        <v>2</v>
      </c>
      <c r="K14" s="18">
        <f>VLOOKUP(H14,Produtos!A:F,6,FALSE)</f>
        <v>27.75</v>
      </c>
      <c r="L14" s="10">
        <f t="shared" si="1"/>
        <v>55.5</v>
      </c>
      <c r="N14" s="23"/>
    </row>
    <row r="15" spans="1:14" x14ac:dyDescent="0.25">
      <c r="A15" s="1" t="s">
        <v>128</v>
      </c>
      <c r="B15" s="11">
        <v>43837</v>
      </c>
      <c r="C15" s="19">
        <f t="shared" si="0"/>
        <v>1</v>
      </c>
      <c r="D15" s="1" t="s">
        <v>65</v>
      </c>
      <c r="E15" s="2" t="str">
        <f>VLOOKUP(D15,Clientes!A:B,2,FALSE)</f>
        <v>João Silva</v>
      </c>
      <c r="F15" s="2" t="str">
        <f>VLOOKUP(D15,Clientes!A:G,4,FALSE)</f>
        <v>Rua Joaquim Silva, 76</v>
      </c>
      <c r="G15" s="2" t="str">
        <f>VLOOKUP(D15,Clientes!A:G,5,FALSE)</f>
        <v>99687-2362</v>
      </c>
      <c r="H15" s="15">
        <v>3</v>
      </c>
      <c r="I15" s="2" t="str">
        <f>VLOOKUP(H15,Produtos!A:B,2,FALSE)</f>
        <v>Coxinha de Carne - 100 un.</v>
      </c>
      <c r="J15" s="15">
        <v>3</v>
      </c>
      <c r="K15" s="18">
        <f>VLOOKUP(H15,Produtos!A:F,6,FALSE)</f>
        <v>45</v>
      </c>
      <c r="L15" s="10">
        <f t="shared" si="1"/>
        <v>135</v>
      </c>
    </row>
    <row r="16" spans="1:14" x14ac:dyDescent="0.25">
      <c r="A16" s="1" t="s">
        <v>129</v>
      </c>
      <c r="B16" s="11">
        <v>43838</v>
      </c>
      <c r="C16" s="19">
        <f t="shared" si="0"/>
        <v>1</v>
      </c>
      <c r="D16" s="1" t="s">
        <v>62</v>
      </c>
      <c r="E16" s="2" t="str">
        <f>VLOOKUP(D16,Clientes!A:B,2,FALSE)</f>
        <v>Gabriel Lanza</v>
      </c>
      <c r="F16" s="2" t="str">
        <f>VLOOKUP(D16,Clientes!A:G,4,FALSE)</f>
        <v>Rua Japão, 98</v>
      </c>
      <c r="G16" s="2" t="str">
        <f>VLOOKUP(D16,Clientes!A:G,5,FALSE)</f>
        <v>99687-2359</v>
      </c>
      <c r="H16" s="15">
        <v>4</v>
      </c>
      <c r="I16" s="2" t="str">
        <f>VLOOKUP(H16,Produtos!A:B,2,FALSE)</f>
        <v>Coxinha de Carne - 50 un.</v>
      </c>
      <c r="J16" s="15">
        <v>4</v>
      </c>
      <c r="K16" s="18">
        <f>VLOOKUP(H16,Produtos!A:F,6,FALSE)</f>
        <v>27.75</v>
      </c>
      <c r="L16" s="10">
        <f t="shared" si="1"/>
        <v>111</v>
      </c>
    </row>
    <row r="17" spans="1:12" x14ac:dyDescent="0.25">
      <c r="A17" s="1" t="s">
        <v>130</v>
      </c>
      <c r="B17" s="11">
        <v>43838</v>
      </c>
      <c r="C17" s="19">
        <f t="shared" si="0"/>
        <v>1</v>
      </c>
      <c r="D17" s="1" t="s">
        <v>67</v>
      </c>
      <c r="E17" s="2" t="str">
        <f>VLOOKUP(D17,Clientes!A:B,2,FALSE)</f>
        <v>Gabriela Antunes</v>
      </c>
      <c r="F17" s="2" t="str">
        <f>VLOOKUP(D17,Clientes!A:G,4,FALSE)</f>
        <v>Rua 11 de Novembro, 55</v>
      </c>
      <c r="G17" s="2" t="str">
        <f>VLOOKUP(D17,Clientes!A:G,5,FALSE)</f>
        <v>98187-2364</v>
      </c>
      <c r="H17" s="15">
        <v>17</v>
      </c>
      <c r="I17" s="2" t="str">
        <f>VLOOKUP(H17,Produtos!A:B,2,FALSE)</f>
        <v>Beijinho 100 un.</v>
      </c>
      <c r="J17" s="15">
        <v>4</v>
      </c>
      <c r="K17" s="18">
        <f>VLOOKUP(H17,Produtos!A:F,6,FALSE)</f>
        <v>40</v>
      </c>
      <c r="L17" s="10">
        <f t="shared" si="1"/>
        <v>160</v>
      </c>
    </row>
    <row r="18" spans="1:12" x14ac:dyDescent="0.25">
      <c r="A18" s="1" t="s">
        <v>131</v>
      </c>
      <c r="B18" s="11">
        <v>43838</v>
      </c>
      <c r="C18" s="19">
        <f t="shared" si="0"/>
        <v>1</v>
      </c>
      <c r="D18" s="1" t="s">
        <v>68</v>
      </c>
      <c r="E18" s="2" t="str">
        <f>VLOOKUP(D18,Clientes!A:B,2,FALSE)</f>
        <v>Paulo Cesar</v>
      </c>
      <c r="F18" s="2" t="str">
        <f>VLOOKUP(D18,Clientes!A:G,4,FALSE)</f>
        <v>Rua Joao emilio, 13</v>
      </c>
      <c r="G18" s="2" t="str">
        <f>VLOOKUP(D18,Clientes!A:G,5,FALSE)</f>
        <v>99687-2365</v>
      </c>
      <c r="H18" s="15">
        <v>16</v>
      </c>
      <c r="I18" s="2" t="str">
        <f>VLOOKUP(H18,Produtos!A:B,2,FALSE)</f>
        <v>Brigadeiro 50 un.</v>
      </c>
      <c r="J18" s="15">
        <v>2</v>
      </c>
      <c r="K18" s="18">
        <f>VLOOKUP(H18,Produtos!A:F,6,FALSE)</f>
        <v>25.200000000000003</v>
      </c>
      <c r="L18" s="10">
        <f t="shared" si="1"/>
        <v>50.400000000000006</v>
      </c>
    </row>
    <row r="19" spans="1:12" x14ac:dyDescent="0.25">
      <c r="A19" s="1" t="s">
        <v>132</v>
      </c>
      <c r="B19" s="11">
        <v>43838</v>
      </c>
      <c r="C19" s="19">
        <f t="shared" si="0"/>
        <v>1</v>
      </c>
      <c r="D19" s="1" t="s">
        <v>69</v>
      </c>
      <c r="E19" s="2" t="str">
        <f>VLOOKUP(D19,Clientes!A:B,2,FALSE)</f>
        <v>Alexandre Souza</v>
      </c>
      <c r="F19" s="2" t="str">
        <f>VLOOKUP(D19,Clientes!A:G,4,FALSE)</f>
        <v>Rua São Simao, 43</v>
      </c>
      <c r="G19" s="2" t="str">
        <f>VLOOKUP(D19,Clientes!A:G,5,FALSE)</f>
        <v>99687-2366</v>
      </c>
      <c r="H19" s="15">
        <v>11</v>
      </c>
      <c r="I19" s="2" t="str">
        <f>VLOOKUP(H19,Produtos!A:B,2,FALSE)</f>
        <v>Esfiha de Frango - 100 un.</v>
      </c>
      <c r="J19" s="15">
        <v>2</v>
      </c>
      <c r="K19" s="18">
        <f>VLOOKUP(H19,Produtos!A:F,6,FALSE)</f>
        <v>50.400000000000006</v>
      </c>
      <c r="L19" s="10">
        <f t="shared" si="1"/>
        <v>100.80000000000001</v>
      </c>
    </row>
    <row r="20" spans="1:12" x14ac:dyDescent="0.25">
      <c r="A20" s="1" t="s">
        <v>133</v>
      </c>
      <c r="B20" s="11">
        <v>43839</v>
      </c>
      <c r="C20" s="19">
        <f t="shared" si="0"/>
        <v>1</v>
      </c>
      <c r="D20" s="1" t="s">
        <v>70</v>
      </c>
      <c r="E20" s="2" t="str">
        <f>VLOOKUP(D20,Clientes!A:B,2,FALSE)</f>
        <v>Amanda Souza</v>
      </c>
      <c r="F20" s="2" t="str">
        <f>VLOOKUP(D20,Clientes!A:G,4,FALSE)</f>
        <v>Rua México, 76</v>
      </c>
      <c r="G20" s="2" t="str">
        <f>VLOOKUP(D20,Clientes!A:G,5,FALSE)</f>
        <v>99687-2367</v>
      </c>
      <c r="H20" s="15">
        <v>3</v>
      </c>
      <c r="I20" s="2" t="str">
        <f>VLOOKUP(H20,Produtos!A:B,2,FALSE)</f>
        <v>Coxinha de Carne - 100 un.</v>
      </c>
      <c r="J20" s="15">
        <v>1</v>
      </c>
      <c r="K20" s="18">
        <f>VLOOKUP(H20,Produtos!A:F,6,FALSE)</f>
        <v>45</v>
      </c>
      <c r="L20" s="10">
        <f t="shared" si="1"/>
        <v>45</v>
      </c>
    </row>
    <row r="21" spans="1:12" x14ac:dyDescent="0.25">
      <c r="A21" s="1" t="s">
        <v>134</v>
      </c>
      <c r="B21" s="11">
        <v>43839</v>
      </c>
      <c r="C21" s="19">
        <f t="shared" si="0"/>
        <v>1</v>
      </c>
      <c r="D21" s="1" t="s">
        <v>71</v>
      </c>
      <c r="E21" s="2" t="str">
        <f>VLOOKUP(D21,Clientes!A:B,2,FALSE)</f>
        <v>Alice Silva</v>
      </c>
      <c r="F21" s="2" t="str">
        <f>VLOOKUP(D21,Clientes!A:G,4,FALSE)</f>
        <v>Rua Pernambucanos, 31</v>
      </c>
      <c r="G21" s="2" t="str">
        <f>VLOOKUP(D21,Clientes!A:G,5,FALSE)</f>
        <v>99687-2368</v>
      </c>
      <c r="H21" s="15">
        <v>2</v>
      </c>
      <c r="I21" s="2" t="str">
        <f>VLOOKUP(H21,Produtos!A:B,2,FALSE)</f>
        <v>Coxinha de Frango - 50 un.</v>
      </c>
      <c r="J21" s="15">
        <v>4</v>
      </c>
      <c r="K21" s="18">
        <f>VLOOKUP(H21,Produtos!A:F,6,FALSE)</f>
        <v>27.75</v>
      </c>
      <c r="L21" s="10">
        <f t="shared" si="1"/>
        <v>111</v>
      </c>
    </row>
    <row r="22" spans="1:12" x14ac:dyDescent="0.25">
      <c r="A22" s="1" t="s">
        <v>135</v>
      </c>
      <c r="B22" s="11">
        <v>43839</v>
      </c>
      <c r="C22" s="19">
        <f t="shared" si="0"/>
        <v>1</v>
      </c>
      <c r="D22" s="1" t="s">
        <v>64</v>
      </c>
      <c r="E22" s="2" t="str">
        <f>VLOOKUP(D22,Clientes!A:B,2,FALSE)</f>
        <v>Eloá Azevedo</v>
      </c>
      <c r="F22" s="2" t="str">
        <f>VLOOKUP(D22,Clientes!A:G,4,FALSE)</f>
        <v>Rua Osvaldo Cruz,131</v>
      </c>
      <c r="G22" s="2" t="str">
        <f>VLOOKUP(D22,Clientes!A:G,5,FALSE)</f>
        <v>99787-2361</v>
      </c>
      <c r="H22" s="15">
        <v>5</v>
      </c>
      <c r="I22" s="2" t="str">
        <f>VLOOKUP(H22,Produtos!A:B,2,FALSE)</f>
        <v>Mini quibe 100 - un.</v>
      </c>
      <c r="J22" s="15">
        <v>2</v>
      </c>
      <c r="K22" s="18">
        <f>VLOOKUP(H22,Produtos!A:F,6,FALSE)</f>
        <v>45</v>
      </c>
      <c r="L22" s="10">
        <f t="shared" si="1"/>
        <v>90</v>
      </c>
    </row>
    <row r="23" spans="1:12" x14ac:dyDescent="0.25">
      <c r="A23" s="1" t="s">
        <v>136</v>
      </c>
      <c r="B23" s="11">
        <v>43839</v>
      </c>
      <c r="C23" s="19">
        <f t="shared" si="0"/>
        <v>1</v>
      </c>
      <c r="D23" s="1" t="s">
        <v>65</v>
      </c>
      <c r="E23" s="2" t="str">
        <f>VLOOKUP(D23,Clientes!A:B,2,FALSE)</f>
        <v>João Silva</v>
      </c>
      <c r="F23" s="2" t="str">
        <f>VLOOKUP(D23,Clientes!A:G,4,FALSE)</f>
        <v>Rua Joaquim Silva, 76</v>
      </c>
      <c r="G23" s="2" t="str">
        <f>VLOOKUP(D23,Clientes!A:G,5,FALSE)</f>
        <v>99687-2362</v>
      </c>
      <c r="H23" s="15">
        <v>14</v>
      </c>
      <c r="I23" s="2" t="str">
        <f>VLOOKUP(H23,Produtos!A:B,2,FALSE)</f>
        <v>Guaraná 2L - 2 un.</v>
      </c>
      <c r="J23" s="15">
        <v>1</v>
      </c>
      <c r="K23" s="18">
        <f>VLOOKUP(H23,Produtos!A:F,6,FALSE)</f>
        <v>16.100000000000001</v>
      </c>
      <c r="L23" s="10">
        <f t="shared" si="1"/>
        <v>16.100000000000001</v>
      </c>
    </row>
    <row r="24" spans="1:12" x14ac:dyDescent="0.25">
      <c r="A24" s="1" t="s">
        <v>137</v>
      </c>
      <c r="B24" s="11">
        <v>43839</v>
      </c>
      <c r="C24" s="19">
        <f t="shared" si="0"/>
        <v>1</v>
      </c>
      <c r="D24" s="1" t="s">
        <v>62</v>
      </c>
      <c r="E24" s="2" t="str">
        <f>VLOOKUP(D24,Clientes!A:B,2,FALSE)</f>
        <v>Gabriel Lanza</v>
      </c>
      <c r="F24" s="2" t="str">
        <f>VLOOKUP(D24,Clientes!A:G,4,FALSE)</f>
        <v>Rua Japão, 98</v>
      </c>
      <c r="G24" s="2" t="str">
        <f>VLOOKUP(D24,Clientes!A:G,5,FALSE)</f>
        <v>99687-2359</v>
      </c>
      <c r="H24" s="15">
        <v>15</v>
      </c>
      <c r="I24" s="2" t="str">
        <f>VLOOKUP(H24,Produtos!A:B,2,FALSE)</f>
        <v>Brigadeiro 100 un.</v>
      </c>
      <c r="J24" s="15">
        <v>3</v>
      </c>
      <c r="K24" s="18">
        <f>VLOOKUP(H24,Produtos!A:F,6,FALSE)</f>
        <v>40</v>
      </c>
      <c r="L24" s="10">
        <f t="shared" si="1"/>
        <v>120</v>
      </c>
    </row>
    <row r="25" spans="1:12" x14ac:dyDescent="0.25">
      <c r="A25" s="1" t="s">
        <v>138</v>
      </c>
      <c r="B25" s="11">
        <v>43839</v>
      </c>
      <c r="C25" s="19">
        <f t="shared" si="0"/>
        <v>1</v>
      </c>
      <c r="D25" s="1" t="s">
        <v>67</v>
      </c>
      <c r="E25" s="2" t="str">
        <f>VLOOKUP(D25,Clientes!A:B,2,FALSE)</f>
        <v>Gabriela Antunes</v>
      </c>
      <c r="F25" s="2" t="str">
        <f>VLOOKUP(D25,Clientes!A:G,4,FALSE)</f>
        <v>Rua 11 de Novembro, 55</v>
      </c>
      <c r="G25" s="2" t="str">
        <f>VLOOKUP(D25,Clientes!A:G,5,FALSE)</f>
        <v>98187-2364</v>
      </c>
      <c r="H25" s="15">
        <v>6</v>
      </c>
      <c r="I25" s="2" t="str">
        <f>VLOOKUP(H25,Produtos!A:B,2,FALSE)</f>
        <v>Mini quibe 50 - un.</v>
      </c>
      <c r="J25" s="15">
        <v>2</v>
      </c>
      <c r="K25" s="18">
        <f>VLOOKUP(H25,Produtos!A:F,6,FALSE)</f>
        <v>27.75</v>
      </c>
      <c r="L25" s="10">
        <f t="shared" si="1"/>
        <v>55.5</v>
      </c>
    </row>
    <row r="26" spans="1:12" x14ac:dyDescent="0.25">
      <c r="A26" s="1" t="s">
        <v>139</v>
      </c>
      <c r="B26" s="11">
        <v>43841</v>
      </c>
      <c r="C26" s="19">
        <f t="shared" si="0"/>
        <v>1</v>
      </c>
      <c r="D26" s="1" t="s">
        <v>68</v>
      </c>
      <c r="E26" s="2" t="str">
        <f>VLOOKUP(D26,Clientes!A:B,2,FALSE)</f>
        <v>Paulo Cesar</v>
      </c>
      <c r="F26" s="2" t="str">
        <f>VLOOKUP(D26,Clientes!A:G,4,FALSE)</f>
        <v>Rua Joao emilio, 13</v>
      </c>
      <c r="G26" s="2" t="str">
        <f>VLOOKUP(D26,Clientes!A:G,5,FALSE)</f>
        <v>99687-2365</v>
      </c>
      <c r="H26" s="15">
        <v>1</v>
      </c>
      <c r="I26" s="2" t="str">
        <f>VLOOKUP(H26,Produtos!A:B,2,FALSE)</f>
        <v>Coxinha de Frango - 100 un.</v>
      </c>
      <c r="J26" s="15">
        <v>2</v>
      </c>
      <c r="K26" s="18">
        <f>VLOOKUP(H26,Produtos!A:F,6,FALSE)</f>
        <v>45</v>
      </c>
      <c r="L26" s="10">
        <f t="shared" si="1"/>
        <v>90</v>
      </c>
    </row>
    <row r="27" spans="1:12" x14ac:dyDescent="0.25">
      <c r="A27" s="1" t="s">
        <v>140</v>
      </c>
      <c r="B27" s="11">
        <f>B26+2</f>
        <v>43843</v>
      </c>
      <c r="C27" s="19">
        <f t="shared" si="0"/>
        <v>1</v>
      </c>
      <c r="D27" s="1" t="s">
        <v>69</v>
      </c>
      <c r="E27" s="2" t="str">
        <f>VLOOKUP(D27,Clientes!A:B,2,FALSE)</f>
        <v>Alexandre Souza</v>
      </c>
      <c r="F27" s="2" t="str">
        <f>VLOOKUP(D27,Clientes!A:G,4,FALSE)</f>
        <v>Rua São Simao, 43</v>
      </c>
      <c r="G27" s="2" t="str">
        <f>VLOOKUP(D27,Clientes!A:G,5,FALSE)</f>
        <v>99687-2366</v>
      </c>
      <c r="H27" s="15">
        <v>12</v>
      </c>
      <c r="I27" s="2" t="str">
        <f>VLOOKUP(H27,Produtos!A:B,2,FALSE)</f>
        <v>Esfiha de Frango - 50 un.</v>
      </c>
      <c r="J27" s="15">
        <v>2</v>
      </c>
      <c r="K27" s="18">
        <f>VLOOKUP(H27,Produtos!A:F,6,FALSE)</f>
        <v>37</v>
      </c>
      <c r="L27" s="10">
        <f t="shared" si="1"/>
        <v>74</v>
      </c>
    </row>
    <row r="28" spans="1:12" x14ac:dyDescent="0.25">
      <c r="A28" s="1" t="s">
        <v>141</v>
      </c>
      <c r="B28" s="11">
        <f t="shared" ref="B28:B35" si="2">B27+2</f>
        <v>43845</v>
      </c>
      <c r="C28" s="19">
        <f t="shared" si="0"/>
        <v>1</v>
      </c>
      <c r="D28" s="1" t="s">
        <v>70</v>
      </c>
      <c r="E28" s="2" t="str">
        <f>VLOOKUP(D28,Clientes!A:B,2,FALSE)</f>
        <v>Amanda Souza</v>
      </c>
      <c r="F28" s="2" t="str">
        <f>VLOOKUP(D28,Clientes!A:G,4,FALSE)</f>
        <v>Rua México, 76</v>
      </c>
      <c r="G28" s="2" t="str">
        <f>VLOOKUP(D28,Clientes!A:G,5,FALSE)</f>
        <v>99687-2367</v>
      </c>
      <c r="H28" s="15">
        <v>10</v>
      </c>
      <c r="I28" s="2" t="str">
        <f>VLOOKUP(H28,Produtos!A:B,2,FALSE)</f>
        <v>Esfiha de Carne - 50 un.</v>
      </c>
      <c r="J28" s="15">
        <v>3</v>
      </c>
      <c r="K28" s="18">
        <f>VLOOKUP(H28,Produtos!A:F,6,FALSE)</f>
        <v>37</v>
      </c>
      <c r="L28" s="10">
        <f t="shared" si="1"/>
        <v>111</v>
      </c>
    </row>
    <row r="29" spans="1:12" x14ac:dyDescent="0.25">
      <c r="A29" s="1" t="s">
        <v>142</v>
      </c>
      <c r="B29" s="11">
        <f t="shared" si="2"/>
        <v>43847</v>
      </c>
      <c r="C29" s="19">
        <f t="shared" si="0"/>
        <v>1</v>
      </c>
      <c r="D29" s="1" t="s">
        <v>71</v>
      </c>
      <c r="E29" s="2" t="str">
        <f>VLOOKUP(D29,Clientes!A:B,2,FALSE)</f>
        <v>Alice Silva</v>
      </c>
      <c r="F29" s="2" t="str">
        <f>VLOOKUP(D29,Clientes!A:G,4,FALSE)</f>
        <v>Rua Pernambucanos, 31</v>
      </c>
      <c r="G29" s="2" t="str">
        <f>VLOOKUP(D29,Clientes!A:G,5,FALSE)</f>
        <v>99687-2368</v>
      </c>
      <c r="H29" s="15">
        <v>9</v>
      </c>
      <c r="I29" s="2" t="str">
        <f>VLOOKUP(H29,Produtos!A:B,2,FALSE)</f>
        <v>Esfiha de Carne - 100 un.</v>
      </c>
      <c r="J29" s="15">
        <v>2</v>
      </c>
      <c r="K29" s="18">
        <f>VLOOKUP(H29,Produtos!A:F,6,FALSE)</f>
        <v>50.400000000000006</v>
      </c>
      <c r="L29" s="10">
        <f t="shared" si="1"/>
        <v>100.80000000000001</v>
      </c>
    </row>
    <row r="30" spans="1:12" x14ac:dyDescent="0.25">
      <c r="A30" s="1" t="s">
        <v>143</v>
      </c>
      <c r="B30" s="11">
        <f t="shared" si="2"/>
        <v>43849</v>
      </c>
      <c r="C30" s="19">
        <f t="shared" si="0"/>
        <v>1</v>
      </c>
      <c r="D30" s="1" t="s">
        <v>70</v>
      </c>
      <c r="E30" s="2" t="str">
        <f>VLOOKUP(D30,Clientes!A:B,2,FALSE)</f>
        <v>Amanda Souza</v>
      </c>
      <c r="F30" s="2" t="str">
        <f>VLOOKUP(D30,Clientes!A:G,4,FALSE)</f>
        <v>Rua México, 76</v>
      </c>
      <c r="G30" s="2" t="str">
        <f>VLOOKUP(D30,Clientes!A:G,5,FALSE)</f>
        <v>99687-2367</v>
      </c>
      <c r="H30" s="15">
        <v>3</v>
      </c>
      <c r="I30" s="2" t="str">
        <f>VLOOKUP(H30,Produtos!A:B,2,FALSE)</f>
        <v>Coxinha de Carne - 100 un.</v>
      </c>
      <c r="J30" s="15">
        <v>2</v>
      </c>
      <c r="K30" s="18">
        <f>VLOOKUP(H30,Produtos!A:F,6,FALSE)</f>
        <v>45</v>
      </c>
      <c r="L30" s="10">
        <f t="shared" si="1"/>
        <v>90</v>
      </c>
    </row>
    <row r="31" spans="1:12" x14ac:dyDescent="0.25">
      <c r="A31" s="1" t="s">
        <v>144</v>
      </c>
      <c r="B31" s="11">
        <f t="shared" si="2"/>
        <v>43851</v>
      </c>
      <c r="C31" s="19">
        <f t="shared" si="0"/>
        <v>1</v>
      </c>
      <c r="D31" s="1" t="s">
        <v>71</v>
      </c>
      <c r="E31" s="2" t="str">
        <f>VLOOKUP(D31,Clientes!A:B,2,FALSE)</f>
        <v>Alice Silva</v>
      </c>
      <c r="F31" s="2" t="str">
        <f>VLOOKUP(D31,Clientes!A:G,4,FALSE)</f>
        <v>Rua Pernambucanos, 31</v>
      </c>
      <c r="G31" s="2" t="str">
        <f>VLOOKUP(D31,Clientes!A:G,5,FALSE)</f>
        <v>99687-2368</v>
      </c>
      <c r="H31" s="15">
        <v>8</v>
      </c>
      <c r="I31" s="2" t="str">
        <f>VLOOKUP(H31,Produtos!A:B,2,FALSE)</f>
        <v>Enroladinho  Salsicha -  50 un.</v>
      </c>
      <c r="J31" s="15">
        <v>1</v>
      </c>
      <c r="K31" s="18">
        <f>VLOOKUP(H31,Produtos!A:F,6,FALSE)</f>
        <v>46.25</v>
      </c>
      <c r="L31" s="10">
        <f t="shared" si="1"/>
        <v>46.25</v>
      </c>
    </row>
    <row r="32" spans="1:12" x14ac:dyDescent="0.25">
      <c r="A32" s="1" t="s">
        <v>145</v>
      </c>
      <c r="B32" s="11">
        <f t="shared" si="2"/>
        <v>43853</v>
      </c>
      <c r="C32" s="19">
        <f t="shared" si="0"/>
        <v>1</v>
      </c>
      <c r="D32" s="1" t="s">
        <v>62</v>
      </c>
      <c r="E32" s="2" t="str">
        <f>VLOOKUP(D32,Clientes!A:B,2,FALSE)</f>
        <v>Gabriel Lanza</v>
      </c>
      <c r="F32" s="2" t="str">
        <f>VLOOKUP(D32,Clientes!A:G,4,FALSE)</f>
        <v>Rua Japão, 98</v>
      </c>
      <c r="G32" s="2" t="str">
        <f>VLOOKUP(D32,Clientes!A:G,5,FALSE)</f>
        <v>99687-2359</v>
      </c>
      <c r="H32" s="15">
        <v>15</v>
      </c>
      <c r="I32" s="2" t="str">
        <f>VLOOKUP(H32,Produtos!A:B,2,FALSE)</f>
        <v>Brigadeiro 100 un.</v>
      </c>
      <c r="J32" s="15">
        <v>3</v>
      </c>
      <c r="K32" s="18">
        <f>VLOOKUP(H32,Produtos!A:F,6,FALSE)</f>
        <v>40</v>
      </c>
      <c r="L32" s="10">
        <f t="shared" si="1"/>
        <v>120</v>
      </c>
    </row>
    <row r="33" spans="1:12" x14ac:dyDescent="0.25">
      <c r="A33" s="1" t="s">
        <v>146</v>
      </c>
      <c r="B33" s="11">
        <f t="shared" si="2"/>
        <v>43855</v>
      </c>
      <c r="C33" s="19">
        <f t="shared" si="0"/>
        <v>1</v>
      </c>
      <c r="D33" s="1" t="s">
        <v>65</v>
      </c>
      <c r="E33" s="2" t="str">
        <f>VLOOKUP(D33,Clientes!A:B,2,FALSE)</f>
        <v>João Silva</v>
      </c>
      <c r="F33" s="2" t="str">
        <f>VLOOKUP(D33,Clientes!A:G,4,FALSE)</f>
        <v>Rua Joaquim Silva, 76</v>
      </c>
      <c r="G33" s="2" t="str">
        <f>VLOOKUP(D33,Clientes!A:G,5,FALSE)</f>
        <v>99687-2362</v>
      </c>
      <c r="H33" s="15">
        <v>5</v>
      </c>
      <c r="I33" s="2" t="str">
        <f>VLOOKUP(H33,Produtos!A:B,2,FALSE)</f>
        <v>Mini quibe 100 - un.</v>
      </c>
      <c r="J33" s="15">
        <v>4</v>
      </c>
      <c r="K33" s="18">
        <f>VLOOKUP(H33,Produtos!A:F,6,FALSE)</f>
        <v>45</v>
      </c>
      <c r="L33" s="10">
        <f t="shared" si="1"/>
        <v>180</v>
      </c>
    </row>
    <row r="34" spans="1:12" x14ac:dyDescent="0.25">
      <c r="A34" s="1" t="s">
        <v>147</v>
      </c>
      <c r="B34" s="11">
        <f t="shared" si="2"/>
        <v>43857</v>
      </c>
      <c r="C34" s="19">
        <f t="shared" si="0"/>
        <v>1</v>
      </c>
      <c r="D34" s="1" t="s">
        <v>66</v>
      </c>
      <c r="E34" s="2" t="str">
        <f>VLOOKUP(D34,Clientes!A:B,2,FALSE)</f>
        <v>Junior Henrique</v>
      </c>
      <c r="F34" s="2" t="str">
        <f>VLOOKUP(D34,Clientes!A:G,4,FALSE)</f>
        <v>Av. das americas, 99</v>
      </c>
      <c r="G34" s="2" t="str">
        <f>VLOOKUP(D34,Clientes!A:G,5,FALSE)</f>
        <v>99687-2363</v>
      </c>
      <c r="H34" s="15">
        <v>18</v>
      </c>
      <c r="I34" s="2" t="str">
        <f>VLOOKUP(H34,Produtos!A:B,2,FALSE)</f>
        <v>Beijinho 50 un.</v>
      </c>
      <c r="J34" s="15">
        <v>2</v>
      </c>
      <c r="K34" s="18">
        <f>VLOOKUP(H34,Produtos!A:F,6,FALSE)</f>
        <v>25.200000000000003</v>
      </c>
      <c r="L34" s="10">
        <f t="shared" si="1"/>
        <v>50.400000000000006</v>
      </c>
    </row>
    <row r="35" spans="1:12" x14ac:dyDescent="0.25">
      <c r="A35" s="1" t="s">
        <v>148</v>
      </c>
      <c r="B35" s="11">
        <f t="shared" si="2"/>
        <v>43859</v>
      </c>
      <c r="C35" s="19">
        <f t="shared" si="0"/>
        <v>1</v>
      </c>
      <c r="D35" s="1" t="s">
        <v>67</v>
      </c>
      <c r="E35" s="2" t="str">
        <f>VLOOKUP(D35,Clientes!A:B,2,FALSE)</f>
        <v>Gabriela Antunes</v>
      </c>
      <c r="F35" s="2" t="str">
        <f>VLOOKUP(D35,Clientes!A:G,4,FALSE)</f>
        <v>Rua 11 de Novembro, 55</v>
      </c>
      <c r="G35" s="2" t="str">
        <f>VLOOKUP(D35,Clientes!A:G,5,FALSE)</f>
        <v>98187-2364</v>
      </c>
      <c r="H35" s="15">
        <v>1</v>
      </c>
      <c r="I35" s="2" t="str">
        <f>VLOOKUP(H35,Produtos!A:B,2,FALSE)</f>
        <v>Coxinha de Frango - 100 un.</v>
      </c>
      <c r="J35" s="15">
        <v>2</v>
      </c>
      <c r="K35" s="18">
        <f>VLOOKUP(H35,Produtos!A:F,6,FALSE)</f>
        <v>45</v>
      </c>
      <c r="L35" s="10">
        <f t="shared" si="1"/>
        <v>90</v>
      </c>
    </row>
    <row r="36" spans="1:12" x14ac:dyDescent="0.25">
      <c r="A36" s="1" t="s">
        <v>149</v>
      </c>
      <c r="B36" s="11">
        <f>B35+2</f>
        <v>43861</v>
      </c>
      <c r="C36" s="19">
        <f t="shared" si="0"/>
        <v>1</v>
      </c>
      <c r="D36" s="1" t="s">
        <v>65</v>
      </c>
      <c r="E36" s="2" t="str">
        <f>VLOOKUP(D36,Clientes!A:B,2,FALSE)</f>
        <v>João Silva</v>
      </c>
      <c r="F36" s="2" t="str">
        <f>VLOOKUP(D36,Clientes!A:G,4,FALSE)</f>
        <v>Rua Joaquim Silva, 76</v>
      </c>
      <c r="G36" s="2" t="str">
        <f>VLOOKUP(D36,Clientes!A:G,5,FALSE)</f>
        <v>99687-2362</v>
      </c>
      <c r="H36" s="15">
        <v>11</v>
      </c>
      <c r="I36" s="2" t="str">
        <f>VLOOKUP(H36,Produtos!A:B,2,FALSE)</f>
        <v>Esfiha de Frango - 100 un.</v>
      </c>
      <c r="J36" s="15">
        <v>1</v>
      </c>
      <c r="K36" s="18">
        <f>VLOOKUP(H36,Produtos!A:F,6,FALSE)</f>
        <v>50.400000000000006</v>
      </c>
      <c r="L36" s="10">
        <f t="shared" si="1"/>
        <v>50.400000000000006</v>
      </c>
    </row>
    <row r="37" spans="1:12" x14ac:dyDescent="0.25">
      <c r="A37" s="1" t="s">
        <v>150</v>
      </c>
      <c r="B37" s="11">
        <v>43862</v>
      </c>
      <c r="C37" s="19">
        <f t="shared" si="0"/>
        <v>2</v>
      </c>
      <c r="D37" s="1" t="s">
        <v>66</v>
      </c>
      <c r="E37" s="2" t="str">
        <f>VLOOKUP(D37,Clientes!A:B,2,FALSE)</f>
        <v>Junior Henrique</v>
      </c>
      <c r="F37" s="2" t="str">
        <f>VLOOKUP(D37,Clientes!A:G,4,FALSE)</f>
        <v>Av. das americas, 99</v>
      </c>
      <c r="G37" s="2" t="str">
        <f>VLOOKUP(D37,Clientes!A:G,5,FALSE)</f>
        <v>99687-2363</v>
      </c>
      <c r="H37" s="15">
        <v>8</v>
      </c>
      <c r="I37" s="2" t="str">
        <f>VLOOKUP(H37,Produtos!A:B,2,FALSE)</f>
        <v>Enroladinho  Salsicha -  50 un.</v>
      </c>
      <c r="J37" s="15">
        <v>3</v>
      </c>
      <c r="K37" s="18">
        <f>VLOOKUP(H37,Produtos!A:F,6,FALSE)</f>
        <v>46.25</v>
      </c>
      <c r="L37" s="10">
        <f t="shared" si="1"/>
        <v>138.75</v>
      </c>
    </row>
    <row r="38" spans="1:12" x14ac:dyDescent="0.25">
      <c r="A38" s="1" t="s">
        <v>151</v>
      </c>
      <c r="B38" s="11">
        <f>B37+2</f>
        <v>43864</v>
      </c>
      <c r="C38" s="19">
        <f t="shared" si="0"/>
        <v>2</v>
      </c>
      <c r="D38" s="1" t="s">
        <v>67</v>
      </c>
      <c r="E38" s="2" t="str">
        <f>VLOOKUP(D38,Clientes!A:B,2,FALSE)</f>
        <v>Gabriela Antunes</v>
      </c>
      <c r="F38" s="2" t="str">
        <f>VLOOKUP(D38,Clientes!A:G,4,FALSE)</f>
        <v>Rua 11 de Novembro, 55</v>
      </c>
      <c r="G38" s="2" t="str">
        <f>VLOOKUP(D38,Clientes!A:G,5,FALSE)</f>
        <v>98187-2364</v>
      </c>
      <c r="H38" s="15">
        <v>11</v>
      </c>
      <c r="I38" s="2" t="str">
        <f>VLOOKUP(H38,Produtos!A:B,2,FALSE)</f>
        <v>Esfiha de Frango - 100 un.</v>
      </c>
      <c r="J38" s="15">
        <v>2</v>
      </c>
      <c r="K38" s="18">
        <f>VLOOKUP(H38,Produtos!A:F,6,FALSE)</f>
        <v>50.400000000000006</v>
      </c>
      <c r="L38" s="10">
        <f t="shared" si="1"/>
        <v>100.80000000000001</v>
      </c>
    </row>
    <row r="39" spans="1:12" x14ac:dyDescent="0.25">
      <c r="A39" s="1" t="s">
        <v>152</v>
      </c>
      <c r="B39" s="11">
        <f>B38</f>
        <v>43864</v>
      </c>
      <c r="C39" s="19">
        <f t="shared" si="0"/>
        <v>2</v>
      </c>
      <c r="D39" s="1" t="s">
        <v>68</v>
      </c>
      <c r="E39" s="2" t="str">
        <f>VLOOKUP(D39,Clientes!A:B,2,FALSE)</f>
        <v>Paulo Cesar</v>
      </c>
      <c r="F39" s="2" t="str">
        <f>VLOOKUP(D39,Clientes!A:G,4,FALSE)</f>
        <v>Rua Joao emilio, 13</v>
      </c>
      <c r="G39" s="2" t="str">
        <f>VLOOKUP(D39,Clientes!A:G,5,FALSE)</f>
        <v>99687-2365</v>
      </c>
      <c r="H39" s="15">
        <v>18</v>
      </c>
      <c r="I39" s="2" t="str">
        <f>VLOOKUP(H39,Produtos!A:B,2,FALSE)</f>
        <v>Beijinho 50 un.</v>
      </c>
      <c r="J39" s="15">
        <v>1</v>
      </c>
      <c r="K39" s="18">
        <f>VLOOKUP(H39,Produtos!A:F,6,FALSE)</f>
        <v>25.200000000000003</v>
      </c>
      <c r="L39" s="10">
        <f t="shared" si="1"/>
        <v>25.200000000000003</v>
      </c>
    </row>
    <row r="40" spans="1:12" x14ac:dyDescent="0.25">
      <c r="A40" s="1" t="s">
        <v>153</v>
      </c>
      <c r="B40" s="11">
        <f>B39</f>
        <v>43864</v>
      </c>
      <c r="C40" s="19">
        <f t="shared" si="0"/>
        <v>2</v>
      </c>
      <c r="D40" s="1" t="s">
        <v>69</v>
      </c>
      <c r="E40" s="2" t="str">
        <f>VLOOKUP(D40,Clientes!A:B,2,FALSE)</f>
        <v>Alexandre Souza</v>
      </c>
      <c r="F40" s="2" t="str">
        <f>VLOOKUP(D40,Clientes!A:G,4,FALSE)</f>
        <v>Rua São Simao, 43</v>
      </c>
      <c r="G40" s="2" t="str">
        <f>VLOOKUP(D40,Clientes!A:G,5,FALSE)</f>
        <v>99687-2366</v>
      </c>
      <c r="H40" s="15">
        <v>16</v>
      </c>
      <c r="I40" s="2" t="str">
        <f>VLOOKUP(H40,Produtos!A:B,2,FALSE)</f>
        <v>Brigadeiro 50 un.</v>
      </c>
      <c r="J40" s="15">
        <v>2</v>
      </c>
      <c r="K40" s="18">
        <f>VLOOKUP(H40,Produtos!A:F,6,FALSE)</f>
        <v>25.200000000000003</v>
      </c>
      <c r="L40" s="10">
        <f t="shared" si="1"/>
        <v>50.400000000000006</v>
      </c>
    </row>
    <row r="41" spans="1:12" x14ac:dyDescent="0.25">
      <c r="A41" s="1" t="s">
        <v>154</v>
      </c>
      <c r="B41" s="11">
        <f>B40</f>
        <v>43864</v>
      </c>
      <c r="C41" s="19">
        <f t="shared" si="0"/>
        <v>2</v>
      </c>
      <c r="D41" s="1" t="s">
        <v>70</v>
      </c>
      <c r="E41" s="2" t="str">
        <f>VLOOKUP(D41,Clientes!A:B,2,FALSE)</f>
        <v>Amanda Souza</v>
      </c>
      <c r="F41" s="2" t="str">
        <f>VLOOKUP(D41,Clientes!A:G,4,FALSE)</f>
        <v>Rua México, 76</v>
      </c>
      <c r="G41" s="2" t="str">
        <f>VLOOKUP(D41,Clientes!A:G,5,FALSE)</f>
        <v>99687-2367</v>
      </c>
      <c r="H41" s="15">
        <v>13</v>
      </c>
      <c r="I41" s="2" t="str">
        <f>VLOOKUP(H41,Produtos!A:B,2,FALSE)</f>
        <v>Coca-Cola 2L - 2 un.</v>
      </c>
      <c r="J41" s="15">
        <v>4</v>
      </c>
      <c r="K41" s="18">
        <f>VLOOKUP(H41,Produtos!A:F,6,FALSE)</f>
        <v>21</v>
      </c>
      <c r="L41" s="10">
        <f t="shared" si="1"/>
        <v>84</v>
      </c>
    </row>
    <row r="42" spans="1:12" x14ac:dyDescent="0.25">
      <c r="A42" s="1" t="s">
        <v>155</v>
      </c>
      <c r="B42" s="11">
        <f>B41+3</f>
        <v>43867</v>
      </c>
      <c r="C42" s="19">
        <f t="shared" si="0"/>
        <v>2</v>
      </c>
      <c r="D42" s="1" t="s">
        <v>71</v>
      </c>
      <c r="E42" s="2" t="str">
        <f>VLOOKUP(D42,Clientes!A:B,2,FALSE)</f>
        <v>Alice Silva</v>
      </c>
      <c r="F42" s="2" t="str">
        <f>VLOOKUP(D42,Clientes!A:G,4,FALSE)</f>
        <v>Rua Pernambucanos, 31</v>
      </c>
      <c r="G42" s="2" t="str">
        <f>VLOOKUP(D42,Clientes!A:G,5,FALSE)</f>
        <v>99687-2368</v>
      </c>
      <c r="H42" s="15">
        <v>4</v>
      </c>
      <c r="I42" s="2" t="str">
        <f>VLOOKUP(H42,Produtos!A:B,2,FALSE)</f>
        <v>Coxinha de Carne - 50 un.</v>
      </c>
      <c r="J42" s="15">
        <v>1</v>
      </c>
      <c r="K42" s="18">
        <f>VLOOKUP(H42,Produtos!A:F,6,FALSE)</f>
        <v>27.75</v>
      </c>
      <c r="L42" s="10">
        <f t="shared" si="1"/>
        <v>27.75</v>
      </c>
    </row>
    <row r="43" spans="1:12" x14ac:dyDescent="0.25">
      <c r="A43" s="1" t="s">
        <v>156</v>
      </c>
      <c r="B43" s="11">
        <f>B42</f>
        <v>43867</v>
      </c>
      <c r="C43" s="19">
        <f t="shared" si="0"/>
        <v>2</v>
      </c>
      <c r="D43" s="1" t="s">
        <v>70</v>
      </c>
      <c r="E43" s="2" t="str">
        <f>VLOOKUP(D43,Clientes!A:B,2,FALSE)</f>
        <v>Amanda Souza</v>
      </c>
      <c r="F43" s="2" t="str">
        <f>VLOOKUP(D43,Clientes!A:G,4,FALSE)</f>
        <v>Rua México, 76</v>
      </c>
      <c r="G43" s="2" t="str">
        <f>VLOOKUP(D43,Clientes!A:G,5,FALSE)</f>
        <v>99687-2367</v>
      </c>
      <c r="H43" s="15">
        <v>15</v>
      </c>
      <c r="I43" s="2" t="str">
        <f>VLOOKUP(H43,Produtos!A:B,2,FALSE)</f>
        <v>Brigadeiro 100 un.</v>
      </c>
      <c r="J43" s="15">
        <v>3</v>
      </c>
      <c r="K43" s="18">
        <f>VLOOKUP(H43,Produtos!A:F,6,FALSE)</f>
        <v>40</v>
      </c>
      <c r="L43" s="10">
        <f t="shared" si="1"/>
        <v>120</v>
      </c>
    </row>
    <row r="44" spans="1:12" x14ac:dyDescent="0.25">
      <c r="A44" s="1" t="s">
        <v>157</v>
      </c>
      <c r="B44" s="11">
        <f>B43</f>
        <v>43867</v>
      </c>
      <c r="C44" s="19">
        <f t="shared" si="0"/>
        <v>2</v>
      </c>
      <c r="D44" s="1" t="s">
        <v>71</v>
      </c>
      <c r="E44" s="2" t="str">
        <f>VLOOKUP(D44,Clientes!A:B,2,FALSE)</f>
        <v>Alice Silva</v>
      </c>
      <c r="F44" s="2" t="str">
        <f>VLOOKUP(D44,Clientes!A:G,4,FALSE)</f>
        <v>Rua Pernambucanos, 31</v>
      </c>
      <c r="G44" s="2" t="str">
        <f>VLOOKUP(D44,Clientes!A:G,5,FALSE)</f>
        <v>99687-2368</v>
      </c>
      <c r="H44" s="15">
        <v>11</v>
      </c>
      <c r="I44" s="2" t="str">
        <f>VLOOKUP(H44,Produtos!A:B,2,FALSE)</f>
        <v>Esfiha de Frango - 100 un.</v>
      </c>
      <c r="J44" s="15">
        <v>4</v>
      </c>
      <c r="K44" s="18">
        <f>VLOOKUP(H44,Produtos!A:F,6,FALSE)</f>
        <v>50.400000000000006</v>
      </c>
      <c r="L44" s="10">
        <f t="shared" si="1"/>
        <v>201.60000000000002</v>
      </c>
    </row>
    <row r="45" spans="1:12" x14ac:dyDescent="0.25">
      <c r="A45" s="1" t="s">
        <v>158</v>
      </c>
      <c r="B45" s="11">
        <v>43868</v>
      </c>
      <c r="C45" s="19">
        <f t="shared" si="0"/>
        <v>2</v>
      </c>
      <c r="D45" s="1" t="s">
        <v>64</v>
      </c>
      <c r="E45" s="2" t="str">
        <f>VLOOKUP(D45,Clientes!A:B,2,FALSE)</f>
        <v>Eloá Azevedo</v>
      </c>
      <c r="F45" s="2" t="str">
        <f>VLOOKUP(D45,Clientes!A:G,4,FALSE)</f>
        <v>Rua Osvaldo Cruz,131</v>
      </c>
      <c r="G45" s="2" t="str">
        <f>VLOOKUP(D45,Clientes!A:G,5,FALSE)</f>
        <v>99787-2361</v>
      </c>
      <c r="H45" s="15">
        <v>18</v>
      </c>
      <c r="I45" s="2" t="str">
        <f>VLOOKUP(H45,Produtos!A:B,2,FALSE)</f>
        <v>Beijinho 50 un.</v>
      </c>
      <c r="J45" s="15">
        <v>1</v>
      </c>
      <c r="K45" s="18">
        <f>VLOOKUP(H45,Produtos!A:F,6,FALSE)</f>
        <v>25.200000000000003</v>
      </c>
      <c r="L45" s="10">
        <f t="shared" si="1"/>
        <v>25.200000000000003</v>
      </c>
    </row>
    <row r="46" spans="1:12" x14ac:dyDescent="0.25">
      <c r="A46" s="1" t="s">
        <v>159</v>
      </c>
      <c r="B46" s="11">
        <v>43869</v>
      </c>
      <c r="C46" s="19">
        <f t="shared" si="0"/>
        <v>2</v>
      </c>
      <c r="D46" s="1" t="s">
        <v>65</v>
      </c>
      <c r="E46" s="2" t="str">
        <f>VLOOKUP(D46,Clientes!A:B,2,FALSE)</f>
        <v>João Silva</v>
      </c>
      <c r="F46" s="2" t="str">
        <f>VLOOKUP(D46,Clientes!A:G,4,FALSE)</f>
        <v>Rua Joaquim Silva, 76</v>
      </c>
      <c r="G46" s="2" t="str">
        <f>VLOOKUP(D46,Clientes!A:G,5,FALSE)</f>
        <v>99687-2362</v>
      </c>
      <c r="H46" s="15">
        <v>8</v>
      </c>
      <c r="I46" s="2" t="str">
        <f>VLOOKUP(H46,Produtos!A:B,2,FALSE)</f>
        <v>Enroladinho  Salsicha -  50 un.</v>
      </c>
      <c r="J46" s="15">
        <v>3</v>
      </c>
      <c r="K46" s="18">
        <f>VLOOKUP(H46,Produtos!A:F,6,FALSE)</f>
        <v>46.25</v>
      </c>
      <c r="L46" s="10">
        <f t="shared" si="1"/>
        <v>138.75</v>
      </c>
    </row>
    <row r="47" spans="1:12" x14ac:dyDescent="0.25">
      <c r="A47" s="1" t="s">
        <v>160</v>
      </c>
      <c r="B47" s="11">
        <v>43869</v>
      </c>
      <c r="C47" s="19">
        <f t="shared" si="0"/>
        <v>2</v>
      </c>
      <c r="D47" s="1" t="s">
        <v>66</v>
      </c>
      <c r="E47" s="2" t="str">
        <f>VLOOKUP(D47,Clientes!A:B,2,FALSE)</f>
        <v>Junior Henrique</v>
      </c>
      <c r="F47" s="2" t="str">
        <f>VLOOKUP(D47,Clientes!A:G,4,FALSE)</f>
        <v>Av. das americas, 99</v>
      </c>
      <c r="G47" s="2" t="str">
        <f>VLOOKUP(D47,Clientes!A:G,5,FALSE)</f>
        <v>99687-2363</v>
      </c>
      <c r="H47" s="15">
        <v>2</v>
      </c>
      <c r="I47" s="2" t="str">
        <f>VLOOKUP(H47,Produtos!A:B,2,FALSE)</f>
        <v>Coxinha de Frango - 50 un.</v>
      </c>
      <c r="J47" s="15">
        <v>4</v>
      </c>
      <c r="K47" s="18">
        <f>VLOOKUP(H47,Produtos!A:F,6,FALSE)</f>
        <v>27.75</v>
      </c>
      <c r="L47" s="10">
        <f t="shared" si="1"/>
        <v>111</v>
      </c>
    </row>
    <row r="48" spans="1:12" x14ac:dyDescent="0.25">
      <c r="A48" s="1" t="s">
        <v>161</v>
      </c>
      <c r="B48" s="11">
        <v>43869</v>
      </c>
      <c r="C48" s="19">
        <f t="shared" si="0"/>
        <v>2</v>
      </c>
      <c r="D48" s="1" t="s">
        <v>67</v>
      </c>
      <c r="E48" s="2" t="str">
        <f>VLOOKUP(D48,Clientes!A:B,2,FALSE)</f>
        <v>Gabriela Antunes</v>
      </c>
      <c r="F48" s="2" t="str">
        <f>VLOOKUP(D48,Clientes!A:G,4,FALSE)</f>
        <v>Rua 11 de Novembro, 55</v>
      </c>
      <c r="G48" s="2" t="str">
        <f>VLOOKUP(D48,Clientes!A:G,5,FALSE)</f>
        <v>98187-2364</v>
      </c>
      <c r="H48" s="15">
        <v>12</v>
      </c>
      <c r="I48" s="2" t="str">
        <f>VLOOKUP(H48,Produtos!A:B,2,FALSE)</f>
        <v>Esfiha de Frango - 50 un.</v>
      </c>
      <c r="J48" s="15">
        <v>4</v>
      </c>
      <c r="K48" s="18">
        <f>VLOOKUP(H48,Produtos!A:F,6,FALSE)</f>
        <v>37</v>
      </c>
      <c r="L48" s="10">
        <f t="shared" si="1"/>
        <v>148</v>
      </c>
    </row>
    <row r="49" spans="1:12" x14ac:dyDescent="0.25">
      <c r="A49" s="1" t="s">
        <v>162</v>
      </c>
      <c r="B49" s="11">
        <v>43869</v>
      </c>
      <c r="C49" s="19">
        <f t="shared" si="0"/>
        <v>2</v>
      </c>
      <c r="D49" s="1" t="s">
        <v>65</v>
      </c>
      <c r="E49" s="2" t="str">
        <f>VLOOKUP(D49,Clientes!A:B,2,FALSE)</f>
        <v>João Silva</v>
      </c>
      <c r="F49" s="2" t="str">
        <f>VLOOKUP(D49,Clientes!A:G,4,FALSE)</f>
        <v>Rua Joaquim Silva, 76</v>
      </c>
      <c r="G49" s="2" t="str">
        <f>VLOOKUP(D49,Clientes!A:G,5,FALSE)</f>
        <v>99687-2362</v>
      </c>
      <c r="H49" s="15">
        <v>13</v>
      </c>
      <c r="I49" s="2" t="str">
        <f>VLOOKUP(H49,Produtos!A:B,2,FALSE)</f>
        <v>Coca-Cola 2L - 2 un.</v>
      </c>
      <c r="J49" s="15">
        <v>2</v>
      </c>
      <c r="K49" s="18">
        <f>VLOOKUP(H49,Produtos!A:F,6,FALSE)</f>
        <v>21</v>
      </c>
      <c r="L49" s="10">
        <f t="shared" si="1"/>
        <v>42</v>
      </c>
    </row>
    <row r="50" spans="1:12" x14ac:dyDescent="0.25">
      <c r="A50" s="1" t="s">
        <v>163</v>
      </c>
      <c r="B50" s="11">
        <v>43870</v>
      </c>
      <c r="C50" s="19">
        <f t="shared" si="0"/>
        <v>2</v>
      </c>
      <c r="D50" s="1" t="s">
        <v>66</v>
      </c>
      <c r="E50" s="2" t="str">
        <f>VLOOKUP(D50,Clientes!A:B,2,FALSE)</f>
        <v>Junior Henrique</v>
      </c>
      <c r="F50" s="2" t="str">
        <f>VLOOKUP(D50,Clientes!A:G,4,FALSE)</f>
        <v>Av. das americas, 99</v>
      </c>
      <c r="G50" s="2" t="str">
        <f>VLOOKUP(D50,Clientes!A:G,5,FALSE)</f>
        <v>99687-2363</v>
      </c>
      <c r="H50" s="15">
        <v>17</v>
      </c>
      <c r="I50" s="2" t="str">
        <f>VLOOKUP(H50,Produtos!A:B,2,FALSE)</f>
        <v>Beijinho 100 un.</v>
      </c>
      <c r="J50" s="15">
        <v>3</v>
      </c>
      <c r="K50" s="18">
        <f>VLOOKUP(H50,Produtos!A:F,6,FALSE)</f>
        <v>40</v>
      </c>
      <c r="L50" s="10">
        <f t="shared" si="1"/>
        <v>120</v>
      </c>
    </row>
    <row r="51" spans="1:12" x14ac:dyDescent="0.25">
      <c r="A51" s="1" t="s">
        <v>164</v>
      </c>
      <c r="B51" s="11">
        <v>43870</v>
      </c>
      <c r="C51" s="19">
        <f t="shared" si="0"/>
        <v>2</v>
      </c>
      <c r="D51" s="1" t="s">
        <v>67</v>
      </c>
      <c r="E51" s="2" t="str">
        <f>VLOOKUP(D51,Clientes!A:B,2,FALSE)</f>
        <v>Gabriela Antunes</v>
      </c>
      <c r="F51" s="2" t="str">
        <f>VLOOKUP(D51,Clientes!A:G,4,FALSE)</f>
        <v>Rua 11 de Novembro, 55</v>
      </c>
      <c r="G51" s="2" t="str">
        <f>VLOOKUP(D51,Clientes!A:G,5,FALSE)</f>
        <v>98187-2364</v>
      </c>
      <c r="H51" s="15">
        <v>5</v>
      </c>
      <c r="I51" s="2" t="str">
        <f>VLOOKUP(H51,Produtos!A:B,2,FALSE)</f>
        <v>Mini quibe 100 - un.</v>
      </c>
      <c r="J51" s="15">
        <v>2</v>
      </c>
      <c r="K51" s="18">
        <f>VLOOKUP(H51,Produtos!A:F,6,FALSE)</f>
        <v>45</v>
      </c>
      <c r="L51" s="10">
        <f t="shared" si="1"/>
        <v>90</v>
      </c>
    </row>
    <row r="52" spans="1:12" x14ac:dyDescent="0.25">
      <c r="A52" s="1" t="s">
        <v>165</v>
      </c>
      <c r="B52" s="11">
        <v>43871</v>
      </c>
      <c r="C52" s="19">
        <f t="shared" si="0"/>
        <v>2</v>
      </c>
      <c r="D52" s="1" t="s">
        <v>68</v>
      </c>
      <c r="E52" s="2" t="str">
        <f>VLOOKUP(D52,Clientes!A:B,2,FALSE)</f>
        <v>Paulo Cesar</v>
      </c>
      <c r="F52" s="2" t="str">
        <f>VLOOKUP(D52,Clientes!A:G,4,FALSE)</f>
        <v>Rua Joao emilio, 13</v>
      </c>
      <c r="G52" s="2" t="str">
        <f>VLOOKUP(D52,Clientes!A:G,5,FALSE)</f>
        <v>99687-2365</v>
      </c>
      <c r="H52" s="15">
        <v>7</v>
      </c>
      <c r="I52" s="2" t="str">
        <f>VLOOKUP(H52,Produtos!A:B,2,FALSE)</f>
        <v>Enroladinho  Salsicha - 100 un.</v>
      </c>
      <c r="J52" s="15">
        <v>3</v>
      </c>
      <c r="K52" s="18">
        <f>VLOOKUP(H52,Produtos!A:F,6,FALSE)</f>
        <v>54</v>
      </c>
      <c r="L52" s="10">
        <f t="shared" si="1"/>
        <v>162</v>
      </c>
    </row>
    <row r="53" spans="1:12" x14ac:dyDescent="0.25">
      <c r="A53" s="1" t="s">
        <v>166</v>
      </c>
      <c r="B53" s="11">
        <v>43872</v>
      </c>
      <c r="C53" s="19">
        <f t="shared" si="0"/>
        <v>2</v>
      </c>
      <c r="D53" s="1" t="s">
        <v>69</v>
      </c>
      <c r="E53" s="2" t="str">
        <f>VLOOKUP(D53,Clientes!A:B,2,FALSE)</f>
        <v>Alexandre Souza</v>
      </c>
      <c r="F53" s="2" t="str">
        <f>VLOOKUP(D53,Clientes!A:G,4,FALSE)</f>
        <v>Rua São Simao, 43</v>
      </c>
      <c r="G53" s="2" t="str">
        <f>VLOOKUP(D53,Clientes!A:G,5,FALSE)</f>
        <v>99687-2366</v>
      </c>
      <c r="H53" s="15">
        <v>18</v>
      </c>
      <c r="I53" s="2" t="str">
        <f>VLOOKUP(H53,Produtos!A:B,2,FALSE)</f>
        <v>Beijinho 50 un.</v>
      </c>
      <c r="J53" s="15">
        <v>2</v>
      </c>
      <c r="K53" s="18">
        <f>VLOOKUP(H53,Produtos!A:F,6,FALSE)</f>
        <v>25.200000000000003</v>
      </c>
      <c r="L53" s="10">
        <f t="shared" si="1"/>
        <v>50.400000000000006</v>
      </c>
    </row>
    <row r="54" spans="1:12" x14ac:dyDescent="0.25">
      <c r="A54" s="1" t="s">
        <v>167</v>
      </c>
      <c r="B54" s="11">
        <v>43873</v>
      </c>
      <c r="C54" s="19">
        <f t="shared" si="0"/>
        <v>2</v>
      </c>
      <c r="D54" s="1" t="s">
        <v>62</v>
      </c>
      <c r="E54" s="2" t="str">
        <f>VLOOKUP(D54,Clientes!A:B,2,FALSE)</f>
        <v>Gabriel Lanza</v>
      </c>
      <c r="F54" s="2" t="str">
        <f>VLOOKUP(D54,Clientes!A:G,4,FALSE)</f>
        <v>Rua Japão, 98</v>
      </c>
      <c r="G54" s="2" t="str">
        <f>VLOOKUP(D54,Clientes!A:G,5,FALSE)</f>
        <v>99687-2359</v>
      </c>
      <c r="H54" s="15">
        <v>1</v>
      </c>
      <c r="I54" s="2" t="str">
        <f>VLOOKUP(H54,Produtos!A:B,2,FALSE)</f>
        <v>Coxinha de Frango - 100 un.</v>
      </c>
      <c r="J54" s="15">
        <v>2</v>
      </c>
      <c r="K54" s="18">
        <f>VLOOKUP(H54,Produtos!A:F,6,FALSE)</f>
        <v>45</v>
      </c>
      <c r="L54" s="10">
        <f t="shared" si="1"/>
        <v>90</v>
      </c>
    </row>
    <row r="55" spans="1:12" x14ac:dyDescent="0.25">
      <c r="A55" s="1" t="s">
        <v>168</v>
      </c>
      <c r="B55" s="11">
        <v>43874</v>
      </c>
      <c r="C55" s="19">
        <f t="shared" si="0"/>
        <v>2</v>
      </c>
      <c r="D55" s="1" t="s">
        <v>71</v>
      </c>
      <c r="E55" s="2" t="str">
        <f>VLOOKUP(D55,Clientes!A:B,2,FALSE)</f>
        <v>Alice Silva</v>
      </c>
      <c r="F55" s="2" t="str">
        <f>VLOOKUP(D55,Clientes!A:G,4,FALSE)</f>
        <v>Rua Pernambucanos, 31</v>
      </c>
      <c r="G55" s="2" t="str">
        <f>VLOOKUP(D55,Clientes!A:G,5,FALSE)</f>
        <v>99687-2368</v>
      </c>
      <c r="H55" s="15">
        <v>10</v>
      </c>
      <c r="I55" s="2" t="str">
        <f>VLOOKUP(H55,Produtos!A:B,2,FALSE)</f>
        <v>Esfiha de Carne - 50 un.</v>
      </c>
      <c r="J55" s="15">
        <v>2</v>
      </c>
      <c r="K55" s="18">
        <f>VLOOKUP(H55,Produtos!A:F,6,FALSE)</f>
        <v>37</v>
      </c>
      <c r="L55" s="10">
        <f t="shared" si="1"/>
        <v>74</v>
      </c>
    </row>
    <row r="56" spans="1:12" x14ac:dyDescent="0.25">
      <c r="A56" s="1" t="s">
        <v>169</v>
      </c>
      <c r="B56" s="11">
        <v>43875</v>
      </c>
      <c r="C56" s="19">
        <f t="shared" si="0"/>
        <v>2</v>
      </c>
      <c r="D56" s="1" t="s">
        <v>64</v>
      </c>
      <c r="E56" s="2" t="str">
        <f>VLOOKUP(D56,Clientes!A:B,2,FALSE)</f>
        <v>Eloá Azevedo</v>
      </c>
      <c r="F56" s="2" t="str">
        <f>VLOOKUP(D56,Clientes!A:G,4,FALSE)</f>
        <v>Rua Osvaldo Cruz,131</v>
      </c>
      <c r="G56" s="2" t="str">
        <f>VLOOKUP(D56,Clientes!A:G,5,FALSE)</f>
        <v>99787-2361</v>
      </c>
      <c r="H56" s="15">
        <v>2</v>
      </c>
      <c r="I56" s="2" t="str">
        <f>VLOOKUP(H56,Produtos!A:B,2,FALSE)</f>
        <v>Coxinha de Frango - 50 un.</v>
      </c>
      <c r="J56" s="15">
        <v>4</v>
      </c>
      <c r="K56" s="18">
        <f>VLOOKUP(H56,Produtos!A:F,6,FALSE)</f>
        <v>27.75</v>
      </c>
      <c r="L56" s="10">
        <f t="shared" si="1"/>
        <v>111</v>
      </c>
    </row>
    <row r="57" spans="1:12" x14ac:dyDescent="0.25">
      <c r="A57" s="1" t="s">
        <v>170</v>
      </c>
      <c r="B57" s="11">
        <v>43876</v>
      </c>
      <c r="C57" s="19">
        <f t="shared" si="0"/>
        <v>2</v>
      </c>
      <c r="D57" s="1" t="s">
        <v>65</v>
      </c>
      <c r="E57" s="2" t="str">
        <f>VLOOKUP(D57,Clientes!A:B,2,FALSE)</f>
        <v>João Silva</v>
      </c>
      <c r="F57" s="2" t="str">
        <f>VLOOKUP(D57,Clientes!A:G,4,FALSE)</f>
        <v>Rua Joaquim Silva, 76</v>
      </c>
      <c r="G57" s="2" t="str">
        <f>VLOOKUP(D57,Clientes!A:G,5,FALSE)</f>
        <v>99687-2362</v>
      </c>
      <c r="H57" s="15">
        <v>17</v>
      </c>
      <c r="I57" s="2" t="str">
        <f>VLOOKUP(H57,Produtos!A:B,2,FALSE)</f>
        <v>Beijinho 100 un.</v>
      </c>
      <c r="J57" s="15">
        <v>4</v>
      </c>
      <c r="K57" s="18">
        <f>VLOOKUP(H57,Produtos!A:F,6,FALSE)</f>
        <v>40</v>
      </c>
      <c r="L57" s="10">
        <f t="shared" si="1"/>
        <v>160</v>
      </c>
    </row>
    <row r="58" spans="1:12" x14ac:dyDescent="0.25">
      <c r="A58" s="1" t="s">
        <v>171</v>
      </c>
      <c r="B58" s="11">
        <v>43876</v>
      </c>
      <c r="C58" s="19">
        <f t="shared" si="0"/>
        <v>2</v>
      </c>
      <c r="D58" s="1" t="s">
        <v>66</v>
      </c>
      <c r="E58" s="2" t="str">
        <f>VLOOKUP(D58,Clientes!A:B,2,FALSE)</f>
        <v>Junior Henrique</v>
      </c>
      <c r="F58" s="2" t="str">
        <f>VLOOKUP(D58,Clientes!A:G,4,FALSE)</f>
        <v>Av. das americas, 99</v>
      </c>
      <c r="G58" s="2" t="str">
        <f>VLOOKUP(D58,Clientes!A:G,5,FALSE)</f>
        <v>99687-2363</v>
      </c>
      <c r="H58" s="15">
        <v>11</v>
      </c>
      <c r="I58" s="2" t="str">
        <f>VLOOKUP(H58,Produtos!A:B,2,FALSE)</f>
        <v>Esfiha de Frango - 100 un.</v>
      </c>
      <c r="J58" s="15">
        <v>2</v>
      </c>
      <c r="K58" s="18">
        <f>VLOOKUP(H58,Produtos!A:F,6,FALSE)</f>
        <v>50.400000000000006</v>
      </c>
      <c r="L58" s="10">
        <f t="shared" si="1"/>
        <v>100.80000000000001</v>
      </c>
    </row>
    <row r="59" spans="1:12" x14ac:dyDescent="0.25">
      <c r="A59" s="1" t="s">
        <v>172</v>
      </c>
      <c r="B59" s="11">
        <v>43876</v>
      </c>
      <c r="C59" s="19">
        <f t="shared" si="0"/>
        <v>2</v>
      </c>
      <c r="D59" s="1" t="s">
        <v>67</v>
      </c>
      <c r="E59" s="2" t="str">
        <f>VLOOKUP(D59,Clientes!A:B,2,FALSE)</f>
        <v>Gabriela Antunes</v>
      </c>
      <c r="F59" s="2" t="str">
        <f>VLOOKUP(D59,Clientes!A:G,4,FALSE)</f>
        <v>Rua 11 de Novembro, 55</v>
      </c>
      <c r="G59" s="2" t="str">
        <f>VLOOKUP(D59,Clientes!A:G,5,FALSE)</f>
        <v>98187-2364</v>
      </c>
      <c r="H59" s="15">
        <v>13</v>
      </c>
      <c r="I59" s="2" t="str">
        <f>VLOOKUP(H59,Produtos!A:B,2,FALSE)</f>
        <v>Coca-Cola 2L - 2 un.</v>
      </c>
      <c r="J59" s="15">
        <v>1</v>
      </c>
      <c r="K59" s="18">
        <f>VLOOKUP(H59,Produtos!A:F,6,FALSE)</f>
        <v>21</v>
      </c>
      <c r="L59" s="10">
        <f t="shared" si="1"/>
        <v>21</v>
      </c>
    </row>
    <row r="60" spans="1:12" x14ac:dyDescent="0.25">
      <c r="A60" s="1" t="s">
        <v>173</v>
      </c>
      <c r="B60" s="11">
        <v>43877</v>
      </c>
      <c r="C60" s="19">
        <f t="shared" si="0"/>
        <v>2</v>
      </c>
      <c r="D60" s="1" t="s">
        <v>70</v>
      </c>
      <c r="E60" s="2" t="str">
        <f>VLOOKUP(D60,Clientes!A:B,2,FALSE)</f>
        <v>Amanda Souza</v>
      </c>
      <c r="F60" s="2" t="str">
        <f>VLOOKUP(D60,Clientes!A:G,4,FALSE)</f>
        <v>Rua México, 76</v>
      </c>
      <c r="G60" s="2" t="str">
        <f>VLOOKUP(D60,Clientes!A:G,5,FALSE)</f>
        <v>99687-2367</v>
      </c>
      <c r="H60" s="15">
        <v>2</v>
      </c>
      <c r="I60" s="2" t="str">
        <f>VLOOKUP(H60,Produtos!A:B,2,FALSE)</f>
        <v>Coxinha de Frango - 50 un.</v>
      </c>
      <c r="J60" s="15">
        <v>1</v>
      </c>
      <c r="K60" s="18">
        <f>VLOOKUP(H60,Produtos!A:F,6,FALSE)</f>
        <v>27.75</v>
      </c>
      <c r="L60" s="10">
        <f t="shared" si="1"/>
        <v>27.75</v>
      </c>
    </row>
    <row r="61" spans="1:12" x14ac:dyDescent="0.25">
      <c r="A61" s="1" t="s">
        <v>174</v>
      </c>
      <c r="B61" s="11">
        <v>43878</v>
      </c>
      <c r="C61" s="19">
        <f t="shared" si="0"/>
        <v>2</v>
      </c>
      <c r="D61" s="1" t="s">
        <v>71</v>
      </c>
      <c r="E61" s="2" t="str">
        <f>VLOOKUP(D61,Clientes!A:B,2,FALSE)</f>
        <v>Alice Silva</v>
      </c>
      <c r="F61" s="2" t="str">
        <f>VLOOKUP(D61,Clientes!A:G,4,FALSE)</f>
        <v>Rua Pernambucanos, 31</v>
      </c>
      <c r="G61" s="2" t="str">
        <f>VLOOKUP(D61,Clientes!A:G,5,FALSE)</f>
        <v>99687-2368</v>
      </c>
      <c r="H61" s="15">
        <v>5</v>
      </c>
      <c r="I61" s="2" t="str">
        <f>VLOOKUP(H61,Produtos!A:B,2,FALSE)</f>
        <v>Mini quibe 100 - un.</v>
      </c>
      <c r="J61" s="15">
        <v>2</v>
      </c>
      <c r="K61" s="18">
        <f>VLOOKUP(H61,Produtos!A:F,6,FALSE)</f>
        <v>45</v>
      </c>
      <c r="L61" s="10">
        <f t="shared" si="1"/>
        <v>90</v>
      </c>
    </row>
    <row r="62" spans="1:12" x14ac:dyDescent="0.25">
      <c r="A62" s="1" t="s">
        <v>175</v>
      </c>
      <c r="B62" s="11">
        <v>43879</v>
      </c>
      <c r="C62" s="19">
        <f t="shared" si="0"/>
        <v>2</v>
      </c>
      <c r="D62" s="1" t="s">
        <v>64</v>
      </c>
      <c r="E62" s="2" t="str">
        <f>VLOOKUP(D62,Clientes!A:B,2,FALSE)</f>
        <v>Eloá Azevedo</v>
      </c>
      <c r="F62" s="2" t="str">
        <f>VLOOKUP(D62,Clientes!A:G,4,FALSE)</f>
        <v>Rua Osvaldo Cruz,131</v>
      </c>
      <c r="G62" s="2" t="str">
        <f>VLOOKUP(D62,Clientes!A:G,5,FALSE)</f>
        <v>99787-2361</v>
      </c>
      <c r="H62" s="15">
        <v>6</v>
      </c>
      <c r="I62" s="2" t="str">
        <f>VLOOKUP(H62,Produtos!A:B,2,FALSE)</f>
        <v>Mini quibe 50 - un.</v>
      </c>
      <c r="J62" s="15">
        <v>3</v>
      </c>
      <c r="K62" s="18">
        <f>VLOOKUP(H62,Produtos!A:F,6,FALSE)</f>
        <v>27.75</v>
      </c>
      <c r="L62" s="10">
        <f t="shared" si="1"/>
        <v>83.25</v>
      </c>
    </row>
    <row r="63" spans="1:12" x14ac:dyDescent="0.25">
      <c r="A63" s="1" t="s">
        <v>176</v>
      </c>
      <c r="B63" s="11">
        <v>43880</v>
      </c>
      <c r="C63" s="19">
        <f t="shared" si="0"/>
        <v>2</v>
      </c>
      <c r="D63" s="1" t="s">
        <v>65</v>
      </c>
      <c r="E63" s="2" t="str">
        <f>VLOOKUP(D63,Clientes!A:B,2,FALSE)</f>
        <v>João Silva</v>
      </c>
      <c r="F63" s="2" t="str">
        <f>VLOOKUP(D63,Clientes!A:G,4,FALSE)</f>
        <v>Rua Joaquim Silva, 76</v>
      </c>
      <c r="G63" s="2" t="str">
        <f>VLOOKUP(D63,Clientes!A:G,5,FALSE)</f>
        <v>99687-2362</v>
      </c>
      <c r="H63" s="15">
        <v>10</v>
      </c>
      <c r="I63" s="2" t="str">
        <f>VLOOKUP(H63,Produtos!A:B,2,FALSE)</f>
        <v>Esfiha de Carne - 50 un.</v>
      </c>
      <c r="J63" s="15">
        <v>2</v>
      </c>
      <c r="K63" s="18">
        <f>VLOOKUP(H63,Produtos!A:F,6,FALSE)</f>
        <v>37</v>
      </c>
      <c r="L63" s="10">
        <f t="shared" si="1"/>
        <v>74</v>
      </c>
    </row>
    <row r="64" spans="1:12" x14ac:dyDescent="0.25">
      <c r="A64" s="1" t="s">
        <v>177</v>
      </c>
      <c r="B64" s="11">
        <v>43881</v>
      </c>
      <c r="C64" s="19">
        <f t="shared" si="0"/>
        <v>2</v>
      </c>
      <c r="D64" s="1" t="s">
        <v>66</v>
      </c>
      <c r="E64" s="2" t="str">
        <f>VLOOKUP(D64,Clientes!A:B,2,FALSE)</f>
        <v>Junior Henrique</v>
      </c>
      <c r="F64" s="2" t="str">
        <f>VLOOKUP(D64,Clientes!A:G,4,FALSE)</f>
        <v>Av. das americas, 99</v>
      </c>
      <c r="G64" s="2" t="str">
        <f>VLOOKUP(D64,Clientes!A:G,5,FALSE)</f>
        <v>99687-2363</v>
      </c>
      <c r="H64" s="15">
        <v>11</v>
      </c>
      <c r="I64" s="2" t="str">
        <f>VLOOKUP(H64,Produtos!A:B,2,FALSE)</f>
        <v>Esfiha de Frango - 100 un.</v>
      </c>
      <c r="J64" s="15">
        <v>2</v>
      </c>
      <c r="K64" s="18">
        <f>VLOOKUP(H64,Produtos!A:F,6,FALSE)</f>
        <v>50.400000000000006</v>
      </c>
      <c r="L64" s="10">
        <f t="shared" si="1"/>
        <v>100.80000000000001</v>
      </c>
    </row>
    <row r="65" spans="1:12" x14ac:dyDescent="0.25">
      <c r="A65" s="1" t="s">
        <v>178</v>
      </c>
      <c r="B65" s="11">
        <f>B64+2</f>
        <v>43883</v>
      </c>
      <c r="C65" s="19">
        <f t="shared" si="0"/>
        <v>2</v>
      </c>
      <c r="D65" s="1" t="s">
        <v>67</v>
      </c>
      <c r="E65" s="2" t="str">
        <f>VLOOKUP(D65,Clientes!A:B,2,FALSE)</f>
        <v>Gabriela Antunes</v>
      </c>
      <c r="F65" s="2" t="str">
        <f>VLOOKUP(D65,Clientes!A:G,4,FALSE)</f>
        <v>Rua 11 de Novembro, 55</v>
      </c>
      <c r="G65" s="2" t="str">
        <f>VLOOKUP(D65,Clientes!A:G,5,FALSE)</f>
        <v>98187-2364</v>
      </c>
      <c r="H65" s="15">
        <v>17</v>
      </c>
      <c r="I65" s="2" t="str">
        <f>VLOOKUP(H65,Produtos!A:B,2,FALSE)</f>
        <v>Beijinho 100 un.</v>
      </c>
      <c r="J65" s="15">
        <v>3</v>
      </c>
      <c r="K65" s="18">
        <f>VLOOKUP(H65,Produtos!A:F,6,FALSE)</f>
        <v>40</v>
      </c>
      <c r="L65" s="10">
        <f t="shared" si="1"/>
        <v>120</v>
      </c>
    </row>
    <row r="66" spans="1:12" x14ac:dyDescent="0.25">
      <c r="A66" s="1" t="s">
        <v>179</v>
      </c>
      <c r="B66" s="11">
        <f t="shared" ref="B66:B129" si="3">B65+2</f>
        <v>43885</v>
      </c>
      <c r="C66" s="19">
        <f t="shared" si="0"/>
        <v>2</v>
      </c>
      <c r="D66" s="1" t="s">
        <v>62</v>
      </c>
      <c r="E66" s="2" t="str">
        <f>VLOOKUP(D66,Clientes!A:B,2,FALSE)</f>
        <v>Gabriel Lanza</v>
      </c>
      <c r="F66" s="2" t="str">
        <f>VLOOKUP(D66,Clientes!A:G,4,FALSE)</f>
        <v>Rua Japão, 98</v>
      </c>
      <c r="G66" s="2" t="str">
        <f>VLOOKUP(D66,Clientes!A:G,5,FALSE)</f>
        <v>99687-2359</v>
      </c>
      <c r="H66" s="15">
        <v>14</v>
      </c>
      <c r="I66" s="2" t="str">
        <f>VLOOKUP(H66,Produtos!A:B,2,FALSE)</f>
        <v>Guaraná 2L - 2 un.</v>
      </c>
      <c r="J66" s="15">
        <v>4</v>
      </c>
      <c r="K66" s="18">
        <f>VLOOKUP(H66,Produtos!A:F,6,FALSE)</f>
        <v>16.100000000000001</v>
      </c>
      <c r="L66" s="10">
        <f t="shared" si="1"/>
        <v>64.400000000000006</v>
      </c>
    </row>
    <row r="67" spans="1:12" x14ac:dyDescent="0.25">
      <c r="A67" s="1" t="s">
        <v>180</v>
      </c>
      <c r="B67" s="11">
        <f t="shared" si="3"/>
        <v>43887</v>
      </c>
      <c r="C67" s="19">
        <f t="shared" si="0"/>
        <v>2</v>
      </c>
      <c r="D67" s="1" t="s">
        <v>66</v>
      </c>
      <c r="E67" s="2" t="str">
        <f>VLOOKUP(D67,Clientes!A:B,2,FALSE)</f>
        <v>Junior Henrique</v>
      </c>
      <c r="F67" s="2" t="str">
        <f>VLOOKUP(D67,Clientes!A:G,4,FALSE)</f>
        <v>Av. das americas, 99</v>
      </c>
      <c r="G67" s="2" t="str">
        <f>VLOOKUP(D67,Clientes!A:G,5,FALSE)</f>
        <v>99687-2363</v>
      </c>
      <c r="H67" s="15">
        <v>17</v>
      </c>
      <c r="I67" s="2" t="str">
        <f>VLOOKUP(H67,Produtos!A:B,2,FALSE)</f>
        <v>Beijinho 100 un.</v>
      </c>
      <c r="J67" s="15">
        <v>2</v>
      </c>
      <c r="K67" s="18">
        <f>VLOOKUP(H67,Produtos!A:F,6,FALSE)</f>
        <v>40</v>
      </c>
      <c r="L67" s="10">
        <f t="shared" si="1"/>
        <v>80</v>
      </c>
    </row>
    <row r="68" spans="1:12" x14ac:dyDescent="0.25">
      <c r="A68" s="1" t="s">
        <v>181</v>
      </c>
      <c r="B68" s="11">
        <f t="shared" si="3"/>
        <v>43889</v>
      </c>
      <c r="C68" s="19">
        <f t="shared" si="0"/>
        <v>2</v>
      </c>
      <c r="D68" s="1" t="s">
        <v>67</v>
      </c>
      <c r="E68" s="2" t="str">
        <f>VLOOKUP(D68,Clientes!A:B,2,FALSE)</f>
        <v>Gabriela Antunes</v>
      </c>
      <c r="F68" s="2" t="str">
        <f>VLOOKUP(D68,Clientes!A:G,4,FALSE)</f>
        <v>Rua 11 de Novembro, 55</v>
      </c>
      <c r="G68" s="2" t="str">
        <f>VLOOKUP(D68,Clientes!A:G,5,FALSE)</f>
        <v>98187-2364</v>
      </c>
      <c r="H68" s="15">
        <v>4</v>
      </c>
      <c r="I68" s="2" t="str">
        <f>VLOOKUP(H68,Produtos!A:B,2,FALSE)</f>
        <v>Coxinha de Carne - 50 un.</v>
      </c>
      <c r="J68" s="15">
        <v>1</v>
      </c>
      <c r="K68" s="18">
        <f>VLOOKUP(H68,Produtos!A:F,6,FALSE)</f>
        <v>27.75</v>
      </c>
      <c r="L68" s="10">
        <f t="shared" si="1"/>
        <v>27.75</v>
      </c>
    </row>
    <row r="69" spans="1:12" x14ac:dyDescent="0.25">
      <c r="A69" s="1" t="s">
        <v>182</v>
      </c>
      <c r="B69" s="11">
        <f t="shared" si="3"/>
        <v>43891</v>
      </c>
      <c r="C69" s="19">
        <f t="shared" si="0"/>
        <v>3</v>
      </c>
      <c r="D69" s="1" t="s">
        <v>68</v>
      </c>
      <c r="E69" s="2" t="str">
        <f>VLOOKUP(D69,Clientes!A:B,2,FALSE)</f>
        <v>Paulo Cesar</v>
      </c>
      <c r="F69" s="2" t="str">
        <f>VLOOKUP(D69,Clientes!A:G,4,FALSE)</f>
        <v>Rua Joao emilio, 13</v>
      </c>
      <c r="G69" s="2" t="str">
        <f>VLOOKUP(D69,Clientes!A:G,5,FALSE)</f>
        <v>99687-2365</v>
      </c>
      <c r="H69" s="15">
        <v>3</v>
      </c>
      <c r="I69" s="2" t="str">
        <f>VLOOKUP(H69,Produtos!A:B,2,FALSE)</f>
        <v>Coxinha de Carne - 100 un.</v>
      </c>
      <c r="J69" s="15">
        <v>1</v>
      </c>
      <c r="K69" s="18">
        <f>VLOOKUP(H69,Produtos!A:F,6,FALSE)</f>
        <v>45</v>
      </c>
      <c r="L69" s="10">
        <f t="shared" si="1"/>
        <v>45</v>
      </c>
    </row>
    <row r="70" spans="1:12" x14ac:dyDescent="0.25">
      <c r="A70" s="1" t="s">
        <v>183</v>
      </c>
      <c r="B70" s="11">
        <f t="shared" si="3"/>
        <v>43893</v>
      </c>
      <c r="C70" s="19">
        <f t="shared" si="0"/>
        <v>3</v>
      </c>
      <c r="D70" s="1" t="s">
        <v>62</v>
      </c>
      <c r="E70" s="2" t="str">
        <f>VLOOKUP(D70,Clientes!A:B,2,FALSE)</f>
        <v>Gabriel Lanza</v>
      </c>
      <c r="F70" s="2" t="str">
        <f>VLOOKUP(D70,Clientes!A:G,4,FALSE)</f>
        <v>Rua Japão, 98</v>
      </c>
      <c r="G70" s="2" t="str">
        <f>VLOOKUP(D70,Clientes!A:G,5,FALSE)</f>
        <v>99687-2359</v>
      </c>
      <c r="H70" s="15">
        <v>13</v>
      </c>
      <c r="I70" s="2" t="str">
        <f>VLOOKUP(H70,Produtos!A:B,2,FALSE)</f>
        <v>Coca-Cola 2L - 2 un.</v>
      </c>
      <c r="J70" s="15">
        <v>2</v>
      </c>
      <c r="K70" s="18">
        <f>VLOOKUP(H70,Produtos!A:F,6,FALSE)</f>
        <v>21</v>
      </c>
      <c r="L70" s="10">
        <f t="shared" si="1"/>
        <v>42</v>
      </c>
    </row>
    <row r="71" spans="1:12" x14ac:dyDescent="0.25">
      <c r="A71" s="1" t="s">
        <v>184</v>
      </c>
      <c r="B71" s="11">
        <f t="shared" si="3"/>
        <v>43895</v>
      </c>
      <c r="C71" s="19">
        <f t="shared" si="0"/>
        <v>3</v>
      </c>
      <c r="D71" s="1" t="s">
        <v>70</v>
      </c>
      <c r="E71" s="2" t="str">
        <f>VLOOKUP(D71,Clientes!A:B,2,FALSE)</f>
        <v>Amanda Souza</v>
      </c>
      <c r="F71" s="2" t="str">
        <f>VLOOKUP(D71,Clientes!A:G,4,FALSE)</f>
        <v>Rua México, 76</v>
      </c>
      <c r="G71" s="2" t="str">
        <f>VLOOKUP(D71,Clientes!A:G,5,FALSE)</f>
        <v>99687-2367</v>
      </c>
      <c r="H71" s="15">
        <v>2</v>
      </c>
      <c r="I71" s="2" t="str">
        <f>VLOOKUP(H71,Produtos!A:B,2,FALSE)</f>
        <v>Coxinha de Frango - 50 un.</v>
      </c>
      <c r="J71" s="15">
        <v>4</v>
      </c>
      <c r="K71" s="18">
        <f>VLOOKUP(H71,Produtos!A:F,6,FALSE)</f>
        <v>27.75</v>
      </c>
      <c r="L71" s="10">
        <f t="shared" si="1"/>
        <v>111</v>
      </c>
    </row>
    <row r="72" spans="1:12" x14ac:dyDescent="0.25">
      <c r="A72" s="1" t="s">
        <v>185</v>
      </c>
      <c r="B72" s="11">
        <f t="shared" si="3"/>
        <v>43897</v>
      </c>
      <c r="C72" s="19">
        <f t="shared" ref="C72:C135" si="4">MONTH(B72)</f>
        <v>3</v>
      </c>
      <c r="D72" s="1" t="s">
        <v>71</v>
      </c>
      <c r="E72" s="2" t="str">
        <f>VLOOKUP(D72,Clientes!A:B,2,FALSE)</f>
        <v>Alice Silva</v>
      </c>
      <c r="F72" s="2" t="str">
        <f>VLOOKUP(D72,Clientes!A:G,4,FALSE)</f>
        <v>Rua Pernambucanos, 31</v>
      </c>
      <c r="G72" s="2" t="str">
        <f>VLOOKUP(D72,Clientes!A:G,5,FALSE)</f>
        <v>99687-2368</v>
      </c>
      <c r="H72" s="15">
        <v>2</v>
      </c>
      <c r="I72" s="2" t="str">
        <f>VLOOKUP(H72,Produtos!A:B,2,FALSE)</f>
        <v>Coxinha de Frango - 50 un.</v>
      </c>
      <c r="J72" s="15">
        <v>2</v>
      </c>
      <c r="K72" s="18">
        <f>VLOOKUP(H72,Produtos!A:F,6,FALSE)</f>
        <v>27.75</v>
      </c>
      <c r="L72" s="10">
        <f t="shared" ref="L72:L135" si="5">K72*J72</f>
        <v>55.5</v>
      </c>
    </row>
    <row r="73" spans="1:12" x14ac:dyDescent="0.25">
      <c r="A73" s="1" t="s">
        <v>186</v>
      </c>
      <c r="B73" s="11">
        <f t="shared" si="3"/>
        <v>43899</v>
      </c>
      <c r="C73" s="19">
        <f t="shared" si="4"/>
        <v>3</v>
      </c>
      <c r="D73" s="1" t="s">
        <v>64</v>
      </c>
      <c r="E73" s="2" t="str">
        <f>VLOOKUP(D73,Clientes!A:B,2,FALSE)</f>
        <v>Eloá Azevedo</v>
      </c>
      <c r="F73" s="2" t="str">
        <f>VLOOKUP(D73,Clientes!A:G,4,FALSE)</f>
        <v>Rua Osvaldo Cruz,131</v>
      </c>
      <c r="G73" s="2" t="str">
        <f>VLOOKUP(D73,Clientes!A:G,5,FALSE)</f>
        <v>99787-2361</v>
      </c>
      <c r="H73" s="15">
        <v>2</v>
      </c>
      <c r="I73" s="2" t="str">
        <f>VLOOKUP(H73,Produtos!A:B,2,FALSE)</f>
        <v>Coxinha de Frango - 50 un.</v>
      </c>
      <c r="J73" s="15">
        <v>1</v>
      </c>
      <c r="K73" s="18">
        <f>VLOOKUP(H73,Produtos!A:F,6,FALSE)</f>
        <v>27.75</v>
      </c>
      <c r="L73" s="10">
        <f t="shared" si="5"/>
        <v>27.75</v>
      </c>
    </row>
    <row r="74" spans="1:12" x14ac:dyDescent="0.25">
      <c r="A74" s="1" t="s">
        <v>187</v>
      </c>
      <c r="B74" s="11">
        <f t="shared" si="3"/>
        <v>43901</v>
      </c>
      <c r="C74" s="19">
        <f t="shared" si="4"/>
        <v>3</v>
      </c>
      <c r="D74" s="1" t="s">
        <v>65</v>
      </c>
      <c r="E74" s="2" t="str">
        <f>VLOOKUP(D74,Clientes!A:B,2,FALSE)</f>
        <v>João Silva</v>
      </c>
      <c r="F74" s="2" t="str">
        <f>VLOOKUP(D74,Clientes!A:G,4,FALSE)</f>
        <v>Rua Joaquim Silva, 76</v>
      </c>
      <c r="G74" s="2" t="str">
        <f>VLOOKUP(D74,Clientes!A:G,5,FALSE)</f>
        <v>99687-2362</v>
      </c>
      <c r="H74" s="15">
        <v>1</v>
      </c>
      <c r="I74" s="2" t="str">
        <f>VLOOKUP(H74,Produtos!A:B,2,FALSE)</f>
        <v>Coxinha de Frango - 100 un.</v>
      </c>
      <c r="J74" s="15">
        <v>4</v>
      </c>
      <c r="K74" s="18">
        <f>VLOOKUP(H74,Produtos!A:F,6,FALSE)</f>
        <v>45</v>
      </c>
      <c r="L74" s="10">
        <f t="shared" si="5"/>
        <v>180</v>
      </c>
    </row>
    <row r="75" spans="1:12" x14ac:dyDescent="0.25">
      <c r="A75" s="1" t="s">
        <v>188</v>
      </c>
      <c r="B75" s="11">
        <f t="shared" si="3"/>
        <v>43903</v>
      </c>
      <c r="C75" s="19">
        <f t="shared" si="4"/>
        <v>3</v>
      </c>
      <c r="D75" s="1" t="s">
        <v>66</v>
      </c>
      <c r="E75" s="2" t="str">
        <f>VLOOKUP(D75,Clientes!A:B,2,FALSE)</f>
        <v>Junior Henrique</v>
      </c>
      <c r="F75" s="2" t="str">
        <f>VLOOKUP(D75,Clientes!A:G,4,FALSE)</f>
        <v>Av. das americas, 99</v>
      </c>
      <c r="G75" s="2" t="str">
        <f>VLOOKUP(D75,Clientes!A:G,5,FALSE)</f>
        <v>99687-2363</v>
      </c>
      <c r="H75" s="15">
        <v>16</v>
      </c>
      <c r="I75" s="2" t="str">
        <f>VLOOKUP(H75,Produtos!A:B,2,FALSE)</f>
        <v>Brigadeiro 50 un.</v>
      </c>
      <c r="J75" s="15">
        <v>2</v>
      </c>
      <c r="K75" s="18">
        <f>VLOOKUP(H75,Produtos!A:F,6,FALSE)</f>
        <v>25.200000000000003</v>
      </c>
      <c r="L75" s="10">
        <f t="shared" si="5"/>
        <v>50.400000000000006</v>
      </c>
    </row>
    <row r="76" spans="1:12" x14ac:dyDescent="0.25">
      <c r="A76" s="1" t="s">
        <v>189</v>
      </c>
      <c r="B76" s="11">
        <f t="shared" si="3"/>
        <v>43905</v>
      </c>
      <c r="C76" s="19">
        <f t="shared" si="4"/>
        <v>3</v>
      </c>
      <c r="D76" s="1" t="s">
        <v>67</v>
      </c>
      <c r="E76" s="2" t="str">
        <f>VLOOKUP(D76,Clientes!A:B,2,FALSE)</f>
        <v>Gabriela Antunes</v>
      </c>
      <c r="F76" s="2" t="str">
        <f>VLOOKUP(D76,Clientes!A:G,4,FALSE)</f>
        <v>Rua 11 de Novembro, 55</v>
      </c>
      <c r="G76" s="2" t="str">
        <f>VLOOKUP(D76,Clientes!A:G,5,FALSE)</f>
        <v>98187-2364</v>
      </c>
      <c r="H76" s="15">
        <v>12</v>
      </c>
      <c r="I76" s="2" t="str">
        <f>VLOOKUP(H76,Produtos!A:B,2,FALSE)</f>
        <v>Esfiha de Frango - 50 un.</v>
      </c>
      <c r="J76" s="15">
        <v>2</v>
      </c>
      <c r="K76" s="18">
        <f>VLOOKUP(H76,Produtos!A:F,6,FALSE)</f>
        <v>37</v>
      </c>
      <c r="L76" s="10">
        <f t="shared" si="5"/>
        <v>74</v>
      </c>
    </row>
    <row r="77" spans="1:12" x14ac:dyDescent="0.25">
      <c r="A77" s="1" t="s">
        <v>190</v>
      </c>
      <c r="B77" s="11">
        <f t="shared" si="3"/>
        <v>43907</v>
      </c>
      <c r="C77" s="19">
        <f t="shared" si="4"/>
        <v>3</v>
      </c>
      <c r="D77" s="1" t="s">
        <v>65</v>
      </c>
      <c r="E77" s="2" t="str">
        <f>VLOOKUP(D77,Clientes!A:B,2,FALSE)</f>
        <v>João Silva</v>
      </c>
      <c r="F77" s="2" t="str">
        <f>VLOOKUP(D77,Clientes!A:G,4,FALSE)</f>
        <v>Rua Joaquim Silva, 76</v>
      </c>
      <c r="G77" s="2" t="str">
        <f>VLOOKUP(D77,Clientes!A:G,5,FALSE)</f>
        <v>99687-2362</v>
      </c>
      <c r="H77" s="15">
        <v>17</v>
      </c>
      <c r="I77" s="2" t="str">
        <f>VLOOKUP(H77,Produtos!A:B,2,FALSE)</f>
        <v>Beijinho 100 un.</v>
      </c>
      <c r="J77" s="15">
        <v>2</v>
      </c>
      <c r="K77" s="18">
        <f>VLOOKUP(H77,Produtos!A:F,6,FALSE)</f>
        <v>40</v>
      </c>
      <c r="L77" s="10">
        <f t="shared" si="5"/>
        <v>80</v>
      </c>
    </row>
    <row r="78" spans="1:12" x14ac:dyDescent="0.25">
      <c r="A78" s="1" t="s">
        <v>191</v>
      </c>
      <c r="B78" s="11">
        <f t="shared" si="3"/>
        <v>43909</v>
      </c>
      <c r="C78" s="19">
        <f t="shared" si="4"/>
        <v>3</v>
      </c>
      <c r="D78" s="1" t="s">
        <v>66</v>
      </c>
      <c r="E78" s="2" t="str">
        <f>VLOOKUP(D78,Clientes!A:B,2,FALSE)</f>
        <v>Junior Henrique</v>
      </c>
      <c r="F78" s="2" t="str">
        <f>VLOOKUP(D78,Clientes!A:G,4,FALSE)</f>
        <v>Av. das americas, 99</v>
      </c>
      <c r="G78" s="2" t="str">
        <f>VLOOKUP(D78,Clientes!A:G,5,FALSE)</f>
        <v>99687-2363</v>
      </c>
      <c r="H78" s="15">
        <v>3</v>
      </c>
      <c r="I78" s="2" t="str">
        <f>VLOOKUP(H78,Produtos!A:B,2,FALSE)</f>
        <v>Coxinha de Carne - 100 un.</v>
      </c>
      <c r="J78" s="15">
        <v>1</v>
      </c>
      <c r="K78" s="18">
        <f>VLOOKUP(H78,Produtos!A:F,6,FALSE)</f>
        <v>45</v>
      </c>
      <c r="L78" s="10">
        <f t="shared" si="5"/>
        <v>45</v>
      </c>
    </row>
    <row r="79" spans="1:12" x14ac:dyDescent="0.25">
      <c r="A79" s="1" t="s">
        <v>192</v>
      </c>
      <c r="B79" s="11">
        <f t="shared" si="3"/>
        <v>43911</v>
      </c>
      <c r="C79" s="19">
        <f t="shared" si="4"/>
        <v>3</v>
      </c>
      <c r="D79" s="1" t="s">
        <v>67</v>
      </c>
      <c r="E79" s="2" t="str">
        <f>VLOOKUP(D79,Clientes!A:B,2,FALSE)</f>
        <v>Gabriela Antunes</v>
      </c>
      <c r="F79" s="2" t="str">
        <f>VLOOKUP(D79,Clientes!A:G,4,FALSE)</f>
        <v>Rua 11 de Novembro, 55</v>
      </c>
      <c r="G79" s="2" t="str">
        <f>VLOOKUP(D79,Clientes!A:G,5,FALSE)</f>
        <v>98187-2364</v>
      </c>
      <c r="H79" s="15">
        <v>9</v>
      </c>
      <c r="I79" s="2" t="str">
        <f>VLOOKUP(H79,Produtos!A:B,2,FALSE)</f>
        <v>Esfiha de Carne - 100 un.</v>
      </c>
      <c r="J79" s="15">
        <v>4</v>
      </c>
      <c r="K79" s="18">
        <f>VLOOKUP(H79,Produtos!A:F,6,FALSE)</f>
        <v>50.400000000000006</v>
      </c>
      <c r="L79" s="10">
        <f t="shared" si="5"/>
        <v>201.60000000000002</v>
      </c>
    </row>
    <row r="80" spans="1:12" x14ac:dyDescent="0.25">
      <c r="A80" s="1" t="s">
        <v>193</v>
      </c>
      <c r="B80" s="11">
        <f t="shared" si="3"/>
        <v>43913</v>
      </c>
      <c r="C80" s="19">
        <f t="shared" si="4"/>
        <v>3</v>
      </c>
      <c r="D80" s="1" t="s">
        <v>68</v>
      </c>
      <c r="E80" s="2" t="str">
        <f>VLOOKUP(D80,Clientes!A:B,2,FALSE)</f>
        <v>Paulo Cesar</v>
      </c>
      <c r="F80" s="2" t="str">
        <f>VLOOKUP(D80,Clientes!A:G,4,FALSE)</f>
        <v>Rua Joao emilio, 13</v>
      </c>
      <c r="G80" s="2" t="str">
        <f>VLOOKUP(D80,Clientes!A:G,5,FALSE)</f>
        <v>99687-2365</v>
      </c>
      <c r="H80" s="15">
        <v>1</v>
      </c>
      <c r="I80" s="2" t="str">
        <f>VLOOKUP(H80,Produtos!A:B,2,FALSE)</f>
        <v>Coxinha de Frango - 100 un.</v>
      </c>
      <c r="J80" s="15">
        <v>3</v>
      </c>
      <c r="K80" s="18">
        <f>VLOOKUP(H80,Produtos!A:F,6,FALSE)</f>
        <v>45</v>
      </c>
      <c r="L80" s="10">
        <f t="shared" si="5"/>
        <v>135</v>
      </c>
    </row>
    <row r="81" spans="1:12" x14ac:dyDescent="0.25">
      <c r="A81" s="1" t="s">
        <v>194</v>
      </c>
      <c r="B81" s="11">
        <f t="shared" si="3"/>
        <v>43915</v>
      </c>
      <c r="C81" s="19">
        <f t="shared" si="4"/>
        <v>3</v>
      </c>
      <c r="D81" s="1" t="s">
        <v>69</v>
      </c>
      <c r="E81" s="2" t="str">
        <f>VLOOKUP(D81,Clientes!A:B,2,FALSE)</f>
        <v>Alexandre Souza</v>
      </c>
      <c r="F81" s="2" t="str">
        <f>VLOOKUP(D81,Clientes!A:G,4,FALSE)</f>
        <v>Rua São Simao, 43</v>
      </c>
      <c r="G81" s="2" t="str">
        <f>VLOOKUP(D81,Clientes!A:G,5,FALSE)</f>
        <v>99687-2366</v>
      </c>
      <c r="H81" s="15">
        <v>1</v>
      </c>
      <c r="I81" s="2" t="str">
        <f>VLOOKUP(H81,Produtos!A:B,2,FALSE)</f>
        <v>Coxinha de Frango - 100 un.</v>
      </c>
      <c r="J81" s="15">
        <v>3</v>
      </c>
      <c r="K81" s="18">
        <f>VLOOKUP(H81,Produtos!A:F,6,FALSE)</f>
        <v>45</v>
      </c>
      <c r="L81" s="10">
        <f t="shared" si="5"/>
        <v>135</v>
      </c>
    </row>
    <row r="82" spans="1:12" x14ac:dyDescent="0.25">
      <c r="A82" s="1" t="s">
        <v>195</v>
      </c>
      <c r="B82" s="11">
        <f t="shared" si="3"/>
        <v>43917</v>
      </c>
      <c r="C82" s="19">
        <f t="shared" si="4"/>
        <v>3</v>
      </c>
      <c r="D82" s="1" t="s">
        <v>62</v>
      </c>
      <c r="E82" s="2" t="str">
        <f>VLOOKUP(D82,Clientes!A:B,2,FALSE)</f>
        <v>Gabriel Lanza</v>
      </c>
      <c r="F82" s="2" t="str">
        <f>VLOOKUP(D82,Clientes!A:G,4,FALSE)</f>
        <v>Rua Japão, 98</v>
      </c>
      <c r="G82" s="2" t="str">
        <f>VLOOKUP(D82,Clientes!A:G,5,FALSE)</f>
        <v>99687-2359</v>
      </c>
      <c r="H82" s="15">
        <v>14</v>
      </c>
      <c r="I82" s="2" t="str">
        <f>VLOOKUP(H82,Produtos!A:B,2,FALSE)</f>
        <v>Guaraná 2L - 2 un.</v>
      </c>
      <c r="J82" s="15">
        <v>1</v>
      </c>
      <c r="K82" s="18">
        <f>VLOOKUP(H82,Produtos!A:F,6,FALSE)</f>
        <v>16.100000000000001</v>
      </c>
      <c r="L82" s="10">
        <f t="shared" si="5"/>
        <v>16.100000000000001</v>
      </c>
    </row>
    <row r="83" spans="1:12" x14ac:dyDescent="0.25">
      <c r="A83" s="1" t="s">
        <v>196</v>
      </c>
      <c r="B83" s="11">
        <f t="shared" si="3"/>
        <v>43919</v>
      </c>
      <c r="C83" s="19">
        <f t="shared" si="4"/>
        <v>3</v>
      </c>
      <c r="D83" s="1" t="s">
        <v>71</v>
      </c>
      <c r="E83" s="2" t="str">
        <f>VLOOKUP(D83,Clientes!A:B,2,FALSE)</f>
        <v>Alice Silva</v>
      </c>
      <c r="F83" s="2" t="str">
        <f>VLOOKUP(D83,Clientes!A:G,4,FALSE)</f>
        <v>Rua Pernambucanos, 31</v>
      </c>
      <c r="G83" s="2" t="str">
        <f>VLOOKUP(D83,Clientes!A:G,5,FALSE)</f>
        <v>99687-2368</v>
      </c>
      <c r="H83" s="15">
        <v>6</v>
      </c>
      <c r="I83" s="2" t="str">
        <f>VLOOKUP(H83,Produtos!A:B,2,FALSE)</f>
        <v>Mini quibe 50 - un.</v>
      </c>
      <c r="J83" s="15">
        <v>2</v>
      </c>
      <c r="K83" s="18">
        <f>VLOOKUP(H83,Produtos!A:F,6,FALSE)</f>
        <v>27.75</v>
      </c>
      <c r="L83" s="10">
        <f t="shared" si="5"/>
        <v>55.5</v>
      </c>
    </row>
    <row r="84" spans="1:12" x14ac:dyDescent="0.25">
      <c r="A84" s="1" t="s">
        <v>197</v>
      </c>
      <c r="B84" s="11">
        <f t="shared" si="3"/>
        <v>43921</v>
      </c>
      <c r="C84" s="19">
        <f t="shared" si="4"/>
        <v>3</v>
      </c>
      <c r="D84" s="1" t="s">
        <v>64</v>
      </c>
      <c r="E84" s="2" t="str">
        <f>VLOOKUP(D84,Clientes!A:B,2,FALSE)</f>
        <v>Eloá Azevedo</v>
      </c>
      <c r="F84" s="2" t="str">
        <f>VLOOKUP(D84,Clientes!A:G,4,FALSE)</f>
        <v>Rua Osvaldo Cruz,131</v>
      </c>
      <c r="G84" s="2" t="str">
        <f>VLOOKUP(D84,Clientes!A:G,5,FALSE)</f>
        <v>99787-2361</v>
      </c>
      <c r="H84" s="15">
        <v>18</v>
      </c>
      <c r="I84" s="2" t="str">
        <f>VLOOKUP(H84,Produtos!A:B,2,FALSE)</f>
        <v>Beijinho 50 un.</v>
      </c>
      <c r="J84" s="15">
        <v>1</v>
      </c>
      <c r="K84" s="18">
        <f>VLOOKUP(H84,Produtos!A:F,6,FALSE)</f>
        <v>25.200000000000003</v>
      </c>
      <c r="L84" s="10">
        <f t="shared" si="5"/>
        <v>25.200000000000003</v>
      </c>
    </row>
    <row r="85" spans="1:12" x14ac:dyDescent="0.25">
      <c r="A85" s="1" t="s">
        <v>198</v>
      </c>
      <c r="B85" s="11">
        <f t="shared" si="3"/>
        <v>43923</v>
      </c>
      <c r="C85" s="19">
        <f t="shared" si="4"/>
        <v>4</v>
      </c>
      <c r="D85" s="1" t="s">
        <v>65</v>
      </c>
      <c r="E85" s="2" t="str">
        <f>VLOOKUP(D85,Clientes!A:B,2,FALSE)</f>
        <v>João Silva</v>
      </c>
      <c r="F85" s="2" t="str">
        <f>VLOOKUP(D85,Clientes!A:G,4,FALSE)</f>
        <v>Rua Joaquim Silva, 76</v>
      </c>
      <c r="G85" s="2" t="str">
        <f>VLOOKUP(D85,Clientes!A:G,5,FALSE)</f>
        <v>99687-2362</v>
      </c>
      <c r="H85" s="15">
        <v>10</v>
      </c>
      <c r="I85" s="2" t="str">
        <f>VLOOKUP(H85,Produtos!A:B,2,FALSE)</f>
        <v>Esfiha de Carne - 50 un.</v>
      </c>
      <c r="J85" s="15">
        <v>2</v>
      </c>
      <c r="K85" s="18">
        <f>VLOOKUP(H85,Produtos!A:F,6,FALSE)</f>
        <v>37</v>
      </c>
      <c r="L85" s="10">
        <f t="shared" si="5"/>
        <v>74</v>
      </c>
    </row>
    <row r="86" spans="1:12" x14ac:dyDescent="0.25">
      <c r="A86" s="1" t="s">
        <v>199</v>
      </c>
      <c r="B86" s="11">
        <f t="shared" si="3"/>
        <v>43925</v>
      </c>
      <c r="C86" s="19">
        <f t="shared" si="4"/>
        <v>4</v>
      </c>
      <c r="D86" s="1" t="s">
        <v>66</v>
      </c>
      <c r="E86" s="2" t="str">
        <f>VLOOKUP(D86,Clientes!A:B,2,FALSE)</f>
        <v>Junior Henrique</v>
      </c>
      <c r="F86" s="2" t="str">
        <f>VLOOKUP(D86,Clientes!A:G,4,FALSE)</f>
        <v>Av. das americas, 99</v>
      </c>
      <c r="G86" s="2" t="str">
        <f>VLOOKUP(D86,Clientes!A:G,5,FALSE)</f>
        <v>99687-2363</v>
      </c>
      <c r="H86" s="15">
        <v>7</v>
      </c>
      <c r="I86" s="2" t="str">
        <f>VLOOKUP(H86,Produtos!A:B,2,FALSE)</f>
        <v>Enroladinho  Salsicha - 100 un.</v>
      </c>
      <c r="J86" s="15">
        <v>2</v>
      </c>
      <c r="K86" s="18">
        <f>VLOOKUP(H86,Produtos!A:F,6,FALSE)</f>
        <v>54</v>
      </c>
      <c r="L86" s="10">
        <f t="shared" si="5"/>
        <v>108</v>
      </c>
    </row>
    <row r="87" spans="1:12" x14ac:dyDescent="0.25">
      <c r="A87" s="1" t="s">
        <v>200</v>
      </c>
      <c r="B87" s="11">
        <f t="shared" si="3"/>
        <v>43927</v>
      </c>
      <c r="C87" s="19">
        <f t="shared" si="4"/>
        <v>4</v>
      </c>
      <c r="D87" s="1" t="s">
        <v>67</v>
      </c>
      <c r="E87" s="2" t="str">
        <f>VLOOKUP(D87,Clientes!A:B,2,FALSE)</f>
        <v>Gabriela Antunes</v>
      </c>
      <c r="F87" s="2" t="str">
        <f>VLOOKUP(D87,Clientes!A:G,4,FALSE)</f>
        <v>Rua 11 de Novembro, 55</v>
      </c>
      <c r="G87" s="2" t="str">
        <f>VLOOKUP(D87,Clientes!A:G,5,FALSE)</f>
        <v>98187-2364</v>
      </c>
      <c r="H87" s="15">
        <v>4</v>
      </c>
      <c r="I87" s="2" t="str">
        <f>VLOOKUP(H87,Produtos!A:B,2,FALSE)</f>
        <v>Coxinha de Carne - 50 un.</v>
      </c>
      <c r="J87" s="15">
        <v>2</v>
      </c>
      <c r="K87" s="18">
        <f>VLOOKUP(H87,Produtos!A:F,6,FALSE)</f>
        <v>27.75</v>
      </c>
      <c r="L87" s="10">
        <f t="shared" si="5"/>
        <v>55.5</v>
      </c>
    </row>
    <row r="88" spans="1:12" x14ac:dyDescent="0.25">
      <c r="A88" s="1" t="s">
        <v>201</v>
      </c>
      <c r="B88" s="11">
        <f t="shared" si="3"/>
        <v>43929</v>
      </c>
      <c r="C88" s="19">
        <f t="shared" si="4"/>
        <v>4</v>
      </c>
      <c r="D88" s="1" t="s">
        <v>65</v>
      </c>
      <c r="E88" s="2" t="str">
        <f>VLOOKUP(D88,Clientes!A:B,2,FALSE)</f>
        <v>João Silva</v>
      </c>
      <c r="F88" s="2" t="str">
        <f>VLOOKUP(D88,Clientes!A:G,4,FALSE)</f>
        <v>Rua Joaquim Silva, 76</v>
      </c>
      <c r="G88" s="2" t="str">
        <f>VLOOKUP(D88,Clientes!A:G,5,FALSE)</f>
        <v>99687-2362</v>
      </c>
      <c r="H88" s="15">
        <v>18</v>
      </c>
      <c r="I88" s="2" t="str">
        <f>VLOOKUP(H88,Produtos!A:B,2,FALSE)</f>
        <v>Beijinho 50 un.</v>
      </c>
      <c r="J88" s="15">
        <v>2</v>
      </c>
      <c r="K88" s="18">
        <f>VLOOKUP(H88,Produtos!A:F,6,FALSE)</f>
        <v>25.200000000000003</v>
      </c>
      <c r="L88" s="10">
        <f t="shared" si="5"/>
        <v>50.400000000000006</v>
      </c>
    </row>
    <row r="89" spans="1:12" x14ac:dyDescent="0.25">
      <c r="A89" s="1" t="s">
        <v>202</v>
      </c>
      <c r="B89" s="11">
        <f t="shared" si="3"/>
        <v>43931</v>
      </c>
      <c r="C89" s="19">
        <f t="shared" si="4"/>
        <v>4</v>
      </c>
      <c r="D89" s="1" t="s">
        <v>65</v>
      </c>
      <c r="E89" s="2" t="str">
        <f>VLOOKUP(D89,Clientes!A:B,2,FALSE)</f>
        <v>João Silva</v>
      </c>
      <c r="F89" s="2" t="str">
        <f>VLOOKUP(D89,Clientes!A:G,4,FALSE)</f>
        <v>Rua Joaquim Silva, 76</v>
      </c>
      <c r="G89" s="2" t="str">
        <f>VLOOKUP(D89,Clientes!A:G,5,FALSE)</f>
        <v>99687-2362</v>
      </c>
      <c r="H89" s="15">
        <v>7</v>
      </c>
      <c r="I89" s="2" t="str">
        <f>VLOOKUP(H89,Produtos!A:B,2,FALSE)</f>
        <v>Enroladinho  Salsicha - 100 un.</v>
      </c>
      <c r="J89" s="15">
        <v>1</v>
      </c>
      <c r="K89" s="18">
        <f>VLOOKUP(H89,Produtos!A:F,6,FALSE)</f>
        <v>54</v>
      </c>
      <c r="L89" s="10">
        <f t="shared" si="5"/>
        <v>54</v>
      </c>
    </row>
    <row r="90" spans="1:12" x14ac:dyDescent="0.25">
      <c r="A90" s="1" t="s">
        <v>203</v>
      </c>
      <c r="B90" s="11">
        <f t="shared" si="3"/>
        <v>43933</v>
      </c>
      <c r="C90" s="19">
        <f t="shared" si="4"/>
        <v>4</v>
      </c>
      <c r="D90" s="1" t="s">
        <v>66</v>
      </c>
      <c r="E90" s="2" t="str">
        <f>VLOOKUP(D90,Clientes!A:B,2,FALSE)</f>
        <v>Junior Henrique</v>
      </c>
      <c r="F90" s="2" t="str">
        <f>VLOOKUP(D90,Clientes!A:G,4,FALSE)</f>
        <v>Av. das americas, 99</v>
      </c>
      <c r="G90" s="2" t="str">
        <f>VLOOKUP(D90,Clientes!A:G,5,FALSE)</f>
        <v>99687-2363</v>
      </c>
      <c r="H90" s="15">
        <v>11</v>
      </c>
      <c r="I90" s="2" t="str">
        <f>VLOOKUP(H90,Produtos!A:B,2,FALSE)</f>
        <v>Esfiha de Frango - 100 un.</v>
      </c>
      <c r="J90" s="15">
        <v>2</v>
      </c>
      <c r="K90" s="18">
        <f>VLOOKUP(H90,Produtos!A:F,6,FALSE)</f>
        <v>50.400000000000006</v>
      </c>
      <c r="L90" s="10">
        <f t="shared" si="5"/>
        <v>100.80000000000001</v>
      </c>
    </row>
    <row r="91" spans="1:12" x14ac:dyDescent="0.25">
      <c r="A91" s="1" t="s">
        <v>204</v>
      </c>
      <c r="B91" s="11">
        <f t="shared" si="3"/>
        <v>43935</v>
      </c>
      <c r="C91" s="19">
        <f t="shared" si="4"/>
        <v>4</v>
      </c>
      <c r="D91" s="1" t="s">
        <v>67</v>
      </c>
      <c r="E91" s="2" t="str">
        <f>VLOOKUP(D91,Clientes!A:B,2,FALSE)</f>
        <v>Gabriela Antunes</v>
      </c>
      <c r="F91" s="2" t="str">
        <f>VLOOKUP(D91,Clientes!A:G,4,FALSE)</f>
        <v>Rua 11 de Novembro, 55</v>
      </c>
      <c r="G91" s="2" t="str">
        <f>VLOOKUP(D91,Clientes!A:G,5,FALSE)</f>
        <v>98187-2364</v>
      </c>
      <c r="H91" s="15">
        <v>14</v>
      </c>
      <c r="I91" s="2" t="str">
        <f>VLOOKUP(H91,Produtos!A:B,2,FALSE)</f>
        <v>Guaraná 2L - 2 un.</v>
      </c>
      <c r="J91" s="15">
        <v>3</v>
      </c>
      <c r="K91" s="18">
        <f>VLOOKUP(H91,Produtos!A:F,6,FALSE)</f>
        <v>16.100000000000001</v>
      </c>
      <c r="L91" s="10">
        <f t="shared" si="5"/>
        <v>48.300000000000004</v>
      </c>
    </row>
    <row r="92" spans="1:12" x14ac:dyDescent="0.25">
      <c r="A92" s="1" t="s">
        <v>205</v>
      </c>
      <c r="B92" s="11">
        <f t="shared" si="3"/>
        <v>43937</v>
      </c>
      <c r="C92" s="19">
        <f t="shared" si="4"/>
        <v>4</v>
      </c>
      <c r="D92" s="1" t="s">
        <v>68</v>
      </c>
      <c r="E92" s="2" t="str">
        <f>VLOOKUP(D92,Clientes!A:B,2,FALSE)</f>
        <v>Paulo Cesar</v>
      </c>
      <c r="F92" s="2" t="str">
        <f>VLOOKUP(D92,Clientes!A:G,4,FALSE)</f>
        <v>Rua Joao emilio, 13</v>
      </c>
      <c r="G92" s="2" t="str">
        <f>VLOOKUP(D92,Clientes!A:G,5,FALSE)</f>
        <v>99687-2365</v>
      </c>
      <c r="H92" s="15">
        <v>1</v>
      </c>
      <c r="I92" s="2" t="str">
        <f>VLOOKUP(H92,Produtos!A:B,2,FALSE)</f>
        <v>Coxinha de Frango - 100 un.</v>
      </c>
      <c r="J92" s="15">
        <v>3</v>
      </c>
      <c r="K92" s="18">
        <f>VLOOKUP(H92,Produtos!A:F,6,FALSE)</f>
        <v>45</v>
      </c>
      <c r="L92" s="10">
        <f t="shared" si="5"/>
        <v>135</v>
      </c>
    </row>
    <row r="93" spans="1:12" x14ac:dyDescent="0.25">
      <c r="A93" s="1" t="s">
        <v>206</v>
      </c>
      <c r="B93" s="11">
        <f t="shared" si="3"/>
        <v>43939</v>
      </c>
      <c r="C93" s="19">
        <f t="shared" si="4"/>
        <v>4</v>
      </c>
      <c r="D93" s="1" t="s">
        <v>62</v>
      </c>
      <c r="E93" s="2" t="str">
        <f>VLOOKUP(D93,Clientes!A:B,2,FALSE)</f>
        <v>Gabriel Lanza</v>
      </c>
      <c r="F93" s="2" t="str">
        <f>VLOOKUP(D93,Clientes!A:G,4,FALSE)</f>
        <v>Rua Japão, 98</v>
      </c>
      <c r="G93" s="2" t="str">
        <f>VLOOKUP(D93,Clientes!A:G,5,FALSE)</f>
        <v>99687-2359</v>
      </c>
      <c r="H93" s="15">
        <v>12</v>
      </c>
      <c r="I93" s="2" t="str">
        <f>VLOOKUP(H93,Produtos!A:B,2,FALSE)</f>
        <v>Esfiha de Frango - 50 un.</v>
      </c>
      <c r="J93" s="15">
        <v>4</v>
      </c>
      <c r="K93" s="18">
        <f>VLOOKUP(H93,Produtos!A:F,6,FALSE)</f>
        <v>37</v>
      </c>
      <c r="L93" s="10">
        <f t="shared" si="5"/>
        <v>148</v>
      </c>
    </row>
    <row r="94" spans="1:12" x14ac:dyDescent="0.25">
      <c r="A94" s="1" t="s">
        <v>207</v>
      </c>
      <c r="B94" s="11">
        <f t="shared" si="3"/>
        <v>43941</v>
      </c>
      <c r="C94" s="19">
        <f t="shared" si="4"/>
        <v>4</v>
      </c>
      <c r="D94" s="1" t="s">
        <v>70</v>
      </c>
      <c r="E94" s="2" t="str">
        <f>VLOOKUP(D94,Clientes!A:B,2,FALSE)</f>
        <v>Amanda Souza</v>
      </c>
      <c r="F94" s="2" t="str">
        <f>VLOOKUP(D94,Clientes!A:G,4,FALSE)</f>
        <v>Rua México, 76</v>
      </c>
      <c r="G94" s="2" t="str">
        <f>VLOOKUP(D94,Clientes!A:G,5,FALSE)</f>
        <v>99687-2367</v>
      </c>
      <c r="H94" s="15">
        <v>2</v>
      </c>
      <c r="I94" s="2" t="str">
        <f>VLOOKUP(H94,Produtos!A:B,2,FALSE)</f>
        <v>Coxinha de Frango - 50 un.</v>
      </c>
      <c r="J94" s="15">
        <v>2</v>
      </c>
      <c r="K94" s="18">
        <f>VLOOKUP(H94,Produtos!A:F,6,FALSE)</f>
        <v>27.75</v>
      </c>
      <c r="L94" s="10">
        <f t="shared" si="5"/>
        <v>55.5</v>
      </c>
    </row>
    <row r="95" spans="1:12" x14ac:dyDescent="0.25">
      <c r="A95" s="1" t="s">
        <v>208</v>
      </c>
      <c r="B95" s="11">
        <f t="shared" si="3"/>
        <v>43943</v>
      </c>
      <c r="C95" s="19">
        <f t="shared" si="4"/>
        <v>4</v>
      </c>
      <c r="D95" s="1" t="s">
        <v>71</v>
      </c>
      <c r="E95" s="2" t="str">
        <f>VLOOKUP(D95,Clientes!A:B,2,FALSE)</f>
        <v>Alice Silva</v>
      </c>
      <c r="F95" s="2" t="str">
        <f>VLOOKUP(D95,Clientes!A:G,4,FALSE)</f>
        <v>Rua Pernambucanos, 31</v>
      </c>
      <c r="G95" s="2" t="str">
        <f>VLOOKUP(D95,Clientes!A:G,5,FALSE)</f>
        <v>99687-2368</v>
      </c>
      <c r="H95" s="15">
        <v>9</v>
      </c>
      <c r="I95" s="2" t="str">
        <f>VLOOKUP(H95,Produtos!A:B,2,FALSE)</f>
        <v>Esfiha de Carne - 100 un.</v>
      </c>
      <c r="J95" s="15">
        <v>4</v>
      </c>
      <c r="K95" s="18">
        <f>VLOOKUP(H95,Produtos!A:F,6,FALSE)</f>
        <v>50.400000000000006</v>
      </c>
      <c r="L95" s="10">
        <f t="shared" si="5"/>
        <v>201.60000000000002</v>
      </c>
    </row>
    <row r="96" spans="1:12" x14ac:dyDescent="0.25">
      <c r="A96" s="1" t="s">
        <v>209</v>
      </c>
      <c r="B96" s="11">
        <f t="shared" si="3"/>
        <v>43945</v>
      </c>
      <c r="C96" s="19">
        <f t="shared" si="4"/>
        <v>4</v>
      </c>
      <c r="D96" s="1" t="s">
        <v>64</v>
      </c>
      <c r="E96" s="2" t="str">
        <f>VLOOKUP(D96,Clientes!A:B,2,FALSE)</f>
        <v>Eloá Azevedo</v>
      </c>
      <c r="F96" s="2" t="str">
        <f>VLOOKUP(D96,Clientes!A:G,4,FALSE)</f>
        <v>Rua Osvaldo Cruz,131</v>
      </c>
      <c r="G96" s="2" t="str">
        <f>VLOOKUP(D96,Clientes!A:G,5,FALSE)</f>
        <v>99787-2361</v>
      </c>
      <c r="H96" s="15">
        <v>7</v>
      </c>
      <c r="I96" s="2" t="str">
        <f>VLOOKUP(H96,Produtos!A:B,2,FALSE)</f>
        <v>Enroladinho  Salsicha - 100 un.</v>
      </c>
      <c r="J96" s="15">
        <v>3</v>
      </c>
      <c r="K96" s="18">
        <f>VLOOKUP(H96,Produtos!A:F,6,FALSE)</f>
        <v>54</v>
      </c>
      <c r="L96" s="10">
        <f t="shared" si="5"/>
        <v>162</v>
      </c>
    </row>
    <row r="97" spans="1:12" x14ac:dyDescent="0.25">
      <c r="A97" s="1" t="s">
        <v>210</v>
      </c>
      <c r="B97" s="11">
        <f t="shared" si="3"/>
        <v>43947</v>
      </c>
      <c r="C97" s="19">
        <f t="shared" si="4"/>
        <v>4</v>
      </c>
      <c r="D97" s="1" t="s">
        <v>65</v>
      </c>
      <c r="E97" s="2" t="str">
        <f>VLOOKUP(D97,Clientes!A:B,2,FALSE)</f>
        <v>João Silva</v>
      </c>
      <c r="F97" s="2" t="str">
        <f>VLOOKUP(D97,Clientes!A:G,4,FALSE)</f>
        <v>Rua Joaquim Silva, 76</v>
      </c>
      <c r="G97" s="2" t="str">
        <f>VLOOKUP(D97,Clientes!A:G,5,FALSE)</f>
        <v>99687-2362</v>
      </c>
      <c r="H97" s="15">
        <v>1</v>
      </c>
      <c r="I97" s="2" t="str">
        <f>VLOOKUP(H97,Produtos!A:B,2,FALSE)</f>
        <v>Coxinha de Frango - 100 un.</v>
      </c>
      <c r="J97" s="15">
        <v>1</v>
      </c>
      <c r="K97" s="18">
        <f>VLOOKUP(H97,Produtos!A:F,6,FALSE)</f>
        <v>45</v>
      </c>
      <c r="L97" s="10">
        <f t="shared" si="5"/>
        <v>45</v>
      </c>
    </row>
    <row r="98" spans="1:12" x14ac:dyDescent="0.25">
      <c r="A98" s="1" t="s">
        <v>211</v>
      </c>
      <c r="B98" s="11">
        <f t="shared" si="3"/>
        <v>43949</v>
      </c>
      <c r="C98" s="19">
        <f t="shared" si="4"/>
        <v>4</v>
      </c>
      <c r="D98" s="1" t="s">
        <v>66</v>
      </c>
      <c r="E98" s="2" t="str">
        <f>VLOOKUP(D98,Clientes!A:B,2,FALSE)</f>
        <v>Junior Henrique</v>
      </c>
      <c r="F98" s="2" t="str">
        <f>VLOOKUP(D98,Clientes!A:G,4,FALSE)</f>
        <v>Av. das americas, 99</v>
      </c>
      <c r="G98" s="2" t="str">
        <f>VLOOKUP(D98,Clientes!A:G,5,FALSE)</f>
        <v>99687-2363</v>
      </c>
      <c r="H98" s="15">
        <v>7</v>
      </c>
      <c r="I98" s="2" t="str">
        <f>VLOOKUP(H98,Produtos!A:B,2,FALSE)</f>
        <v>Enroladinho  Salsicha - 100 un.</v>
      </c>
      <c r="J98" s="15">
        <v>4</v>
      </c>
      <c r="K98" s="18">
        <f>VLOOKUP(H98,Produtos!A:F,6,FALSE)</f>
        <v>54</v>
      </c>
      <c r="L98" s="10">
        <f t="shared" si="5"/>
        <v>216</v>
      </c>
    </row>
    <row r="99" spans="1:12" x14ac:dyDescent="0.25">
      <c r="A99" s="1" t="s">
        <v>212</v>
      </c>
      <c r="B99" s="11">
        <f t="shared" si="3"/>
        <v>43951</v>
      </c>
      <c r="C99" s="19">
        <f t="shared" si="4"/>
        <v>4</v>
      </c>
      <c r="D99" s="1" t="s">
        <v>67</v>
      </c>
      <c r="E99" s="2" t="str">
        <f>VLOOKUP(D99,Clientes!A:B,2,FALSE)</f>
        <v>Gabriela Antunes</v>
      </c>
      <c r="F99" s="2" t="str">
        <f>VLOOKUP(D99,Clientes!A:G,4,FALSE)</f>
        <v>Rua 11 de Novembro, 55</v>
      </c>
      <c r="G99" s="2" t="str">
        <f>VLOOKUP(D99,Clientes!A:G,5,FALSE)</f>
        <v>98187-2364</v>
      </c>
      <c r="H99" s="15">
        <v>6</v>
      </c>
      <c r="I99" s="2" t="str">
        <f>VLOOKUP(H99,Produtos!A:B,2,FALSE)</f>
        <v>Mini quibe 50 - un.</v>
      </c>
      <c r="J99" s="15">
        <v>4</v>
      </c>
      <c r="K99" s="18">
        <f>VLOOKUP(H99,Produtos!A:F,6,FALSE)</f>
        <v>27.75</v>
      </c>
      <c r="L99" s="10">
        <f t="shared" si="5"/>
        <v>111</v>
      </c>
    </row>
    <row r="100" spans="1:12" x14ac:dyDescent="0.25">
      <c r="A100" s="1" t="s">
        <v>213</v>
      </c>
      <c r="B100" s="11">
        <f t="shared" si="3"/>
        <v>43953</v>
      </c>
      <c r="C100" s="19">
        <f t="shared" si="4"/>
        <v>5</v>
      </c>
      <c r="D100" s="1" t="s">
        <v>70</v>
      </c>
      <c r="E100" s="2" t="str">
        <f>VLOOKUP(D100,Clientes!A:B,2,FALSE)</f>
        <v>Amanda Souza</v>
      </c>
      <c r="F100" s="2" t="str">
        <f>VLOOKUP(D100,Clientes!A:G,4,FALSE)</f>
        <v>Rua México, 76</v>
      </c>
      <c r="G100" s="2" t="str">
        <f>VLOOKUP(D100,Clientes!A:G,5,FALSE)</f>
        <v>99687-2367</v>
      </c>
      <c r="H100" s="15">
        <v>2</v>
      </c>
      <c r="I100" s="2" t="str">
        <f>VLOOKUP(H100,Produtos!A:B,2,FALSE)</f>
        <v>Coxinha de Frango - 50 un.</v>
      </c>
      <c r="J100" s="15">
        <v>2</v>
      </c>
      <c r="K100" s="18">
        <f>VLOOKUP(H100,Produtos!A:F,6,FALSE)</f>
        <v>27.75</v>
      </c>
      <c r="L100" s="10">
        <f t="shared" si="5"/>
        <v>55.5</v>
      </c>
    </row>
    <row r="101" spans="1:12" x14ac:dyDescent="0.25">
      <c r="A101" s="1" t="s">
        <v>214</v>
      </c>
      <c r="B101" s="11">
        <f t="shared" si="3"/>
        <v>43955</v>
      </c>
      <c r="C101" s="19">
        <f t="shared" si="4"/>
        <v>5</v>
      </c>
      <c r="D101" s="1" t="s">
        <v>71</v>
      </c>
      <c r="E101" s="2" t="str">
        <f>VLOOKUP(D101,Clientes!A:B,2,FALSE)</f>
        <v>Alice Silva</v>
      </c>
      <c r="F101" s="2" t="str">
        <f>VLOOKUP(D101,Clientes!A:G,4,FALSE)</f>
        <v>Rua Pernambucanos, 31</v>
      </c>
      <c r="G101" s="2" t="str">
        <f>VLOOKUP(D101,Clientes!A:G,5,FALSE)</f>
        <v>99687-2368</v>
      </c>
      <c r="H101" s="15">
        <v>18</v>
      </c>
      <c r="I101" s="2" t="str">
        <f>VLOOKUP(H101,Produtos!A:B,2,FALSE)</f>
        <v>Beijinho 50 un.</v>
      </c>
      <c r="J101" s="15">
        <v>2</v>
      </c>
      <c r="K101" s="18">
        <f>VLOOKUP(H101,Produtos!A:F,6,FALSE)</f>
        <v>25.200000000000003</v>
      </c>
      <c r="L101" s="10">
        <f t="shared" si="5"/>
        <v>50.400000000000006</v>
      </c>
    </row>
    <row r="102" spans="1:12" x14ac:dyDescent="0.25">
      <c r="A102" s="1" t="s">
        <v>215</v>
      </c>
      <c r="B102" s="11">
        <f t="shared" si="3"/>
        <v>43957</v>
      </c>
      <c r="C102" s="19">
        <f t="shared" si="4"/>
        <v>5</v>
      </c>
      <c r="D102" s="1" t="s">
        <v>64</v>
      </c>
      <c r="E102" s="2" t="str">
        <f>VLOOKUP(D102,Clientes!A:B,2,FALSE)</f>
        <v>Eloá Azevedo</v>
      </c>
      <c r="F102" s="2" t="str">
        <f>VLOOKUP(D102,Clientes!A:G,4,FALSE)</f>
        <v>Rua Osvaldo Cruz,131</v>
      </c>
      <c r="G102" s="2" t="str">
        <f>VLOOKUP(D102,Clientes!A:G,5,FALSE)</f>
        <v>99787-2361</v>
      </c>
      <c r="H102" s="15">
        <v>12</v>
      </c>
      <c r="I102" s="2" t="str">
        <f>VLOOKUP(H102,Produtos!A:B,2,FALSE)</f>
        <v>Esfiha de Frango - 50 un.</v>
      </c>
      <c r="J102" s="15">
        <v>1</v>
      </c>
      <c r="K102" s="18">
        <f>VLOOKUP(H102,Produtos!A:F,6,FALSE)</f>
        <v>37</v>
      </c>
      <c r="L102" s="10">
        <f t="shared" si="5"/>
        <v>37</v>
      </c>
    </row>
    <row r="103" spans="1:12" x14ac:dyDescent="0.25">
      <c r="A103" s="1" t="s">
        <v>216</v>
      </c>
      <c r="B103" s="11">
        <f t="shared" si="3"/>
        <v>43959</v>
      </c>
      <c r="C103" s="19">
        <f t="shared" si="4"/>
        <v>5</v>
      </c>
      <c r="D103" s="1" t="s">
        <v>65</v>
      </c>
      <c r="E103" s="2" t="str">
        <f>VLOOKUP(D103,Clientes!A:B,2,FALSE)</f>
        <v>João Silva</v>
      </c>
      <c r="F103" s="2" t="str">
        <f>VLOOKUP(D103,Clientes!A:G,4,FALSE)</f>
        <v>Rua Joaquim Silva, 76</v>
      </c>
      <c r="G103" s="2" t="str">
        <f>VLOOKUP(D103,Clientes!A:G,5,FALSE)</f>
        <v>99687-2362</v>
      </c>
      <c r="H103" s="15">
        <v>11</v>
      </c>
      <c r="I103" s="2" t="str">
        <f>VLOOKUP(H103,Produtos!A:B,2,FALSE)</f>
        <v>Esfiha de Frango - 100 un.</v>
      </c>
      <c r="J103" s="15">
        <v>1</v>
      </c>
      <c r="K103" s="18">
        <f>VLOOKUP(H103,Produtos!A:F,6,FALSE)</f>
        <v>50.400000000000006</v>
      </c>
      <c r="L103" s="10">
        <f t="shared" si="5"/>
        <v>50.400000000000006</v>
      </c>
    </row>
    <row r="104" spans="1:12" x14ac:dyDescent="0.25">
      <c r="A104" s="1" t="s">
        <v>217</v>
      </c>
      <c r="B104" s="11">
        <f t="shared" si="3"/>
        <v>43961</v>
      </c>
      <c r="C104" s="19">
        <f t="shared" si="4"/>
        <v>5</v>
      </c>
      <c r="D104" s="1" t="s">
        <v>66</v>
      </c>
      <c r="E104" s="2" t="str">
        <f>VLOOKUP(D104,Clientes!A:B,2,FALSE)</f>
        <v>Junior Henrique</v>
      </c>
      <c r="F104" s="2" t="str">
        <f>VLOOKUP(D104,Clientes!A:G,4,FALSE)</f>
        <v>Av. das americas, 99</v>
      </c>
      <c r="G104" s="2" t="str">
        <f>VLOOKUP(D104,Clientes!A:G,5,FALSE)</f>
        <v>99687-2363</v>
      </c>
      <c r="H104" s="15">
        <v>6</v>
      </c>
      <c r="I104" s="2" t="str">
        <f>VLOOKUP(H104,Produtos!A:B,2,FALSE)</f>
        <v>Mini quibe 50 - un.</v>
      </c>
      <c r="J104" s="15">
        <v>3</v>
      </c>
      <c r="K104" s="18">
        <f>VLOOKUP(H104,Produtos!A:F,6,FALSE)</f>
        <v>27.75</v>
      </c>
      <c r="L104" s="10">
        <f t="shared" si="5"/>
        <v>83.25</v>
      </c>
    </row>
    <row r="105" spans="1:12" x14ac:dyDescent="0.25">
      <c r="A105" s="1" t="s">
        <v>218</v>
      </c>
      <c r="B105" s="11">
        <f t="shared" si="3"/>
        <v>43963</v>
      </c>
      <c r="C105" s="19">
        <f t="shared" si="4"/>
        <v>5</v>
      </c>
      <c r="D105" s="1" t="s">
        <v>67</v>
      </c>
      <c r="E105" s="2" t="str">
        <f>VLOOKUP(D105,Clientes!A:B,2,FALSE)</f>
        <v>Gabriela Antunes</v>
      </c>
      <c r="F105" s="2" t="str">
        <f>VLOOKUP(D105,Clientes!A:G,4,FALSE)</f>
        <v>Rua 11 de Novembro, 55</v>
      </c>
      <c r="G105" s="2" t="str">
        <f>VLOOKUP(D105,Clientes!A:G,5,FALSE)</f>
        <v>98187-2364</v>
      </c>
      <c r="H105" s="15">
        <v>9</v>
      </c>
      <c r="I105" s="2" t="str">
        <f>VLOOKUP(H105,Produtos!A:B,2,FALSE)</f>
        <v>Esfiha de Carne - 100 un.</v>
      </c>
      <c r="J105" s="15">
        <v>4</v>
      </c>
      <c r="K105" s="18">
        <f>VLOOKUP(H105,Produtos!A:F,6,FALSE)</f>
        <v>50.400000000000006</v>
      </c>
      <c r="L105" s="10">
        <f t="shared" si="5"/>
        <v>201.60000000000002</v>
      </c>
    </row>
    <row r="106" spans="1:12" x14ac:dyDescent="0.25">
      <c r="A106" s="1" t="s">
        <v>219</v>
      </c>
      <c r="B106" s="11">
        <f t="shared" si="3"/>
        <v>43965</v>
      </c>
      <c r="C106" s="19">
        <f t="shared" si="4"/>
        <v>5</v>
      </c>
      <c r="D106" s="1" t="s">
        <v>65</v>
      </c>
      <c r="E106" s="2" t="str">
        <f>VLOOKUP(D106,Clientes!A:B,2,FALSE)</f>
        <v>João Silva</v>
      </c>
      <c r="F106" s="2" t="str">
        <f>VLOOKUP(D106,Clientes!A:G,4,FALSE)</f>
        <v>Rua Joaquim Silva, 76</v>
      </c>
      <c r="G106" s="2" t="str">
        <f>VLOOKUP(D106,Clientes!A:G,5,FALSE)</f>
        <v>99687-2362</v>
      </c>
      <c r="H106" s="15">
        <v>12</v>
      </c>
      <c r="I106" s="2" t="str">
        <f>VLOOKUP(H106,Produtos!A:B,2,FALSE)</f>
        <v>Esfiha de Frango - 50 un.</v>
      </c>
      <c r="J106" s="15">
        <v>2</v>
      </c>
      <c r="K106" s="18">
        <f>VLOOKUP(H106,Produtos!A:F,6,FALSE)</f>
        <v>37</v>
      </c>
      <c r="L106" s="10">
        <f t="shared" si="5"/>
        <v>74</v>
      </c>
    </row>
    <row r="107" spans="1:12" x14ac:dyDescent="0.25">
      <c r="A107" s="1" t="s">
        <v>220</v>
      </c>
      <c r="B107" s="11">
        <f t="shared" si="3"/>
        <v>43967</v>
      </c>
      <c r="C107" s="19">
        <f t="shared" si="4"/>
        <v>5</v>
      </c>
      <c r="D107" s="1" t="s">
        <v>66</v>
      </c>
      <c r="E107" s="2" t="str">
        <f>VLOOKUP(D107,Clientes!A:B,2,FALSE)</f>
        <v>Junior Henrique</v>
      </c>
      <c r="F107" s="2" t="str">
        <f>VLOOKUP(D107,Clientes!A:G,4,FALSE)</f>
        <v>Av. das americas, 99</v>
      </c>
      <c r="G107" s="2" t="str">
        <f>VLOOKUP(D107,Clientes!A:G,5,FALSE)</f>
        <v>99687-2363</v>
      </c>
      <c r="H107" s="15">
        <v>5</v>
      </c>
      <c r="I107" s="2" t="str">
        <f>VLOOKUP(H107,Produtos!A:B,2,FALSE)</f>
        <v>Mini quibe 100 - un.</v>
      </c>
      <c r="J107" s="15">
        <v>4</v>
      </c>
      <c r="K107" s="18">
        <f>VLOOKUP(H107,Produtos!A:F,6,FALSE)</f>
        <v>45</v>
      </c>
      <c r="L107" s="10">
        <f t="shared" si="5"/>
        <v>180</v>
      </c>
    </row>
    <row r="108" spans="1:12" x14ac:dyDescent="0.25">
      <c r="A108" s="1" t="s">
        <v>221</v>
      </c>
      <c r="B108" s="11">
        <f t="shared" si="3"/>
        <v>43969</v>
      </c>
      <c r="C108" s="19">
        <f t="shared" si="4"/>
        <v>5</v>
      </c>
      <c r="D108" s="1" t="s">
        <v>67</v>
      </c>
      <c r="E108" s="2" t="str">
        <f>VLOOKUP(D108,Clientes!A:B,2,FALSE)</f>
        <v>Gabriela Antunes</v>
      </c>
      <c r="F108" s="2" t="str">
        <f>VLOOKUP(D108,Clientes!A:G,4,FALSE)</f>
        <v>Rua 11 de Novembro, 55</v>
      </c>
      <c r="G108" s="2" t="str">
        <f>VLOOKUP(D108,Clientes!A:G,5,FALSE)</f>
        <v>98187-2364</v>
      </c>
      <c r="H108" s="15">
        <v>17</v>
      </c>
      <c r="I108" s="2" t="str">
        <f>VLOOKUP(H108,Produtos!A:B,2,FALSE)</f>
        <v>Beijinho 100 un.</v>
      </c>
      <c r="J108" s="15">
        <v>1</v>
      </c>
      <c r="K108" s="18">
        <f>VLOOKUP(H108,Produtos!A:F,6,FALSE)</f>
        <v>40</v>
      </c>
      <c r="L108" s="10">
        <f t="shared" si="5"/>
        <v>40</v>
      </c>
    </row>
    <row r="109" spans="1:12" x14ac:dyDescent="0.25">
      <c r="A109" s="1" t="s">
        <v>222</v>
      </c>
      <c r="B109" s="11">
        <f t="shared" si="3"/>
        <v>43971</v>
      </c>
      <c r="C109" s="19">
        <f t="shared" si="4"/>
        <v>5</v>
      </c>
      <c r="D109" s="1" t="s">
        <v>59</v>
      </c>
      <c r="E109" s="2" t="str">
        <f>VLOOKUP(D109,Clientes!A:B,2,FALSE)</f>
        <v>Ronaldo Leite</v>
      </c>
      <c r="F109" s="2" t="str">
        <f>VLOOKUP(D109,Clientes!A:G,4,FALSE)</f>
        <v>Rua julia caseiro, 135</v>
      </c>
      <c r="G109" s="2" t="str">
        <f>VLOOKUP(D109,Clientes!A:G,5,FALSE)</f>
        <v>99687-2356</v>
      </c>
      <c r="H109" s="15">
        <v>16</v>
      </c>
      <c r="I109" s="2" t="str">
        <f>VLOOKUP(H109,Produtos!A:B,2,FALSE)</f>
        <v>Brigadeiro 50 un.</v>
      </c>
      <c r="J109" s="15">
        <v>2</v>
      </c>
      <c r="K109" s="18">
        <f>VLOOKUP(H109,Produtos!A:F,6,FALSE)</f>
        <v>25.200000000000003</v>
      </c>
      <c r="L109" s="10">
        <f t="shared" si="5"/>
        <v>50.400000000000006</v>
      </c>
    </row>
    <row r="110" spans="1:12" x14ac:dyDescent="0.25">
      <c r="A110" s="1" t="s">
        <v>223</v>
      </c>
      <c r="B110" s="11">
        <f t="shared" si="3"/>
        <v>43973</v>
      </c>
      <c r="C110" s="19">
        <f t="shared" si="4"/>
        <v>5</v>
      </c>
      <c r="D110" s="1" t="s">
        <v>60</v>
      </c>
      <c r="E110" s="2" t="str">
        <f>VLOOKUP(D110,Clientes!A:B,2,FALSE)</f>
        <v>Gilvan Souza</v>
      </c>
      <c r="F110" s="2" t="str">
        <f>VLOOKUP(D110,Clientes!A:G,4,FALSE)</f>
        <v>Rua 7 de setembro, 167</v>
      </c>
      <c r="G110" s="2" t="str">
        <f>VLOOKUP(D110,Clientes!A:G,5,FALSE)</f>
        <v>98187-2357</v>
      </c>
      <c r="H110" s="15">
        <v>17</v>
      </c>
      <c r="I110" s="2" t="str">
        <f>VLOOKUP(H110,Produtos!A:B,2,FALSE)</f>
        <v>Beijinho 100 un.</v>
      </c>
      <c r="J110" s="15">
        <v>1</v>
      </c>
      <c r="K110" s="18">
        <f>VLOOKUP(H110,Produtos!A:F,6,FALSE)</f>
        <v>40</v>
      </c>
      <c r="L110" s="10">
        <f t="shared" si="5"/>
        <v>40</v>
      </c>
    </row>
    <row r="111" spans="1:12" x14ac:dyDescent="0.25">
      <c r="A111" s="1" t="s">
        <v>224</v>
      </c>
      <c r="B111" s="11">
        <f t="shared" si="3"/>
        <v>43975</v>
      </c>
      <c r="C111" s="19">
        <f t="shared" si="4"/>
        <v>5</v>
      </c>
      <c r="D111" s="1" t="s">
        <v>61</v>
      </c>
      <c r="E111" s="2" t="str">
        <f>VLOOKUP(D111,Clientes!A:B,2,FALSE)</f>
        <v>Pedro Silva</v>
      </c>
      <c r="F111" s="2" t="str">
        <f>VLOOKUP(D111,Clientes!A:G,4,FALSE)</f>
        <v>Rua Pedro Cabral, 89</v>
      </c>
      <c r="G111" s="2" t="str">
        <f>VLOOKUP(D111,Clientes!A:G,5,FALSE)</f>
        <v>99687-2358</v>
      </c>
      <c r="H111" s="15">
        <v>4</v>
      </c>
      <c r="I111" s="2" t="str">
        <f>VLOOKUP(H111,Produtos!A:B,2,FALSE)</f>
        <v>Coxinha de Carne - 50 un.</v>
      </c>
      <c r="J111" s="15">
        <v>1</v>
      </c>
      <c r="K111" s="18">
        <f>VLOOKUP(H111,Produtos!A:F,6,FALSE)</f>
        <v>27.75</v>
      </c>
      <c r="L111" s="10">
        <f t="shared" si="5"/>
        <v>27.75</v>
      </c>
    </row>
    <row r="112" spans="1:12" x14ac:dyDescent="0.25">
      <c r="A112" s="1" t="s">
        <v>225</v>
      </c>
      <c r="B112" s="11">
        <f t="shared" si="3"/>
        <v>43977</v>
      </c>
      <c r="C112" s="19">
        <f t="shared" si="4"/>
        <v>5</v>
      </c>
      <c r="D112" s="1" t="s">
        <v>62</v>
      </c>
      <c r="E112" s="2" t="str">
        <f>VLOOKUP(D112,Clientes!A:B,2,FALSE)</f>
        <v>Gabriel Lanza</v>
      </c>
      <c r="F112" s="2" t="str">
        <f>VLOOKUP(D112,Clientes!A:G,4,FALSE)</f>
        <v>Rua Japão, 98</v>
      </c>
      <c r="G112" s="2" t="str">
        <f>VLOOKUP(D112,Clientes!A:G,5,FALSE)</f>
        <v>99687-2359</v>
      </c>
      <c r="H112" s="15">
        <v>16</v>
      </c>
      <c r="I112" s="2" t="str">
        <f>VLOOKUP(H112,Produtos!A:B,2,FALSE)</f>
        <v>Brigadeiro 50 un.</v>
      </c>
      <c r="J112" s="15">
        <v>2</v>
      </c>
      <c r="K112" s="18">
        <f>VLOOKUP(H112,Produtos!A:F,6,FALSE)</f>
        <v>25.200000000000003</v>
      </c>
      <c r="L112" s="10">
        <f t="shared" si="5"/>
        <v>50.400000000000006</v>
      </c>
    </row>
    <row r="113" spans="1:12" x14ac:dyDescent="0.25">
      <c r="A113" s="1" t="s">
        <v>226</v>
      </c>
      <c r="B113" s="11">
        <f t="shared" si="3"/>
        <v>43979</v>
      </c>
      <c r="C113" s="19">
        <f t="shared" si="4"/>
        <v>5</v>
      </c>
      <c r="D113" s="1" t="s">
        <v>63</v>
      </c>
      <c r="E113" s="2" t="str">
        <f>VLOOKUP(D113,Clientes!A:B,2,FALSE)</f>
        <v>Matheus Lucas</v>
      </c>
      <c r="F113" s="2" t="str">
        <f>VLOOKUP(D113,Clientes!A:G,4,FALSE)</f>
        <v>Rua São Lucas, 221</v>
      </c>
      <c r="G113" s="2" t="str">
        <f>VLOOKUP(D113,Clientes!A:G,5,FALSE)</f>
        <v>99687-2360</v>
      </c>
      <c r="H113" s="15">
        <v>4</v>
      </c>
      <c r="I113" s="2" t="str">
        <f>VLOOKUP(H113,Produtos!A:B,2,FALSE)</f>
        <v>Coxinha de Carne - 50 un.</v>
      </c>
      <c r="J113" s="15">
        <v>4</v>
      </c>
      <c r="K113" s="18">
        <f>VLOOKUP(H113,Produtos!A:F,6,FALSE)</f>
        <v>27.75</v>
      </c>
      <c r="L113" s="10">
        <f t="shared" si="5"/>
        <v>111</v>
      </c>
    </row>
    <row r="114" spans="1:12" x14ac:dyDescent="0.25">
      <c r="A114" s="1" t="s">
        <v>227</v>
      </c>
      <c r="B114" s="11">
        <f t="shared" si="3"/>
        <v>43981</v>
      </c>
      <c r="C114" s="19">
        <f t="shared" si="4"/>
        <v>5</v>
      </c>
      <c r="D114" s="1" t="s">
        <v>62</v>
      </c>
      <c r="E114" s="2" t="str">
        <f>VLOOKUP(D114,Clientes!A:B,2,FALSE)</f>
        <v>Gabriel Lanza</v>
      </c>
      <c r="F114" s="2" t="str">
        <f>VLOOKUP(D114,Clientes!A:G,4,FALSE)</f>
        <v>Rua Japão, 98</v>
      </c>
      <c r="G114" s="2" t="str">
        <f>VLOOKUP(D114,Clientes!A:G,5,FALSE)</f>
        <v>99687-2359</v>
      </c>
      <c r="H114" s="15">
        <v>18</v>
      </c>
      <c r="I114" s="2" t="str">
        <f>VLOOKUP(H114,Produtos!A:B,2,FALSE)</f>
        <v>Beijinho 50 un.</v>
      </c>
      <c r="J114" s="15">
        <v>3</v>
      </c>
      <c r="K114" s="18">
        <f>VLOOKUP(H114,Produtos!A:F,6,FALSE)</f>
        <v>25.200000000000003</v>
      </c>
      <c r="L114" s="10">
        <f t="shared" si="5"/>
        <v>75.600000000000009</v>
      </c>
    </row>
    <row r="115" spans="1:12" x14ac:dyDescent="0.25">
      <c r="A115" s="1" t="s">
        <v>228</v>
      </c>
      <c r="B115" s="11">
        <f t="shared" si="3"/>
        <v>43983</v>
      </c>
      <c r="C115" s="19">
        <f t="shared" si="4"/>
        <v>6</v>
      </c>
      <c r="D115" s="1" t="s">
        <v>65</v>
      </c>
      <c r="E115" s="2" t="str">
        <f>VLOOKUP(D115,Clientes!A:B,2,FALSE)</f>
        <v>João Silva</v>
      </c>
      <c r="F115" s="2" t="str">
        <f>VLOOKUP(D115,Clientes!A:G,4,FALSE)</f>
        <v>Rua Joaquim Silva, 76</v>
      </c>
      <c r="G115" s="2" t="str">
        <f>VLOOKUP(D115,Clientes!A:G,5,FALSE)</f>
        <v>99687-2362</v>
      </c>
      <c r="H115" s="15">
        <v>17</v>
      </c>
      <c r="I115" s="2" t="str">
        <f>VLOOKUP(H115,Produtos!A:B,2,FALSE)</f>
        <v>Beijinho 100 un.</v>
      </c>
      <c r="J115" s="15">
        <v>2</v>
      </c>
      <c r="K115" s="18">
        <f>VLOOKUP(H115,Produtos!A:F,6,FALSE)</f>
        <v>40</v>
      </c>
      <c r="L115" s="10">
        <f t="shared" si="5"/>
        <v>80</v>
      </c>
    </row>
    <row r="116" spans="1:12" x14ac:dyDescent="0.25">
      <c r="A116" s="1" t="s">
        <v>229</v>
      </c>
      <c r="B116" s="11">
        <f t="shared" si="3"/>
        <v>43985</v>
      </c>
      <c r="C116" s="19">
        <f t="shared" si="4"/>
        <v>6</v>
      </c>
      <c r="D116" s="1" t="s">
        <v>66</v>
      </c>
      <c r="E116" s="2" t="str">
        <f>VLOOKUP(D116,Clientes!A:B,2,FALSE)</f>
        <v>Junior Henrique</v>
      </c>
      <c r="F116" s="2" t="str">
        <f>VLOOKUP(D116,Clientes!A:G,4,FALSE)</f>
        <v>Av. das americas, 99</v>
      </c>
      <c r="G116" s="2" t="str">
        <f>VLOOKUP(D116,Clientes!A:G,5,FALSE)</f>
        <v>99687-2363</v>
      </c>
      <c r="H116" s="15">
        <v>12</v>
      </c>
      <c r="I116" s="2" t="str">
        <f>VLOOKUP(H116,Produtos!A:B,2,FALSE)</f>
        <v>Esfiha de Frango - 50 un.</v>
      </c>
      <c r="J116" s="15">
        <v>3</v>
      </c>
      <c r="K116" s="18">
        <f>VLOOKUP(H116,Produtos!A:F,6,FALSE)</f>
        <v>37</v>
      </c>
      <c r="L116" s="10">
        <f t="shared" si="5"/>
        <v>111</v>
      </c>
    </row>
    <row r="117" spans="1:12" x14ac:dyDescent="0.25">
      <c r="A117" s="1" t="s">
        <v>230</v>
      </c>
      <c r="B117" s="11">
        <f t="shared" si="3"/>
        <v>43987</v>
      </c>
      <c r="C117" s="19">
        <f t="shared" si="4"/>
        <v>6</v>
      </c>
      <c r="D117" s="1" t="s">
        <v>67</v>
      </c>
      <c r="E117" s="2" t="str">
        <f>VLOOKUP(D117,Clientes!A:B,2,FALSE)</f>
        <v>Gabriela Antunes</v>
      </c>
      <c r="F117" s="2" t="str">
        <f>VLOOKUP(D117,Clientes!A:G,4,FALSE)</f>
        <v>Rua 11 de Novembro, 55</v>
      </c>
      <c r="G117" s="2" t="str">
        <f>VLOOKUP(D117,Clientes!A:G,5,FALSE)</f>
        <v>98187-2364</v>
      </c>
      <c r="H117" s="15">
        <v>7</v>
      </c>
      <c r="I117" s="2" t="str">
        <f>VLOOKUP(H117,Produtos!A:B,2,FALSE)</f>
        <v>Enroladinho  Salsicha - 100 un.</v>
      </c>
      <c r="J117" s="15">
        <v>2</v>
      </c>
      <c r="K117" s="18">
        <f>VLOOKUP(H117,Produtos!A:F,6,FALSE)</f>
        <v>54</v>
      </c>
      <c r="L117" s="10">
        <f t="shared" si="5"/>
        <v>108</v>
      </c>
    </row>
    <row r="118" spans="1:12" x14ac:dyDescent="0.25">
      <c r="A118" s="1" t="s">
        <v>231</v>
      </c>
      <c r="B118" s="11">
        <f t="shared" si="3"/>
        <v>43989</v>
      </c>
      <c r="C118" s="19">
        <f t="shared" si="4"/>
        <v>6</v>
      </c>
      <c r="D118" s="1" t="s">
        <v>68</v>
      </c>
      <c r="E118" s="2" t="str">
        <f>VLOOKUP(D118,Clientes!A:B,2,FALSE)</f>
        <v>Paulo Cesar</v>
      </c>
      <c r="F118" s="2" t="str">
        <f>VLOOKUP(D118,Clientes!A:G,4,FALSE)</f>
        <v>Rua Joao emilio, 13</v>
      </c>
      <c r="G118" s="2" t="str">
        <f>VLOOKUP(D118,Clientes!A:G,5,FALSE)</f>
        <v>99687-2365</v>
      </c>
      <c r="H118" s="15">
        <v>11</v>
      </c>
      <c r="I118" s="2" t="str">
        <f>VLOOKUP(H118,Produtos!A:B,2,FALSE)</f>
        <v>Esfiha de Frango - 100 un.</v>
      </c>
      <c r="J118" s="15">
        <v>4</v>
      </c>
      <c r="K118" s="18">
        <f>VLOOKUP(H118,Produtos!A:F,6,FALSE)</f>
        <v>50.400000000000006</v>
      </c>
      <c r="L118" s="10">
        <f t="shared" si="5"/>
        <v>201.60000000000002</v>
      </c>
    </row>
    <row r="119" spans="1:12" x14ac:dyDescent="0.25">
      <c r="A119" s="1" t="s">
        <v>232</v>
      </c>
      <c r="B119" s="11">
        <f t="shared" si="3"/>
        <v>43991</v>
      </c>
      <c r="C119" s="19">
        <f t="shared" si="4"/>
        <v>6</v>
      </c>
      <c r="D119" s="1" t="s">
        <v>69</v>
      </c>
      <c r="E119" s="2" t="str">
        <f>VLOOKUP(D119,Clientes!A:B,2,FALSE)</f>
        <v>Alexandre Souza</v>
      </c>
      <c r="F119" s="2" t="str">
        <f>VLOOKUP(D119,Clientes!A:G,4,FALSE)</f>
        <v>Rua São Simao, 43</v>
      </c>
      <c r="G119" s="2" t="str">
        <f>VLOOKUP(D119,Clientes!A:G,5,FALSE)</f>
        <v>99687-2366</v>
      </c>
      <c r="H119" s="15">
        <v>5</v>
      </c>
      <c r="I119" s="2" t="str">
        <f>VLOOKUP(H119,Produtos!A:B,2,FALSE)</f>
        <v>Mini quibe 100 - un.</v>
      </c>
      <c r="J119" s="15">
        <v>3</v>
      </c>
      <c r="K119" s="18">
        <f>VLOOKUP(H119,Produtos!A:F,6,FALSE)</f>
        <v>45</v>
      </c>
      <c r="L119" s="10">
        <f t="shared" si="5"/>
        <v>135</v>
      </c>
    </row>
    <row r="120" spans="1:12" x14ac:dyDescent="0.25">
      <c r="A120" s="1" t="s">
        <v>233</v>
      </c>
      <c r="B120" s="11">
        <f t="shared" si="3"/>
        <v>43993</v>
      </c>
      <c r="C120" s="19">
        <f t="shared" si="4"/>
        <v>6</v>
      </c>
      <c r="D120" s="1" t="s">
        <v>62</v>
      </c>
      <c r="E120" s="2" t="str">
        <f>VLOOKUP(D120,Clientes!A:B,2,FALSE)</f>
        <v>Gabriel Lanza</v>
      </c>
      <c r="F120" s="2" t="str">
        <f>VLOOKUP(D120,Clientes!A:G,4,FALSE)</f>
        <v>Rua Japão, 98</v>
      </c>
      <c r="G120" s="2" t="str">
        <f>VLOOKUP(D120,Clientes!A:G,5,FALSE)</f>
        <v>99687-2359</v>
      </c>
      <c r="H120" s="15">
        <v>12</v>
      </c>
      <c r="I120" s="2" t="str">
        <f>VLOOKUP(H120,Produtos!A:B,2,FALSE)</f>
        <v>Esfiha de Frango - 50 un.</v>
      </c>
      <c r="J120" s="15">
        <v>4</v>
      </c>
      <c r="K120" s="18">
        <f>VLOOKUP(H120,Produtos!A:F,6,FALSE)</f>
        <v>37</v>
      </c>
      <c r="L120" s="10">
        <f t="shared" si="5"/>
        <v>148</v>
      </c>
    </row>
    <row r="121" spans="1:12" x14ac:dyDescent="0.25">
      <c r="A121" s="1" t="s">
        <v>234</v>
      </c>
      <c r="B121" s="11">
        <f t="shared" si="3"/>
        <v>43995</v>
      </c>
      <c r="C121" s="19">
        <f t="shared" si="4"/>
        <v>6</v>
      </c>
      <c r="D121" s="1" t="s">
        <v>71</v>
      </c>
      <c r="E121" s="2" t="str">
        <f>VLOOKUP(D121,Clientes!A:B,2,FALSE)</f>
        <v>Alice Silva</v>
      </c>
      <c r="F121" s="2" t="str">
        <f>VLOOKUP(D121,Clientes!A:G,4,FALSE)</f>
        <v>Rua Pernambucanos, 31</v>
      </c>
      <c r="G121" s="2" t="str">
        <f>VLOOKUP(D121,Clientes!A:G,5,FALSE)</f>
        <v>99687-2368</v>
      </c>
      <c r="H121" s="15">
        <v>14</v>
      </c>
      <c r="I121" s="2" t="str">
        <f>VLOOKUP(H121,Produtos!A:B,2,FALSE)</f>
        <v>Guaraná 2L - 2 un.</v>
      </c>
      <c r="J121" s="15">
        <v>3</v>
      </c>
      <c r="K121" s="18">
        <f>VLOOKUP(H121,Produtos!A:F,6,FALSE)</f>
        <v>16.100000000000001</v>
      </c>
      <c r="L121" s="10">
        <f t="shared" si="5"/>
        <v>48.300000000000004</v>
      </c>
    </row>
    <row r="122" spans="1:12" x14ac:dyDescent="0.25">
      <c r="A122" s="1" t="s">
        <v>235</v>
      </c>
      <c r="B122" s="11">
        <f t="shared" si="3"/>
        <v>43997</v>
      </c>
      <c r="C122" s="19">
        <f t="shared" si="4"/>
        <v>6</v>
      </c>
      <c r="D122" s="1" t="s">
        <v>71</v>
      </c>
      <c r="E122" s="2" t="str">
        <f>VLOOKUP(D122,Clientes!A:B,2,FALSE)</f>
        <v>Alice Silva</v>
      </c>
      <c r="F122" s="2" t="str">
        <f>VLOOKUP(D122,Clientes!A:G,4,FALSE)</f>
        <v>Rua Pernambucanos, 31</v>
      </c>
      <c r="G122" s="2" t="str">
        <f>VLOOKUP(D122,Clientes!A:G,5,FALSE)</f>
        <v>99687-2368</v>
      </c>
      <c r="H122" s="15">
        <v>17</v>
      </c>
      <c r="I122" s="2" t="str">
        <f>VLOOKUP(H122,Produtos!A:B,2,FALSE)</f>
        <v>Beijinho 100 un.</v>
      </c>
      <c r="J122" s="15">
        <v>3</v>
      </c>
      <c r="K122" s="18">
        <f>VLOOKUP(H122,Produtos!A:F,6,FALSE)</f>
        <v>40</v>
      </c>
      <c r="L122" s="10">
        <f t="shared" si="5"/>
        <v>120</v>
      </c>
    </row>
    <row r="123" spans="1:12" x14ac:dyDescent="0.25">
      <c r="A123" s="1" t="s">
        <v>236</v>
      </c>
      <c r="B123" s="11">
        <f t="shared" si="3"/>
        <v>43999</v>
      </c>
      <c r="C123" s="19">
        <f t="shared" si="4"/>
        <v>6</v>
      </c>
      <c r="D123" s="1" t="s">
        <v>64</v>
      </c>
      <c r="E123" s="2" t="str">
        <f>VLOOKUP(D123,Clientes!A:B,2,FALSE)</f>
        <v>Eloá Azevedo</v>
      </c>
      <c r="F123" s="2" t="str">
        <f>VLOOKUP(D123,Clientes!A:G,4,FALSE)</f>
        <v>Rua Osvaldo Cruz,131</v>
      </c>
      <c r="G123" s="2" t="str">
        <f>VLOOKUP(D123,Clientes!A:G,5,FALSE)</f>
        <v>99787-2361</v>
      </c>
      <c r="H123" s="15">
        <v>5</v>
      </c>
      <c r="I123" s="2" t="str">
        <f>VLOOKUP(H123,Produtos!A:B,2,FALSE)</f>
        <v>Mini quibe 100 - un.</v>
      </c>
      <c r="J123" s="15">
        <v>4</v>
      </c>
      <c r="K123" s="18">
        <f>VLOOKUP(H123,Produtos!A:F,6,FALSE)</f>
        <v>45</v>
      </c>
      <c r="L123" s="10">
        <f t="shared" si="5"/>
        <v>180</v>
      </c>
    </row>
    <row r="124" spans="1:12" x14ac:dyDescent="0.25">
      <c r="A124" s="1" t="s">
        <v>237</v>
      </c>
      <c r="B124" s="11">
        <f t="shared" si="3"/>
        <v>44001</v>
      </c>
      <c r="C124" s="19">
        <f t="shared" si="4"/>
        <v>6</v>
      </c>
      <c r="D124" s="1" t="s">
        <v>59</v>
      </c>
      <c r="E124" s="2" t="str">
        <f>VLOOKUP(D124,Clientes!A:B,2,FALSE)</f>
        <v>Ronaldo Leite</v>
      </c>
      <c r="F124" s="2" t="str">
        <f>VLOOKUP(D124,Clientes!A:G,4,FALSE)</f>
        <v>Rua julia caseiro, 135</v>
      </c>
      <c r="G124" s="2" t="str">
        <f>VLOOKUP(D124,Clientes!A:G,5,FALSE)</f>
        <v>99687-2356</v>
      </c>
      <c r="H124" s="15">
        <v>2</v>
      </c>
      <c r="I124" s="2" t="str">
        <f>VLOOKUP(H124,Produtos!A:B,2,FALSE)</f>
        <v>Coxinha de Frango - 50 un.</v>
      </c>
      <c r="J124" s="15">
        <v>1</v>
      </c>
      <c r="K124" s="18">
        <f>VLOOKUP(H124,Produtos!A:F,6,FALSE)</f>
        <v>27.75</v>
      </c>
      <c r="L124" s="10">
        <f t="shared" si="5"/>
        <v>27.75</v>
      </c>
    </row>
    <row r="125" spans="1:12" x14ac:dyDescent="0.25">
      <c r="A125" s="1" t="s">
        <v>238</v>
      </c>
      <c r="B125" s="11">
        <f t="shared" si="3"/>
        <v>44003</v>
      </c>
      <c r="C125" s="19">
        <f t="shared" si="4"/>
        <v>6</v>
      </c>
      <c r="D125" s="1" t="s">
        <v>60</v>
      </c>
      <c r="E125" s="2" t="str">
        <f>VLOOKUP(D125,Clientes!A:B,2,FALSE)</f>
        <v>Gilvan Souza</v>
      </c>
      <c r="F125" s="2" t="str">
        <f>VLOOKUP(D125,Clientes!A:G,4,FALSE)</f>
        <v>Rua 7 de setembro, 167</v>
      </c>
      <c r="G125" s="2" t="str">
        <f>VLOOKUP(D125,Clientes!A:G,5,FALSE)</f>
        <v>98187-2357</v>
      </c>
      <c r="H125" s="15">
        <v>4</v>
      </c>
      <c r="I125" s="2" t="str">
        <f>VLOOKUP(H125,Produtos!A:B,2,FALSE)</f>
        <v>Coxinha de Carne - 50 un.</v>
      </c>
      <c r="J125" s="15">
        <v>1</v>
      </c>
      <c r="K125" s="18">
        <f>VLOOKUP(H125,Produtos!A:F,6,FALSE)</f>
        <v>27.75</v>
      </c>
      <c r="L125" s="10">
        <f t="shared" si="5"/>
        <v>27.75</v>
      </c>
    </row>
    <row r="126" spans="1:12" x14ac:dyDescent="0.25">
      <c r="A126" s="1" t="s">
        <v>239</v>
      </c>
      <c r="B126" s="11">
        <f t="shared" si="3"/>
        <v>44005</v>
      </c>
      <c r="C126" s="19">
        <f t="shared" si="4"/>
        <v>6</v>
      </c>
      <c r="D126" s="1" t="s">
        <v>65</v>
      </c>
      <c r="E126" s="2" t="str">
        <f>VLOOKUP(D126,Clientes!A:B,2,FALSE)</f>
        <v>João Silva</v>
      </c>
      <c r="F126" s="2" t="str">
        <f>VLOOKUP(D126,Clientes!A:G,4,FALSE)</f>
        <v>Rua Joaquim Silva, 76</v>
      </c>
      <c r="G126" s="2" t="str">
        <f>VLOOKUP(D126,Clientes!A:G,5,FALSE)</f>
        <v>99687-2362</v>
      </c>
      <c r="H126" s="15">
        <v>12</v>
      </c>
      <c r="I126" s="2" t="str">
        <f>VLOOKUP(H126,Produtos!A:B,2,FALSE)</f>
        <v>Esfiha de Frango - 50 un.</v>
      </c>
      <c r="J126" s="15">
        <v>1</v>
      </c>
      <c r="K126" s="18">
        <f>VLOOKUP(H126,Produtos!A:F,6,FALSE)</f>
        <v>37</v>
      </c>
      <c r="L126" s="10">
        <f t="shared" si="5"/>
        <v>37</v>
      </c>
    </row>
    <row r="127" spans="1:12" x14ac:dyDescent="0.25">
      <c r="A127" s="1" t="s">
        <v>240</v>
      </c>
      <c r="B127" s="11">
        <f t="shared" si="3"/>
        <v>44007</v>
      </c>
      <c r="C127" s="19">
        <f t="shared" si="4"/>
        <v>6</v>
      </c>
      <c r="D127" s="1" t="s">
        <v>62</v>
      </c>
      <c r="E127" s="2" t="str">
        <f>VLOOKUP(D127,Clientes!A:B,2,FALSE)</f>
        <v>Gabriel Lanza</v>
      </c>
      <c r="F127" s="2" t="str">
        <f>VLOOKUP(D127,Clientes!A:G,4,FALSE)</f>
        <v>Rua Japão, 98</v>
      </c>
      <c r="G127" s="2" t="str">
        <f>VLOOKUP(D127,Clientes!A:G,5,FALSE)</f>
        <v>99687-2359</v>
      </c>
      <c r="H127" s="15">
        <v>18</v>
      </c>
      <c r="I127" s="2" t="str">
        <f>VLOOKUP(H127,Produtos!A:B,2,FALSE)</f>
        <v>Beijinho 50 un.</v>
      </c>
      <c r="J127" s="15">
        <v>3</v>
      </c>
      <c r="K127" s="18">
        <f>VLOOKUP(H127,Produtos!A:F,6,FALSE)</f>
        <v>25.200000000000003</v>
      </c>
      <c r="L127" s="10">
        <f t="shared" si="5"/>
        <v>75.600000000000009</v>
      </c>
    </row>
    <row r="128" spans="1:12" x14ac:dyDescent="0.25">
      <c r="A128" s="1" t="s">
        <v>241</v>
      </c>
      <c r="B128" s="11">
        <f t="shared" si="3"/>
        <v>44009</v>
      </c>
      <c r="C128" s="19">
        <f t="shared" si="4"/>
        <v>6</v>
      </c>
      <c r="D128" s="1" t="s">
        <v>63</v>
      </c>
      <c r="E128" s="2" t="str">
        <f>VLOOKUP(D128,Clientes!A:B,2,FALSE)</f>
        <v>Matheus Lucas</v>
      </c>
      <c r="F128" s="2" t="str">
        <f>VLOOKUP(D128,Clientes!A:G,4,FALSE)</f>
        <v>Rua São Lucas, 221</v>
      </c>
      <c r="G128" s="2" t="str">
        <f>VLOOKUP(D128,Clientes!A:G,5,FALSE)</f>
        <v>99687-2360</v>
      </c>
      <c r="H128" s="15">
        <v>7</v>
      </c>
      <c r="I128" s="2" t="str">
        <f>VLOOKUP(H128,Produtos!A:B,2,FALSE)</f>
        <v>Enroladinho  Salsicha - 100 un.</v>
      </c>
      <c r="J128" s="15">
        <v>1</v>
      </c>
      <c r="K128" s="18">
        <f>VLOOKUP(H128,Produtos!A:F,6,FALSE)</f>
        <v>54</v>
      </c>
      <c r="L128" s="10">
        <f t="shared" si="5"/>
        <v>54</v>
      </c>
    </row>
    <row r="129" spans="1:12" x14ac:dyDescent="0.25">
      <c r="A129" s="1" t="s">
        <v>242</v>
      </c>
      <c r="B129" s="11">
        <f t="shared" si="3"/>
        <v>44011</v>
      </c>
      <c r="C129" s="19">
        <f t="shared" si="4"/>
        <v>6</v>
      </c>
      <c r="D129" s="1" t="s">
        <v>62</v>
      </c>
      <c r="E129" s="2" t="str">
        <f>VLOOKUP(D129,Clientes!A:B,2,FALSE)</f>
        <v>Gabriel Lanza</v>
      </c>
      <c r="F129" s="2" t="str">
        <f>VLOOKUP(D129,Clientes!A:G,4,FALSE)</f>
        <v>Rua Japão, 98</v>
      </c>
      <c r="G129" s="2" t="str">
        <f>VLOOKUP(D129,Clientes!A:G,5,FALSE)</f>
        <v>99687-2359</v>
      </c>
      <c r="H129" s="15">
        <v>11</v>
      </c>
      <c r="I129" s="2" t="str">
        <f>VLOOKUP(H129,Produtos!A:B,2,FALSE)</f>
        <v>Esfiha de Frango - 100 un.</v>
      </c>
      <c r="J129" s="15">
        <v>4</v>
      </c>
      <c r="K129" s="18">
        <f>VLOOKUP(H129,Produtos!A:F,6,FALSE)</f>
        <v>50.400000000000006</v>
      </c>
      <c r="L129" s="10">
        <f t="shared" si="5"/>
        <v>201.60000000000002</v>
      </c>
    </row>
    <row r="130" spans="1:12" x14ac:dyDescent="0.25">
      <c r="A130" s="1" t="s">
        <v>243</v>
      </c>
      <c r="B130" s="11">
        <f t="shared" ref="B130:B193" si="6">B129+2</f>
        <v>44013</v>
      </c>
      <c r="C130" s="19">
        <f t="shared" si="4"/>
        <v>7</v>
      </c>
      <c r="D130" s="1" t="s">
        <v>65</v>
      </c>
      <c r="E130" s="2" t="str">
        <f>VLOOKUP(D130,Clientes!A:B,2,FALSE)</f>
        <v>João Silva</v>
      </c>
      <c r="F130" s="2" t="str">
        <f>VLOOKUP(D130,Clientes!A:G,4,FALSE)</f>
        <v>Rua Joaquim Silva, 76</v>
      </c>
      <c r="G130" s="2" t="str">
        <f>VLOOKUP(D130,Clientes!A:G,5,FALSE)</f>
        <v>99687-2362</v>
      </c>
      <c r="H130" s="15">
        <v>10</v>
      </c>
      <c r="I130" s="2" t="str">
        <f>VLOOKUP(H130,Produtos!A:B,2,FALSE)</f>
        <v>Esfiha de Carne - 50 un.</v>
      </c>
      <c r="J130" s="15">
        <v>2</v>
      </c>
      <c r="K130" s="18">
        <f>VLOOKUP(H130,Produtos!A:F,6,FALSE)</f>
        <v>37</v>
      </c>
      <c r="L130" s="10">
        <f t="shared" si="5"/>
        <v>74</v>
      </c>
    </row>
    <row r="131" spans="1:12" x14ac:dyDescent="0.25">
      <c r="A131" s="1" t="s">
        <v>244</v>
      </c>
      <c r="B131" s="11">
        <f t="shared" si="6"/>
        <v>44015</v>
      </c>
      <c r="C131" s="19">
        <f t="shared" si="4"/>
        <v>7</v>
      </c>
      <c r="D131" s="1" t="s">
        <v>59</v>
      </c>
      <c r="E131" s="2" t="str">
        <f>VLOOKUP(D131,Clientes!A:B,2,FALSE)</f>
        <v>Ronaldo Leite</v>
      </c>
      <c r="F131" s="2" t="str">
        <f>VLOOKUP(D131,Clientes!A:G,4,FALSE)</f>
        <v>Rua julia caseiro, 135</v>
      </c>
      <c r="G131" s="2" t="str">
        <f>VLOOKUP(D131,Clientes!A:G,5,FALSE)</f>
        <v>99687-2356</v>
      </c>
      <c r="H131" s="15">
        <v>1</v>
      </c>
      <c r="I131" s="2" t="str">
        <f>VLOOKUP(H131,Produtos!A:B,2,FALSE)</f>
        <v>Coxinha de Frango - 100 un.</v>
      </c>
      <c r="J131" s="15">
        <v>2</v>
      </c>
      <c r="K131" s="18">
        <f>VLOOKUP(H131,Produtos!A:F,6,FALSE)</f>
        <v>45</v>
      </c>
      <c r="L131" s="10">
        <f t="shared" si="5"/>
        <v>90</v>
      </c>
    </row>
    <row r="132" spans="1:12" x14ac:dyDescent="0.25">
      <c r="A132" s="1" t="s">
        <v>245</v>
      </c>
      <c r="B132" s="11">
        <f t="shared" si="6"/>
        <v>44017</v>
      </c>
      <c r="C132" s="19">
        <f t="shared" si="4"/>
        <v>7</v>
      </c>
      <c r="D132" s="1" t="s">
        <v>60</v>
      </c>
      <c r="E132" s="2" t="str">
        <f>VLOOKUP(D132,Clientes!A:B,2,FALSE)</f>
        <v>Gilvan Souza</v>
      </c>
      <c r="F132" s="2" t="str">
        <f>VLOOKUP(D132,Clientes!A:G,4,FALSE)</f>
        <v>Rua 7 de setembro, 167</v>
      </c>
      <c r="G132" s="2" t="str">
        <f>VLOOKUP(D132,Clientes!A:G,5,FALSE)</f>
        <v>98187-2357</v>
      </c>
      <c r="H132" s="15">
        <v>16</v>
      </c>
      <c r="I132" s="2" t="str">
        <f>VLOOKUP(H132,Produtos!A:B,2,FALSE)</f>
        <v>Brigadeiro 50 un.</v>
      </c>
      <c r="J132" s="15">
        <v>4</v>
      </c>
      <c r="K132" s="18">
        <f>VLOOKUP(H132,Produtos!A:F,6,FALSE)</f>
        <v>25.200000000000003</v>
      </c>
      <c r="L132" s="10">
        <f t="shared" si="5"/>
        <v>100.80000000000001</v>
      </c>
    </row>
    <row r="133" spans="1:12" x14ac:dyDescent="0.25">
      <c r="A133" s="1" t="s">
        <v>246</v>
      </c>
      <c r="B133" s="11">
        <f t="shared" si="6"/>
        <v>44019</v>
      </c>
      <c r="C133" s="19">
        <f t="shared" si="4"/>
        <v>7</v>
      </c>
      <c r="D133" s="1" t="s">
        <v>61</v>
      </c>
      <c r="E133" s="2" t="str">
        <f>VLOOKUP(D133,Clientes!A:B,2,FALSE)</f>
        <v>Pedro Silva</v>
      </c>
      <c r="F133" s="2" t="str">
        <f>VLOOKUP(D133,Clientes!A:G,4,FALSE)</f>
        <v>Rua Pedro Cabral, 89</v>
      </c>
      <c r="G133" s="2" t="str">
        <f>VLOOKUP(D133,Clientes!A:G,5,FALSE)</f>
        <v>99687-2358</v>
      </c>
      <c r="H133" s="15">
        <v>12</v>
      </c>
      <c r="I133" s="2" t="str">
        <f>VLOOKUP(H133,Produtos!A:B,2,FALSE)</f>
        <v>Esfiha de Frango - 50 un.</v>
      </c>
      <c r="J133" s="15">
        <v>4</v>
      </c>
      <c r="K133" s="18">
        <f>VLOOKUP(H133,Produtos!A:F,6,FALSE)</f>
        <v>37</v>
      </c>
      <c r="L133" s="10">
        <f t="shared" si="5"/>
        <v>148</v>
      </c>
    </row>
    <row r="134" spans="1:12" x14ac:dyDescent="0.25">
      <c r="A134" s="1" t="s">
        <v>247</v>
      </c>
      <c r="B134" s="11">
        <f t="shared" si="6"/>
        <v>44021</v>
      </c>
      <c r="C134" s="19">
        <f t="shared" si="4"/>
        <v>7</v>
      </c>
      <c r="D134" s="1" t="s">
        <v>62</v>
      </c>
      <c r="E134" s="2" t="str">
        <f>VLOOKUP(D134,Clientes!A:B,2,FALSE)</f>
        <v>Gabriel Lanza</v>
      </c>
      <c r="F134" s="2" t="str">
        <f>VLOOKUP(D134,Clientes!A:G,4,FALSE)</f>
        <v>Rua Japão, 98</v>
      </c>
      <c r="G134" s="2" t="str">
        <f>VLOOKUP(D134,Clientes!A:G,5,FALSE)</f>
        <v>99687-2359</v>
      </c>
      <c r="H134" s="15">
        <v>10</v>
      </c>
      <c r="I134" s="2" t="str">
        <f>VLOOKUP(H134,Produtos!A:B,2,FALSE)</f>
        <v>Esfiha de Carne - 50 un.</v>
      </c>
      <c r="J134" s="15">
        <v>3</v>
      </c>
      <c r="K134" s="18">
        <f>VLOOKUP(H134,Produtos!A:F,6,FALSE)</f>
        <v>37</v>
      </c>
      <c r="L134" s="10">
        <f t="shared" si="5"/>
        <v>111</v>
      </c>
    </row>
    <row r="135" spans="1:12" x14ac:dyDescent="0.25">
      <c r="A135" s="1" t="s">
        <v>248</v>
      </c>
      <c r="B135" s="11">
        <f t="shared" si="6"/>
        <v>44023</v>
      </c>
      <c r="C135" s="19">
        <f t="shared" si="4"/>
        <v>7</v>
      </c>
      <c r="D135" s="1" t="s">
        <v>63</v>
      </c>
      <c r="E135" s="2" t="str">
        <f>VLOOKUP(D135,Clientes!A:B,2,FALSE)</f>
        <v>Matheus Lucas</v>
      </c>
      <c r="F135" s="2" t="str">
        <f>VLOOKUP(D135,Clientes!A:G,4,FALSE)</f>
        <v>Rua São Lucas, 221</v>
      </c>
      <c r="G135" s="2" t="str">
        <f>VLOOKUP(D135,Clientes!A:G,5,FALSE)</f>
        <v>99687-2360</v>
      </c>
      <c r="H135" s="15">
        <v>13</v>
      </c>
      <c r="I135" s="2" t="str">
        <f>VLOOKUP(H135,Produtos!A:B,2,FALSE)</f>
        <v>Coca-Cola 2L - 2 un.</v>
      </c>
      <c r="J135" s="15">
        <v>3</v>
      </c>
      <c r="K135" s="18">
        <f>VLOOKUP(H135,Produtos!A:F,6,FALSE)</f>
        <v>21</v>
      </c>
      <c r="L135" s="10">
        <f t="shared" si="5"/>
        <v>63</v>
      </c>
    </row>
    <row r="136" spans="1:12" x14ac:dyDescent="0.25">
      <c r="A136" s="1" t="s">
        <v>249</v>
      </c>
      <c r="B136" s="11">
        <f t="shared" si="6"/>
        <v>44025</v>
      </c>
      <c r="C136" s="19">
        <f t="shared" ref="C136:C199" si="7">MONTH(B136)</f>
        <v>7</v>
      </c>
      <c r="D136" s="1" t="s">
        <v>64</v>
      </c>
      <c r="E136" s="2" t="str">
        <f>VLOOKUP(D136,Clientes!A:B,2,FALSE)</f>
        <v>Eloá Azevedo</v>
      </c>
      <c r="F136" s="2" t="str">
        <f>VLOOKUP(D136,Clientes!A:G,4,FALSE)</f>
        <v>Rua Osvaldo Cruz,131</v>
      </c>
      <c r="G136" s="2" t="str">
        <f>VLOOKUP(D136,Clientes!A:G,5,FALSE)</f>
        <v>99787-2361</v>
      </c>
      <c r="H136" s="15">
        <v>9</v>
      </c>
      <c r="I136" s="2" t="str">
        <f>VLOOKUP(H136,Produtos!A:B,2,FALSE)</f>
        <v>Esfiha de Carne - 100 un.</v>
      </c>
      <c r="J136" s="15">
        <v>4</v>
      </c>
      <c r="K136" s="18">
        <f>VLOOKUP(H136,Produtos!A:F,6,FALSE)</f>
        <v>50.400000000000006</v>
      </c>
      <c r="L136" s="10">
        <f t="shared" ref="L136:L199" si="8">K136*J136</f>
        <v>201.60000000000002</v>
      </c>
    </row>
    <row r="137" spans="1:12" x14ac:dyDescent="0.25">
      <c r="A137" s="1" t="s">
        <v>250</v>
      </c>
      <c r="B137" s="11">
        <f t="shared" si="6"/>
        <v>44027</v>
      </c>
      <c r="C137" s="19">
        <f t="shared" si="7"/>
        <v>7</v>
      </c>
      <c r="D137" s="1" t="s">
        <v>65</v>
      </c>
      <c r="E137" s="2" t="str">
        <f>VLOOKUP(D137,Clientes!A:B,2,FALSE)</f>
        <v>João Silva</v>
      </c>
      <c r="F137" s="2" t="str">
        <f>VLOOKUP(D137,Clientes!A:G,4,FALSE)</f>
        <v>Rua Joaquim Silva, 76</v>
      </c>
      <c r="G137" s="2" t="str">
        <f>VLOOKUP(D137,Clientes!A:G,5,FALSE)</f>
        <v>99687-2362</v>
      </c>
      <c r="H137" s="15">
        <v>18</v>
      </c>
      <c r="I137" s="2" t="str">
        <f>VLOOKUP(H137,Produtos!A:B,2,FALSE)</f>
        <v>Beijinho 50 un.</v>
      </c>
      <c r="J137" s="15">
        <v>2</v>
      </c>
      <c r="K137" s="18">
        <f>VLOOKUP(H137,Produtos!A:F,6,FALSE)</f>
        <v>25.200000000000003</v>
      </c>
      <c r="L137" s="10">
        <f t="shared" si="8"/>
        <v>50.400000000000006</v>
      </c>
    </row>
    <row r="138" spans="1:12" x14ac:dyDescent="0.25">
      <c r="A138" s="1" t="s">
        <v>251</v>
      </c>
      <c r="B138" s="11">
        <f t="shared" si="6"/>
        <v>44029</v>
      </c>
      <c r="C138" s="19">
        <f t="shared" si="7"/>
        <v>7</v>
      </c>
      <c r="D138" s="1" t="s">
        <v>66</v>
      </c>
      <c r="E138" s="2" t="str">
        <f>VLOOKUP(D138,Clientes!A:B,2,FALSE)</f>
        <v>Junior Henrique</v>
      </c>
      <c r="F138" s="2" t="str">
        <f>VLOOKUP(D138,Clientes!A:G,4,FALSE)</f>
        <v>Av. das americas, 99</v>
      </c>
      <c r="G138" s="2" t="str">
        <f>VLOOKUP(D138,Clientes!A:G,5,FALSE)</f>
        <v>99687-2363</v>
      </c>
      <c r="H138" s="15">
        <v>8</v>
      </c>
      <c r="I138" s="2" t="str">
        <f>VLOOKUP(H138,Produtos!A:B,2,FALSE)</f>
        <v>Enroladinho  Salsicha -  50 un.</v>
      </c>
      <c r="J138" s="15">
        <v>1</v>
      </c>
      <c r="K138" s="18">
        <f>VLOOKUP(H138,Produtos!A:F,6,FALSE)</f>
        <v>46.25</v>
      </c>
      <c r="L138" s="10">
        <f t="shared" si="8"/>
        <v>46.25</v>
      </c>
    </row>
    <row r="139" spans="1:12" x14ac:dyDescent="0.25">
      <c r="A139" s="1" t="s">
        <v>252</v>
      </c>
      <c r="B139" s="11">
        <f t="shared" si="6"/>
        <v>44031</v>
      </c>
      <c r="C139" s="19">
        <f t="shared" si="7"/>
        <v>7</v>
      </c>
      <c r="D139" s="1" t="s">
        <v>67</v>
      </c>
      <c r="E139" s="2" t="str">
        <f>VLOOKUP(D139,Clientes!A:B,2,FALSE)</f>
        <v>Gabriela Antunes</v>
      </c>
      <c r="F139" s="2" t="str">
        <f>VLOOKUP(D139,Clientes!A:G,4,FALSE)</f>
        <v>Rua 11 de Novembro, 55</v>
      </c>
      <c r="G139" s="2" t="str">
        <f>VLOOKUP(D139,Clientes!A:G,5,FALSE)</f>
        <v>98187-2364</v>
      </c>
      <c r="H139" s="15">
        <v>1</v>
      </c>
      <c r="I139" s="2" t="str">
        <f>VLOOKUP(H139,Produtos!A:B,2,FALSE)</f>
        <v>Coxinha de Frango - 100 un.</v>
      </c>
      <c r="J139" s="15">
        <v>3</v>
      </c>
      <c r="K139" s="18">
        <f>VLOOKUP(H139,Produtos!A:F,6,FALSE)</f>
        <v>45</v>
      </c>
      <c r="L139" s="10">
        <f t="shared" si="8"/>
        <v>135</v>
      </c>
    </row>
    <row r="140" spans="1:12" x14ac:dyDescent="0.25">
      <c r="A140" s="1" t="s">
        <v>253</v>
      </c>
      <c r="B140" s="11">
        <f t="shared" si="6"/>
        <v>44033</v>
      </c>
      <c r="C140" s="19">
        <f t="shared" si="7"/>
        <v>7</v>
      </c>
      <c r="D140" s="1" t="s">
        <v>68</v>
      </c>
      <c r="E140" s="2" t="str">
        <f>VLOOKUP(D140,Clientes!A:B,2,FALSE)</f>
        <v>Paulo Cesar</v>
      </c>
      <c r="F140" s="2" t="str">
        <f>VLOOKUP(D140,Clientes!A:G,4,FALSE)</f>
        <v>Rua Joao emilio, 13</v>
      </c>
      <c r="G140" s="2" t="str">
        <f>VLOOKUP(D140,Clientes!A:G,5,FALSE)</f>
        <v>99687-2365</v>
      </c>
      <c r="H140" s="15">
        <v>2</v>
      </c>
      <c r="I140" s="2" t="str">
        <f>VLOOKUP(H140,Produtos!A:B,2,FALSE)</f>
        <v>Coxinha de Frango - 50 un.</v>
      </c>
      <c r="J140" s="15">
        <v>3</v>
      </c>
      <c r="K140" s="18">
        <f>VLOOKUP(H140,Produtos!A:F,6,FALSE)</f>
        <v>27.75</v>
      </c>
      <c r="L140" s="10">
        <f t="shared" si="8"/>
        <v>83.25</v>
      </c>
    </row>
    <row r="141" spans="1:12" x14ac:dyDescent="0.25">
      <c r="A141" s="1" t="s">
        <v>254</v>
      </c>
      <c r="B141" s="11">
        <f t="shared" si="6"/>
        <v>44035</v>
      </c>
      <c r="C141" s="19">
        <f t="shared" si="7"/>
        <v>7</v>
      </c>
      <c r="D141" s="1" t="s">
        <v>62</v>
      </c>
      <c r="E141" s="2" t="str">
        <f>VLOOKUP(D141,Clientes!A:B,2,FALSE)</f>
        <v>Gabriel Lanza</v>
      </c>
      <c r="F141" s="2" t="str">
        <f>VLOOKUP(D141,Clientes!A:G,4,FALSE)</f>
        <v>Rua Japão, 98</v>
      </c>
      <c r="G141" s="2" t="str">
        <f>VLOOKUP(D141,Clientes!A:G,5,FALSE)</f>
        <v>99687-2359</v>
      </c>
      <c r="H141" s="15">
        <v>4</v>
      </c>
      <c r="I141" s="2" t="str">
        <f>VLOOKUP(H141,Produtos!A:B,2,FALSE)</f>
        <v>Coxinha de Carne - 50 un.</v>
      </c>
      <c r="J141" s="15">
        <v>3</v>
      </c>
      <c r="K141" s="18">
        <f>VLOOKUP(H141,Produtos!A:F,6,FALSE)</f>
        <v>27.75</v>
      </c>
      <c r="L141" s="10">
        <f t="shared" si="8"/>
        <v>83.25</v>
      </c>
    </row>
    <row r="142" spans="1:12" x14ac:dyDescent="0.25">
      <c r="A142" s="1" t="s">
        <v>255</v>
      </c>
      <c r="B142" s="11">
        <f t="shared" si="6"/>
        <v>44037</v>
      </c>
      <c r="C142" s="19">
        <f t="shared" si="7"/>
        <v>7</v>
      </c>
      <c r="D142" s="1" t="s">
        <v>70</v>
      </c>
      <c r="E142" s="2" t="str">
        <f>VLOOKUP(D142,Clientes!A:B,2,FALSE)</f>
        <v>Amanda Souza</v>
      </c>
      <c r="F142" s="2" t="str">
        <f>VLOOKUP(D142,Clientes!A:G,4,FALSE)</f>
        <v>Rua México, 76</v>
      </c>
      <c r="G142" s="2" t="str">
        <f>VLOOKUP(D142,Clientes!A:G,5,FALSE)</f>
        <v>99687-2367</v>
      </c>
      <c r="H142" s="15">
        <v>7</v>
      </c>
      <c r="I142" s="2" t="str">
        <f>VLOOKUP(H142,Produtos!A:B,2,FALSE)</f>
        <v>Enroladinho  Salsicha - 100 un.</v>
      </c>
      <c r="J142" s="15">
        <v>4</v>
      </c>
      <c r="K142" s="18">
        <f>VLOOKUP(H142,Produtos!A:F,6,FALSE)</f>
        <v>54</v>
      </c>
      <c r="L142" s="10">
        <f t="shared" si="8"/>
        <v>216</v>
      </c>
    </row>
    <row r="143" spans="1:12" x14ac:dyDescent="0.25">
      <c r="A143" s="1" t="s">
        <v>256</v>
      </c>
      <c r="B143" s="11">
        <f t="shared" si="6"/>
        <v>44039</v>
      </c>
      <c r="C143" s="19">
        <f t="shared" si="7"/>
        <v>7</v>
      </c>
      <c r="D143" s="1" t="s">
        <v>71</v>
      </c>
      <c r="E143" s="2" t="str">
        <f>VLOOKUP(D143,Clientes!A:B,2,FALSE)</f>
        <v>Alice Silva</v>
      </c>
      <c r="F143" s="2" t="str">
        <f>VLOOKUP(D143,Clientes!A:G,4,FALSE)</f>
        <v>Rua Pernambucanos, 31</v>
      </c>
      <c r="G143" s="2" t="str">
        <f>VLOOKUP(D143,Clientes!A:G,5,FALSE)</f>
        <v>99687-2368</v>
      </c>
      <c r="H143" s="15">
        <v>8</v>
      </c>
      <c r="I143" s="2" t="str">
        <f>VLOOKUP(H143,Produtos!A:B,2,FALSE)</f>
        <v>Enroladinho  Salsicha -  50 un.</v>
      </c>
      <c r="J143" s="15">
        <v>1</v>
      </c>
      <c r="K143" s="18">
        <f>VLOOKUP(H143,Produtos!A:F,6,FALSE)</f>
        <v>46.25</v>
      </c>
      <c r="L143" s="10">
        <f t="shared" si="8"/>
        <v>46.25</v>
      </c>
    </row>
    <row r="144" spans="1:12" x14ac:dyDescent="0.25">
      <c r="A144" s="1" t="s">
        <v>257</v>
      </c>
      <c r="B144" s="11">
        <f t="shared" si="6"/>
        <v>44041</v>
      </c>
      <c r="C144" s="19">
        <f t="shared" si="7"/>
        <v>7</v>
      </c>
      <c r="D144" s="1" t="s">
        <v>65</v>
      </c>
      <c r="E144" s="2" t="str">
        <f>VLOOKUP(D144,Clientes!A:B,2,FALSE)</f>
        <v>João Silva</v>
      </c>
      <c r="F144" s="2" t="str">
        <f>VLOOKUP(D144,Clientes!A:G,4,FALSE)</f>
        <v>Rua Joaquim Silva, 76</v>
      </c>
      <c r="G144" s="2" t="str">
        <f>VLOOKUP(D144,Clientes!A:G,5,FALSE)</f>
        <v>99687-2362</v>
      </c>
      <c r="H144" s="15">
        <v>6</v>
      </c>
      <c r="I144" s="2" t="str">
        <f>VLOOKUP(H144,Produtos!A:B,2,FALSE)</f>
        <v>Mini quibe 50 - un.</v>
      </c>
      <c r="J144" s="15">
        <v>1</v>
      </c>
      <c r="K144" s="18">
        <f>VLOOKUP(H144,Produtos!A:F,6,FALSE)</f>
        <v>27.75</v>
      </c>
      <c r="L144" s="10">
        <f t="shared" si="8"/>
        <v>27.75</v>
      </c>
    </row>
    <row r="145" spans="1:12" x14ac:dyDescent="0.25">
      <c r="A145" s="1" t="s">
        <v>258</v>
      </c>
      <c r="B145" s="11">
        <f t="shared" si="6"/>
        <v>44043</v>
      </c>
      <c r="C145" s="19">
        <f t="shared" si="7"/>
        <v>7</v>
      </c>
      <c r="D145" s="1" t="s">
        <v>60</v>
      </c>
      <c r="E145" s="2" t="str">
        <f>VLOOKUP(D145,Clientes!A:B,2,FALSE)</f>
        <v>Gilvan Souza</v>
      </c>
      <c r="F145" s="2" t="str">
        <f>VLOOKUP(D145,Clientes!A:G,4,FALSE)</f>
        <v>Rua 7 de setembro, 167</v>
      </c>
      <c r="G145" s="2" t="str">
        <f>VLOOKUP(D145,Clientes!A:G,5,FALSE)</f>
        <v>98187-2357</v>
      </c>
      <c r="H145" s="15">
        <v>4</v>
      </c>
      <c r="I145" s="2" t="str">
        <f>VLOOKUP(H145,Produtos!A:B,2,FALSE)</f>
        <v>Coxinha de Carne - 50 un.</v>
      </c>
      <c r="J145" s="15">
        <v>2</v>
      </c>
      <c r="K145" s="18">
        <f>VLOOKUP(H145,Produtos!A:F,6,FALSE)</f>
        <v>27.75</v>
      </c>
      <c r="L145" s="10">
        <f t="shared" si="8"/>
        <v>55.5</v>
      </c>
    </row>
    <row r="146" spans="1:12" x14ac:dyDescent="0.25">
      <c r="A146" s="1" t="s">
        <v>259</v>
      </c>
      <c r="B146" s="11">
        <f t="shared" si="6"/>
        <v>44045</v>
      </c>
      <c r="C146" s="19">
        <f t="shared" si="7"/>
        <v>8</v>
      </c>
      <c r="D146" s="1" t="s">
        <v>61</v>
      </c>
      <c r="E146" s="2" t="str">
        <f>VLOOKUP(D146,Clientes!A:B,2,FALSE)</f>
        <v>Pedro Silva</v>
      </c>
      <c r="F146" s="2" t="str">
        <f>VLOOKUP(D146,Clientes!A:G,4,FALSE)</f>
        <v>Rua Pedro Cabral, 89</v>
      </c>
      <c r="G146" s="2" t="str">
        <f>VLOOKUP(D146,Clientes!A:G,5,FALSE)</f>
        <v>99687-2358</v>
      </c>
      <c r="H146" s="15">
        <v>12</v>
      </c>
      <c r="I146" s="2" t="str">
        <f>VLOOKUP(H146,Produtos!A:B,2,FALSE)</f>
        <v>Esfiha de Frango - 50 un.</v>
      </c>
      <c r="J146" s="15">
        <v>2</v>
      </c>
      <c r="K146" s="18">
        <f>VLOOKUP(H146,Produtos!A:F,6,FALSE)</f>
        <v>37</v>
      </c>
      <c r="L146" s="10">
        <f t="shared" si="8"/>
        <v>74</v>
      </c>
    </row>
    <row r="147" spans="1:12" x14ac:dyDescent="0.25">
      <c r="A147" s="1" t="s">
        <v>260</v>
      </c>
      <c r="B147" s="11">
        <f t="shared" si="6"/>
        <v>44047</v>
      </c>
      <c r="C147" s="19">
        <f t="shared" si="7"/>
        <v>8</v>
      </c>
      <c r="D147" s="1" t="s">
        <v>62</v>
      </c>
      <c r="E147" s="2" t="str">
        <f>VLOOKUP(D147,Clientes!A:B,2,FALSE)</f>
        <v>Gabriel Lanza</v>
      </c>
      <c r="F147" s="2" t="str">
        <f>VLOOKUP(D147,Clientes!A:G,4,FALSE)</f>
        <v>Rua Japão, 98</v>
      </c>
      <c r="G147" s="2" t="str">
        <f>VLOOKUP(D147,Clientes!A:G,5,FALSE)</f>
        <v>99687-2359</v>
      </c>
      <c r="H147" s="15">
        <v>12</v>
      </c>
      <c r="I147" s="2" t="str">
        <f>VLOOKUP(H147,Produtos!A:B,2,FALSE)</f>
        <v>Esfiha de Frango - 50 un.</v>
      </c>
      <c r="J147" s="15">
        <v>3</v>
      </c>
      <c r="K147" s="18">
        <f>VLOOKUP(H147,Produtos!A:F,6,FALSE)</f>
        <v>37</v>
      </c>
      <c r="L147" s="10">
        <f t="shared" si="8"/>
        <v>111</v>
      </c>
    </row>
    <row r="148" spans="1:12" x14ac:dyDescent="0.25">
      <c r="A148" s="1" t="s">
        <v>261</v>
      </c>
      <c r="B148" s="11">
        <f t="shared" si="6"/>
        <v>44049</v>
      </c>
      <c r="C148" s="19">
        <f t="shared" si="7"/>
        <v>8</v>
      </c>
      <c r="D148" s="1" t="s">
        <v>63</v>
      </c>
      <c r="E148" s="2" t="str">
        <f>VLOOKUP(D148,Clientes!A:B,2,FALSE)</f>
        <v>Matheus Lucas</v>
      </c>
      <c r="F148" s="2" t="str">
        <f>VLOOKUP(D148,Clientes!A:G,4,FALSE)</f>
        <v>Rua São Lucas, 221</v>
      </c>
      <c r="G148" s="2" t="str">
        <f>VLOOKUP(D148,Clientes!A:G,5,FALSE)</f>
        <v>99687-2360</v>
      </c>
      <c r="H148" s="15">
        <v>14</v>
      </c>
      <c r="I148" s="2" t="str">
        <f>VLOOKUP(H148,Produtos!A:B,2,FALSE)</f>
        <v>Guaraná 2L - 2 un.</v>
      </c>
      <c r="J148" s="15">
        <v>3</v>
      </c>
      <c r="K148" s="18">
        <f>VLOOKUP(H148,Produtos!A:F,6,FALSE)</f>
        <v>16.100000000000001</v>
      </c>
      <c r="L148" s="10">
        <f t="shared" si="8"/>
        <v>48.300000000000004</v>
      </c>
    </row>
    <row r="149" spans="1:12" x14ac:dyDescent="0.25">
      <c r="A149" s="1" t="s">
        <v>262</v>
      </c>
      <c r="B149" s="11">
        <f t="shared" si="6"/>
        <v>44051</v>
      </c>
      <c r="C149" s="19">
        <f t="shared" si="7"/>
        <v>8</v>
      </c>
      <c r="D149" s="1" t="s">
        <v>64</v>
      </c>
      <c r="E149" s="2" t="str">
        <f>VLOOKUP(D149,Clientes!A:B,2,FALSE)</f>
        <v>Eloá Azevedo</v>
      </c>
      <c r="F149" s="2" t="str">
        <f>VLOOKUP(D149,Clientes!A:G,4,FALSE)</f>
        <v>Rua Osvaldo Cruz,131</v>
      </c>
      <c r="G149" s="2" t="str">
        <f>VLOOKUP(D149,Clientes!A:G,5,FALSE)</f>
        <v>99787-2361</v>
      </c>
      <c r="H149" s="15">
        <v>13</v>
      </c>
      <c r="I149" s="2" t="str">
        <f>VLOOKUP(H149,Produtos!A:B,2,FALSE)</f>
        <v>Coca-Cola 2L - 2 un.</v>
      </c>
      <c r="J149" s="15">
        <v>4</v>
      </c>
      <c r="K149" s="18">
        <f>VLOOKUP(H149,Produtos!A:F,6,FALSE)</f>
        <v>21</v>
      </c>
      <c r="L149" s="10">
        <f t="shared" si="8"/>
        <v>84</v>
      </c>
    </row>
    <row r="150" spans="1:12" x14ac:dyDescent="0.25">
      <c r="A150" s="1" t="s">
        <v>263</v>
      </c>
      <c r="B150" s="11">
        <f t="shared" si="6"/>
        <v>44053</v>
      </c>
      <c r="C150" s="19">
        <f t="shared" si="7"/>
        <v>8</v>
      </c>
      <c r="D150" s="1" t="s">
        <v>65</v>
      </c>
      <c r="E150" s="2" t="str">
        <f>VLOOKUP(D150,Clientes!A:B,2,FALSE)</f>
        <v>João Silva</v>
      </c>
      <c r="F150" s="2" t="str">
        <f>VLOOKUP(D150,Clientes!A:G,4,FALSE)</f>
        <v>Rua Joaquim Silva, 76</v>
      </c>
      <c r="G150" s="2" t="str">
        <f>VLOOKUP(D150,Clientes!A:G,5,FALSE)</f>
        <v>99687-2362</v>
      </c>
      <c r="H150" s="15">
        <v>13</v>
      </c>
      <c r="I150" s="2" t="str">
        <f>VLOOKUP(H150,Produtos!A:B,2,FALSE)</f>
        <v>Coca-Cola 2L - 2 un.</v>
      </c>
      <c r="J150" s="15">
        <v>1</v>
      </c>
      <c r="K150" s="18">
        <f>VLOOKUP(H150,Produtos!A:F,6,FALSE)</f>
        <v>21</v>
      </c>
      <c r="L150" s="10">
        <f t="shared" si="8"/>
        <v>21</v>
      </c>
    </row>
    <row r="151" spans="1:12" x14ac:dyDescent="0.25">
      <c r="A151" s="1" t="s">
        <v>264</v>
      </c>
      <c r="B151" s="11">
        <f t="shared" si="6"/>
        <v>44055</v>
      </c>
      <c r="C151" s="19">
        <f t="shared" si="7"/>
        <v>8</v>
      </c>
      <c r="D151" s="1" t="s">
        <v>66</v>
      </c>
      <c r="E151" s="2" t="str">
        <f>VLOOKUP(D151,Clientes!A:B,2,FALSE)</f>
        <v>Junior Henrique</v>
      </c>
      <c r="F151" s="2" t="str">
        <f>VLOOKUP(D151,Clientes!A:G,4,FALSE)</f>
        <v>Av. das americas, 99</v>
      </c>
      <c r="G151" s="2" t="str">
        <f>VLOOKUP(D151,Clientes!A:G,5,FALSE)</f>
        <v>99687-2363</v>
      </c>
      <c r="H151" s="15">
        <v>1</v>
      </c>
      <c r="I151" s="2" t="str">
        <f>VLOOKUP(H151,Produtos!A:B,2,FALSE)</f>
        <v>Coxinha de Frango - 100 un.</v>
      </c>
      <c r="J151" s="15">
        <v>1</v>
      </c>
      <c r="K151" s="18">
        <f>VLOOKUP(H151,Produtos!A:F,6,FALSE)</f>
        <v>45</v>
      </c>
      <c r="L151" s="10">
        <f t="shared" si="8"/>
        <v>45</v>
      </c>
    </row>
    <row r="152" spans="1:12" x14ac:dyDescent="0.25">
      <c r="A152" s="1" t="s">
        <v>265</v>
      </c>
      <c r="B152" s="11">
        <f t="shared" si="6"/>
        <v>44057</v>
      </c>
      <c r="C152" s="19">
        <f t="shared" si="7"/>
        <v>8</v>
      </c>
      <c r="D152" s="1" t="s">
        <v>67</v>
      </c>
      <c r="E152" s="2" t="str">
        <f>VLOOKUP(D152,Clientes!A:B,2,FALSE)</f>
        <v>Gabriela Antunes</v>
      </c>
      <c r="F152" s="2" t="str">
        <f>VLOOKUP(D152,Clientes!A:G,4,FALSE)</f>
        <v>Rua 11 de Novembro, 55</v>
      </c>
      <c r="G152" s="2" t="str">
        <f>VLOOKUP(D152,Clientes!A:G,5,FALSE)</f>
        <v>98187-2364</v>
      </c>
      <c r="H152" s="15">
        <v>2</v>
      </c>
      <c r="I152" s="2" t="str">
        <f>VLOOKUP(H152,Produtos!A:B,2,FALSE)</f>
        <v>Coxinha de Frango - 50 un.</v>
      </c>
      <c r="J152" s="15">
        <v>3</v>
      </c>
      <c r="K152" s="18">
        <f>VLOOKUP(H152,Produtos!A:F,6,FALSE)</f>
        <v>27.75</v>
      </c>
      <c r="L152" s="10">
        <f t="shared" si="8"/>
        <v>83.25</v>
      </c>
    </row>
    <row r="153" spans="1:12" x14ac:dyDescent="0.25">
      <c r="A153" s="1" t="s">
        <v>266</v>
      </c>
      <c r="B153" s="11">
        <f t="shared" si="6"/>
        <v>44059</v>
      </c>
      <c r="C153" s="19">
        <f t="shared" si="7"/>
        <v>8</v>
      </c>
      <c r="D153" s="1" t="s">
        <v>68</v>
      </c>
      <c r="E153" s="2" t="str">
        <f>VLOOKUP(D153,Clientes!A:B,2,FALSE)</f>
        <v>Paulo Cesar</v>
      </c>
      <c r="F153" s="2" t="str">
        <f>VLOOKUP(D153,Clientes!A:G,4,FALSE)</f>
        <v>Rua Joao emilio, 13</v>
      </c>
      <c r="G153" s="2" t="str">
        <f>VLOOKUP(D153,Clientes!A:G,5,FALSE)</f>
        <v>99687-2365</v>
      </c>
      <c r="H153" s="15">
        <v>17</v>
      </c>
      <c r="I153" s="2" t="str">
        <f>VLOOKUP(H153,Produtos!A:B,2,FALSE)</f>
        <v>Beijinho 100 un.</v>
      </c>
      <c r="J153" s="15">
        <v>1</v>
      </c>
      <c r="K153" s="18">
        <f>VLOOKUP(H153,Produtos!A:F,6,FALSE)</f>
        <v>40</v>
      </c>
      <c r="L153" s="10">
        <f t="shared" si="8"/>
        <v>40</v>
      </c>
    </row>
    <row r="154" spans="1:12" x14ac:dyDescent="0.25">
      <c r="A154" s="1" t="s">
        <v>267</v>
      </c>
      <c r="B154" s="11">
        <f t="shared" si="6"/>
        <v>44061</v>
      </c>
      <c r="C154" s="19">
        <f t="shared" si="7"/>
        <v>8</v>
      </c>
      <c r="D154" s="1" t="s">
        <v>69</v>
      </c>
      <c r="E154" s="2" t="str">
        <f>VLOOKUP(D154,Clientes!A:B,2,FALSE)</f>
        <v>Alexandre Souza</v>
      </c>
      <c r="F154" s="2" t="str">
        <f>VLOOKUP(D154,Clientes!A:G,4,FALSE)</f>
        <v>Rua São Simao, 43</v>
      </c>
      <c r="G154" s="2" t="str">
        <f>VLOOKUP(D154,Clientes!A:G,5,FALSE)</f>
        <v>99687-2366</v>
      </c>
      <c r="H154" s="15">
        <v>17</v>
      </c>
      <c r="I154" s="2" t="str">
        <f>VLOOKUP(H154,Produtos!A:B,2,FALSE)</f>
        <v>Beijinho 100 un.</v>
      </c>
      <c r="J154" s="15">
        <v>2</v>
      </c>
      <c r="K154" s="18">
        <f>VLOOKUP(H154,Produtos!A:F,6,FALSE)</f>
        <v>40</v>
      </c>
      <c r="L154" s="10">
        <f t="shared" si="8"/>
        <v>80</v>
      </c>
    </row>
    <row r="155" spans="1:12" x14ac:dyDescent="0.25">
      <c r="A155" s="1" t="s">
        <v>268</v>
      </c>
      <c r="B155" s="11">
        <f t="shared" si="6"/>
        <v>44063</v>
      </c>
      <c r="C155" s="19">
        <f t="shared" si="7"/>
        <v>8</v>
      </c>
      <c r="D155" s="1" t="s">
        <v>62</v>
      </c>
      <c r="E155" s="2" t="str">
        <f>VLOOKUP(D155,Clientes!A:B,2,FALSE)</f>
        <v>Gabriel Lanza</v>
      </c>
      <c r="F155" s="2" t="str">
        <f>VLOOKUP(D155,Clientes!A:G,4,FALSE)</f>
        <v>Rua Japão, 98</v>
      </c>
      <c r="G155" s="2" t="str">
        <f>VLOOKUP(D155,Clientes!A:G,5,FALSE)</f>
        <v>99687-2359</v>
      </c>
      <c r="H155" s="15">
        <v>1</v>
      </c>
      <c r="I155" s="2" t="str">
        <f>VLOOKUP(H155,Produtos!A:B,2,FALSE)</f>
        <v>Coxinha de Frango - 100 un.</v>
      </c>
      <c r="J155" s="15">
        <v>1</v>
      </c>
      <c r="K155" s="18">
        <f>VLOOKUP(H155,Produtos!A:F,6,FALSE)</f>
        <v>45</v>
      </c>
      <c r="L155" s="10">
        <f t="shared" si="8"/>
        <v>45</v>
      </c>
    </row>
    <row r="156" spans="1:12" x14ac:dyDescent="0.25">
      <c r="A156" s="1" t="s">
        <v>269</v>
      </c>
      <c r="B156" s="11">
        <f t="shared" si="6"/>
        <v>44065</v>
      </c>
      <c r="C156" s="19">
        <f t="shared" si="7"/>
        <v>8</v>
      </c>
      <c r="D156" s="1" t="s">
        <v>71</v>
      </c>
      <c r="E156" s="2" t="str">
        <f>VLOOKUP(D156,Clientes!A:B,2,FALSE)</f>
        <v>Alice Silva</v>
      </c>
      <c r="F156" s="2" t="str">
        <f>VLOOKUP(D156,Clientes!A:G,4,FALSE)</f>
        <v>Rua Pernambucanos, 31</v>
      </c>
      <c r="G156" s="2" t="str">
        <f>VLOOKUP(D156,Clientes!A:G,5,FALSE)</f>
        <v>99687-2368</v>
      </c>
      <c r="H156" s="15">
        <v>10</v>
      </c>
      <c r="I156" s="2" t="str">
        <f>VLOOKUP(H156,Produtos!A:B,2,FALSE)</f>
        <v>Esfiha de Carne - 50 un.</v>
      </c>
      <c r="J156" s="15">
        <v>2</v>
      </c>
      <c r="K156" s="18">
        <f>VLOOKUP(H156,Produtos!A:F,6,FALSE)</f>
        <v>37</v>
      </c>
      <c r="L156" s="10">
        <f t="shared" si="8"/>
        <v>74</v>
      </c>
    </row>
    <row r="157" spans="1:12" x14ac:dyDescent="0.25">
      <c r="A157" s="1" t="s">
        <v>270</v>
      </c>
      <c r="B157" s="11">
        <f t="shared" si="6"/>
        <v>44067</v>
      </c>
      <c r="C157" s="19">
        <f t="shared" si="7"/>
        <v>8</v>
      </c>
      <c r="D157" s="1" t="s">
        <v>71</v>
      </c>
      <c r="E157" s="2" t="str">
        <f>VLOOKUP(D157,Clientes!A:B,2,FALSE)</f>
        <v>Alice Silva</v>
      </c>
      <c r="F157" s="2" t="str">
        <f>VLOOKUP(D157,Clientes!A:G,4,FALSE)</f>
        <v>Rua Pernambucanos, 31</v>
      </c>
      <c r="G157" s="2" t="str">
        <f>VLOOKUP(D157,Clientes!A:G,5,FALSE)</f>
        <v>99687-2368</v>
      </c>
      <c r="H157" s="15">
        <v>1</v>
      </c>
      <c r="I157" s="2" t="str">
        <f>VLOOKUP(H157,Produtos!A:B,2,FALSE)</f>
        <v>Coxinha de Frango - 100 un.</v>
      </c>
      <c r="J157" s="15">
        <v>3</v>
      </c>
      <c r="K157" s="18">
        <f>VLOOKUP(H157,Produtos!A:F,6,FALSE)</f>
        <v>45</v>
      </c>
      <c r="L157" s="10">
        <f t="shared" si="8"/>
        <v>135</v>
      </c>
    </row>
    <row r="158" spans="1:12" x14ac:dyDescent="0.25">
      <c r="A158" s="1" t="s">
        <v>271</v>
      </c>
      <c r="B158" s="11">
        <f t="shared" si="6"/>
        <v>44069</v>
      </c>
      <c r="C158" s="19">
        <f t="shared" si="7"/>
        <v>8</v>
      </c>
      <c r="D158" s="1" t="s">
        <v>59</v>
      </c>
      <c r="E158" s="2" t="str">
        <f>VLOOKUP(D158,Clientes!A:B,2,FALSE)</f>
        <v>Ronaldo Leite</v>
      </c>
      <c r="F158" s="2" t="str">
        <f>VLOOKUP(D158,Clientes!A:G,4,FALSE)</f>
        <v>Rua julia caseiro, 135</v>
      </c>
      <c r="G158" s="2" t="str">
        <f>VLOOKUP(D158,Clientes!A:G,5,FALSE)</f>
        <v>99687-2356</v>
      </c>
      <c r="H158" s="15">
        <v>5</v>
      </c>
      <c r="I158" s="2" t="str">
        <f>VLOOKUP(H158,Produtos!A:B,2,FALSE)</f>
        <v>Mini quibe 100 - un.</v>
      </c>
      <c r="J158" s="15">
        <v>3</v>
      </c>
      <c r="K158" s="18">
        <f>VLOOKUP(H158,Produtos!A:F,6,FALSE)</f>
        <v>45</v>
      </c>
      <c r="L158" s="10">
        <f t="shared" si="8"/>
        <v>135</v>
      </c>
    </row>
    <row r="159" spans="1:12" x14ac:dyDescent="0.25">
      <c r="A159" s="1" t="s">
        <v>272</v>
      </c>
      <c r="B159" s="11">
        <f t="shared" si="6"/>
        <v>44071</v>
      </c>
      <c r="C159" s="19">
        <f t="shared" si="7"/>
        <v>8</v>
      </c>
      <c r="D159" s="1" t="s">
        <v>60</v>
      </c>
      <c r="E159" s="2" t="str">
        <f>VLOOKUP(D159,Clientes!A:B,2,FALSE)</f>
        <v>Gilvan Souza</v>
      </c>
      <c r="F159" s="2" t="str">
        <f>VLOOKUP(D159,Clientes!A:G,4,FALSE)</f>
        <v>Rua 7 de setembro, 167</v>
      </c>
      <c r="G159" s="2" t="str">
        <f>VLOOKUP(D159,Clientes!A:G,5,FALSE)</f>
        <v>98187-2357</v>
      </c>
      <c r="H159" s="15">
        <v>2</v>
      </c>
      <c r="I159" s="2" t="str">
        <f>VLOOKUP(H159,Produtos!A:B,2,FALSE)</f>
        <v>Coxinha de Frango - 50 un.</v>
      </c>
      <c r="J159" s="15">
        <v>2</v>
      </c>
      <c r="K159" s="18">
        <f>VLOOKUP(H159,Produtos!A:F,6,FALSE)</f>
        <v>27.75</v>
      </c>
      <c r="L159" s="10">
        <f t="shared" si="8"/>
        <v>55.5</v>
      </c>
    </row>
    <row r="160" spans="1:12" x14ac:dyDescent="0.25">
      <c r="A160" s="1" t="s">
        <v>273</v>
      </c>
      <c r="B160" s="11">
        <f t="shared" si="6"/>
        <v>44073</v>
      </c>
      <c r="C160" s="19">
        <f t="shared" si="7"/>
        <v>8</v>
      </c>
      <c r="D160" s="1" t="s">
        <v>61</v>
      </c>
      <c r="E160" s="2" t="str">
        <f>VLOOKUP(D160,Clientes!A:B,2,FALSE)</f>
        <v>Pedro Silva</v>
      </c>
      <c r="F160" s="2" t="str">
        <f>VLOOKUP(D160,Clientes!A:G,4,FALSE)</f>
        <v>Rua Pedro Cabral, 89</v>
      </c>
      <c r="G160" s="2" t="str">
        <f>VLOOKUP(D160,Clientes!A:G,5,FALSE)</f>
        <v>99687-2358</v>
      </c>
      <c r="H160" s="15">
        <v>6</v>
      </c>
      <c r="I160" s="2" t="str">
        <f>VLOOKUP(H160,Produtos!A:B,2,FALSE)</f>
        <v>Mini quibe 50 - un.</v>
      </c>
      <c r="J160" s="15">
        <v>3</v>
      </c>
      <c r="K160" s="18">
        <f>VLOOKUP(H160,Produtos!A:F,6,FALSE)</f>
        <v>27.75</v>
      </c>
      <c r="L160" s="10">
        <f t="shared" si="8"/>
        <v>83.25</v>
      </c>
    </row>
    <row r="161" spans="1:12" x14ac:dyDescent="0.25">
      <c r="A161" s="1" t="s">
        <v>274</v>
      </c>
      <c r="B161" s="11">
        <f t="shared" si="6"/>
        <v>44075</v>
      </c>
      <c r="C161" s="19">
        <f t="shared" si="7"/>
        <v>9</v>
      </c>
      <c r="D161" s="1" t="s">
        <v>62</v>
      </c>
      <c r="E161" s="2" t="str">
        <f>VLOOKUP(D161,Clientes!A:B,2,FALSE)</f>
        <v>Gabriel Lanza</v>
      </c>
      <c r="F161" s="2" t="str">
        <f>VLOOKUP(D161,Clientes!A:G,4,FALSE)</f>
        <v>Rua Japão, 98</v>
      </c>
      <c r="G161" s="2" t="str">
        <f>VLOOKUP(D161,Clientes!A:G,5,FALSE)</f>
        <v>99687-2359</v>
      </c>
      <c r="H161" s="15">
        <v>17</v>
      </c>
      <c r="I161" s="2" t="str">
        <f>VLOOKUP(H161,Produtos!A:B,2,FALSE)</f>
        <v>Beijinho 100 un.</v>
      </c>
      <c r="J161" s="15">
        <v>4</v>
      </c>
      <c r="K161" s="18">
        <f>VLOOKUP(H161,Produtos!A:F,6,FALSE)</f>
        <v>40</v>
      </c>
      <c r="L161" s="10">
        <f t="shared" si="8"/>
        <v>160</v>
      </c>
    </row>
    <row r="162" spans="1:12" x14ac:dyDescent="0.25">
      <c r="A162" s="1" t="s">
        <v>275</v>
      </c>
      <c r="B162" s="11">
        <f t="shared" si="6"/>
        <v>44077</v>
      </c>
      <c r="C162" s="19">
        <f t="shared" si="7"/>
        <v>9</v>
      </c>
      <c r="D162" s="1" t="s">
        <v>63</v>
      </c>
      <c r="E162" s="2" t="str">
        <f>VLOOKUP(D162,Clientes!A:B,2,FALSE)</f>
        <v>Matheus Lucas</v>
      </c>
      <c r="F162" s="2" t="str">
        <f>VLOOKUP(D162,Clientes!A:G,4,FALSE)</f>
        <v>Rua São Lucas, 221</v>
      </c>
      <c r="G162" s="2" t="str">
        <f>VLOOKUP(D162,Clientes!A:G,5,FALSE)</f>
        <v>99687-2360</v>
      </c>
      <c r="H162" s="15">
        <v>14</v>
      </c>
      <c r="I162" s="2" t="str">
        <f>VLOOKUP(H162,Produtos!A:B,2,FALSE)</f>
        <v>Guaraná 2L - 2 un.</v>
      </c>
      <c r="J162" s="15">
        <v>2</v>
      </c>
      <c r="K162" s="18">
        <f>VLOOKUP(H162,Produtos!A:F,6,FALSE)</f>
        <v>16.100000000000001</v>
      </c>
      <c r="L162" s="10">
        <f t="shared" si="8"/>
        <v>32.200000000000003</v>
      </c>
    </row>
    <row r="163" spans="1:12" x14ac:dyDescent="0.25">
      <c r="A163" s="1" t="s">
        <v>276</v>
      </c>
      <c r="B163" s="11">
        <f t="shared" si="6"/>
        <v>44079</v>
      </c>
      <c r="C163" s="19">
        <f t="shared" si="7"/>
        <v>9</v>
      </c>
      <c r="D163" s="1" t="s">
        <v>64</v>
      </c>
      <c r="E163" s="2" t="str">
        <f>VLOOKUP(D163,Clientes!A:B,2,FALSE)</f>
        <v>Eloá Azevedo</v>
      </c>
      <c r="F163" s="2" t="str">
        <f>VLOOKUP(D163,Clientes!A:G,4,FALSE)</f>
        <v>Rua Osvaldo Cruz,131</v>
      </c>
      <c r="G163" s="2" t="str">
        <f>VLOOKUP(D163,Clientes!A:G,5,FALSE)</f>
        <v>99787-2361</v>
      </c>
      <c r="H163" s="15">
        <v>6</v>
      </c>
      <c r="I163" s="2" t="str">
        <f>VLOOKUP(H163,Produtos!A:B,2,FALSE)</f>
        <v>Mini quibe 50 - un.</v>
      </c>
      <c r="J163" s="15">
        <v>4</v>
      </c>
      <c r="K163" s="18">
        <f>VLOOKUP(H163,Produtos!A:F,6,FALSE)</f>
        <v>27.75</v>
      </c>
      <c r="L163" s="10">
        <f t="shared" si="8"/>
        <v>111</v>
      </c>
    </row>
    <row r="164" spans="1:12" x14ac:dyDescent="0.25">
      <c r="A164" s="1" t="s">
        <v>277</v>
      </c>
      <c r="B164" s="11">
        <f t="shared" si="6"/>
        <v>44081</v>
      </c>
      <c r="C164" s="19">
        <f t="shared" si="7"/>
        <v>9</v>
      </c>
      <c r="D164" s="1" t="s">
        <v>65</v>
      </c>
      <c r="E164" s="2" t="str">
        <f>VLOOKUP(D164,Clientes!A:B,2,FALSE)</f>
        <v>João Silva</v>
      </c>
      <c r="F164" s="2" t="str">
        <f>VLOOKUP(D164,Clientes!A:G,4,FALSE)</f>
        <v>Rua Joaquim Silva, 76</v>
      </c>
      <c r="G164" s="2" t="str">
        <f>VLOOKUP(D164,Clientes!A:G,5,FALSE)</f>
        <v>99687-2362</v>
      </c>
      <c r="H164" s="15">
        <v>15</v>
      </c>
      <c r="I164" s="2" t="str">
        <f>VLOOKUP(H164,Produtos!A:B,2,FALSE)</f>
        <v>Brigadeiro 100 un.</v>
      </c>
      <c r="J164" s="15">
        <v>3</v>
      </c>
      <c r="K164" s="18">
        <f>VLOOKUP(H164,Produtos!A:F,6,FALSE)</f>
        <v>40</v>
      </c>
      <c r="L164" s="10">
        <f t="shared" si="8"/>
        <v>120</v>
      </c>
    </row>
    <row r="165" spans="1:12" x14ac:dyDescent="0.25">
      <c r="A165" s="1" t="s">
        <v>278</v>
      </c>
      <c r="B165" s="11">
        <f t="shared" si="6"/>
        <v>44083</v>
      </c>
      <c r="C165" s="19">
        <f t="shared" si="7"/>
        <v>9</v>
      </c>
      <c r="D165" s="1" t="s">
        <v>66</v>
      </c>
      <c r="E165" s="2" t="str">
        <f>VLOOKUP(D165,Clientes!A:B,2,FALSE)</f>
        <v>Junior Henrique</v>
      </c>
      <c r="F165" s="2" t="str">
        <f>VLOOKUP(D165,Clientes!A:G,4,FALSE)</f>
        <v>Av. das americas, 99</v>
      </c>
      <c r="G165" s="2" t="str">
        <f>VLOOKUP(D165,Clientes!A:G,5,FALSE)</f>
        <v>99687-2363</v>
      </c>
      <c r="H165" s="15">
        <v>5</v>
      </c>
      <c r="I165" s="2" t="str">
        <f>VLOOKUP(H165,Produtos!A:B,2,FALSE)</f>
        <v>Mini quibe 100 - un.</v>
      </c>
      <c r="J165" s="15">
        <v>1</v>
      </c>
      <c r="K165" s="18">
        <f>VLOOKUP(H165,Produtos!A:F,6,FALSE)</f>
        <v>45</v>
      </c>
      <c r="L165" s="10">
        <f t="shared" si="8"/>
        <v>45</v>
      </c>
    </row>
    <row r="166" spans="1:12" x14ac:dyDescent="0.25">
      <c r="A166" s="1" t="s">
        <v>279</v>
      </c>
      <c r="B166" s="11">
        <f t="shared" si="6"/>
        <v>44085</v>
      </c>
      <c r="C166" s="19">
        <f t="shared" si="7"/>
        <v>9</v>
      </c>
      <c r="D166" s="1" t="s">
        <v>67</v>
      </c>
      <c r="E166" s="2" t="str">
        <f>VLOOKUP(D166,Clientes!A:B,2,FALSE)</f>
        <v>Gabriela Antunes</v>
      </c>
      <c r="F166" s="2" t="str">
        <f>VLOOKUP(D166,Clientes!A:G,4,FALSE)</f>
        <v>Rua 11 de Novembro, 55</v>
      </c>
      <c r="G166" s="2" t="str">
        <f>VLOOKUP(D166,Clientes!A:G,5,FALSE)</f>
        <v>98187-2364</v>
      </c>
      <c r="H166" s="15">
        <v>3</v>
      </c>
      <c r="I166" s="2" t="str">
        <f>VLOOKUP(H166,Produtos!A:B,2,FALSE)</f>
        <v>Coxinha de Carne - 100 un.</v>
      </c>
      <c r="J166" s="15">
        <v>1</v>
      </c>
      <c r="K166" s="18">
        <f>VLOOKUP(H166,Produtos!A:F,6,FALSE)</f>
        <v>45</v>
      </c>
      <c r="L166" s="10">
        <f t="shared" si="8"/>
        <v>45</v>
      </c>
    </row>
    <row r="167" spans="1:12" x14ac:dyDescent="0.25">
      <c r="A167" s="1" t="s">
        <v>280</v>
      </c>
      <c r="B167" s="11">
        <f t="shared" si="6"/>
        <v>44087</v>
      </c>
      <c r="C167" s="19">
        <f t="shared" si="7"/>
        <v>9</v>
      </c>
      <c r="D167" s="1" t="s">
        <v>65</v>
      </c>
      <c r="E167" s="2" t="str">
        <f>VLOOKUP(D167,Clientes!A:B,2,FALSE)</f>
        <v>João Silva</v>
      </c>
      <c r="F167" s="2" t="str">
        <f>VLOOKUP(D167,Clientes!A:G,4,FALSE)</f>
        <v>Rua Joaquim Silva, 76</v>
      </c>
      <c r="G167" s="2" t="str">
        <f>VLOOKUP(D167,Clientes!A:G,5,FALSE)</f>
        <v>99687-2362</v>
      </c>
      <c r="H167" s="15">
        <v>1</v>
      </c>
      <c r="I167" s="2" t="str">
        <f>VLOOKUP(H167,Produtos!A:B,2,FALSE)</f>
        <v>Coxinha de Frango - 100 un.</v>
      </c>
      <c r="J167" s="15">
        <v>3</v>
      </c>
      <c r="K167" s="18">
        <f>VLOOKUP(H167,Produtos!A:F,6,FALSE)</f>
        <v>45</v>
      </c>
      <c r="L167" s="10">
        <f t="shared" si="8"/>
        <v>135</v>
      </c>
    </row>
    <row r="168" spans="1:12" x14ac:dyDescent="0.25">
      <c r="A168" s="1" t="s">
        <v>281</v>
      </c>
      <c r="B168" s="11">
        <f t="shared" si="6"/>
        <v>44089</v>
      </c>
      <c r="C168" s="19">
        <f t="shared" si="7"/>
        <v>9</v>
      </c>
      <c r="D168" s="1" t="s">
        <v>62</v>
      </c>
      <c r="E168" s="2" t="str">
        <f>VLOOKUP(D168,Clientes!A:B,2,FALSE)</f>
        <v>Gabriel Lanza</v>
      </c>
      <c r="F168" s="2" t="str">
        <f>VLOOKUP(D168,Clientes!A:G,4,FALSE)</f>
        <v>Rua Japão, 98</v>
      </c>
      <c r="G168" s="2" t="str">
        <f>VLOOKUP(D168,Clientes!A:G,5,FALSE)</f>
        <v>99687-2359</v>
      </c>
      <c r="H168" s="15">
        <v>10</v>
      </c>
      <c r="I168" s="2" t="str">
        <f>VLOOKUP(H168,Produtos!A:B,2,FALSE)</f>
        <v>Esfiha de Carne - 50 un.</v>
      </c>
      <c r="J168" s="15">
        <v>1</v>
      </c>
      <c r="K168" s="18">
        <f>VLOOKUP(H168,Produtos!A:F,6,FALSE)</f>
        <v>37</v>
      </c>
      <c r="L168" s="10">
        <f t="shared" si="8"/>
        <v>37</v>
      </c>
    </row>
    <row r="169" spans="1:12" x14ac:dyDescent="0.25">
      <c r="A169" s="1" t="s">
        <v>282</v>
      </c>
      <c r="B169" s="11">
        <f t="shared" si="6"/>
        <v>44091</v>
      </c>
      <c r="C169" s="19">
        <f t="shared" si="7"/>
        <v>9</v>
      </c>
      <c r="D169" s="1" t="s">
        <v>70</v>
      </c>
      <c r="E169" s="2" t="str">
        <f>VLOOKUP(D169,Clientes!A:B,2,FALSE)</f>
        <v>Amanda Souza</v>
      </c>
      <c r="F169" s="2" t="str">
        <f>VLOOKUP(D169,Clientes!A:G,4,FALSE)</f>
        <v>Rua México, 76</v>
      </c>
      <c r="G169" s="2" t="str">
        <f>VLOOKUP(D169,Clientes!A:G,5,FALSE)</f>
        <v>99687-2367</v>
      </c>
      <c r="H169" s="15">
        <v>15</v>
      </c>
      <c r="I169" s="2" t="str">
        <f>VLOOKUP(H169,Produtos!A:B,2,FALSE)</f>
        <v>Brigadeiro 100 un.</v>
      </c>
      <c r="J169" s="15">
        <v>4</v>
      </c>
      <c r="K169" s="18">
        <f>VLOOKUP(H169,Produtos!A:F,6,FALSE)</f>
        <v>40</v>
      </c>
      <c r="L169" s="10">
        <f t="shared" si="8"/>
        <v>160</v>
      </c>
    </row>
    <row r="170" spans="1:12" x14ac:dyDescent="0.25">
      <c r="A170" s="1" t="s">
        <v>283</v>
      </c>
      <c r="B170" s="11">
        <f t="shared" si="6"/>
        <v>44093</v>
      </c>
      <c r="C170" s="19">
        <f t="shared" si="7"/>
        <v>9</v>
      </c>
      <c r="D170" s="1" t="s">
        <v>71</v>
      </c>
      <c r="E170" s="2" t="str">
        <f>VLOOKUP(D170,Clientes!A:B,2,FALSE)</f>
        <v>Alice Silva</v>
      </c>
      <c r="F170" s="2" t="str">
        <f>VLOOKUP(D170,Clientes!A:G,4,FALSE)</f>
        <v>Rua Pernambucanos, 31</v>
      </c>
      <c r="G170" s="2" t="str">
        <f>VLOOKUP(D170,Clientes!A:G,5,FALSE)</f>
        <v>99687-2368</v>
      </c>
      <c r="H170" s="15">
        <v>1</v>
      </c>
      <c r="I170" s="2" t="str">
        <f>VLOOKUP(H170,Produtos!A:B,2,FALSE)</f>
        <v>Coxinha de Frango - 100 un.</v>
      </c>
      <c r="J170" s="15">
        <v>2</v>
      </c>
      <c r="K170" s="18">
        <f>VLOOKUP(H170,Produtos!A:F,6,FALSE)</f>
        <v>45</v>
      </c>
      <c r="L170" s="10">
        <f t="shared" si="8"/>
        <v>90</v>
      </c>
    </row>
    <row r="171" spans="1:12" x14ac:dyDescent="0.25">
      <c r="A171" s="1" t="s">
        <v>284</v>
      </c>
      <c r="B171" s="11">
        <f t="shared" si="6"/>
        <v>44095</v>
      </c>
      <c r="C171" s="19">
        <f t="shared" si="7"/>
        <v>9</v>
      </c>
      <c r="D171" s="1" t="s">
        <v>69</v>
      </c>
      <c r="E171" s="2" t="str">
        <f>VLOOKUP(D171,Clientes!A:B,2,FALSE)</f>
        <v>Alexandre Souza</v>
      </c>
      <c r="F171" s="2" t="str">
        <f>VLOOKUP(D171,Clientes!A:G,4,FALSE)</f>
        <v>Rua São Simao, 43</v>
      </c>
      <c r="G171" s="2" t="str">
        <f>VLOOKUP(D171,Clientes!A:G,5,FALSE)</f>
        <v>99687-2366</v>
      </c>
      <c r="H171" s="15">
        <v>1</v>
      </c>
      <c r="I171" s="2" t="str">
        <f>VLOOKUP(H171,Produtos!A:B,2,FALSE)</f>
        <v>Coxinha de Frango - 100 un.</v>
      </c>
      <c r="J171" s="15">
        <v>2</v>
      </c>
      <c r="K171" s="18">
        <f>VLOOKUP(H171,Produtos!A:F,6,FALSE)</f>
        <v>45</v>
      </c>
      <c r="L171" s="10">
        <f t="shared" si="8"/>
        <v>90</v>
      </c>
    </row>
    <row r="172" spans="1:12" x14ac:dyDescent="0.25">
      <c r="A172" s="1" t="s">
        <v>285</v>
      </c>
      <c r="B172" s="11">
        <f t="shared" si="6"/>
        <v>44097</v>
      </c>
      <c r="C172" s="19">
        <f t="shared" si="7"/>
        <v>9</v>
      </c>
      <c r="D172" s="1" t="s">
        <v>70</v>
      </c>
      <c r="E172" s="2" t="str">
        <f>VLOOKUP(D172,Clientes!A:B,2,FALSE)</f>
        <v>Amanda Souza</v>
      </c>
      <c r="F172" s="2" t="str">
        <f>VLOOKUP(D172,Clientes!A:G,4,FALSE)</f>
        <v>Rua México, 76</v>
      </c>
      <c r="G172" s="2" t="str">
        <f>VLOOKUP(D172,Clientes!A:G,5,FALSE)</f>
        <v>99687-2367</v>
      </c>
      <c r="H172" s="15">
        <v>11</v>
      </c>
      <c r="I172" s="2" t="str">
        <f>VLOOKUP(H172,Produtos!A:B,2,FALSE)</f>
        <v>Esfiha de Frango - 100 un.</v>
      </c>
      <c r="J172" s="15">
        <v>2</v>
      </c>
      <c r="K172" s="18">
        <f>VLOOKUP(H172,Produtos!A:F,6,FALSE)</f>
        <v>50.400000000000006</v>
      </c>
      <c r="L172" s="10">
        <f t="shared" si="8"/>
        <v>100.80000000000001</v>
      </c>
    </row>
    <row r="173" spans="1:12" x14ac:dyDescent="0.25">
      <c r="A173" s="1" t="s">
        <v>286</v>
      </c>
      <c r="B173" s="11">
        <f t="shared" si="6"/>
        <v>44099</v>
      </c>
      <c r="C173" s="19">
        <f t="shared" si="7"/>
        <v>9</v>
      </c>
      <c r="D173" s="1" t="s">
        <v>71</v>
      </c>
      <c r="E173" s="2" t="str">
        <f>VLOOKUP(D173,Clientes!A:B,2,FALSE)</f>
        <v>Alice Silva</v>
      </c>
      <c r="F173" s="2" t="str">
        <f>VLOOKUP(D173,Clientes!A:G,4,FALSE)</f>
        <v>Rua Pernambucanos, 31</v>
      </c>
      <c r="G173" s="2" t="str">
        <f>VLOOKUP(D173,Clientes!A:G,5,FALSE)</f>
        <v>99687-2368</v>
      </c>
      <c r="H173" s="15">
        <v>9</v>
      </c>
      <c r="I173" s="2" t="str">
        <f>VLOOKUP(H173,Produtos!A:B,2,FALSE)</f>
        <v>Esfiha de Carne - 100 un.</v>
      </c>
      <c r="J173" s="15">
        <v>2</v>
      </c>
      <c r="K173" s="18">
        <f>VLOOKUP(H173,Produtos!A:F,6,FALSE)</f>
        <v>50.400000000000006</v>
      </c>
      <c r="L173" s="10">
        <f t="shared" si="8"/>
        <v>100.80000000000001</v>
      </c>
    </row>
    <row r="174" spans="1:12" x14ac:dyDescent="0.25">
      <c r="A174" s="1" t="s">
        <v>287</v>
      </c>
      <c r="B174" s="11">
        <f t="shared" si="6"/>
        <v>44101</v>
      </c>
      <c r="C174" s="19">
        <f t="shared" si="7"/>
        <v>9</v>
      </c>
      <c r="D174" s="1" t="s">
        <v>71</v>
      </c>
      <c r="E174" s="2" t="str">
        <f>VLOOKUP(D174,Clientes!A:B,2,FALSE)</f>
        <v>Alice Silva</v>
      </c>
      <c r="F174" s="2" t="str">
        <f>VLOOKUP(D174,Clientes!A:G,4,FALSE)</f>
        <v>Rua Pernambucanos, 31</v>
      </c>
      <c r="G174" s="2" t="str">
        <f>VLOOKUP(D174,Clientes!A:G,5,FALSE)</f>
        <v>99687-2368</v>
      </c>
      <c r="H174" s="15">
        <v>11</v>
      </c>
      <c r="I174" s="2" t="str">
        <f>VLOOKUP(H174,Produtos!A:B,2,FALSE)</f>
        <v>Esfiha de Frango - 100 un.</v>
      </c>
      <c r="J174" s="15">
        <v>2</v>
      </c>
      <c r="K174" s="18">
        <f>VLOOKUP(H174,Produtos!A:F,6,FALSE)</f>
        <v>50.400000000000006</v>
      </c>
      <c r="L174" s="10">
        <f t="shared" si="8"/>
        <v>100.80000000000001</v>
      </c>
    </row>
    <row r="175" spans="1:12" x14ac:dyDescent="0.25">
      <c r="A175" s="1" t="s">
        <v>288</v>
      </c>
      <c r="B175" s="11">
        <f t="shared" si="6"/>
        <v>44103</v>
      </c>
      <c r="C175" s="19">
        <f t="shared" si="7"/>
        <v>9</v>
      </c>
      <c r="D175" s="1" t="s">
        <v>59</v>
      </c>
      <c r="E175" s="2" t="str">
        <f>VLOOKUP(D175,Clientes!A:B,2,FALSE)</f>
        <v>Ronaldo Leite</v>
      </c>
      <c r="F175" s="2" t="str">
        <f>VLOOKUP(D175,Clientes!A:G,4,FALSE)</f>
        <v>Rua julia caseiro, 135</v>
      </c>
      <c r="G175" s="2" t="str">
        <f>VLOOKUP(D175,Clientes!A:G,5,FALSE)</f>
        <v>99687-2356</v>
      </c>
      <c r="H175" s="15">
        <v>17</v>
      </c>
      <c r="I175" s="2" t="str">
        <f>VLOOKUP(H175,Produtos!A:B,2,FALSE)</f>
        <v>Beijinho 100 un.</v>
      </c>
      <c r="J175" s="15">
        <v>4</v>
      </c>
      <c r="K175" s="18">
        <f>VLOOKUP(H175,Produtos!A:F,6,FALSE)</f>
        <v>40</v>
      </c>
      <c r="L175" s="10">
        <f t="shared" si="8"/>
        <v>160</v>
      </c>
    </row>
    <row r="176" spans="1:12" x14ac:dyDescent="0.25">
      <c r="A176" s="1" t="s">
        <v>289</v>
      </c>
      <c r="B176" s="11">
        <f t="shared" si="6"/>
        <v>44105</v>
      </c>
      <c r="C176" s="19">
        <f t="shared" si="7"/>
        <v>10</v>
      </c>
      <c r="D176" s="1" t="s">
        <v>60</v>
      </c>
      <c r="E176" s="2" t="str">
        <f>VLOOKUP(D176,Clientes!A:B,2,FALSE)</f>
        <v>Gilvan Souza</v>
      </c>
      <c r="F176" s="2" t="str">
        <f>VLOOKUP(D176,Clientes!A:G,4,FALSE)</f>
        <v>Rua 7 de setembro, 167</v>
      </c>
      <c r="G176" s="2" t="str">
        <f>VLOOKUP(D176,Clientes!A:G,5,FALSE)</f>
        <v>98187-2357</v>
      </c>
      <c r="H176" s="15">
        <v>16</v>
      </c>
      <c r="I176" s="2" t="str">
        <f>VLOOKUP(H176,Produtos!A:B,2,FALSE)</f>
        <v>Brigadeiro 50 un.</v>
      </c>
      <c r="J176" s="15">
        <v>1</v>
      </c>
      <c r="K176" s="18">
        <f>VLOOKUP(H176,Produtos!A:F,6,FALSE)</f>
        <v>25.200000000000003</v>
      </c>
      <c r="L176" s="10">
        <f t="shared" si="8"/>
        <v>25.200000000000003</v>
      </c>
    </row>
    <row r="177" spans="1:12" x14ac:dyDescent="0.25">
      <c r="A177" s="1" t="s">
        <v>290</v>
      </c>
      <c r="B177" s="11">
        <f t="shared" si="6"/>
        <v>44107</v>
      </c>
      <c r="C177" s="19">
        <f t="shared" si="7"/>
        <v>10</v>
      </c>
      <c r="D177" s="1" t="s">
        <v>61</v>
      </c>
      <c r="E177" s="2" t="str">
        <f>VLOOKUP(D177,Clientes!A:B,2,FALSE)</f>
        <v>Pedro Silva</v>
      </c>
      <c r="F177" s="2" t="str">
        <f>VLOOKUP(D177,Clientes!A:G,4,FALSE)</f>
        <v>Rua Pedro Cabral, 89</v>
      </c>
      <c r="G177" s="2" t="str">
        <f>VLOOKUP(D177,Clientes!A:G,5,FALSE)</f>
        <v>99687-2358</v>
      </c>
      <c r="H177" s="15">
        <v>15</v>
      </c>
      <c r="I177" s="2" t="str">
        <f>VLOOKUP(H177,Produtos!A:B,2,FALSE)</f>
        <v>Brigadeiro 100 un.</v>
      </c>
      <c r="J177" s="15">
        <v>3</v>
      </c>
      <c r="K177" s="18">
        <f>VLOOKUP(H177,Produtos!A:F,6,FALSE)</f>
        <v>40</v>
      </c>
      <c r="L177" s="10">
        <f t="shared" si="8"/>
        <v>120</v>
      </c>
    </row>
    <row r="178" spans="1:12" x14ac:dyDescent="0.25">
      <c r="A178" s="1" t="s">
        <v>291</v>
      </c>
      <c r="B178" s="11">
        <f t="shared" si="6"/>
        <v>44109</v>
      </c>
      <c r="C178" s="19">
        <f t="shared" si="7"/>
        <v>10</v>
      </c>
      <c r="D178" s="1" t="s">
        <v>62</v>
      </c>
      <c r="E178" s="2" t="str">
        <f>VLOOKUP(D178,Clientes!A:B,2,FALSE)</f>
        <v>Gabriel Lanza</v>
      </c>
      <c r="F178" s="2" t="str">
        <f>VLOOKUP(D178,Clientes!A:G,4,FALSE)</f>
        <v>Rua Japão, 98</v>
      </c>
      <c r="G178" s="2" t="str">
        <f>VLOOKUP(D178,Clientes!A:G,5,FALSE)</f>
        <v>99687-2359</v>
      </c>
      <c r="H178" s="15">
        <v>16</v>
      </c>
      <c r="I178" s="2" t="str">
        <f>VLOOKUP(H178,Produtos!A:B,2,FALSE)</f>
        <v>Brigadeiro 50 un.</v>
      </c>
      <c r="J178" s="15">
        <v>1</v>
      </c>
      <c r="K178" s="18">
        <f>VLOOKUP(H178,Produtos!A:F,6,FALSE)</f>
        <v>25.200000000000003</v>
      </c>
      <c r="L178" s="10">
        <f t="shared" si="8"/>
        <v>25.200000000000003</v>
      </c>
    </row>
    <row r="179" spans="1:12" x14ac:dyDescent="0.25">
      <c r="A179" s="1" t="s">
        <v>292</v>
      </c>
      <c r="B179" s="11">
        <f t="shared" si="6"/>
        <v>44111</v>
      </c>
      <c r="C179" s="19">
        <f t="shared" si="7"/>
        <v>10</v>
      </c>
      <c r="D179" s="1" t="s">
        <v>63</v>
      </c>
      <c r="E179" s="2" t="str">
        <f>VLOOKUP(D179,Clientes!A:B,2,FALSE)</f>
        <v>Matheus Lucas</v>
      </c>
      <c r="F179" s="2" t="str">
        <f>VLOOKUP(D179,Clientes!A:G,4,FALSE)</f>
        <v>Rua São Lucas, 221</v>
      </c>
      <c r="G179" s="2" t="str">
        <f>VLOOKUP(D179,Clientes!A:G,5,FALSE)</f>
        <v>99687-2360</v>
      </c>
      <c r="H179" s="15">
        <v>5</v>
      </c>
      <c r="I179" s="2" t="str">
        <f>VLOOKUP(H179,Produtos!A:B,2,FALSE)</f>
        <v>Mini quibe 100 - un.</v>
      </c>
      <c r="J179" s="15">
        <v>2</v>
      </c>
      <c r="K179" s="18">
        <f>VLOOKUP(H179,Produtos!A:F,6,FALSE)</f>
        <v>45</v>
      </c>
      <c r="L179" s="10">
        <f t="shared" si="8"/>
        <v>90</v>
      </c>
    </row>
    <row r="180" spans="1:12" x14ac:dyDescent="0.25">
      <c r="A180" s="1" t="s">
        <v>293</v>
      </c>
      <c r="B180" s="11">
        <f t="shared" si="6"/>
        <v>44113</v>
      </c>
      <c r="C180" s="19">
        <f t="shared" si="7"/>
        <v>10</v>
      </c>
      <c r="D180" s="1" t="s">
        <v>64</v>
      </c>
      <c r="E180" s="2" t="str">
        <f>VLOOKUP(D180,Clientes!A:B,2,FALSE)</f>
        <v>Eloá Azevedo</v>
      </c>
      <c r="F180" s="2" t="str">
        <f>VLOOKUP(D180,Clientes!A:G,4,FALSE)</f>
        <v>Rua Osvaldo Cruz,131</v>
      </c>
      <c r="G180" s="2" t="str">
        <f>VLOOKUP(D180,Clientes!A:G,5,FALSE)</f>
        <v>99787-2361</v>
      </c>
      <c r="H180" s="15">
        <v>18</v>
      </c>
      <c r="I180" s="2" t="str">
        <f>VLOOKUP(H180,Produtos!A:B,2,FALSE)</f>
        <v>Beijinho 50 un.</v>
      </c>
      <c r="J180" s="15">
        <v>1</v>
      </c>
      <c r="K180" s="18">
        <f>VLOOKUP(H180,Produtos!A:F,6,FALSE)</f>
        <v>25.200000000000003</v>
      </c>
      <c r="L180" s="10">
        <f t="shared" si="8"/>
        <v>25.200000000000003</v>
      </c>
    </row>
    <row r="181" spans="1:12" x14ac:dyDescent="0.25">
      <c r="A181" s="1" t="s">
        <v>294</v>
      </c>
      <c r="B181" s="11">
        <f t="shared" si="6"/>
        <v>44115</v>
      </c>
      <c r="C181" s="19">
        <f t="shared" si="7"/>
        <v>10</v>
      </c>
      <c r="D181" s="1" t="s">
        <v>65</v>
      </c>
      <c r="E181" s="2" t="str">
        <f>VLOOKUP(D181,Clientes!A:B,2,FALSE)</f>
        <v>João Silva</v>
      </c>
      <c r="F181" s="2" t="str">
        <f>VLOOKUP(D181,Clientes!A:G,4,FALSE)</f>
        <v>Rua Joaquim Silva, 76</v>
      </c>
      <c r="G181" s="2" t="str">
        <f>VLOOKUP(D181,Clientes!A:G,5,FALSE)</f>
        <v>99687-2362</v>
      </c>
      <c r="H181" s="15">
        <v>15</v>
      </c>
      <c r="I181" s="2" t="str">
        <f>VLOOKUP(H181,Produtos!A:B,2,FALSE)</f>
        <v>Brigadeiro 100 un.</v>
      </c>
      <c r="J181" s="15">
        <v>2</v>
      </c>
      <c r="K181" s="18">
        <f>VLOOKUP(H181,Produtos!A:F,6,FALSE)</f>
        <v>40</v>
      </c>
      <c r="L181" s="10">
        <f t="shared" si="8"/>
        <v>80</v>
      </c>
    </row>
    <row r="182" spans="1:12" x14ac:dyDescent="0.25">
      <c r="A182" s="1" t="s">
        <v>295</v>
      </c>
      <c r="B182" s="11">
        <f t="shared" si="6"/>
        <v>44117</v>
      </c>
      <c r="C182" s="19">
        <f t="shared" si="7"/>
        <v>10</v>
      </c>
      <c r="D182" s="1" t="s">
        <v>66</v>
      </c>
      <c r="E182" s="2" t="str">
        <f>VLOOKUP(D182,Clientes!A:B,2,FALSE)</f>
        <v>Junior Henrique</v>
      </c>
      <c r="F182" s="2" t="str">
        <f>VLOOKUP(D182,Clientes!A:G,4,FALSE)</f>
        <v>Av. das americas, 99</v>
      </c>
      <c r="G182" s="2" t="str">
        <f>VLOOKUP(D182,Clientes!A:G,5,FALSE)</f>
        <v>99687-2363</v>
      </c>
      <c r="H182" s="15">
        <v>11</v>
      </c>
      <c r="I182" s="2" t="str">
        <f>VLOOKUP(H182,Produtos!A:B,2,FALSE)</f>
        <v>Esfiha de Frango - 100 un.</v>
      </c>
      <c r="J182" s="15">
        <v>3</v>
      </c>
      <c r="K182" s="18">
        <f>VLOOKUP(H182,Produtos!A:F,6,FALSE)</f>
        <v>50.400000000000006</v>
      </c>
      <c r="L182" s="10">
        <f t="shared" si="8"/>
        <v>151.20000000000002</v>
      </c>
    </row>
    <row r="183" spans="1:12" x14ac:dyDescent="0.25">
      <c r="A183" s="1" t="s">
        <v>296</v>
      </c>
      <c r="B183" s="11">
        <f t="shared" si="6"/>
        <v>44119</v>
      </c>
      <c r="C183" s="19">
        <f t="shared" si="7"/>
        <v>10</v>
      </c>
      <c r="D183" s="1" t="s">
        <v>67</v>
      </c>
      <c r="E183" s="2" t="str">
        <f>VLOOKUP(D183,Clientes!A:B,2,FALSE)</f>
        <v>Gabriela Antunes</v>
      </c>
      <c r="F183" s="2" t="str">
        <f>VLOOKUP(D183,Clientes!A:G,4,FALSE)</f>
        <v>Rua 11 de Novembro, 55</v>
      </c>
      <c r="G183" s="2" t="str">
        <f>VLOOKUP(D183,Clientes!A:G,5,FALSE)</f>
        <v>98187-2364</v>
      </c>
      <c r="H183" s="15">
        <v>1</v>
      </c>
      <c r="I183" s="2" t="str">
        <f>VLOOKUP(H183,Produtos!A:B,2,FALSE)</f>
        <v>Coxinha de Frango - 100 un.</v>
      </c>
      <c r="J183" s="15">
        <v>3</v>
      </c>
      <c r="K183" s="18">
        <f>VLOOKUP(H183,Produtos!A:F,6,FALSE)</f>
        <v>45</v>
      </c>
      <c r="L183" s="10">
        <f t="shared" si="8"/>
        <v>135</v>
      </c>
    </row>
    <row r="184" spans="1:12" x14ac:dyDescent="0.25">
      <c r="A184" s="1" t="s">
        <v>297</v>
      </c>
      <c r="B184" s="11">
        <f t="shared" si="6"/>
        <v>44121</v>
      </c>
      <c r="C184" s="19">
        <f t="shared" si="7"/>
        <v>10</v>
      </c>
      <c r="D184" s="1" t="s">
        <v>68</v>
      </c>
      <c r="E184" s="2" t="str">
        <f>VLOOKUP(D184,Clientes!A:B,2,FALSE)</f>
        <v>Paulo Cesar</v>
      </c>
      <c r="F184" s="2" t="str">
        <f>VLOOKUP(D184,Clientes!A:G,4,FALSE)</f>
        <v>Rua Joao emilio, 13</v>
      </c>
      <c r="G184" s="2" t="str">
        <f>VLOOKUP(D184,Clientes!A:G,5,FALSE)</f>
        <v>99687-2365</v>
      </c>
      <c r="H184" s="15">
        <v>6</v>
      </c>
      <c r="I184" s="2" t="str">
        <f>VLOOKUP(H184,Produtos!A:B,2,FALSE)</f>
        <v>Mini quibe 50 - un.</v>
      </c>
      <c r="J184" s="15">
        <v>3</v>
      </c>
      <c r="K184" s="18">
        <f>VLOOKUP(H184,Produtos!A:F,6,FALSE)</f>
        <v>27.75</v>
      </c>
      <c r="L184" s="10">
        <f t="shared" si="8"/>
        <v>83.25</v>
      </c>
    </row>
    <row r="185" spans="1:12" x14ac:dyDescent="0.25">
      <c r="A185" s="1" t="s">
        <v>298</v>
      </c>
      <c r="B185" s="11">
        <f t="shared" si="6"/>
        <v>44123</v>
      </c>
      <c r="C185" s="19">
        <f t="shared" si="7"/>
        <v>10</v>
      </c>
      <c r="D185" s="1" t="s">
        <v>69</v>
      </c>
      <c r="E185" s="2" t="str">
        <f>VLOOKUP(D185,Clientes!A:B,2,FALSE)</f>
        <v>Alexandre Souza</v>
      </c>
      <c r="F185" s="2" t="str">
        <f>VLOOKUP(D185,Clientes!A:G,4,FALSE)</f>
        <v>Rua São Simao, 43</v>
      </c>
      <c r="G185" s="2" t="str">
        <f>VLOOKUP(D185,Clientes!A:G,5,FALSE)</f>
        <v>99687-2366</v>
      </c>
      <c r="H185" s="15">
        <v>17</v>
      </c>
      <c r="I185" s="2" t="str">
        <f>VLOOKUP(H185,Produtos!A:B,2,FALSE)</f>
        <v>Beijinho 100 un.</v>
      </c>
      <c r="J185" s="15">
        <v>4</v>
      </c>
      <c r="K185" s="18">
        <f>VLOOKUP(H185,Produtos!A:F,6,FALSE)</f>
        <v>40</v>
      </c>
      <c r="L185" s="10">
        <f t="shared" si="8"/>
        <v>160</v>
      </c>
    </row>
    <row r="186" spans="1:12" x14ac:dyDescent="0.25">
      <c r="A186" s="1" t="s">
        <v>299</v>
      </c>
      <c r="B186" s="11">
        <f t="shared" si="6"/>
        <v>44125</v>
      </c>
      <c r="C186" s="19">
        <f t="shared" si="7"/>
        <v>10</v>
      </c>
      <c r="D186" s="1" t="s">
        <v>70</v>
      </c>
      <c r="E186" s="2" t="str">
        <f>VLOOKUP(D186,Clientes!A:B,2,FALSE)</f>
        <v>Amanda Souza</v>
      </c>
      <c r="F186" s="2" t="str">
        <f>VLOOKUP(D186,Clientes!A:G,4,FALSE)</f>
        <v>Rua México, 76</v>
      </c>
      <c r="G186" s="2" t="str">
        <f>VLOOKUP(D186,Clientes!A:G,5,FALSE)</f>
        <v>99687-2367</v>
      </c>
      <c r="H186" s="15">
        <v>3</v>
      </c>
      <c r="I186" s="2" t="str">
        <f>VLOOKUP(H186,Produtos!A:B,2,FALSE)</f>
        <v>Coxinha de Carne - 100 un.</v>
      </c>
      <c r="J186" s="15">
        <v>4</v>
      </c>
      <c r="K186" s="18">
        <f>VLOOKUP(H186,Produtos!A:F,6,FALSE)</f>
        <v>45</v>
      </c>
      <c r="L186" s="10">
        <f t="shared" si="8"/>
        <v>180</v>
      </c>
    </row>
    <row r="187" spans="1:12" x14ac:dyDescent="0.25">
      <c r="A187" s="1" t="s">
        <v>300</v>
      </c>
      <c r="B187" s="11">
        <f t="shared" si="6"/>
        <v>44127</v>
      </c>
      <c r="C187" s="19">
        <f t="shared" si="7"/>
        <v>10</v>
      </c>
      <c r="D187" s="1" t="s">
        <v>71</v>
      </c>
      <c r="E187" s="2" t="str">
        <f>VLOOKUP(D187,Clientes!A:B,2,FALSE)</f>
        <v>Alice Silva</v>
      </c>
      <c r="F187" s="2" t="str">
        <f>VLOOKUP(D187,Clientes!A:G,4,FALSE)</f>
        <v>Rua Pernambucanos, 31</v>
      </c>
      <c r="G187" s="2" t="str">
        <f>VLOOKUP(D187,Clientes!A:G,5,FALSE)</f>
        <v>99687-2368</v>
      </c>
      <c r="H187" s="15">
        <v>18</v>
      </c>
      <c r="I187" s="2" t="str">
        <f>VLOOKUP(H187,Produtos!A:B,2,FALSE)</f>
        <v>Beijinho 50 un.</v>
      </c>
      <c r="J187" s="15">
        <v>2</v>
      </c>
      <c r="K187" s="18">
        <f>VLOOKUP(H187,Produtos!A:F,6,FALSE)</f>
        <v>25.200000000000003</v>
      </c>
      <c r="L187" s="10">
        <f t="shared" si="8"/>
        <v>50.400000000000006</v>
      </c>
    </row>
    <row r="188" spans="1:12" x14ac:dyDescent="0.25">
      <c r="A188" s="1" t="s">
        <v>301</v>
      </c>
      <c r="B188" s="11">
        <f t="shared" si="6"/>
        <v>44129</v>
      </c>
      <c r="C188" s="19">
        <f t="shared" si="7"/>
        <v>10</v>
      </c>
      <c r="D188" s="1" t="s">
        <v>69</v>
      </c>
      <c r="E188" s="2" t="str">
        <f>VLOOKUP(D188,Clientes!A:B,2,FALSE)</f>
        <v>Alexandre Souza</v>
      </c>
      <c r="F188" s="2" t="str">
        <f>VLOOKUP(D188,Clientes!A:G,4,FALSE)</f>
        <v>Rua São Simao, 43</v>
      </c>
      <c r="G188" s="2" t="str">
        <f>VLOOKUP(D188,Clientes!A:G,5,FALSE)</f>
        <v>99687-2366</v>
      </c>
      <c r="H188" s="15">
        <v>5</v>
      </c>
      <c r="I188" s="2" t="str">
        <f>VLOOKUP(H188,Produtos!A:B,2,FALSE)</f>
        <v>Mini quibe 100 - un.</v>
      </c>
      <c r="J188" s="15">
        <v>1</v>
      </c>
      <c r="K188" s="18">
        <f>VLOOKUP(H188,Produtos!A:F,6,FALSE)</f>
        <v>45</v>
      </c>
      <c r="L188" s="10">
        <f t="shared" si="8"/>
        <v>45</v>
      </c>
    </row>
    <row r="189" spans="1:12" x14ac:dyDescent="0.25">
      <c r="A189" s="1" t="s">
        <v>302</v>
      </c>
      <c r="B189" s="11">
        <f t="shared" si="6"/>
        <v>44131</v>
      </c>
      <c r="C189" s="19">
        <f t="shared" si="7"/>
        <v>10</v>
      </c>
      <c r="D189" s="1" t="s">
        <v>70</v>
      </c>
      <c r="E189" s="2" t="str">
        <f>VLOOKUP(D189,Clientes!A:B,2,FALSE)</f>
        <v>Amanda Souza</v>
      </c>
      <c r="F189" s="2" t="str">
        <f>VLOOKUP(D189,Clientes!A:G,4,FALSE)</f>
        <v>Rua México, 76</v>
      </c>
      <c r="G189" s="2" t="str">
        <f>VLOOKUP(D189,Clientes!A:G,5,FALSE)</f>
        <v>99687-2367</v>
      </c>
      <c r="H189" s="15">
        <v>12</v>
      </c>
      <c r="I189" s="2" t="str">
        <f>VLOOKUP(H189,Produtos!A:B,2,FALSE)</f>
        <v>Esfiha de Frango - 50 un.</v>
      </c>
      <c r="J189" s="15">
        <v>2</v>
      </c>
      <c r="K189" s="18">
        <f>VLOOKUP(H189,Produtos!A:F,6,FALSE)</f>
        <v>37</v>
      </c>
      <c r="L189" s="10">
        <f t="shared" si="8"/>
        <v>74</v>
      </c>
    </row>
    <row r="190" spans="1:12" x14ac:dyDescent="0.25">
      <c r="A190" s="1" t="s">
        <v>303</v>
      </c>
      <c r="B190" s="11">
        <f t="shared" si="6"/>
        <v>44133</v>
      </c>
      <c r="C190" s="19">
        <f t="shared" si="7"/>
        <v>10</v>
      </c>
      <c r="D190" s="1" t="s">
        <v>71</v>
      </c>
      <c r="E190" s="2" t="str">
        <f>VLOOKUP(D190,Clientes!A:B,2,FALSE)</f>
        <v>Alice Silva</v>
      </c>
      <c r="F190" s="2" t="str">
        <f>VLOOKUP(D190,Clientes!A:G,4,FALSE)</f>
        <v>Rua Pernambucanos, 31</v>
      </c>
      <c r="G190" s="2" t="str">
        <f>VLOOKUP(D190,Clientes!A:G,5,FALSE)</f>
        <v>99687-2368</v>
      </c>
      <c r="H190" s="15">
        <v>9</v>
      </c>
      <c r="I190" s="2" t="str">
        <f>VLOOKUP(H190,Produtos!A:B,2,FALSE)</f>
        <v>Esfiha de Carne - 100 un.</v>
      </c>
      <c r="J190" s="15">
        <v>4</v>
      </c>
      <c r="K190" s="18">
        <f>VLOOKUP(H190,Produtos!A:F,6,FALSE)</f>
        <v>50.400000000000006</v>
      </c>
      <c r="L190" s="10">
        <f t="shared" si="8"/>
        <v>201.60000000000002</v>
      </c>
    </row>
    <row r="191" spans="1:12" x14ac:dyDescent="0.25">
      <c r="A191" s="1" t="s">
        <v>304</v>
      </c>
      <c r="B191" s="11">
        <f t="shared" si="6"/>
        <v>44135</v>
      </c>
      <c r="C191" s="19">
        <f t="shared" si="7"/>
        <v>10</v>
      </c>
      <c r="D191" s="1" t="s">
        <v>71</v>
      </c>
      <c r="E191" s="2" t="str">
        <f>VLOOKUP(D191,Clientes!A:B,2,FALSE)</f>
        <v>Alice Silva</v>
      </c>
      <c r="F191" s="2" t="str">
        <f>VLOOKUP(D191,Clientes!A:G,4,FALSE)</f>
        <v>Rua Pernambucanos, 31</v>
      </c>
      <c r="G191" s="2" t="str">
        <f>VLOOKUP(D191,Clientes!A:G,5,FALSE)</f>
        <v>99687-2368</v>
      </c>
      <c r="H191" s="15">
        <v>4</v>
      </c>
      <c r="I191" s="2" t="str">
        <f>VLOOKUP(H191,Produtos!A:B,2,FALSE)</f>
        <v>Coxinha de Carne - 50 un.</v>
      </c>
      <c r="J191" s="15">
        <v>4</v>
      </c>
      <c r="K191" s="18">
        <f>VLOOKUP(H191,Produtos!A:F,6,FALSE)</f>
        <v>27.75</v>
      </c>
      <c r="L191" s="10">
        <f t="shared" si="8"/>
        <v>111</v>
      </c>
    </row>
    <row r="192" spans="1:12" x14ac:dyDescent="0.25">
      <c r="A192" s="1" t="s">
        <v>305</v>
      </c>
      <c r="B192" s="11">
        <f t="shared" si="6"/>
        <v>44137</v>
      </c>
      <c r="C192" s="19">
        <f t="shared" si="7"/>
        <v>11</v>
      </c>
      <c r="D192" s="1" t="s">
        <v>59</v>
      </c>
      <c r="E192" s="2" t="str">
        <f>VLOOKUP(D192,Clientes!A:B,2,FALSE)</f>
        <v>Ronaldo Leite</v>
      </c>
      <c r="F192" s="2" t="str">
        <f>VLOOKUP(D192,Clientes!A:G,4,FALSE)</f>
        <v>Rua julia caseiro, 135</v>
      </c>
      <c r="G192" s="2" t="str">
        <f>VLOOKUP(D192,Clientes!A:G,5,FALSE)</f>
        <v>99687-2356</v>
      </c>
      <c r="H192" s="15">
        <v>6</v>
      </c>
      <c r="I192" s="2" t="str">
        <f>VLOOKUP(H192,Produtos!A:B,2,FALSE)</f>
        <v>Mini quibe 50 - un.</v>
      </c>
      <c r="J192" s="15">
        <v>3</v>
      </c>
      <c r="K192" s="18">
        <f>VLOOKUP(H192,Produtos!A:F,6,FALSE)</f>
        <v>27.75</v>
      </c>
      <c r="L192" s="10">
        <f t="shared" si="8"/>
        <v>83.25</v>
      </c>
    </row>
    <row r="193" spans="1:12" x14ac:dyDescent="0.25">
      <c r="A193" s="1" t="s">
        <v>306</v>
      </c>
      <c r="B193" s="11">
        <f t="shared" si="6"/>
        <v>44139</v>
      </c>
      <c r="C193" s="19">
        <f t="shared" si="7"/>
        <v>11</v>
      </c>
      <c r="D193" s="1" t="s">
        <v>60</v>
      </c>
      <c r="E193" s="2" t="str">
        <f>VLOOKUP(D193,Clientes!A:B,2,FALSE)</f>
        <v>Gilvan Souza</v>
      </c>
      <c r="F193" s="2" t="str">
        <f>VLOOKUP(D193,Clientes!A:G,4,FALSE)</f>
        <v>Rua 7 de setembro, 167</v>
      </c>
      <c r="G193" s="2" t="str">
        <f>VLOOKUP(D193,Clientes!A:G,5,FALSE)</f>
        <v>98187-2357</v>
      </c>
      <c r="H193" s="15">
        <v>1</v>
      </c>
      <c r="I193" s="2" t="str">
        <f>VLOOKUP(H193,Produtos!A:B,2,FALSE)</f>
        <v>Coxinha de Frango - 100 un.</v>
      </c>
      <c r="J193" s="15">
        <v>3</v>
      </c>
      <c r="K193" s="18">
        <f>VLOOKUP(H193,Produtos!A:F,6,FALSE)</f>
        <v>45</v>
      </c>
      <c r="L193" s="10">
        <f t="shared" si="8"/>
        <v>135</v>
      </c>
    </row>
    <row r="194" spans="1:12" x14ac:dyDescent="0.25">
      <c r="A194" s="1" t="s">
        <v>307</v>
      </c>
      <c r="B194" s="11">
        <f t="shared" ref="B194:B221" si="9">B193+2</f>
        <v>44141</v>
      </c>
      <c r="C194" s="19">
        <f t="shared" si="7"/>
        <v>11</v>
      </c>
      <c r="D194" s="1" t="s">
        <v>61</v>
      </c>
      <c r="E194" s="2" t="str">
        <f>VLOOKUP(D194,Clientes!A:B,2,FALSE)</f>
        <v>Pedro Silva</v>
      </c>
      <c r="F194" s="2" t="str">
        <f>VLOOKUP(D194,Clientes!A:G,4,FALSE)</f>
        <v>Rua Pedro Cabral, 89</v>
      </c>
      <c r="G194" s="2" t="str">
        <f>VLOOKUP(D194,Clientes!A:G,5,FALSE)</f>
        <v>99687-2358</v>
      </c>
      <c r="H194" s="15">
        <v>16</v>
      </c>
      <c r="I194" s="2" t="str">
        <f>VLOOKUP(H194,Produtos!A:B,2,FALSE)</f>
        <v>Brigadeiro 50 un.</v>
      </c>
      <c r="J194" s="15">
        <v>2</v>
      </c>
      <c r="K194" s="18">
        <f>VLOOKUP(H194,Produtos!A:F,6,FALSE)</f>
        <v>25.200000000000003</v>
      </c>
      <c r="L194" s="10">
        <f t="shared" si="8"/>
        <v>50.400000000000006</v>
      </c>
    </row>
    <row r="195" spans="1:12" x14ac:dyDescent="0.25">
      <c r="A195" s="1" t="s">
        <v>308</v>
      </c>
      <c r="B195" s="11">
        <f t="shared" si="9"/>
        <v>44143</v>
      </c>
      <c r="C195" s="19">
        <f t="shared" si="7"/>
        <v>11</v>
      </c>
      <c r="D195" s="1" t="s">
        <v>71</v>
      </c>
      <c r="E195" s="2" t="str">
        <f>VLOOKUP(D195,Clientes!A:B,2,FALSE)</f>
        <v>Alice Silva</v>
      </c>
      <c r="F195" s="2" t="str">
        <f>VLOOKUP(D195,Clientes!A:G,4,FALSE)</f>
        <v>Rua Pernambucanos, 31</v>
      </c>
      <c r="G195" s="2" t="str">
        <f>VLOOKUP(D195,Clientes!A:G,5,FALSE)</f>
        <v>99687-2368</v>
      </c>
      <c r="H195" s="15">
        <v>13</v>
      </c>
      <c r="I195" s="2" t="str">
        <f>VLOOKUP(H195,Produtos!A:B,2,FALSE)</f>
        <v>Coca-Cola 2L - 2 un.</v>
      </c>
      <c r="J195" s="15">
        <v>2</v>
      </c>
      <c r="K195" s="18">
        <f>VLOOKUP(H195,Produtos!A:F,6,FALSE)</f>
        <v>21</v>
      </c>
      <c r="L195" s="10">
        <f t="shared" si="8"/>
        <v>42</v>
      </c>
    </row>
    <row r="196" spans="1:12" x14ac:dyDescent="0.25">
      <c r="A196" s="1" t="s">
        <v>309</v>
      </c>
      <c r="B196" s="11">
        <f t="shared" si="9"/>
        <v>44145</v>
      </c>
      <c r="C196" s="19">
        <f t="shared" si="7"/>
        <v>11</v>
      </c>
      <c r="D196" s="1" t="s">
        <v>69</v>
      </c>
      <c r="E196" s="2" t="str">
        <f>VLOOKUP(D196,Clientes!A:B,2,FALSE)</f>
        <v>Alexandre Souza</v>
      </c>
      <c r="F196" s="2" t="str">
        <f>VLOOKUP(D196,Clientes!A:G,4,FALSE)</f>
        <v>Rua São Simao, 43</v>
      </c>
      <c r="G196" s="2" t="str">
        <f>VLOOKUP(D196,Clientes!A:G,5,FALSE)</f>
        <v>99687-2366</v>
      </c>
      <c r="H196" s="15">
        <v>15</v>
      </c>
      <c r="I196" s="2" t="str">
        <f>VLOOKUP(H196,Produtos!A:B,2,FALSE)</f>
        <v>Brigadeiro 100 un.</v>
      </c>
      <c r="J196" s="15">
        <v>2</v>
      </c>
      <c r="K196" s="18">
        <f>VLOOKUP(H196,Produtos!A:F,6,FALSE)</f>
        <v>40</v>
      </c>
      <c r="L196" s="10">
        <f t="shared" si="8"/>
        <v>80</v>
      </c>
    </row>
    <row r="197" spans="1:12" x14ac:dyDescent="0.25">
      <c r="A197" s="1" t="s">
        <v>310</v>
      </c>
      <c r="B197" s="11">
        <f t="shared" si="9"/>
        <v>44147</v>
      </c>
      <c r="C197" s="19">
        <f t="shared" si="7"/>
        <v>11</v>
      </c>
      <c r="D197" s="1" t="s">
        <v>70</v>
      </c>
      <c r="E197" s="2" t="str">
        <f>VLOOKUP(D197,Clientes!A:B,2,FALSE)</f>
        <v>Amanda Souza</v>
      </c>
      <c r="F197" s="2" t="str">
        <f>VLOOKUP(D197,Clientes!A:G,4,FALSE)</f>
        <v>Rua México, 76</v>
      </c>
      <c r="G197" s="2" t="str">
        <f>VLOOKUP(D197,Clientes!A:G,5,FALSE)</f>
        <v>99687-2367</v>
      </c>
      <c r="H197" s="15">
        <v>13</v>
      </c>
      <c r="I197" s="2" t="str">
        <f>VLOOKUP(H197,Produtos!A:B,2,FALSE)</f>
        <v>Coca-Cola 2L - 2 un.</v>
      </c>
      <c r="J197" s="15">
        <v>1</v>
      </c>
      <c r="K197" s="18">
        <f>VLOOKUP(H197,Produtos!A:F,6,FALSE)</f>
        <v>21</v>
      </c>
      <c r="L197" s="10">
        <f t="shared" si="8"/>
        <v>21</v>
      </c>
    </row>
    <row r="198" spans="1:12" x14ac:dyDescent="0.25">
      <c r="A198" s="1" t="s">
        <v>311</v>
      </c>
      <c r="B198" s="11">
        <f t="shared" si="9"/>
        <v>44149</v>
      </c>
      <c r="C198" s="19">
        <f t="shared" si="7"/>
        <v>11</v>
      </c>
      <c r="D198" s="1" t="s">
        <v>71</v>
      </c>
      <c r="E198" s="2" t="str">
        <f>VLOOKUP(D198,Clientes!A:B,2,FALSE)</f>
        <v>Alice Silva</v>
      </c>
      <c r="F198" s="2" t="str">
        <f>VLOOKUP(D198,Clientes!A:G,4,FALSE)</f>
        <v>Rua Pernambucanos, 31</v>
      </c>
      <c r="G198" s="2" t="str">
        <f>VLOOKUP(D198,Clientes!A:G,5,FALSE)</f>
        <v>99687-2368</v>
      </c>
      <c r="H198" s="15">
        <v>1</v>
      </c>
      <c r="I198" s="2" t="str">
        <f>VLOOKUP(H198,Produtos!A:B,2,FALSE)</f>
        <v>Coxinha de Frango - 100 un.</v>
      </c>
      <c r="J198" s="15">
        <v>4</v>
      </c>
      <c r="K198" s="18">
        <f>VLOOKUP(H198,Produtos!A:F,6,FALSE)</f>
        <v>45</v>
      </c>
      <c r="L198" s="10">
        <f t="shared" si="8"/>
        <v>180</v>
      </c>
    </row>
    <row r="199" spans="1:12" x14ac:dyDescent="0.25">
      <c r="A199" s="1" t="s">
        <v>312</v>
      </c>
      <c r="B199" s="11">
        <f t="shared" si="9"/>
        <v>44151</v>
      </c>
      <c r="C199" s="19">
        <f t="shared" si="7"/>
        <v>11</v>
      </c>
      <c r="D199" s="1" t="s">
        <v>71</v>
      </c>
      <c r="E199" s="2" t="str">
        <f>VLOOKUP(D199,Clientes!A:B,2,FALSE)</f>
        <v>Alice Silva</v>
      </c>
      <c r="F199" s="2" t="str">
        <f>VLOOKUP(D199,Clientes!A:G,4,FALSE)</f>
        <v>Rua Pernambucanos, 31</v>
      </c>
      <c r="G199" s="2" t="str">
        <f>VLOOKUP(D199,Clientes!A:G,5,FALSE)</f>
        <v>99687-2368</v>
      </c>
      <c r="H199" s="15">
        <v>14</v>
      </c>
      <c r="I199" s="2" t="str">
        <f>VLOOKUP(H199,Produtos!A:B,2,FALSE)</f>
        <v>Guaraná 2L - 2 un.</v>
      </c>
      <c r="J199" s="15">
        <v>4</v>
      </c>
      <c r="K199" s="18">
        <f>VLOOKUP(H199,Produtos!A:F,6,FALSE)</f>
        <v>16.100000000000001</v>
      </c>
      <c r="L199" s="10">
        <f t="shared" si="8"/>
        <v>64.400000000000006</v>
      </c>
    </row>
    <row r="200" spans="1:12" x14ac:dyDescent="0.25">
      <c r="A200" s="1" t="s">
        <v>313</v>
      </c>
      <c r="B200" s="11">
        <f t="shared" si="9"/>
        <v>44153</v>
      </c>
      <c r="C200" s="19">
        <f t="shared" ref="C200:C221" si="10">MONTH(B200)</f>
        <v>11</v>
      </c>
      <c r="D200" s="1" t="s">
        <v>59</v>
      </c>
      <c r="E200" s="2" t="str">
        <f>VLOOKUP(D200,Clientes!A:B,2,FALSE)</f>
        <v>Ronaldo Leite</v>
      </c>
      <c r="F200" s="2" t="str">
        <f>VLOOKUP(D200,Clientes!A:G,4,FALSE)</f>
        <v>Rua julia caseiro, 135</v>
      </c>
      <c r="G200" s="2" t="str">
        <f>VLOOKUP(D200,Clientes!A:G,5,FALSE)</f>
        <v>99687-2356</v>
      </c>
      <c r="H200" s="15">
        <v>3</v>
      </c>
      <c r="I200" s="2" t="str">
        <f>VLOOKUP(H200,Produtos!A:B,2,FALSE)</f>
        <v>Coxinha de Carne - 100 un.</v>
      </c>
      <c r="J200" s="15">
        <v>2</v>
      </c>
      <c r="K200" s="18">
        <f>VLOOKUP(H200,Produtos!A:F,6,FALSE)</f>
        <v>45</v>
      </c>
      <c r="L200" s="10">
        <f t="shared" ref="L200:L221" si="11">K200*J200</f>
        <v>90</v>
      </c>
    </row>
    <row r="201" spans="1:12" x14ac:dyDescent="0.25">
      <c r="A201" s="1" t="s">
        <v>314</v>
      </c>
      <c r="B201" s="11">
        <f t="shared" si="9"/>
        <v>44155</v>
      </c>
      <c r="C201" s="19">
        <f t="shared" si="10"/>
        <v>11</v>
      </c>
      <c r="D201" s="1" t="s">
        <v>60</v>
      </c>
      <c r="E201" s="2" t="str">
        <f>VLOOKUP(D201,Clientes!A:B,2,FALSE)</f>
        <v>Gilvan Souza</v>
      </c>
      <c r="F201" s="2" t="str">
        <f>VLOOKUP(D201,Clientes!A:G,4,FALSE)</f>
        <v>Rua 7 de setembro, 167</v>
      </c>
      <c r="G201" s="2" t="str">
        <f>VLOOKUP(D201,Clientes!A:G,5,FALSE)</f>
        <v>98187-2357</v>
      </c>
      <c r="H201" s="15">
        <v>9</v>
      </c>
      <c r="I201" s="2" t="str">
        <f>VLOOKUP(H201,Produtos!A:B,2,FALSE)</f>
        <v>Esfiha de Carne - 100 un.</v>
      </c>
      <c r="J201" s="15">
        <v>1</v>
      </c>
      <c r="K201" s="18">
        <f>VLOOKUP(H201,Produtos!A:F,6,FALSE)</f>
        <v>50.400000000000006</v>
      </c>
      <c r="L201" s="10">
        <f t="shared" si="11"/>
        <v>50.400000000000006</v>
      </c>
    </row>
    <row r="202" spans="1:12" x14ac:dyDescent="0.25">
      <c r="A202" s="1" t="s">
        <v>315</v>
      </c>
      <c r="B202" s="11">
        <f t="shared" si="9"/>
        <v>44157</v>
      </c>
      <c r="C202" s="19">
        <f t="shared" si="10"/>
        <v>11</v>
      </c>
      <c r="D202" s="1" t="s">
        <v>61</v>
      </c>
      <c r="E202" s="2" t="str">
        <f>VLOOKUP(D202,Clientes!A:B,2,FALSE)</f>
        <v>Pedro Silva</v>
      </c>
      <c r="F202" s="2" t="str">
        <f>VLOOKUP(D202,Clientes!A:G,4,FALSE)</f>
        <v>Rua Pedro Cabral, 89</v>
      </c>
      <c r="G202" s="2" t="str">
        <f>VLOOKUP(D202,Clientes!A:G,5,FALSE)</f>
        <v>99687-2358</v>
      </c>
      <c r="H202" s="15">
        <v>14</v>
      </c>
      <c r="I202" s="2" t="str">
        <f>VLOOKUP(H202,Produtos!A:B,2,FALSE)</f>
        <v>Guaraná 2L - 2 un.</v>
      </c>
      <c r="J202" s="15">
        <v>3</v>
      </c>
      <c r="K202" s="18">
        <f>VLOOKUP(H202,Produtos!A:F,6,FALSE)</f>
        <v>16.100000000000001</v>
      </c>
      <c r="L202" s="10">
        <f t="shared" si="11"/>
        <v>48.300000000000004</v>
      </c>
    </row>
    <row r="203" spans="1:12" x14ac:dyDescent="0.25">
      <c r="A203" s="1" t="s">
        <v>316</v>
      </c>
      <c r="B203" s="11">
        <f t="shared" si="9"/>
        <v>44159</v>
      </c>
      <c r="C203" s="19">
        <f t="shared" si="10"/>
        <v>11</v>
      </c>
      <c r="D203" s="1" t="s">
        <v>62</v>
      </c>
      <c r="E203" s="2" t="str">
        <f>VLOOKUP(D203,Clientes!A:B,2,FALSE)</f>
        <v>Gabriel Lanza</v>
      </c>
      <c r="F203" s="2" t="str">
        <f>VLOOKUP(D203,Clientes!A:G,4,FALSE)</f>
        <v>Rua Japão, 98</v>
      </c>
      <c r="G203" s="2" t="str">
        <f>VLOOKUP(D203,Clientes!A:G,5,FALSE)</f>
        <v>99687-2359</v>
      </c>
      <c r="H203" s="15">
        <v>4</v>
      </c>
      <c r="I203" s="2" t="str">
        <f>VLOOKUP(H203,Produtos!A:B,2,FALSE)</f>
        <v>Coxinha de Carne - 50 un.</v>
      </c>
      <c r="J203" s="15">
        <v>1</v>
      </c>
      <c r="K203" s="18">
        <f>VLOOKUP(H203,Produtos!A:F,6,FALSE)</f>
        <v>27.75</v>
      </c>
      <c r="L203" s="10">
        <f t="shared" si="11"/>
        <v>27.75</v>
      </c>
    </row>
    <row r="204" spans="1:12" x14ac:dyDescent="0.25">
      <c r="A204" s="1" t="s">
        <v>317</v>
      </c>
      <c r="B204" s="11">
        <f t="shared" si="9"/>
        <v>44161</v>
      </c>
      <c r="C204" s="19">
        <f t="shared" si="10"/>
        <v>11</v>
      </c>
      <c r="D204" s="1" t="s">
        <v>63</v>
      </c>
      <c r="E204" s="2" t="str">
        <f>VLOOKUP(D204,Clientes!A:B,2,FALSE)</f>
        <v>Matheus Lucas</v>
      </c>
      <c r="F204" s="2" t="str">
        <f>VLOOKUP(D204,Clientes!A:G,4,FALSE)</f>
        <v>Rua São Lucas, 221</v>
      </c>
      <c r="G204" s="2" t="str">
        <f>VLOOKUP(D204,Clientes!A:G,5,FALSE)</f>
        <v>99687-2360</v>
      </c>
      <c r="H204" s="15">
        <v>5</v>
      </c>
      <c r="I204" s="2" t="str">
        <f>VLOOKUP(H204,Produtos!A:B,2,FALSE)</f>
        <v>Mini quibe 100 - un.</v>
      </c>
      <c r="J204" s="15">
        <v>2</v>
      </c>
      <c r="K204" s="18">
        <f>VLOOKUP(H204,Produtos!A:F,6,FALSE)</f>
        <v>45</v>
      </c>
      <c r="L204" s="10">
        <f t="shared" si="11"/>
        <v>90</v>
      </c>
    </row>
    <row r="205" spans="1:12" x14ac:dyDescent="0.25">
      <c r="A205" s="1" t="s">
        <v>318</v>
      </c>
      <c r="B205" s="11">
        <f t="shared" si="9"/>
        <v>44163</v>
      </c>
      <c r="C205" s="19">
        <f t="shared" si="10"/>
        <v>11</v>
      </c>
      <c r="D205" s="1" t="s">
        <v>64</v>
      </c>
      <c r="E205" s="2" t="str">
        <f>VLOOKUP(D205,Clientes!A:B,2,FALSE)</f>
        <v>Eloá Azevedo</v>
      </c>
      <c r="F205" s="2" t="str">
        <f>VLOOKUP(D205,Clientes!A:G,4,FALSE)</f>
        <v>Rua Osvaldo Cruz,131</v>
      </c>
      <c r="G205" s="2" t="str">
        <f>VLOOKUP(D205,Clientes!A:G,5,FALSE)</f>
        <v>99787-2361</v>
      </c>
      <c r="H205" s="15">
        <v>11</v>
      </c>
      <c r="I205" s="2" t="str">
        <f>VLOOKUP(H205,Produtos!A:B,2,FALSE)</f>
        <v>Esfiha de Frango - 100 un.</v>
      </c>
      <c r="J205" s="15">
        <v>1</v>
      </c>
      <c r="K205" s="18">
        <f>VLOOKUP(H205,Produtos!A:F,6,FALSE)</f>
        <v>50.400000000000006</v>
      </c>
      <c r="L205" s="10">
        <f t="shared" si="11"/>
        <v>50.400000000000006</v>
      </c>
    </row>
    <row r="206" spans="1:12" x14ac:dyDescent="0.25">
      <c r="A206" s="1" t="s">
        <v>319</v>
      </c>
      <c r="B206" s="11">
        <f t="shared" si="9"/>
        <v>44165</v>
      </c>
      <c r="C206" s="19">
        <f t="shared" si="10"/>
        <v>11</v>
      </c>
      <c r="D206" s="1" t="s">
        <v>65</v>
      </c>
      <c r="E206" s="2" t="str">
        <f>VLOOKUP(D206,Clientes!A:B,2,FALSE)</f>
        <v>João Silva</v>
      </c>
      <c r="F206" s="2" t="str">
        <f>VLOOKUP(D206,Clientes!A:G,4,FALSE)</f>
        <v>Rua Joaquim Silva, 76</v>
      </c>
      <c r="G206" s="2" t="str">
        <f>VLOOKUP(D206,Clientes!A:G,5,FALSE)</f>
        <v>99687-2362</v>
      </c>
      <c r="H206" s="15">
        <v>6</v>
      </c>
      <c r="I206" s="2" t="str">
        <f>VLOOKUP(H206,Produtos!A:B,2,FALSE)</f>
        <v>Mini quibe 50 - un.</v>
      </c>
      <c r="J206" s="15">
        <v>4</v>
      </c>
      <c r="K206" s="18">
        <f>VLOOKUP(H206,Produtos!A:F,6,FALSE)</f>
        <v>27.75</v>
      </c>
      <c r="L206" s="10">
        <f t="shared" si="11"/>
        <v>111</v>
      </c>
    </row>
    <row r="207" spans="1:12" x14ac:dyDescent="0.25">
      <c r="A207" s="1" t="s">
        <v>320</v>
      </c>
      <c r="B207" s="11">
        <f t="shared" si="9"/>
        <v>44167</v>
      </c>
      <c r="C207" s="19">
        <f t="shared" si="10"/>
        <v>12</v>
      </c>
      <c r="D207" s="1" t="s">
        <v>66</v>
      </c>
      <c r="E207" s="2" t="str">
        <f>VLOOKUP(D207,Clientes!A:B,2,FALSE)</f>
        <v>Junior Henrique</v>
      </c>
      <c r="F207" s="2" t="str">
        <f>VLOOKUP(D207,Clientes!A:G,4,FALSE)</f>
        <v>Av. das americas, 99</v>
      </c>
      <c r="G207" s="2" t="str">
        <f>VLOOKUP(D207,Clientes!A:G,5,FALSE)</f>
        <v>99687-2363</v>
      </c>
      <c r="H207" s="15">
        <v>9</v>
      </c>
      <c r="I207" s="2" t="str">
        <f>VLOOKUP(H207,Produtos!A:B,2,FALSE)</f>
        <v>Esfiha de Carne - 100 un.</v>
      </c>
      <c r="J207" s="15">
        <v>1</v>
      </c>
      <c r="K207" s="18">
        <f>VLOOKUP(H207,Produtos!A:F,6,FALSE)</f>
        <v>50.400000000000006</v>
      </c>
      <c r="L207" s="10">
        <f t="shared" si="11"/>
        <v>50.400000000000006</v>
      </c>
    </row>
    <row r="208" spans="1:12" x14ac:dyDescent="0.25">
      <c r="A208" s="1" t="s">
        <v>321</v>
      </c>
      <c r="B208" s="11">
        <f t="shared" si="9"/>
        <v>44169</v>
      </c>
      <c r="C208" s="19">
        <f t="shared" si="10"/>
        <v>12</v>
      </c>
      <c r="D208" s="1" t="s">
        <v>67</v>
      </c>
      <c r="E208" s="2" t="str">
        <f>VLOOKUP(D208,Clientes!A:B,2,FALSE)</f>
        <v>Gabriela Antunes</v>
      </c>
      <c r="F208" s="2" t="str">
        <f>VLOOKUP(D208,Clientes!A:G,4,FALSE)</f>
        <v>Rua 11 de Novembro, 55</v>
      </c>
      <c r="G208" s="2" t="str">
        <f>VLOOKUP(D208,Clientes!A:G,5,FALSE)</f>
        <v>98187-2364</v>
      </c>
      <c r="H208" s="15">
        <v>10</v>
      </c>
      <c r="I208" s="2" t="str">
        <f>VLOOKUP(H208,Produtos!A:B,2,FALSE)</f>
        <v>Esfiha de Carne - 50 un.</v>
      </c>
      <c r="J208" s="15">
        <v>1</v>
      </c>
      <c r="K208" s="18">
        <f>VLOOKUP(H208,Produtos!A:F,6,FALSE)</f>
        <v>37</v>
      </c>
      <c r="L208" s="10">
        <f t="shared" si="11"/>
        <v>37</v>
      </c>
    </row>
    <row r="209" spans="1:12" x14ac:dyDescent="0.25">
      <c r="A209" s="1" t="s">
        <v>322</v>
      </c>
      <c r="B209" s="11">
        <f t="shared" si="9"/>
        <v>44171</v>
      </c>
      <c r="C209" s="19">
        <f t="shared" si="10"/>
        <v>12</v>
      </c>
      <c r="D209" s="1" t="s">
        <v>68</v>
      </c>
      <c r="E209" s="2" t="str">
        <f>VLOOKUP(D209,Clientes!A:B,2,FALSE)</f>
        <v>Paulo Cesar</v>
      </c>
      <c r="F209" s="2" t="str">
        <f>VLOOKUP(D209,Clientes!A:G,4,FALSE)</f>
        <v>Rua Joao emilio, 13</v>
      </c>
      <c r="G209" s="2" t="str">
        <f>VLOOKUP(D209,Clientes!A:G,5,FALSE)</f>
        <v>99687-2365</v>
      </c>
      <c r="H209" s="15">
        <v>4</v>
      </c>
      <c r="I209" s="2" t="str">
        <f>VLOOKUP(H209,Produtos!A:B,2,FALSE)</f>
        <v>Coxinha de Carne - 50 un.</v>
      </c>
      <c r="J209" s="15">
        <v>3</v>
      </c>
      <c r="K209" s="18">
        <f>VLOOKUP(H209,Produtos!A:F,6,FALSE)</f>
        <v>27.75</v>
      </c>
      <c r="L209" s="10">
        <f t="shared" si="11"/>
        <v>83.25</v>
      </c>
    </row>
    <row r="210" spans="1:12" x14ac:dyDescent="0.25">
      <c r="A210" s="1" t="s">
        <v>323</v>
      </c>
      <c r="B210" s="11">
        <f t="shared" si="9"/>
        <v>44173</v>
      </c>
      <c r="C210" s="19">
        <f t="shared" si="10"/>
        <v>12</v>
      </c>
      <c r="D210" s="1" t="s">
        <v>69</v>
      </c>
      <c r="E210" s="2" t="str">
        <f>VLOOKUP(D210,Clientes!A:B,2,FALSE)</f>
        <v>Alexandre Souza</v>
      </c>
      <c r="F210" s="2" t="str">
        <f>VLOOKUP(D210,Clientes!A:G,4,FALSE)</f>
        <v>Rua São Simao, 43</v>
      </c>
      <c r="G210" s="2" t="str">
        <f>VLOOKUP(D210,Clientes!A:G,5,FALSE)</f>
        <v>99687-2366</v>
      </c>
      <c r="H210" s="15">
        <v>9</v>
      </c>
      <c r="I210" s="2" t="str">
        <f>VLOOKUP(H210,Produtos!A:B,2,FALSE)</f>
        <v>Esfiha de Carne - 100 un.</v>
      </c>
      <c r="J210" s="15">
        <v>4</v>
      </c>
      <c r="K210" s="18">
        <f>VLOOKUP(H210,Produtos!A:F,6,FALSE)</f>
        <v>50.400000000000006</v>
      </c>
      <c r="L210" s="10">
        <f t="shared" si="11"/>
        <v>201.60000000000002</v>
      </c>
    </row>
    <row r="211" spans="1:12" x14ac:dyDescent="0.25">
      <c r="A211" s="1" t="s">
        <v>324</v>
      </c>
      <c r="B211" s="11">
        <f t="shared" si="9"/>
        <v>44175</v>
      </c>
      <c r="C211" s="19">
        <f t="shared" si="10"/>
        <v>12</v>
      </c>
      <c r="D211" s="1" t="s">
        <v>70</v>
      </c>
      <c r="E211" s="2" t="str">
        <f>VLOOKUP(D211,Clientes!A:B,2,FALSE)</f>
        <v>Amanda Souza</v>
      </c>
      <c r="F211" s="2" t="str">
        <f>VLOOKUP(D211,Clientes!A:G,4,FALSE)</f>
        <v>Rua México, 76</v>
      </c>
      <c r="G211" s="2" t="str">
        <f>VLOOKUP(D211,Clientes!A:G,5,FALSE)</f>
        <v>99687-2367</v>
      </c>
      <c r="H211" s="15">
        <v>13</v>
      </c>
      <c r="I211" s="2" t="str">
        <f>VLOOKUP(H211,Produtos!A:B,2,FALSE)</f>
        <v>Coca-Cola 2L - 2 un.</v>
      </c>
      <c r="J211" s="15">
        <v>3</v>
      </c>
      <c r="K211" s="18">
        <f>VLOOKUP(H211,Produtos!A:F,6,FALSE)</f>
        <v>21</v>
      </c>
      <c r="L211" s="10">
        <f t="shared" si="11"/>
        <v>63</v>
      </c>
    </row>
    <row r="212" spans="1:12" x14ac:dyDescent="0.25">
      <c r="A212" s="1" t="s">
        <v>325</v>
      </c>
      <c r="B212" s="11">
        <f t="shared" si="9"/>
        <v>44177</v>
      </c>
      <c r="C212" s="19">
        <f t="shared" si="10"/>
        <v>12</v>
      </c>
      <c r="D212" s="1" t="s">
        <v>71</v>
      </c>
      <c r="E212" s="2" t="str">
        <f>VLOOKUP(D212,Clientes!A:B,2,FALSE)</f>
        <v>Alice Silva</v>
      </c>
      <c r="F212" s="2" t="str">
        <f>VLOOKUP(D212,Clientes!A:G,4,FALSE)</f>
        <v>Rua Pernambucanos, 31</v>
      </c>
      <c r="G212" s="2" t="str">
        <f>VLOOKUP(D212,Clientes!A:G,5,FALSE)</f>
        <v>99687-2368</v>
      </c>
      <c r="H212" s="15">
        <v>18</v>
      </c>
      <c r="I212" s="2" t="str">
        <f>VLOOKUP(H212,Produtos!A:B,2,FALSE)</f>
        <v>Beijinho 50 un.</v>
      </c>
      <c r="J212" s="15">
        <v>1</v>
      </c>
      <c r="K212" s="18">
        <f>VLOOKUP(H212,Produtos!A:F,6,FALSE)</f>
        <v>25.200000000000003</v>
      </c>
      <c r="L212" s="10">
        <f t="shared" si="11"/>
        <v>25.200000000000003</v>
      </c>
    </row>
    <row r="213" spans="1:12" x14ac:dyDescent="0.25">
      <c r="A213" s="1" t="s">
        <v>326</v>
      </c>
      <c r="B213" s="11">
        <f t="shared" si="9"/>
        <v>44179</v>
      </c>
      <c r="C213" s="19">
        <f t="shared" si="10"/>
        <v>12</v>
      </c>
      <c r="D213" s="1" t="s">
        <v>69</v>
      </c>
      <c r="E213" s="2" t="str">
        <f>VLOOKUP(D213,Clientes!A:B,2,FALSE)</f>
        <v>Alexandre Souza</v>
      </c>
      <c r="F213" s="2" t="str">
        <f>VLOOKUP(D213,Clientes!A:G,4,FALSE)</f>
        <v>Rua São Simao, 43</v>
      </c>
      <c r="G213" s="2" t="str">
        <f>VLOOKUP(D213,Clientes!A:G,5,FALSE)</f>
        <v>99687-2366</v>
      </c>
      <c r="H213" s="15">
        <v>13</v>
      </c>
      <c r="I213" s="2" t="str">
        <f>VLOOKUP(H213,Produtos!A:B,2,FALSE)</f>
        <v>Coca-Cola 2L - 2 un.</v>
      </c>
      <c r="J213" s="15">
        <v>1</v>
      </c>
      <c r="K213" s="18">
        <f>VLOOKUP(H213,Produtos!A:F,6,FALSE)</f>
        <v>21</v>
      </c>
      <c r="L213" s="10">
        <f t="shared" si="11"/>
        <v>21</v>
      </c>
    </row>
    <row r="214" spans="1:12" x14ac:dyDescent="0.25">
      <c r="A214" s="1" t="s">
        <v>327</v>
      </c>
      <c r="B214" s="11">
        <f t="shared" si="9"/>
        <v>44181</v>
      </c>
      <c r="C214" s="19">
        <f t="shared" si="10"/>
        <v>12</v>
      </c>
      <c r="D214" s="1" t="s">
        <v>70</v>
      </c>
      <c r="E214" s="2" t="str">
        <f>VLOOKUP(D214,Clientes!A:B,2,FALSE)</f>
        <v>Amanda Souza</v>
      </c>
      <c r="F214" s="2" t="str">
        <f>VLOOKUP(D214,Clientes!A:G,4,FALSE)</f>
        <v>Rua México, 76</v>
      </c>
      <c r="G214" s="2" t="str">
        <f>VLOOKUP(D214,Clientes!A:G,5,FALSE)</f>
        <v>99687-2367</v>
      </c>
      <c r="H214" s="15">
        <v>18</v>
      </c>
      <c r="I214" s="2" t="str">
        <f>VLOOKUP(H214,Produtos!A:B,2,FALSE)</f>
        <v>Beijinho 50 un.</v>
      </c>
      <c r="J214" s="15">
        <v>2</v>
      </c>
      <c r="K214" s="18">
        <f>VLOOKUP(H214,Produtos!A:F,6,FALSE)</f>
        <v>25.200000000000003</v>
      </c>
      <c r="L214" s="10">
        <f t="shared" si="11"/>
        <v>50.400000000000006</v>
      </c>
    </row>
    <row r="215" spans="1:12" x14ac:dyDescent="0.25">
      <c r="A215" s="1" t="s">
        <v>328</v>
      </c>
      <c r="B215" s="11">
        <f t="shared" si="9"/>
        <v>44183</v>
      </c>
      <c r="C215" s="19">
        <f t="shared" si="10"/>
        <v>12</v>
      </c>
      <c r="D215" s="1" t="s">
        <v>71</v>
      </c>
      <c r="E215" s="2" t="str">
        <f>VLOOKUP(D215,Clientes!A:B,2,FALSE)</f>
        <v>Alice Silva</v>
      </c>
      <c r="F215" s="2" t="str">
        <f>VLOOKUP(D215,Clientes!A:G,4,FALSE)</f>
        <v>Rua Pernambucanos, 31</v>
      </c>
      <c r="G215" s="2" t="str">
        <f>VLOOKUP(D215,Clientes!A:G,5,FALSE)</f>
        <v>99687-2368</v>
      </c>
      <c r="H215" s="15">
        <v>13</v>
      </c>
      <c r="I215" s="2" t="str">
        <f>VLOOKUP(H215,Produtos!A:B,2,FALSE)</f>
        <v>Coca-Cola 2L - 2 un.</v>
      </c>
      <c r="J215" s="15">
        <v>4</v>
      </c>
      <c r="K215" s="18">
        <f>VLOOKUP(H215,Produtos!A:F,6,FALSE)</f>
        <v>21</v>
      </c>
      <c r="L215" s="10">
        <f t="shared" si="11"/>
        <v>84</v>
      </c>
    </row>
    <row r="216" spans="1:12" x14ac:dyDescent="0.25">
      <c r="A216" s="1" t="s">
        <v>329</v>
      </c>
      <c r="B216" s="11">
        <f>B215+2</f>
        <v>44185</v>
      </c>
      <c r="C216" s="19">
        <f t="shared" si="10"/>
        <v>12</v>
      </c>
      <c r="D216" s="1" t="s">
        <v>71</v>
      </c>
      <c r="E216" s="2" t="str">
        <f>VLOOKUP(D216,Clientes!A:B,2,FALSE)</f>
        <v>Alice Silva</v>
      </c>
      <c r="F216" s="2" t="str">
        <f>VLOOKUP(D216,Clientes!A:G,4,FALSE)</f>
        <v>Rua Pernambucanos, 31</v>
      </c>
      <c r="G216" s="2" t="str">
        <f>VLOOKUP(D216,Clientes!A:G,5,FALSE)</f>
        <v>99687-2368</v>
      </c>
      <c r="H216" s="15">
        <v>16</v>
      </c>
      <c r="I216" s="2" t="str">
        <f>VLOOKUP(H216,Produtos!A:B,2,FALSE)</f>
        <v>Brigadeiro 50 un.</v>
      </c>
      <c r="J216" s="15">
        <v>1</v>
      </c>
      <c r="K216" s="18">
        <f>VLOOKUP(H216,Produtos!A:F,6,FALSE)</f>
        <v>25.200000000000003</v>
      </c>
      <c r="L216" s="10">
        <f t="shared" si="11"/>
        <v>25.200000000000003</v>
      </c>
    </row>
    <row r="217" spans="1:12" x14ac:dyDescent="0.25">
      <c r="A217" s="1" t="s">
        <v>330</v>
      </c>
      <c r="B217" s="11">
        <f t="shared" si="9"/>
        <v>44187</v>
      </c>
      <c r="C217" s="19">
        <f t="shared" si="10"/>
        <v>12</v>
      </c>
      <c r="D217" s="1" t="s">
        <v>59</v>
      </c>
      <c r="E217" s="2" t="str">
        <f>VLOOKUP(D217,Clientes!A:B,2,FALSE)</f>
        <v>Ronaldo Leite</v>
      </c>
      <c r="F217" s="2" t="str">
        <f>VLOOKUP(D217,Clientes!A:G,4,FALSE)</f>
        <v>Rua julia caseiro, 135</v>
      </c>
      <c r="G217" s="2" t="str">
        <f>VLOOKUP(D217,Clientes!A:G,5,FALSE)</f>
        <v>99687-2356</v>
      </c>
      <c r="H217" s="15">
        <v>4</v>
      </c>
      <c r="I217" s="2" t="str">
        <f>VLOOKUP(H217,Produtos!A:B,2,FALSE)</f>
        <v>Coxinha de Carne - 50 un.</v>
      </c>
      <c r="J217" s="15">
        <v>4</v>
      </c>
      <c r="K217" s="18">
        <f>VLOOKUP(H217,Produtos!A:F,6,FALSE)</f>
        <v>27.75</v>
      </c>
      <c r="L217" s="10">
        <f t="shared" si="11"/>
        <v>111</v>
      </c>
    </row>
    <row r="218" spans="1:12" x14ac:dyDescent="0.25">
      <c r="A218" s="1" t="s">
        <v>331</v>
      </c>
      <c r="B218" s="11">
        <f t="shared" si="9"/>
        <v>44189</v>
      </c>
      <c r="C218" s="19">
        <f t="shared" si="10"/>
        <v>12</v>
      </c>
      <c r="D218" s="1" t="s">
        <v>60</v>
      </c>
      <c r="E218" s="2" t="str">
        <f>VLOOKUP(D218,Clientes!A:B,2,FALSE)</f>
        <v>Gilvan Souza</v>
      </c>
      <c r="F218" s="2" t="str">
        <f>VLOOKUP(D218,Clientes!A:G,4,FALSE)</f>
        <v>Rua 7 de setembro, 167</v>
      </c>
      <c r="G218" s="2" t="str">
        <f>VLOOKUP(D218,Clientes!A:G,5,FALSE)</f>
        <v>98187-2357</v>
      </c>
      <c r="H218" s="15">
        <v>18</v>
      </c>
      <c r="I218" s="2" t="str">
        <f>VLOOKUP(H218,Produtos!A:B,2,FALSE)</f>
        <v>Beijinho 50 un.</v>
      </c>
      <c r="J218" s="15">
        <v>2</v>
      </c>
      <c r="K218" s="18">
        <f>VLOOKUP(H218,Produtos!A:F,6,FALSE)</f>
        <v>25.200000000000003</v>
      </c>
      <c r="L218" s="10">
        <f t="shared" si="11"/>
        <v>50.400000000000006</v>
      </c>
    </row>
    <row r="219" spans="1:12" x14ac:dyDescent="0.25">
      <c r="A219" s="1" t="s">
        <v>332</v>
      </c>
      <c r="B219" s="11">
        <f t="shared" si="9"/>
        <v>44191</v>
      </c>
      <c r="C219" s="19">
        <f t="shared" si="10"/>
        <v>12</v>
      </c>
      <c r="D219" s="1" t="s">
        <v>61</v>
      </c>
      <c r="E219" s="2" t="str">
        <f>VLOOKUP(D219,Clientes!A:B,2,FALSE)</f>
        <v>Pedro Silva</v>
      </c>
      <c r="F219" s="2" t="str">
        <f>VLOOKUP(D219,Clientes!A:G,4,FALSE)</f>
        <v>Rua Pedro Cabral, 89</v>
      </c>
      <c r="G219" s="2" t="str">
        <f>VLOOKUP(D219,Clientes!A:G,5,FALSE)</f>
        <v>99687-2358</v>
      </c>
      <c r="H219" s="15">
        <v>8</v>
      </c>
      <c r="I219" s="2" t="str">
        <f>VLOOKUP(H219,Produtos!A:B,2,FALSE)</f>
        <v>Enroladinho  Salsicha -  50 un.</v>
      </c>
      <c r="J219" s="15">
        <v>1</v>
      </c>
      <c r="K219" s="18">
        <f>VLOOKUP(H219,Produtos!A:F,6,FALSE)</f>
        <v>46.25</v>
      </c>
      <c r="L219" s="10">
        <f t="shared" si="11"/>
        <v>46.25</v>
      </c>
    </row>
    <row r="220" spans="1:12" x14ac:dyDescent="0.25">
      <c r="A220" s="1" t="s">
        <v>333</v>
      </c>
      <c r="B220" s="11">
        <f t="shared" si="9"/>
        <v>44193</v>
      </c>
      <c r="C220" s="19">
        <f t="shared" si="10"/>
        <v>12</v>
      </c>
      <c r="D220" s="1" t="s">
        <v>71</v>
      </c>
      <c r="E220" s="2" t="str">
        <f>VLOOKUP(D220,Clientes!A:B,2,FALSE)</f>
        <v>Alice Silva</v>
      </c>
      <c r="F220" s="2" t="str">
        <f>VLOOKUP(D220,Clientes!A:G,4,FALSE)</f>
        <v>Rua Pernambucanos, 31</v>
      </c>
      <c r="G220" s="2" t="str">
        <f>VLOOKUP(D220,Clientes!A:G,5,FALSE)</f>
        <v>99687-2368</v>
      </c>
      <c r="H220" s="15">
        <v>18</v>
      </c>
      <c r="I220" s="2" t="str">
        <f>VLOOKUP(H220,Produtos!A:B,2,FALSE)</f>
        <v>Beijinho 50 un.</v>
      </c>
      <c r="J220" s="15">
        <v>3</v>
      </c>
      <c r="K220" s="18">
        <f>VLOOKUP(H220,Produtos!A:F,6,FALSE)</f>
        <v>25.200000000000003</v>
      </c>
      <c r="L220" s="10">
        <f t="shared" si="11"/>
        <v>75.600000000000009</v>
      </c>
    </row>
    <row r="221" spans="1:12" x14ac:dyDescent="0.25">
      <c r="A221" s="1" t="s">
        <v>334</v>
      </c>
      <c r="B221" s="11">
        <f t="shared" si="9"/>
        <v>44195</v>
      </c>
      <c r="C221" s="19">
        <f t="shared" si="10"/>
        <v>12</v>
      </c>
      <c r="D221" s="1" t="s">
        <v>69</v>
      </c>
      <c r="E221" s="2" t="str">
        <f>VLOOKUP(D221,Clientes!A:B,2,FALSE)</f>
        <v>Alexandre Souza</v>
      </c>
      <c r="F221" s="2" t="str">
        <f>VLOOKUP(D221,Clientes!A:G,4,FALSE)</f>
        <v>Rua São Simao, 43</v>
      </c>
      <c r="G221" s="2" t="str">
        <f>VLOOKUP(D221,Clientes!A:G,5,FALSE)</f>
        <v>99687-2366</v>
      </c>
      <c r="H221" s="15">
        <v>3</v>
      </c>
      <c r="I221" s="2" t="str">
        <f>VLOOKUP(H221,Produtos!A:B,2,FALSE)</f>
        <v>Coxinha de Carne - 100 un.</v>
      </c>
      <c r="J221" s="15">
        <v>4</v>
      </c>
      <c r="K221" s="18">
        <f>VLOOKUP(H221,Produtos!A:F,6,FALSE)</f>
        <v>45</v>
      </c>
      <c r="L221" s="10">
        <f t="shared" si="11"/>
        <v>180</v>
      </c>
    </row>
    <row r="222" spans="1:12" x14ac:dyDescent="0.25">
      <c r="C222"/>
      <c r="D222"/>
      <c r="J222"/>
      <c r="K222"/>
    </row>
    <row r="223" spans="1:12" x14ac:dyDescent="0.25">
      <c r="C223"/>
      <c r="D223"/>
      <c r="J223"/>
      <c r="K223"/>
    </row>
    <row r="224" spans="1:12" x14ac:dyDescent="0.25">
      <c r="I224" s="12"/>
      <c r="J224" s="16"/>
      <c r="K224"/>
    </row>
    <row r="225" spans="9:11" x14ac:dyDescent="0.25">
      <c r="I225" s="12"/>
      <c r="J225" s="16"/>
      <c r="K225"/>
    </row>
    <row r="226" spans="9:11" x14ac:dyDescent="0.25">
      <c r="I226" s="12"/>
      <c r="J226" s="16"/>
      <c r="K226"/>
    </row>
    <row r="227" spans="9:11" x14ac:dyDescent="0.25">
      <c r="I227" s="12"/>
      <c r="J227" s="16"/>
      <c r="K227"/>
    </row>
    <row r="228" spans="9:11" x14ac:dyDescent="0.25">
      <c r="I228" s="12"/>
      <c r="J228" s="16"/>
      <c r="K228"/>
    </row>
    <row r="229" spans="9:11" x14ac:dyDescent="0.25">
      <c r="I229" s="12"/>
      <c r="J229" s="16"/>
      <c r="K229"/>
    </row>
    <row r="230" spans="9:11" x14ac:dyDescent="0.25">
      <c r="I230" s="12"/>
      <c r="J230" s="16"/>
      <c r="K230"/>
    </row>
    <row r="231" spans="9:11" x14ac:dyDescent="0.25">
      <c r="I231" s="12"/>
      <c r="J231" s="16"/>
      <c r="K231"/>
    </row>
    <row r="232" spans="9:11" x14ac:dyDescent="0.25">
      <c r="I232" s="12"/>
      <c r="J232" s="16"/>
      <c r="K232"/>
    </row>
    <row r="233" spans="9:11" x14ac:dyDescent="0.25">
      <c r="I233" s="12"/>
      <c r="J233" s="16"/>
      <c r="K233"/>
    </row>
    <row r="234" spans="9:11" x14ac:dyDescent="0.25">
      <c r="I234" s="12"/>
      <c r="J234" s="16"/>
      <c r="K234"/>
    </row>
    <row r="235" spans="9:11" x14ac:dyDescent="0.25">
      <c r="I235" s="12"/>
      <c r="J235" s="16"/>
      <c r="K235"/>
    </row>
    <row r="236" spans="9:11" x14ac:dyDescent="0.25">
      <c r="I236" s="12"/>
      <c r="J236" s="16"/>
      <c r="K236"/>
    </row>
    <row r="237" spans="9:11" x14ac:dyDescent="0.25">
      <c r="I237" s="12"/>
      <c r="J237" s="16"/>
      <c r="K237"/>
    </row>
    <row r="238" spans="9:11" x14ac:dyDescent="0.25">
      <c r="I238" s="12"/>
      <c r="J238" s="16"/>
      <c r="K238"/>
    </row>
    <row r="239" spans="9:11" x14ac:dyDescent="0.25">
      <c r="I239" s="12"/>
      <c r="J239" s="16"/>
      <c r="K239"/>
    </row>
    <row r="240" spans="9:11" x14ac:dyDescent="0.25">
      <c r="I240" s="12"/>
      <c r="J240" s="16"/>
      <c r="K240"/>
    </row>
    <row r="241" spans="9:11" x14ac:dyDescent="0.25">
      <c r="I241" s="12"/>
      <c r="J241" s="16"/>
      <c r="K241"/>
    </row>
    <row r="242" spans="9:11" x14ac:dyDescent="0.25">
      <c r="I242" s="12"/>
      <c r="J242" s="16"/>
      <c r="K242"/>
    </row>
    <row r="243" spans="9:11" x14ac:dyDescent="0.25">
      <c r="I243" s="12"/>
      <c r="J243" s="16"/>
      <c r="K243"/>
    </row>
    <row r="244" spans="9:11" x14ac:dyDescent="0.25">
      <c r="I244" s="12"/>
      <c r="J244" s="16"/>
      <c r="K244"/>
    </row>
    <row r="245" spans="9:11" x14ac:dyDescent="0.25">
      <c r="I245" s="12"/>
      <c r="J245" s="16"/>
      <c r="K245"/>
    </row>
    <row r="246" spans="9:11" x14ac:dyDescent="0.25">
      <c r="I246" s="12"/>
      <c r="J246" s="16"/>
      <c r="K246"/>
    </row>
    <row r="247" spans="9:11" x14ac:dyDescent="0.25">
      <c r="I247" s="12"/>
      <c r="J247" s="16"/>
      <c r="K247"/>
    </row>
    <row r="248" spans="9:11" x14ac:dyDescent="0.25">
      <c r="I248" s="12"/>
      <c r="J248" s="16"/>
      <c r="K248"/>
    </row>
    <row r="249" spans="9:11" x14ac:dyDescent="0.25">
      <c r="I249" s="12"/>
      <c r="J249" s="16"/>
      <c r="K249"/>
    </row>
    <row r="250" spans="9:11" x14ac:dyDescent="0.25">
      <c r="I250" s="12"/>
      <c r="J250" s="16"/>
      <c r="K250"/>
    </row>
    <row r="251" spans="9:11" x14ac:dyDescent="0.25">
      <c r="I251" s="12"/>
      <c r="J251" s="16"/>
      <c r="K251"/>
    </row>
    <row r="252" spans="9:11" x14ac:dyDescent="0.25">
      <c r="I252" s="12"/>
      <c r="J252" s="16"/>
      <c r="K252"/>
    </row>
    <row r="253" spans="9:11" x14ac:dyDescent="0.25">
      <c r="I253" s="12"/>
      <c r="J253" s="16"/>
      <c r="K253"/>
    </row>
    <row r="254" spans="9:11" x14ac:dyDescent="0.25">
      <c r="I254" s="12"/>
      <c r="J254" s="16"/>
      <c r="K254"/>
    </row>
    <row r="255" spans="9:11" x14ac:dyDescent="0.25">
      <c r="I255" s="12"/>
      <c r="J255" s="16"/>
      <c r="K255"/>
    </row>
    <row r="256" spans="9:11" x14ac:dyDescent="0.25">
      <c r="I256" s="12"/>
      <c r="J256" s="16"/>
      <c r="K256"/>
    </row>
    <row r="257" spans="9:11" x14ac:dyDescent="0.25">
      <c r="I257" s="12"/>
      <c r="J257" s="16"/>
      <c r="K257"/>
    </row>
    <row r="258" spans="9:11" x14ac:dyDescent="0.25">
      <c r="I258" s="12"/>
      <c r="J258" s="16"/>
      <c r="K25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P26" sqref="P2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3" sqref="L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Início</vt:lpstr>
      <vt:lpstr>Produtos</vt:lpstr>
      <vt:lpstr>Clientes</vt:lpstr>
      <vt:lpstr>Pedidos</vt:lpstr>
      <vt:lpstr>Dashboard Produtos</vt:lpstr>
      <vt:lpstr>Dashboard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Andreta</dc:creator>
  <cp:lastModifiedBy>gabriel lanza</cp:lastModifiedBy>
  <dcterms:created xsi:type="dcterms:W3CDTF">2020-05-12T21:55:20Z</dcterms:created>
  <dcterms:modified xsi:type="dcterms:W3CDTF">2020-05-21T23:11:23Z</dcterms:modified>
</cp:coreProperties>
</file>