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updateLinks="never" codeName="ThisWorkbook"/>
  <mc:AlternateContent xmlns:mc="http://schemas.openxmlformats.org/markup-compatibility/2006">
    <mc:Choice Requires="x15">
      <x15ac:absPath xmlns:x15ac="http://schemas.microsoft.com/office/spreadsheetml/2010/11/ac" url="C:\Users\User\Desktop\"/>
    </mc:Choice>
  </mc:AlternateContent>
  <xr:revisionPtr revIDLastSave="0" documentId="13_ncr:1_{703066FD-0A81-4134-93DA-4B458C4F5C78}" xr6:coauthVersionLast="47" xr6:coauthVersionMax="47" xr10:uidLastSave="{00000000-0000-0000-0000-000000000000}"/>
  <bookViews>
    <workbookView xWindow="28680" yWindow="-120" windowWidth="29040" windowHeight="15720" tabRatio="808" xr2:uid="{00000000-000D-0000-FFFF-FFFF00000000}"/>
  </bookViews>
  <sheets>
    <sheet name="RSM" sheetId="2" r:id="rId1"/>
    <sheet name="Dashboard" sheetId="22" r:id="rId2"/>
    <sheet name="OPEX" sheetId="38" r:id="rId3"/>
    <sheet name="CAPEX" sheetId="15" r:id="rId4"/>
    <sheet name="Capital" sheetId="24" r:id="rId5"/>
    <sheet name="IS" sheetId="10" r:id="rId6"/>
    <sheet name="CF" sheetId="12" r:id="rId7"/>
    <sheet name="BS" sheetId="11" r:id="rId8"/>
    <sheet name="Financial Summary" sheetId="18" r:id="rId9"/>
  </sheets>
  <definedNames>
    <definedName name="AP_COGS_0">Dashboard!$Q$4</definedName>
    <definedName name="AP_COGS_1">Dashboard!$Q$5</definedName>
    <definedName name="AP_COGS_2">Dashboard!$Q$6</definedName>
    <definedName name="AP_COGS_3">Dashboard!$Q$7</definedName>
    <definedName name="AP_OPEX_0">Dashboard!$R$4</definedName>
    <definedName name="AP_OPEX_1">Dashboard!$R$5</definedName>
    <definedName name="AP_OPEX_2">Dashboard!$R$6</definedName>
    <definedName name="AP_OPEX_3">Dashboard!$R$7</definedName>
    <definedName name="AR_0">Dashboard!$P$4</definedName>
    <definedName name="AR_1">Dashboard!$P$5</definedName>
    <definedName name="AR_2">Dashboard!$P$6</definedName>
    <definedName name="AR_3">Dashboard!$P$7</definedName>
    <definedName name="COGS">Dashboard!$H$27:$L$29</definedName>
    <definedName name="Currency">Dashboard!$H$4</definedName>
    <definedName name="Debt_Amount">Dashboard!$V$4</definedName>
    <definedName name="Debt_Interest">Dashboard!$V$7</definedName>
    <definedName name="Debt_Start">Dashboard!$V$5</definedName>
    <definedName name="Debt_Term">Dashboard!$V$6</definedName>
    <definedName name="Fin_Years">Dashboard!$H$13:$L$13</definedName>
    <definedName name="First_Fin_Year">Dashboard!$H$5</definedName>
    <definedName name="Funding_Amounts">Dashboard!$L$4:$L$7</definedName>
    <definedName name="Funding_Dates">Dashboard!$K$4:$K$7</definedName>
    <definedName name="Funding_Names">Dashboard!$J$4:$J$7</definedName>
    <definedName name="Inventory">Dashboard!$H$7</definedName>
    <definedName name="Last_Fin_Year">Dashboard!$L$13</definedName>
    <definedName name="Launch_1">Dashboard!$G$16</definedName>
    <definedName name="Launch_2">Dashboard!$G$17</definedName>
    <definedName name="Launch_3">Dashboard!$G$18</definedName>
    <definedName name="Model_Name">RSM!#REF!</definedName>
    <definedName name="Price">Dashboard!$H$22:$L$24</definedName>
    <definedName name="Product_Names">Dashboard!$B$16:$E$18</definedName>
    <definedName name="Sales_Volume">Dashboard!$H$16:$L$18</definedName>
    <definedName name="Tax">Dashboard!$H$6</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 i="15" l="1"/>
  <c r="J17" i="15" s="1"/>
  <c r="L3" i="22" l="1"/>
  <c r="U4" i="22"/>
  <c r="Y4" i="22"/>
  <c r="P7" i="22"/>
  <c r="Q7" i="22"/>
  <c r="R7" i="22"/>
  <c r="P51" i="18"/>
  <c r="P5" i="18"/>
  <c r="C7" i="24"/>
  <c r="E33" i="24"/>
  <c r="E32" i="24"/>
  <c r="E31" i="24"/>
  <c r="E30" i="24"/>
  <c r="D11" i="10"/>
  <c r="D32" i="10" s="1"/>
  <c r="D10" i="10"/>
  <c r="D31" i="10" s="1"/>
  <c r="D9" i="10"/>
  <c r="D30" i="10" s="1"/>
  <c r="BQ20" i="12"/>
  <c r="BP20" i="12"/>
  <c r="BP21" i="12" s="1"/>
  <c r="BO20" i="12"/>
  <c r="BN20" i="12"/>
  <c r="BM20" i="12"/>
  <c r="BL20" i="12"/>
  <c r="BK20" i="12"/>
  <c r="BJ20" i="12"/>
  <c r="BI20" i="12"/>
  <c r="BH20" i="12"/>
  <c r="BH21" i="12" s="1"/>
  <c r="BG20" i="12"/>
  <c r="BF20" i="12"/>
  <c r="BE20" i="12"/>
  <c r="BD20" i="12"/>
  <c r="BC20" i="12"/>
  <c r="BB20" i="12"/>
  <c r="BA20" i="12"/>
  <c r="AZ20" i="12"/>
  <c r="AZ21" i="12" s="1"/>
  <c r="AY20" i="12"/>
  <c r="AX20" i="12"/>
  <c r="AW20" i="12"/>
  <c r="AV20" i="12"/>
  <c r="AU20" i="12"/>
  <c r="AT20" i="12"/>
  <c r="AS20" i="12"/>
  <c r="AR20" i="12"/>
  <c r="AQ20" i="12"/>
  <c r="AP20" i="12"/>
  <c r="AO20" i="12"/>
  <c r="AN20" i="12"/>
  <c r="AM20" i="12"/>
  <c r="AL20" i="12"/>
  <c r="AK20" i="12"/>
  <c r="AJ20" i="12"/>
  <c r="AI20" i="12"/>
  <c r="AH20" i="12"/>
  <c r="AG20" i="12"/>
  <c r="AF20" i="12"/>
  <c r="AE20" i="12"/>
  <c r="AD20" i="12"/>
  <c r="AC20" i="12"/>
  <c r="AB20" i="12"/>
  <c r="AA20" i="12"/>
  <c r="Z20" i="12"/>
  <c r="Y20" i="12"/>
  <c r="X20" i="12"/>
  <c r="X21" i="12" s="1"/>
  <c r="W20" i="12"/>
  <c r="V20" i="12"/>
  <c r="U20" i="12"/>
  <c r="T20" i="12"/>
  <c r="T21" i="12" s="1"/>
  <c r="S20" i="12"/>
  <c r="R20" i="12"/>
  <c r="Q20" i="12"/>
  <c r="P20" i="12"/>
  <c r="O20" i="12"/>
  <c r="N20" i="12"/>
  <c r="M20" i="12"/>
  <c r="L20" i="12"/>
  <c r="K20" i="12"/>
  <c r="BQ19" i="12"/>
  <c r="BP19" i="12"/>
  <c r="BO19" i="12"/>
  <c r="BN19" i="12"/>
  <c r="BM19" i="12"/>
  <c r="BL19" i="12"/>
  <c r="BK19" i="12"/>
  <c r="BJ19" i="12"/>
  <c r="BI19" i="12"/>
  <c r="BH19" i="12"/>
  <c r="BG19" i="12"/>
  <c r="BF19" i="12"/>
  <c r="BE19" i="12"/>
  <c r="BD19" i="12"/>
  <c r="BC19" i="12"/>
  <c r="BB19" i="12"/>
  <c r="BA19" i="12"/>
  <c r="AZ19" i="12"/>
  <c r="AY19" i="12"/>
  <c r="AX19" i="12"/>
  <c r="AW19" i="12"/>
  <c r="AV19" i="12"/>
  <c r="AU19" i="12"/>
  <c r="AT19" i="12"/>
  <c r="AS19" i="12"/>
  <c r="AR19" i="12"/>
  <c r="AQ19" i="12"/>
  <c r="AP19" i="12"/>
  <c r="AO19" i="12"/>
  <c r="AN19" i="12"/>
  <c r="AM19" i="12"/>
  <c r="AL19" i="12"/>
  <c r="AK19" i="12"/>
  <c r="AJ19" i="12"/>
  <c r="AI19" i="12"/>
  <c r="AH19" i="12"/>
  <c r="AG19" i="12"/>
  <c r="AF19" i="12"/>
  <c r="AE19" i="12"/>
  <c r="AD19" i="12"/>
  <c r="AC19" i="12"/>
  <c r="AB19" i="12"/>
  <c r="AA19" i="12"/>
  <c r="Z19" i="12"/>
  <c r="Y19" i="12"/>
  <c r="X19" i="12"/>
  <c r="W19" i="12"/>
  <c r="V19" i="12"/>
  <c r="U19" i="12"/>
  <c r="T19" i="12"/>
  <c r="S19" i="12"/>
  <c r="R19" i="12"/>
  <c r="Q19" i="12"/>
  <c r="P19" i="12"/>
  <c r="O19" i="12"/>
  <c r="N19" i="12"/>
  <c r="M19" i="12"/>
  <c r="L19" i="12"/>
  <c r="K19" i="12"/>
  <c r="BQ18" i="12"/>
  <c r="BP18" i="12"/>
  <c r="BO18" i="12"/>
  <c r="BN18" i="12"/>
  <c r="BM18" i="12"/>
  <c r="BL18" i="12"/>
  <c r="BK18" i="12"/>
  <c r="BJ18" i="12"/>
  <c r="BJ21" i="12" s="1"/>
  <c r="BI18" i="12"/>
  <c r="BH18" i="12"/>
  <c r="BG18" i="12"/>
  <c r="BF18" i="12"/>
  <c r="BE18" i="12"/>
  <c r="BE21" i="12" s="1"/>
  <c r="BD18" i="12"/>
  <c r="BC18" i="12"/>
  <c r="BB18" i="12"/>
  <c r="BB21" i="12" s="1"/>
  <c r="BA18" i="12"/>
  <c r="AZ18" i="12"/>
  <c r="AY18" i="12"/>
  <c r="AX18" i="12"/>
  <c r="AW18" i="12"/>
  <c r="AV18" i="12"/>
  <c r="AU18" i="12"/>
  <c r="AT18" i="12"/>
  <c r="AT21" i="12" s="1"/>
  <c r="AS18" i="12"/>
  <c r="AR18" i="12"/>
  <c r="AQ18" i="12"/>
  <c r="AP18" i="12"/>
  <c r="AO18" i="12"/>
  <c r="AO21" i="12" s="1"/>
  <c r="AN18" i="12"/>
  <c r="AM18" i="12"/>
  <c r="AL18" i="12"/>
  <c r="AL21" i="12" s="1"/>
  <c r="AK18" i="12"/>
  <c r="AJ18" i="12"/>
  <c r="AI18" i="12"/>
  <c r="AH18" i="12"/>
  <c r="AG18" i="12"/>
  <c r="AG21" i="12" s="1"/>
  <c r="AF18" i="12"/>
  <c r="AE18" i="12"/>
  <c r="AD18" i="12"/>
  <c r="AD21" i="12" s="1"/>
  <c r="AC18" i="12"/>
  <c r="AB18" i="12"/>
  <c r="AA18" i="12"/>
  <c r="Z18" i="12"/>
  <c r="Y18" i="12"/>
  <c r="X18" i="12"/>
  <c r="W18" i="12"/>
  <c r="V18" i="12"/>
  <c r="V21" i="12" s="1"/>
  <c r="U18" i="12"/>
  <c r="T18" i="12"/>
  <c r="S18" i="12"/>
  <c r="R18" i="12"/>
  <c r="Q18" i="12"/>
  <c r="Q21" i="12" s="1"/>
  <c r="P18" i="12"/>
  <c r="O18" i="12"/>
  <c r="N18" i="12"/>
  <c r="N21" i="12" s="1"/>
  <c r="M18" i="12"/>
  <c r="L18" i="12"/>
  <c r="K18" i="12"/>
  <c r="J20" i="12"/>
  <c r="J19" i="12"/>
  <c r="J18" i="12"/>
  <c r="BM21" i="12"/>
  <c r="AW21" i="12"/>
  <c r="AR21" i="12"/>
  <c r="AB21" i="12"/>
  <c r="Y21" i="12"/>
  <c r="L21" i="12"/>
  <c r="D20" i="12"/>
  <c r="D19" i="12"/>
  <c r="D18" i="12"/>
  <c r="H21" i="22"/>
  <c r="P21" i="12" l="1"/>
  <c r="AF21" i="12"/>
  <c r="AN21" i="12"/>
  <c r="AV21" i="12"/>
  <c r="BD21" i="12"/>
  <c r="BL21" i="12"/>
  <c r="AJ21" i="12"/>
  <c r="R21" i="12"/>
  <c r="Z21" i="12"/>
  <c r="AH21" i="12"/>
  <c r="AP21" i="12"/>
  <c r="AX21" i="12"/>
  <c r="BF21" i="12"/>
  <c r="BN21" i="12"/>
  <c r="S21" i="12"/>
  <c r="AA21" i="12"/>
  <c r="AI21" i="12"/>
  <c r="AQ21" i="12"/>
  <c r="AY21" i="12"/>
  <c r="BG21" i="12"/>
  <c r="BO21" i="12"/>
  <c r="M21" i="12"/>
  <c r="U21" i="12"/>
  <c r="AC21" i="12"/>
  <c r="AK21" i="12"/>
  <c r="AS21" i="12"/>
  <c r="BA21" i="12"/>
  <c r="BI21" i="12"/>
  <c r="BQ21" i="12"/>
  <c r="O21" i="12"/>
  <c r="W21" i="12"/>
  <c r="AE21" i="12"/>
  <c r="AM21" i="12"/>
  <c r="AU21" i="12"/>
  <c r="BC21" i="12"/>
  <c r="BK21" i="12"/>
  <c r="J21" i="12"/>
  <c r="BQ30" i="12"/>
  <c r="BP30" i="12"/>
  <c r="BO30" i="12"/>
  <c r="BN30" i="12"/>
  <c r="BM30" i="12"/>
  <c r="BL30" i="12"/>
  <c r="BK30" i="12"/>
  <c r="BJ30" i="12"/>
  <c r="BI30" i="12"/>
  <c r="BH30" i="12"/>
  <c r="BG30" i="12"/>
  <c r="BF30" i="12"/>
  <c r="BE30" i="12"/>
  <c r="BD30" i="12"/>
  <c r="BC30" i="12"/>
  <c r="BB30" i="12"/>
  <c r="BA30" i="12"/>
  <c r="AZ30" i="12"/>
  <c r="AY30" i="12"/>
  <c r="AX30" i="12"/>
  <c r="AW30" i="12"/>
  <c r="AV30" i="12"/>
  <c r="AU30" i="12"/>
  <c r="AT30" i="12"/>
  <c r="AS30" i="12"/>
  <c r="AR30" i="12"/>
  <c r="AQ30" i="12"/>
  <c r="AP30" i="12"/>
  <c r="AO30" i="12"/>
  <c r="AN30" i="12"/>
  <c r="AM30" i="12"/>
  <c r="AL30" i="12"/>
  <c r="AK30" i="12"/>
  <c r="AJ30" i="12"/>
  <c r="AI30" i="12"/>
  <c r="AH30" i="12"/>
  <c r="AG30" i="12"/>
  <c r="AF30" i="12"/>
  <c r="AE30" i="12"/>
  <c r="AD30" i="12"/>
  <c r="AC30" i="12"/>
  <c r="AB30" i="12"/>
  <c r="AA30" i="12"/>
  <c r="Z30" i="12"/>
  <c r="Y30" i="12"/>
  <c r="X30" i="12"/>
  <c r="W30" i="12"/>
  <c r="V30" i="12"/>
  <c r="U30" i="12"/>
  <c r="T30" i="12"/>
  <c r="S30" i="12"/>
  <c r="R30" i="12"/>
  <c r="Q30" i="12"/>
  <c r="P30" i="12"/>
  <c r="O30" i="12"/>
  <c r="N30" i="12"/>
  <c r="M30" i="12"/>
  <c r="L30" i="12"/>
  <c r="K30" i="12"/>
  <c r="J30" i="12"/>
  <c r="C38" i="24"/>
  <c r="I17" i="22"/>
  <c r="J17" i="22" s="1"/>
  <c r="E46" i="38"/>
  <c r="E57" i="38"/>
  <c r="E41" i="38"/>
  <c r="E25" i="38"/>
  <c r="F31" i="38"/>
  <c r="G31" i="38" s="1"/>
  <c r="I24" i="22"/>
  <c r="J24" i="22" s="1"/>
  <c r="K24" i="22" s="1"/>
  <c r="L24" i="22" s="1"/>
  <c r="I23" i="22"/>
  <c r="J23" i="22" s="1"/>
  <c r="K23" i="22" s="1"/>
  <c r="L23" i="22" s="1"/>
  <c r="I22" i="22"/>
  <c r="J22" i="22" s="1"/>
  <c r="K22" i="22" s="1"/>
  <c r="L22" i="22" s="1"/>
  <c r="I18" i="22"/>
  <c r="J18" i="22" s="1"/>
  <c r="K18" i="22" s="1"/>
  <c r="L18" i="22" s="1"/>
  <c r="I16" i="22"/>
  <c r="J16" i="22" s="1"/>
  <c r="K16" i="22" s="1"/>
  <c r="B39" i="22"/>
  <c r="B38" i="22"/>
  <c r="B37" i="22"/>
  <c r="J26" i="15"/>
  <c r="J75" i="10" s="1"/>
  <c r="D66" i="10"/>
  <c r="D65" i="10"/>
  <c r="D64" i="10"/>
  <c r="D63" i="10"/>
  <c r="D62" i="10"/>
  <c r="D61" i="10"/>
  <c r="D60" i="10"/>
  <c r="D59" i="10"/>
  <c r="D58" i="10"/>
  <c r="D57" i="10"/>
  <c r="J15" i="38"/>
  <c r="C54" i="38" s="1"/>
  <c r="J5" i="15"/>
  <c r="J5" i="24"/>
  <c r="J5" i="11"/>
  <c r="J5" i="12"/>
  <c r="J6" i="10"/>
  <c r="K4" i="22" s="1"/>
  <c r="J36" i="15"/>
  <c r="J76" i="10" s="1"/>
  <c r="J74" i="10"/>
  <c r="B44" i="38"/>
  <c r="F24" i="38"/>
  <c r="G24" i="38" s="1"/>
  <c r="H24" i="38" s="1"/>
  <c r="I24" i="38" s="1"/>
  <c r="F23" i="38"/>
  <c r="G23" i="38" s="1"/>
  <c r="H23" i="38" s="1"/>
  <c r="I23" i="38" s="1"/>
  <c r="F22" i="38"/>
  <c r="G22" i="38" s="1"/>
  <c r="H22" i="38" s="1"/>
  <c r="I22" i="38" s="1"/>
  <c r="F21" i="38"/>
  <c r="G21" i="38" s="1"/>
  <c r="H21" i="38" s="1"/>
  <c r="I21" i="38" s="1"/>
  <c r="G20" i="38"/>
  <c r="F40" i="38"/>
  <c r="G40" i="38" s="1"/>
  <c r="H40" i="38" s="1"/>
  <c r="I40" i="38" s="1"/>
  <c r="F39" i="38"/>
  <c r="G39" i="38" s="1"/>
  <c r="H39" i="38" s="1"/>
  <c r="I39" i="38" s="1"/>
  <c r="F38" i="38"/>
  <c r="G38" i="38" s="1"/>
  <c r="H38" i="38" s="1"/>
  <c r="I38" i="38" s="1"/>
  <c r="F37" i="38"/>
  <c r="G37" i="38" s="1"/>
  <c r="H37" i="38" s="1"/>
  <c r="I37" i="38" s="1"/>
  <c r="F36" i="38"/>
  <c r="G36" i="38" s="1"/>
  <c r="H36" i="38" s="1"/>
  <c r="I36" i="38" s="1"/>
  <c r="F35" i="38"/>
  <c r="G35" i="38" s="1"/>
  <c r="H35" i="38" s="1"/>
  <c r="I35" i="38" s="1"/>
  <c r="F34" i="38"/>
  <c r="G34" i="38" s="1"/>
  <c r="H34" i="38" s="1"/>
  <c r="I34" i="38" s="1"/>
  <c r="F33" i="38"/>
  <c r="G33" i="38" s="1"/>
  <c r="H33" i="38" s="1"/>
  <c r="I33" i="38" s="1"/>
  <c r="F32" i="38"/>
  <c r="G32" i="38" s="1"/>
  <c r="H32" i="38" s="1"/>
  <c r="I32" i="38" s="1"/>
  <c r="F56" i="38"/>
  <c r="G56" i="38" s="1"/>
  <c r="F55" i="38"/>
  <c r="F54" i="38"/>
  <c r="G54" i="38" s="1"/>
  <c r="F53" i="38"/>
  <c r="F52" i="38"/>
  <c r="G52" i="38" s="1"/>
  <c r="F51" i="38"/>
  <c r="F50" i="38"/>
  <c r="G50" i="38" s="1"/>
  <c r="F48" i="38"/>
  <c r="G48" i="38" s="1"/>
  <c r="H48" i="38" s="1"/>
  <c r="F47" i="38"/>
  <c r="G47" i="38" s="1"/>
  <c r="H47" i="38" s="1"/>
  <c r="I47" i="38" s="1"/>
  <c r="F49" i="38"/>
  <c r="G49" i="38" s="1"/>
  <c r="H49" i="38" s="1"/>
  <c r="I49" i="38" s="1"/>
  <c r="H13" i="22"/>
  <c r="I13" i="22" s="1"/>
  <c r="J13" i="22" s="1"/>
  <c r="K13" i="22" s="1"/>
  <c r="L13" i="22" s="1"/>
  <c r="N33" i="22" s="1"/>
  <c r="H19" i="22"/>
  <c r="C8" i="15"/>
  <c r="B33" i="22"/>
  <c r="C12" i="10"/>
  <c r="H20" i="38" l="1"/>
  <c r="H25" i="38" s="1"/>
  <c r="J33" i="24"/>
  <c r="J31" i="24"/>
  <c r="J32" i="24"/>
  <c r="J17" i="24"/>
  <c r="J23" i="24" s="1"/>
  <c r="L7" i="18"/>
  <c r="N53" i="18"/>
  <c r="K7" i="18"/>
  <c r="J7" i="18"/>
  <c r="M53" i="18"/>
  <c r="G17" i="22"/>
  <c r="M7" i="18"/>
  <c r="N7" i="18"/>
  <c r="J53" i="18"/>
  <c r="K53" i="18"/>
  <c r="G18" i="22"/>
  <c r="L53" i="18"/>
  <c r="K17" i="22"/>
  <c r="H31" i="38"/>
  <c r="G41" i="38"/>
  <c r="F25" i="38"/>
  <c r="F57" i="38"/>
  <c r="G25" i="38"/>
  <c r="F41" i="38"/>
  <c r="L16" i="22"/>
  <c r="J19" i="22"/>
  <c r="I19" i="22"/>
  <c r="H35" i="22"/>
  <c r="I35" i="22"/>
  <c r="J35" i="22"/>
  <c r="K35" i="22"/>
  <c r="L35" i="22"/>
  <c r="N11" i="22"/>
  <c r="U11" i="22"/>
  <c r="U33" i="22"/>
  <c r="B5" i="18"/>
  <c r="B51" i="18"/>
  <c r="H56" i="38"/>
  <c r="H50" i="38"/>
  <c r="I48" i="38"/>
  <c r="H52" i="38"/>
  <c r="H54" i="38"/>
  <c r="G51" i="38"/>
  <c r="G53" i="38"/>
  <c r="G55" i="38"/>
  <c r="C23" i="38"/>
  <c r="C20" i="38"/>
  <c r="C24" i="38"/>
  <c r="C55" i="38"/>
  <c r="C52" i="38"/>
  <c r="C47" i="38"/>
  <c r="C50" i="38"/>
  <c r="C49" i="38"/>
  <c r="C21" i="38"/>
  <c r="C53" i="38"/>
  <c r="C48" i="38"/>
  <c r="C56" i="38"/>
  <c r="C22" i="38"/>
  <c r="C51" i="38"/>
  <c r="G16" i="22"/>
  <c r="J30" i="24"/>
  <c r="BQ29" i="12"/>
  <c r="BP29" i="12"/>
  <c r="BO29" i="12"/>
  <c r="BN29" i="12"/>
  <c r="BM29" i="12"/>
  <c r="BL29" i="12"/>
  <c r="BK29" i="12"/>
  <c r="BJ29" i="12"/>
  <c r="BI29" i="12"/>
  <c r="BH29" i="12"/>
  <c r="BG29" i="12"/>
  <c r="BF29" i="12"/>
  <c r="BE29" i="12"/>
  <c r="BD29" i="12"/>
  <c r="BC29" i="12"/>
  <c r="BB29" i="12"/>
  <c r="BA29" i="12"/>
  <c r="AZ29" i="12"/>
  <c r="AY29" i="12"/>
  <c r="AX29" i="12"/>
  <c r="AW29" i="12"/>
  <c r="AV29" i="12"/>
  <c r="AU29" i="12"/>
  <c r="AT29" i="12"/>
  <c r="AS29" i="12"/>
  <c r="AR29" i="12"/>
  <c r="AQ29" i="12"/>
  <c r="AP29" i="12"/>
  <c r="AO29" i="12"/>
  <c r="AN29" i="12"/>
  <c r="AM29" i="12"/>
  <c r="AL29" i="12"/>
  <c r="AK29" i="12"/>
  <c r="AJ29" i="12"/>
  <c r="AI29" i="12"/>
  <c r="AH29" i="12"/>
  <c r="AG29" i="12"/>
  <c r="AF29" i="12"/>
  <c r="AE29" i="12"/>
  <c r="AD29" i="12"/>
  <c r="AC29" i="12"/>
  <c r="AB29" i="12"/>
  <c r="AA29" i="12"/>
  <c r="Z29" i="12"/>
  <c r="Y29" i="12"/>
  <c r="X29" i="12"/>
  <c r="W29" i="12"/>
  <c r="V29" i="12"/>
  <c r="U29" i="12"/>
  <c r="T29" i="12"/>
  <c r="S29" i="12"/>
  <c r="R29" i="12"/>
  <c r="Q29" i="12"/>
  <c r="P29" i="12"/>
  <c r="O29" i="12"/>
  <c r="N29" i="12"/>
  <c r="M29" i="12"/>
  <c r="L29" i="12"/>
  <c r="K29" i="12"/>
  <c r="J29" i="12"/>
  <c r="K21" i="12"/>
  <c r="J19" i="24"/>
  <c r="I20" i="38" l="1"/>
  <c r="J20" i="24"/>
  <c r="L17" i="22"/>
  <c r="G57" i="38"/>
  <c r="I31" i="38"/>
  <c r="I41" i="38" s="1"/>
  <c r="H41" i="38"/>
  <c r="P53" i="18"/>
  <c r="P7" i="18"/>
  <c r="K19" i="22"/>
  <c r="J21" i="24"/>
  <c r="J24" i="24" s="1"/>
  <c r="H55" i="38"/>
  <c r="I52" i="38"/>
  <c r="H53" i="38"/>
  <c r="H51" i="38"/>
  <c r="I50" i="38"/>
  <c r="I54" i="38"/>
  <c r="I56" i="38"/>
  <c r="I25" i="38" l="1"/>
  <c r="L19" i="22"/>
  <c r="H57" i="38"/>
  <c r="Q7" i="18"/>
  <c r="Q53" i="18"/>
  <c r="J27" i="12"/>
  <c r="I51" i="38"/>
  <c r="I55" i="38"/>
  <c r="I53" i="38"/>
  <c r="J81" i="10"/>
  <c r="J13" i="12" s="1"/>
  <c r="I57" i="38" l="1"/>
  <c r="R53" i="18"/>
  <c r="R7" i="18"/>
  <c r="C15" i="24"/>
  <c r="S7" i="18" l="1"/>
  <c r="S53" i="18"/>
  <c r="D76" i="10"/>
  <c r="D75" i="10"/>
  <c r="C27" i="24"/>
  <c r="J34" i="15"/>
  <c r="J37" i="15" s="1"/>
  <c r="J24" i="15"/>
  <c r="J27" i="15" s="1"/>
  <c r="D74" i="10"/>
  <c r="K6" i="15"/>
  <c r="K26" i="15" s="1"/>
  <c r="K75" i="10" s="1"/>
  <c r="T53" i="18" l="1"/>
  <c r="T7" i="18"/>
  <c r="K36" i="15"/>
  <c r="K76" i="10" s="1"/>
  <c r="K16" i="15"/>
  <c r="K74" i="10" s="1"/>
  <c r="L6" i="15"/>
  <c r="L26" i="15" s="1"/>
  <c r="L75" i="10" s="1"/>
  <c r="K34" i="15"/>
  <c r="K24" i="15"/>
  <c r="K37" i="15" l="1"/>
  <c r="L34" i="15" s="1"/>
  <c r="U7" i="18"/>
  <c r="U53" i="18"/>
  <c r="L36" i="15"/>
  <c r="L76" i="10" s="1"/>
  <c r="L16" i="15"/>
  <c r="L74" i="10" s="1"/>
  <c r="K27" i="15"/>
  <c r="L24" i="15" s="1"/>
  <c r="M6" i="15"/>
  <c r="M26" i="15" s="1"/>
  <c r="M75" i="10" s="1"/>
  <c r="V53" i="18" l="1"/>
  <c r="V7" i="18"/>
  <c r="M36" i="15"/>
  <c r="M76" i="10" s="1"/>
  <c r="M16" i="15"/>
  <c r="M74" i="10" s="1"/>
  <c r="L27" i="15"/>
  <c r="M24" i="15" s="1"/>
  <c r="L37" i="15"/>
  <c r="N6" i="15"/>
  <c r="N26" i="15" s="1"/>
  <c r="N75" i="10" s="1"/>
  <c r="M34" i="15"/>
  <c r="W7" i="18" l="1"/>
  <c r="W53" i="18"/>
  <c r="N36" i="15"/>
  <c r="N76" i="10" s="1"/>
  <c r="N16" i="15"/>
  <c r="N74" i="10" s="1"/>
  <c r="M27" i="15"/>
  <c r="N24" i="15" s="1"/>
  <c r="M37" i="15"/>
  <c r="N34" i="15" s="1"/>
  <c r="O6" i="15"/>
  <c r="O26" i="15" s="1"/>
  <c r="O75" i="10" s="1"/>
  <c r="X53" i="18" l="1"/>
  <c r="X7" i="18"/>
  <c r="O36" i="15"/>
  <c r="O76" i="10" s="1"/>
  <c r="O16" i="15"/>
  <c r="O74" i="10" s="1"/>
  <c r="N27" i="15"/>
  <c r="O24" i="15" s="1"/>
  <c r="N37" i="15"/>
  <c r="P6" i="15"/>
  <c r="P26" i="15" s="1"/>
  <c r="P75" i="10" s="1"/>
  <c r="O34" i="15"/>
  <c r="Y53" i="18" l="1"/>
  <c r="Y7" i="18"/>
  <c r="O27" i="15"/>
  <c r="P24" i="15" s="1"/>
  <c r="P36" i="15"/>
  <c r="P76" i="10" s="1"/>
  <c r="P16" i="15"/>
  <c r="P74" i="10" s="1"/>
  <c r="O37" i="15"/>
  <c r="P34" i="15" s="1"/>
  <c r="Q6" i="15"/>
  <c r="Q26" i="15" s="1"/>
  <c r="Q75" i="10" s="1"/>
  <c r="Z7" i="18" l="1"/>
  <c r="Z53" i="18"/>
  <c r="P27" i="15"/>
  <c r="Q24" i="15" s="1"/>
  <c r="Q36" i="15"/>
  <c r="Q76" i="10" s="1"/>
  <c r="Q16" i="15"/>
  <c r="Q74" i="10" s="1"/>
  <c r="P37" i="15"/>
  <c r="Q34" i="15" s="1"/>
  <c r="R6" i="15"/>
  <c r="R26" i="15" s="1"/>
  <c r="R75" i="10" s="1"/>
  <c r="AA53" i="18" l="1"/>
  <c r="AA7" i="18"/>
  <c r="Q27" i="15"/>
  <c r="R24" i="15" s="1"/>
  <c r="R16" i="15"/>
  <c r="R74" i="10" s="1"/>
  <c r="R36" i="15"/>
  <c r="R76" i="10" s="1"/>
  <c r="Q37" i="15"/>
  <c r="R34" i="15" s="1"/>
  <c r="S6" i="15"/>
  <c r="S26" i="15" s="1"/>
  <c r="S75" i="10" s="1"/>
  <c r="S36" i="15" l="1"/>
  <c r="S76" i="10" s="1"/>
  <c r="S16" i="15"/>
  <c r="S74" i="10" s="1"/>
  <c r="R27" i="15"/>
  <c r="S24" i="15" s="1"/>
  <c r="R37" i="15"/>
  <c r="S34" i="15" s="1"/>
  <c r="T6" i="15"/>
  <c r="T26" i="15" s="1"/>
  <c r="T75" i="10" s="1"/>
  <c r="T36" i="15" l="1"/>
  <c r="T76" i="10" s="1"/>
  <c r="T16" i="15"/>
  <c r="T74" i="10" s="1"/>
  <c r="S27" i="15"/>
  <c r="T24" i="15" s="1"/>
  <c r="S37" i="15"/>
  <c r="T34" i="15" s="1"/>
  <c r="U6" i="15"/>
  <c r="U26" i="15" s="1"/>
  <c r="U75" i="10" s="1"/>
  <c r="T37" i="15" l="1"/>
  <c r="U34" i="15" s="1"/>
  <c r="U36" i="15"/>
  <c r="U76" i="10" s="1"/>
  <c r="U16" i="15"/>
  <c r="U74" i="10" s="1"/>
  <c r="T27" i="15"/>
  <c r="U24" i="15" s="1"/>
  <c r="V6" i="15"/>
  <c r="V26" i="15" s="1"/>
  <c r="V75" i="10" s="1"/>
  <c r="V36" i="15" l="1"/>
  <c r="V76" i="10" s="1"/>
  <c r="V16" i="15"/>
  <c r="V74" i="10" s="1"/>
  <c r="U37" i="15"/>
  <c r="V34" i="15" s="1"/>
  <c r="U27" i="15"/>
  <c r="V24" i="15" s="1"/>
  <c r="W6" i="15"/>
  <c r="W26" i="15" s="1"/>
  <c r="W75" i="10" s="1"/>
  <c r="V27" i="15" l="1"/>
  <c r="W24" i="15" s="1"/>
  <c r="W36" i="15"/>
  <c r="W76" i="10" s="1"/>
  <c r="W16" i="15"/>
  <c r="W74" i="10" s="1"/>
  <c r="X6" i="15"/>
  <c r="X26" i="15" s="1"/>
  <c r="X75" i="10" s="1"/>
  <c r="V37" i="15"/>
  <c r="W34" i="15" s="1"/>
  <c r="X36" i="15" l="1"/>
  <c r="X76" i="10" s="1"/>
  <c r="X16" i="15"/>
  <c r="X74" i="10" s="1"/>
  <c r="W27" i="15"/>
  <c r="X24" i="15" s="1"/>
  <c r="W37" i="15"/>
  <c r="X34" i="15" s="1"/>
  <c r="Y6" i="15"/>
  <c r="Y26" i="15" s="1"/>
  <c r="Y75" i="10" s="1"/>
  <c r="Y36" i="15" l="1"/>
  <c r="Y76" i="10" s="1"/>
  <c r="Y16" i="15"/>
  <c r="Y74" i="10" s="1"/>
  <c r="X27" i="15"/>
  <c r="Y24" i="15" s="1"/>
  <c r="X37" i="15"/>
  <c r="Z6" i="15"/>
  <c r="Z26" i="15" s="1"/>
  <c r="Z75" i="10" s="1"/>
  <c r="Y34" i="15"/>
  <c r="Z16" i="15" l="1"/>
  <c r="Z74" i="10" s="1"/>
  <c r="Z36" i="15"/>
  <c r="Z76" i="10" s="1"/>
  <c r="Y27" i="15"/>
  <c r="Z24" i="15" s="1"/>
  <c r="Y37" i="15"/>
  <c r="Z34" i="15" s="1"/>
  <c r="AA6" i="15"/>
  <c r="AA26" i="15" s="1"/>
  <c r="AA75" i="10" s="1"/>
  <c r="AA36" i="15" l="1"/>
  <c r="AA76" i="10" s="1"/>
  <c r="AA16" i="15"/>
  <c r="AA74" i="10" s="1"/>
  <c r="Z37" i="15"/>
  <c r="AA34" i="15" s="1"/>
  <c r="Z27" i="15"/>
  <c r="AA24" i="15" s="1"/>
  <c r="AB6" i="15"/>
  <c r="AB26" i="15" s="1"/>
  <c r="AB75" i="10" s="1"/>
  <c r="AB36" i="15" l="1"/>
  <c r="AB76" i="10" s="1"/>
  <c r="AB16" i="15"/>
  <c r="AB74" i="10" s="1"/>
  <c r="AA27" i="15"/>
  <c r="AB24" i="15" s="1"/>
  <c r="AA37" i="15"/>
  <c r="AC6" i="15"/>
  <c r="AC26" i="15" s="1"/>
  <c r="AC75" i="10" s="1"/>
  <c r="AB34" i="15"/>
  <c r="AC36" i="15" l="1"/>
  <c r="AC76" i="10" s="1"/>
  <c r="AC16" i="15"/>
  <c r="AC74" i="10" s="1"/>
  <c r="AB27" i="15"/>
  <c r="AC24" i="15" s="1"/>
  <c r="AB37" i="15"/>
  <c r="AD6" i="15"/>
  <c r="AD26" i="15" s="1"/>
  <c r="AD75" i="10" s="1"/>
  <c r="AC34" i="15"/>
  <c r="AD36" i="15" l="1"/>
  <c r="AD76" i="10" s="1"/>
  <c r="AD16" i="15"/>
  <c r="AD74" i="10" s="1"/>
  <c r="AC27" i="15"/>
  <c r="AD24" i="15" s="1"/>
  <c r="AC37" i="15"/>
  <c r="AD34" i="15" s="1"/>
  <c r="AE6" i="15"/>
  <c r="AE26" i="15" s="1"/>
  <c r="AE75" i="10" s="1"/>
  <c r="AE36" i="15" l="1"/>
  <c r="AE76" i="10" s="1"/>
  <c r="AE16" i="15"/>
  <c r="AE74" i="10" s="1"/>
  <c r="AD27" i="15"/>
  <c r="AE24" i="15" s="1"/>
  <c r="AD37" i="15"/>
  <c r="AF6" i="15"/>
  <c r="AF26" i="15" s="1"/>
  <c r="AF75" i="10" s="1"/>
  <c r="AE34" i="15"/>
  <c r="AF16" i="15" l="1"/>
  <c r="AF74" i="10" s="1"/>
  <c r="AF36" i="15"/>
  <c r="AF76" i="10" s="1"/>
  <c r="AE27" i="15"/>
  <c r="AF24" i="15" s="1"/>
  <c r="AE37" i="15"/>
  <c r="AG6" i="15"/>
  <c r="AG26" i="15" s="1"/>
  <c r="AG75" i="10" s="1"/>
  <c r="AF34" i="15"/>
  <c r="AG36" i="15" l="1"/>
  <c r="AG76" i="10" s="1"/>
  <c r="AG16" i="15"/>
  <c r="AG74" i="10" s="1"/>
  <c r="AF27" i="15"/>
  <c r="AF37" i="15"/>
  <c r="AH6" i="15"/>
  <c r="AH26" i="15" s="1"/>
  <c r="AH75" i="10" s="1"/>
  <c r="AG34" i="15"/>
  <c r="AG24" i="15"/>
  <c r="AH16" i="15" l="1"/>
  <c r="AH74" i="10" s="1"/>
  <c r="AH36" i="15"/>
  <c r="AH76" i="10" s="1"/>
  <c r="AG27" i="15"/>
  <c r="AH24" i="15" s="1"/>
  <c r="AG37" i="15"/>
  <c r="AI6" i="15"/>
  <c r="AI26" i="15" s="1"/>
  <c r="AI75" i="10" s="1"/>
  <c r="AH34" i="15"/>
  <c r="AI36" i="15" l="1"/>
  <c r="AI76" i="10" s="1"/>
  <c r="AI16" i="15"/>
  <c r="AI74" i="10" s="1"/>
  <c r="AH27" i="15"/>
  <c r="AI24" i="15" s="1"/>
  <c r="AH37" i="15"/>
  <c r="AI34" i="15" s="1"/>
  <c r="AJ6" i="15"/>
  <c r="AJ26" i="15" s="1"/>
  <c r="AJ75" i="10" s="1"/>
  <c r="AJ36" i="15" l="1"/>
  <c r="AJ76" i="10" s="1"/>
  <c r="AJ16" i="15"/>
  <c r="AJ74" i="10" s="1"/>
  <c r="AI27" i="15"/>
  <c r="AJ24" i="15" s="1"/>
  <c r="AI37" i="15"/>
  <c r="AK6" i="15"/>
  <c r="AK26" i="15" s="1"/>
  <c r="AK75" i="10" s="1"/>
  <c r="AJ34" i="15"/>
  <c r="AK36" i="15" l="1"/>
  <c r="AK76" i="10" s="1"/>
  <c r="AK16" i="15"/>
  <c r="AK74" i="10" s="1"/>
  <c r="AJ27" i="15"/>
  <c r="AK24" i="15" s="1"/>
  <c r="AJ37" i="15"/>
  <c r="AK34" i="15" s="1"/>
  <c r="AL6" i="15"/>
  <c r="AL26" i="15" s="1"/>
  <c r="AL75" i="10" s="1"/>
  <c r="AL36" i="15" l="1"/>
  <c r="AL76" i="10" s="1"/>
  <c r="AL16" i="15"/>
  <c r="AL74" i="10" s="1"/>
  <c r="AK27" i="15"/>
  <c r="AL24" i="15" s="1"/>
  <c r="AK37" i="15"/>
  <c r="AL34" i="15" s="1"/>
  <c r="AM6" i="15"/>
  <c r="AM26" i="15" s="1"/>
  <c r="AM75" i="10" s="1"/>
  <c r="AM36" i="15" l="1"/>
  <c r="AM76" i="10" s="1"/>
  <c r="AM16" i="15"/>
  <c r="AM74" i="10" s="1"/>
  <c r="AN6" i="15"/>
  <c r="AN26" i="15" s="1"/>
  <c r="AN75" i="10" s="1"/>
  <c r="AL27" i="15"/>
  <c r="AM24" i="15" s="1"/>
  <c r="AL37" i="15"/>
  <c r="AM34" i="15" s="1"/>
  <c r="AN36" i="15" l="1"/>
  <c r="AN76" i="10" s="1"/>
  <c r="AN16" i="15"/>
  <c r="AN74" i="10" s="1"/>
  <c r="AM27" i="15"/>
  <c r="AN24" i="15" s="1"/>
  <c r="AM37" i="15"/>
  <c r="AO6" i="15"/>
  <c r="AO26" i="15" s="1"/>
  <c r="AO75" i="10" s="1"/>
  <c r="AN34" i="15"/>
  <c r="AO36" i="15" l="1"/>
  <c r="AO76" i="10" s="1"/>
  <c r="AO16" i="15"/>
  <c r="AO74" i="10" s="1"/>
  <c r="AN27" i="15"/>
  <c r="AO24" i="15" s="1"/>
  <c r="AN37" i="15"/>
  <c r="AO34" i="15" s="1"/>
  <c r="AP6" i="15"/>
  <c r="AP26" i="15" s="1"/>
  <c r="AP75" i="10" s="1"/>
  <c r="AP36" i="15" l="1"/>
  <c r="AP76" i="10" s="1"/>
  <c r="AP16" i="15"/>
  <c r="AP74" i="10" s="1"/>
  <c r="AO27" i="15"/>
  <c r="AP24" i="15" s="1"/>
  <c r="AO37" i="15"/>
  <c r="AQ6" i="15"/>
  <c r="AQ26" i="15" s="1"/>
  <c r="AQ75" i="10" s="1"/>
  <c r="AP34" i="15"/>
  <c r="AQ36" i="15" l="1"/>
  <c r="AQ76" i="10" s="1"/>
  <c r="AQ16" i="15"/>
  <c r="AQ74" i="10" s="1"/>
  <c r="AP27" i="15"/>
  <c r="AQ24" i="15" s="1"/>
  <c r="AP37" i="15"/>
  <c r="AQ34" i="15" s="1"/>
  <c r="AR6" i="15"/>
  <c r="AR26" i="15" s="1"/>
  <c r="AR75" i="10" s="1"/>
  <c r="AR36" i="15" l="1"/>
  <c r="AR76" i="10" s="1"/>
  <c r="AR16" i="15"/>
  <c r="AR74" i="10" s="1"/>
  <c r="AQ27" i="15"/>
  <c r="AR24" i="15" s="1"/>
  <c r="AQ37" i="15"/>
  <c r="AR34" i="15" s="1"/>
  <c r="AS6" i="15"/>
  <c r="AS26" i="15" s="1"/>
  <c r="AS75" i="10" s="1"/>
  <c r="AS36" i="15" l="1"/>
  <c r="AS76" i="10" s="1"/>
  <c r="AS16" i="15"/>
  <c r="AS74" i="10" s="1"/>
  <c r="AR37" i="15"/>
  <c r="AS34" i="15" s="1"/>
  <c r="AR27" i="15"/>
  <c r="AS24" i="15" s="1"/>
  <c r="AT6" i="15"/>
  <c r="AT26" i="15" s="1"/>
  <c r="AT75" i="10" s="1"/>
  <c r="AT36" i="15" l="1"/>
  <c r="AT76" i="10" s="1"/>
  <c r="AT16" i="15"/>
  <c r="AT74" i="10" s="1"/>
  <c r="AS37" i="15"/>
  <c r="AT34" i="15" s="1"/>
  <c r="AS27" i="15"/>
  <c r="AT24" i="15" s="1"/>
  <c r="AU6" i="15"/>
  <c r="AU26" i="15" s="1"/>
  <c r="AU75" i="10" s="1"/>
  <c r="AU36" i="15" l="1"/>
  <c r="AU76" i="10" s="1"/>
  <c r="AU16" i="15"/>
  <c r="AU74" i="10" s="1"/>
  <c r="AT27" i="15"/>
  <c r="AU24" i="15" s="1"/>
  <c r="AT37" i="15"/>
  <c r="AU34" i="15" s="1"/>
  <c r="AV6" i="15"/>
  <c r="AV26" i="15" s="1"/>
  <c r="AV75" i="10" s="1"/>
  <c r="AV16" i="15" l="1"/>
  <c r="AV74" i="10" s="1"/>
  <c r="AV36" i="15"/>
  <c r="AV76" i="10" s="1"/>
  <c r="AU27" i="15"/>
  <c r="AV24" i="15" s="1"/>
  <c r="AU37" i="15"/>
  <c r="AV34" i="15" s="1"/>
  <c r="AW6" i="15"/>
  <c r="AW26" i="15" s="1"/>
  <c r="AW75" i="10" s="1"/>
  <c r="AW36" i="15" l="1"/>
  <c r="AW76" i="10" s="1"/>
  <c r="AW16" i="15"/>
  <c r="AW74" i="10" s="1"/>
  <c r="AV37" i="15"/>
  <c r="AW34" i="15" s="1"/>
  <c r="AV27" i="15"/>
  <c r="AW24" i="15" s="1"/>
  <c r="AX6" i="15"/>
  <c r="AX26" i="15" s="1"/>
  <c r="AX75" i="10" s="1"/>
  <c r="AX16" i="15" l="1"/>
  <c r="AX74" i="10" s="1"/>
  <c r="AX36" i="15"/>
  <c r="AX76" i="10" s="1"/>
  <c r="AW27" i="15"/>
  <c r="AX24" i="15" s="1"/>
  <c r="AW37" i="15"/>
  <c r="AX34" i="15" s="1"/>
  <c r="AY6" i="15"/>
  <c r="AY26" i="15" s="1"/>
  <c r="AY75" i="10" s="1"/>
  <c r="AY36" i="15" l="1"/>
  <c r="AY76" i="10" s="1"/>
  <c r="AY16" i="15"/>
  <c r="AY74" i="10" s="1"/>
  <c r="AX27" i="15"/>
  <c r="AY24" i="15" s="1"/>
  <c r="AX37" i="15"/>
  <c r="AY34" i="15" s="1"/>
  <c r="AZ6" i="15"/>
  <c r="AZ26" i="15" s="1"/>
  <c r="AZ75" i="10" s="1"/>
  <c r="AZ36" i="15" l="1"/>
  <c r="AZ76" i="10" s="1"/>
  <c r="AZ16" i="15"/>
  <c r="AZ74" i="10" s="1"/>
  <c r="AY27" i="15"/>
  <c r="AZ24" i="15" s="1"/>
  <c r="AY37" i="15"/>
  <c r="BA6" i="15"/>
  <c r="BA26" i="15" s="1"/>
  <c r="BA75" i="10" s="1"/>
  <c r="AZ34" i="15"/>
  <c r="BA36" i="15" l="1"/>
  <c r="BA76" i="10" s="1"/>
  <c r="BA16" i="15"/>
  <c r="BA74" i="10" s="1"/>
  <c r="AZ27" i="15"/>
  <c r="BA24" i="15" s="1"/>
  <c r="AZ37" i="15"/>
  <c r="BA34" i="15" s="1"/>
  <c r="BB6" i="15"/>
  <c r="BB26" i="15" s="1"/>
  <c r="BB75" i="10" s="1"/>
  <c r="BB36" i="15" l="1"/>
  <c r="BB76" i="10" s="1"/>
  <c r="BB16" i="15"/>
  <c r="BB74" i="10" s="1"/>
  <c r="BA27" i="15"/>
  <c r="BB24" i="15" s="1"/>
  <c r="BA37" i="15"/>
  <c r="BC6" i="15"/>
  <c r="BC26" i="15" s="1"/>
  <c r="BC75" i="10" s="1"/>
  <c r="BB34" i="15"/>
  <c r="BC36" i="15" l="1"/>
  <c r="BC76" i="10" s="1"/>
  <c r="BC16" i="15"/>
  <c r="BC74" i="10" s="1"/>
  <c r="BB37" i="15"/>
  <c r="BC34" i="15" s="1"/>
  <c r="BD6" i="15"/>
  <c r="BD26" i="15" s="1"/>
  <c r="BD75" i="10" s="1"/>
  <c r="BB27" i="15"/>
  <c r="BC24" i="15" s="1"/>
  <c r="BD36" i="15" l="1"/>
  <c r="BD76" i="10" s="1"/>
  <c r="BD16" i="15"/>
  <c r="BD74" i="10" s="1"/>
  <c r="BC27" i="15"/>
  <c r="BD24" i="15" s="1"/>
  <c r="BC37" i="15"/>
  <c r="BE6" i="15"/>
  <c r="BE26" i="15" s="1"/>
  <c r="BE75" i="10" s="1"/>
  <c r="BD34" i="15"/>
  <c r="BE36" i="15" l="1"/>
  <c r="BE76" i="10" s="1"/>
  <c r="BE16" i="15"/>
  <c r="BE74" i="10" s="1"/>
  <c r="BD37" i="15"/>
  <c r="BE34" i="15" s="1"/>
  <c r="BD27" i="15"/>
  <c r="BE24" i="15" s="1"/>
  <c r="BF6" i="15"/>
  <c r="BF26" i="15" s="1"/>
  <c r="BF75" i="10" s="1"/>
  <c r="BF36" i="15" l="1"/>
  <c r="BF76" i="10" s="1"/>
  <c r="BF16" i="15"/>
  <c r="BF74" i="10" s="1"/>
  <c r="BE27" i="15"/>
  <c r="BF24" i="15" s="1"/>
  <c r="BE37" i="15"/>
  <c r="BG6" i="15"/>
  <c r="BG26" i="15" s="1"/>
  <c r="BG75" i="10" s="1"/>
  <c r="BF34" i="15"/>
  <c r="BG36" i="15" l="1"/>
  <c r="BG76" i="10" s="1"/>
  <c r="BG16" i="15"/>
  <c r="BG74" i="10" s="1"/>
  <c r="BF37" i="15"/>
  <c r="BG34" i="15" s="1"/>
  <c r="BF27" i="15"/>
  <c r="BH6" i="15"/>
  <c r="BH26" i="15" s="1"/>
  <c r="BH75" i="10" s="1"/>
  <c r="BG24" i="15"/>
  <c r="BH36" i="15" l="1"/>
  <c r="BH76" i="10" s="1"/>
  <c r="BH16" i="15"/>
  <c r="BH74" i="10" s="1"/>
  <c r="BG37" i="15"/>
  <c r="BH34" i="15" s="1"/>
  <c r="BG27" i="15"/>
  <c r="BH24" i="15" s="1"/>
  <c r="BI6" i="15"/>
  <c r="BI26" i="15" s="1"/>
  <c r="BI75" i="10" s="1"/>
  <c r="BI36" i="15" l="1"/>
  <c r="BI76" i="10" s="1"/>
  <c r="BI16" i="15"/>
  <c r="BI74" i="10" s="1"/>
  <c r="BH27" i="15"/>
  <c r="BI24" i="15" s="1"/>
  <c r="BH37" i="15"/>
  <c r="BJ6" i="15"/>
  <c r="BJ26" i="15" s="1"/>
  <c r="BJ75" i="10" s="1"/>
  <c r="BI34" i="15"/>
  <c r="BJ36" i="15" l="1"/>
  <c r="BJ76" i="10" s="1"/>
  <c r="BJ16" i="15"/>
  <c r="BJ74" i="10" s="1"/>
  <c r="BI27" i="15"/>
  <c r="BJ24" i="15" s="1"/>
  <c r="BI37" i="15"/>
  <c r="BJ34" i="15" s="1"/>
  <c r="BK6" i="15"/>
  <c r="BK26" i="15" s="1"/>
  <c r="BK75" i="10" s="1"/>
  <c r="BK36" i="15" l="1"/>
  <c r="BK76" i="10" s="1"/>
  <c r="BK16" i="15"/>
  <c r="BK74" i="10" s="1"/>
  <c r="BJ37" i="15"/>
  <c r="BJ27" i="15"/>
  <c r="BK24" i="15" s="1"/>
  <c r="BL6" i="15"/>
  <c r="BL26" i="15" s="1"/>
  <c r="BL75" i="10" s="1"/>
  <c r="BK34" i="15"/>
  <c r="BL36" i="15" l="1"/>
  <c r="BL76" i="10" s="1"/>
  <c r="BL16" i="15"/>
  <c r="BL74" i="10" s="1"/>
  <c r="BM6" i="15"/>
  <c r="BM26" i="15" s="1"/>
  <c r="BM75" i="10" s="1"/>
  <c r="BK27" i="15"/>
  <c r="BL24" i="15" s="1"/>
  <c r="BK37" i="15"/>
  <c r="BL34" i="15" s="1"/>
  <c r="BM36" i="15" l="1"/>
  <c r="BM76" i="10" s="1"/>
  <c r="BM16" i="15"/>
  <c r="BM74" i="10" s="1"/>
  <c r="BL27" i="15"/>
  <c r="BM24" i="15" s="1"/>
  <c r="BN6" i="15"/>
  <c r="BN26" i="15" s="1"/>
  <c r="BN75" i="10" s="1"/>
  <c r="BL37" i="15"/>
  <c r="BM34" i="15" s="1"/>
  <c r="BM37" i="15" l="1"/>
  <c r="BN36" i="15"/>
  <c r="BN76" i="10" s="1"/>
  <c r="BN16" i="15"/>
  <c r="BN74" i="10" s="1"/>
  <c r="BM27" i="15"/>
  <c r="BN24" i="15" s="1"/>
  <c r="BO6" i="15"/>
  <c r="BO26" i="15" s="1"/>
  <c r="BO75" i="10" s="1"/>
  <c r="BN34" i="15"/>
  <c r="BO36" i="15" l="1"/>
  <c r="BO76" i="10" s="1"/>
  <c r="BO16" i="15"/>
  <c r="BO74" i="10" s="1"/>
  <c r="BP6" i="15"/>
  <c r="BP26" i="15" s="1"/>
  <c r="BP75" i="10" s="1"/>
  <c r="BN27" i="15"/>
  <c r="BO24" i="15" s="1"/>
  <c r="BN37" i="15"/>
  <c r="BO34" i="15" s="1"/>
  <c r="BP36" i="15" l="1"/>
  <c r="BP76" i="10" s="1"/>
  <c r="BP16" i="15"/>
  <c r="BP74" i="10" s="1"/>
  <c r="BO37" i="15"/>
  <c r="BP34" i="15" s="1"/>
  <c r="BO27" i="15"/>
  <c r="BP24" i="15" s="1"/>
  <c r="BQ6" i="15"/>
  <c r="BQ26" i="15" s="1"/>
  <c r="BQ75" i="10" s="1"/>
  <c r="BQ36" i="15" l="1"/>
  <c r="BQ76" i="10" s="1"/>
  <c r="BQ16" i="15"/>
  <c r="BQ74" i="10" s="1"/>
  <c r="BP27" i="15"/>
  <c r="BQ24" i="15" s="1"/>
  <c r="BP37" i="15"/>
  <c r="BQ34" i="15"/>
  <c r="BQ27" i="15" l="1"/>
  <c r="BQ37" i="15"/>
  <c r="E30" i="38"/>
  <c r="B24" i="22"/>
  <c r="B29" i="22" s="1"/>
  <c r="B23" i="22"/>
  <c r="B28" i="22" s="1"/>
  <c r="B22" i="22"/>
  <c r="B27" i="22" s="1"/>
  <c r="K5" i="15"/>
  <c r="J4" i="11"/>
  <c r="K5" i="12"/>
  <c r="K15" i="38" l="1"/>
  <c r="J4" i="10"/>
  <c r="K5" i="24"/>
  <c r="K20" i="24" s="1"/>
  <c r="C36" i="38"/>
  <c r="C35" i="38"/>
  <c r="C37" i="38"/>
  <c r="C38" i="38"/>
  <c r="C39" i="38"/>
  <c r="C32" i="38"/>
  <c r="C40" i="38"/>
  <c r="C33" i="38"/>
  <c r="C34" i="38"/>
  <c r="J4" i="24"/>
  <c r="K4" i="15"/>
  <c r="L5" i="15"/>
  <c r="J4" i="15"/>
  <c r="J13" i="38"/>
  <c r="J14" i="38" s="1"/>
  <c r="K5" i="11"/>
  <c r="L5" i="12"/>
  <c r="K4" i="12"/>
  <c r="J4" i="12"/>
  <c r="B28" i="38"/>
  <c r="B17" i="38"/>
  <c r="B7" i="11"/>
  <c r="B7" i="12"/>
  <c r="B15" i="10"/>
  <c r="K32" i="24" l="1"/>
  <c r="K31" i="24"/>
  <c r="K33" i="24"/>
  <c r="K30" i="24"/>
  <c r="J5" i="10"/>
  <c r="J10" i="10"/>
  <c r="J11" i="10"/>
  <c r="K26" i="12"/>
  <c r="K17" i="24"/>
  <c r="K13" i="38"/>
  <c r="K14" i="38" s="1"/>
  <c r="L15" i="38"/>
  <c r="L5" i="24"/>
  <c r="L20" i="24" s="1"/>
  <c r="K4" i="24"/>
  <c r="J26" i="12"/>
  <c r="J22" i="24"/>
  <c r="L4" i="15"/>
  <c r="M5" i="15"/>
  <c r="L5" i="11"/>
  <c r="K4" i="11"/>
  <c r="M5" i="12"/>
  <c r="L4" i="12"/>
  <c r="I5" i="15"/>
  <c r="I15" i="38"/>
  <c r="I5" i="11"/>
  <c r="I5" i="12"/>
  <c r="K6" i="10"/>
  <c r="J9" i="10" l="1"/>
  <c r="J19" i="10"/>
  <c r="L32" i="24"/>
  <c r="L31" i="24"/>
  <c r="L33" i="24"/>
  <c r="L30" i="24"/>
  <c r="J20" i="10"/>
  <c r="J26" i="10" s="1"/>
  <c r="J18" i="10"/>
  <c r="J24" i="10" s="1"/>
  <c r="J25" i="10"/>
  <c r="K4" i="10"/>
  <c r="K5" i="10" s="1"/>
  <c r="L26" i="12"/>
  <c r="L17" i="24"/>
  <c r="K23" i="24"/>
  <c r="K21" i="24"/>
  <c r="M15" i="38"/>
  <c r="L13" i="38"/>
  <c r="L14" i="38" s="1"/>
  <c r="L4" i="24"/>
  <c r="M5" i="24"/>
  <c r="M20" i="24" s="1"/>
  <c r="K19" i="24"/>
  <c r="J26" i="11"/>
  <c r="J27" i="11" s="1"/>
  <c r="D19" i="10"/>
  <c r="D25" i="10" s="1"/>
  <c r="D20" i="10"/>
  <c r="D26" i="10" s="1"/>
  <c r="M4" i="15"/>
  <c r="N5" i="15"/>
  <c r="M5" i="11"/>
  <c r="L4" i="11"/>
  <c r="N5" i="12"/>
  <c r="M4" i="12"/>
  <c r="L6" i="10"/>
  <c r="K11" i="10" l="1"/>
  <c r="K20" i="10" s="1"/>
  <c r="K26" i="10" s="1"/>
  <c r="M26" i="12"/>
  <c r="M31" i="24"/>
  <c r="M33" i="24"/>
  <c r="M30" i="24"/>
  <c r="M32" i="24"/>
  <c r="K10" i="10"/>
  <c r="K19" i="10" s="1"/>
  <c r="K25" i="10" s="1"/>
  <c r="K9" i="10"/>
  <c r="K18" i="10" s="1"/>
  <c r="K24" i="10" s="1"/>
  <c r="K24" i="24"/>
  <c r="M17" i="24"/>
  <c r="L23" i="24"/>
  <c r="L21" i="24"/>
  <c r="N15" i="38"/>
  <c r="M13" i="38"/>
  <c r="M14" i="38" s="1"/>
  <c r="L4" i="10"/>
  <c r="L5" i="10" s="1"/>
  <c r="M4" i="24"/>
  <c r="N5" i="24"/>
  <c r="N20" i="24" s="1"/>
  <c r="K27" i="12"/>
  <c r="N4" i="15"/>
  <c r="O5" i="15"/>
  <c r="N5" i="11"/>
  <c r="M4" i="11"/>
  <c r="N4" i="12"/>
  <c r="O5" i="12"/>
  <c r="M6" i="10"/>
  <c r="L11" i="10" l="1"/>
  <c r="L20" i="10" s="1"/>
  <c r="L26" i="10" s="1"/>
  <c r="N26" i="12"/>
  <c r="N31" i="24"/>
  <c r="N33" i="24"/>
  <c r="N30" i="24"/>
  <c r="N32" i="24"/>
  <c r="K21" i="10"/>
  <c r="L10" i="10"/>
  <c r="L19" i="10" s="1"/>
  <c r="L25" i="10" s="1"/>
  <c r="K12" i="10"/>
  <c r="L9" i="10"/>
  <c r="M4" i="10"/>
  <c r="M5" i="10" s="1"/>
  <c r="L24" i="24"/>
  <c r="N17" i="24"/>
  <c r="M23" i="24"/>
  <c r="M21" i="24"/>
  <c r="N13" i="38"/>
  <c r="N14" i="38" s="1"/>
  <c r="O15" i="38"/>
  <c r="O5" i="24"/>
  <c r="O20" i="24" s="1"/>
  <c r="N4" i="24"/>
  <c r="K22" i="24"/>
  <c r="L19" i="24" s="1"/>
  <c r="K81" i="10"/>
  <c r="O4" i="15"/>
  <c r="P5" i="15"/>
  <c r="N4" i="11"/>
  <c r="O5" i="11"/>
  <c r="O4" i="12"/>
  <c r="P5" i="12"/>
  <c r="N6" i="10"/>
  <c r="L12" i="10" l="1"/>
  <c r="M10" i="10"/>
  <c r="M19" i="10" s="1"/>
  <c r="M25" i="10" s="1"/>
  <c r="O26" i="12"/>
  <c r="O31" i="24"/>
  <c r="O33" i="24"/>
  <c r="O30" i="24"/>
  <c r="O32" i="24"/>
  <c r="L18" i="10"/>
  <c r="M9" i="10"/>
  <c r="M11" i="10"/>
  <c r="M20" i="10" s="1"/>
  <c r="M26" i="10" s="1"/>
  <c r="N4" i="10"/>
  <c r="N5" i="10" s="1"/>
  <c r="N11" i="10" s="1"/>
  <c r="K13" i="12"/>
  <c r="M24" i="24"/>
  <c r="O17" i="24"/>
  <c r="N21" i="24"/>
  <c r="N23" i="24"/>
  <c r="P5" i="24"/>
  <c r="P20" i="24" s="1"/>
  <c r="O4" i="24"/>
  <c r="P15" i="38"/>
  <c r="O13" i="38"/>
  <c r="O14" i="38" s="1"/>
  <c r="K26" i="11"/>
  <c r="K27" i="11" s="1"/>
  <c r="Q5" i="15"/>
  <c r="P4" i="15"/>
  <c r="O4" i="11"/>
  <c r="P5" i="11"/>
  <c r="P4" i="12"/>
  <c r="Q5" i="12"/>
  <c r="O6" i="10"/>
  <c r="P26" i="12" l="1"/>
  <c r="P33" i="24"/>
  <c r="P30" i="24"/>
  <c r="P32" i="24"/>
  <c r="P31" i="24"/>
  <c r="N20" i="10"/>
  <c r="N26" i="10" s="1"/>
  <c r="L24" i="10"/>
  <c r="L21" i="10"/>
  <c r="M12" i="10"/>
  <c r="N9" i="10"/>
  <c r="N18" i="10" s="1"/>
  <c r="M18" i="10"/>
  <c r="N10" i="10"/>
  <c r="N19" i="10" s="1"/>
  <c r="N25" i="10" s="1"/>
  <c r="O4" i="10"/>
  <c r="O5" i="10" s="1"/>
  <c r="N24" i="24"/>
  <c r="P17" i="24"/>
  <c r="O21" i="24"/>
  <c r="O23" i="24"/>
  <c r="P4" i="24"/>
  <c r="Q5" i="24"/>
  <c r="Q20" i="24" s="1"/>
  <c r="Q15" i="38"/>
  <c r="P13" i="38"/>
  <c r="P14" i="38" s="1"/>
  <c r="L22" i="24"/>
  <c r="L27" i="12"/>
  <c r="L81" i="10"/>
  <c r="D18" i="10"/>
  <c r="D24" i="10" s="1"/>
  <c r="R5" i="15"/>
  <c r="Q4" i="15"/>
  <c r="P4" i="11"/>
  <c r="Q5" i="11"/>
  <c r="Q4" i="12"/>
  <c r="R5" i="12"/>
  <c r="P6" i="10"/>
  <c r="Q26" i="12" l="1"/>
  <c r="Q33" i="24"/>
  <c r="Q30" i="24"/>
  <c r="Q32" i="24"/>
  <c r="Q31" i="24"/>
  <c r="N21" i="10"/>
  <c r="N24" i="10"/>
  <c r="M21" i="10"/>
  <c r="M24" i="10"/>
  <c r="N12" i="10"/>
  <c r="O9" i="10"/>
  <c r="O18" i="10" s="1"/>
  <c r="O11" i="10"/>
  <c r="O20" i="10" s="1"/>
  <c r="O26" i="10" s="1"/>
  <c r="O10" i="10"/>
  <c r="O19" i="10" s="1"/>
  <c r="O25" i="10" s="1"/>
  <c r="L13" i="12"/>
  <c r="O24" i="24"/>
  <c r="Q17" i="24"/>
  <c r="P21" i="24"/>
  <c r="P23" i="24"/>
  <c r="Q4" i="24"/>
  <c r="R5" i="24"/>
  <c r="R20" i="24" s="1"/>
  <c r="R15" i="38"/>
  <c r="Q13" i="38"/>
  <c r="Q14" i="38" s="1"/>
  <c r="P4" i="10"/>
  <c r="P5" i="10" s="1"/>
  <c r="M19" i="24"/>
  <c r="L26" i="11"/>
  <c r="L27" i="11" s="1"/>
  <c r="S5" i="15"/>
  <c r="R4" i="15"/>
  <c r="Q4" i="11"/>
  <c r="R5" i="11"/>
  <c r="S5" i="12"/>
  <c r="R4" i="12"/>
  <c r="Q6" i="10"/>
  <c r="P9" i="10" l="1"/>
  <c r="P18" i="10" s="1"/>
  <c r="R26" i="12"/>
  <c r="R32" i="24"/>
  <c r="R31" i="24"/>
  <c r="R33" i="24"/>
  <c r="R30" i="24"/>
  <c r="O21" i="10"/>
  <c r="O24" i="10"/>
  <c r="P11" i="10"/>
  <c r="P20" i="10" s="1"/>
  <c r="P26" i="10" s="1"/>
  <c r="P10" i="10"/>
  <c r="O12" i="10"/>
  <c r="Q4" i="10"/>
  <c r="Q5" i="10" s="1"/>
  <c r="P24" i="24"/>
  <c r="R17" i="24"/>
  <c r="Q21" i="24"/>
  <c r="Q23" i="24"/>
  <c r="R4" i="24"/>
  <c r="S5" i="24"/>
  <c r="S20" i="24" s="1"/>
  <c r="R13" i="38"/>
  <c r="R14" i="38" s="1"/>
  <c r="S15" i="38"/>
  <c r="T5" i="15"/>
  <c r="S4" i="15"/>
  <c r="S5" i="11"/>
  <c r="R4" i="11"/>
  <c r="T5" i="12"/>
  <c r="S4" i="12"/>
  <c r="R6" i="10"/>
  <c r="E13" i="38"/>
  <c r="F13" i="38" s="1"/>
  <c r="G13" i="38" s="1"/>
  <c r="H13" i="38" s="1"/>
  <c r="I13" i="38" s="1"/>
  <c r="Q10" i="10" l="1"/>
  <c r="Q19" i="10" s="1"/>
  <c r="Q25" i="10" s="1"/>
  <c r="Q11" i="10"/>
  <c r="Q20" i="10" s="1"/>
  <c r="Q26" i="10" s="1"/>
  <c r="Q9" i="10"/>
  <c r="P12" i="10"/>
  <c r="S26" i="12"/>
  <c r="S32" i="24"/>
  <c r="S31" i="24"/>
  <c r="S33" i="24"/>
  <c r="S30" i="24"/>
  <c r="P19" i="10"/>
  <c r="P25" i="10" s="1"/>
  <c r="P24" i="10"/>
  <c r="Q18" i="10"/>
  <c r="R4" i="10"/>
  <c r="R5" i="10" s="1"/>
  <c r="Q24" i="24"/>
  <c r="T5" i="24"/>
  <c r="T20" i="24" s="1"/>
  <c r="S4" i="24"/>
  <c r="S17" i="24"/>
  <c r="R21" i="24"/>
  <c r="R23" i="24"/>
  <c r="S13" i="38"/>
  <c r="S14" i="38" s="1"/>
  <c r="T15" i="38"/>
  <c r="M22" i="24"/>
  <c r="M27" i="12"/>
  <c r="M81" i="10"/>
  <c r="T4" i="15"/>
  <c r="U5" i="15"/>
  <c r="S4" i="11"/>
  <c r="T5" i="11"/>
  <c r="U5" i="12"/>
  <c r="T4" i="12"/>
  <c r="S6" i="10"/>
  <c r="Q12" i="10" l="1"/>
  <c r="R9" i="10"/>
  <c r="R18" i="10" s="1"/>
  <c r="P21" i="10"/>
  <c r="T26" i="12"/>
  <c r="T32" i="24"/>
  <c r="T31" i="24"/>
  <c r="T33" i="24"/>
  <c r="T30" i="24"/>
  <c r="R10" i="10"/>
  <c r="U15" i="38"/>
  <c r="R11" i="10"/>
  <c r="R20" i="10" s="1"/>
  <c r="R26" i="10" s="1"/>
  <c r="Q24" i="10"/>
  <c r="Q21" i="10"/>
  <c r="S4" i="10"/>
  <c r="S5" i="10" s="1"/>
  <c r="T4" i="24"/>
  <c r="U5" i="24"/>
  <c r="U20" i="24" s="1"/>
  <c r="M13" i="12"/>
  <c r="R24" i="24"/>
  <c r="T17" i="24"/>
  <c r="S23" i="24"/>
  <c r="S21" i="24"/>
  <c r="T13" i="38"/>
  <c r="T14" i="38" s="1"/>
  <c r="N19" i="24"/>
  <c r="M26" i="11"/>
  <c r="M27" i="11" s="1"/>
  <c r="U4" i="15"/>
  <c r="V5" i="15"/>
  <c r="U5" i="11"/>
  <c r="T4" i="11"/>
  <c r="V5" i="12"/>
  <c r="U4" i="12"/>
  <c r="T6" i="10"/>
  <c r="V15" i="38" l="1"/>
  <c r="W15" i="38" s="1"/>
  <c r="R12" i="10"/>
  <c r="S9" i="10"/>
  <c r="S18" i="10" s="1"/>
  <c r="S24" i="10" s="1"/>
  <c r="R19" i="10"/>
  <c r="R25" i="10" s="1"/>
  <c r="U13" i="38"/>
  <c r="U14" i="38" s="1"/>
  <c r="U26" i="12"/>
  <c r="U31" i="24"/>
  <c r="U30" i="24"/>
  <c r="U33" i="24"/>
  <c r="U32" i="24"/>
  <c r="R24" i="10"/>
  <c r="S10" i="10"/>
  <c r="S19" i="10" s="1"/>
  <c r="S25" i="10" s="1"/>
  <c r="S11" i="10"/>
  <c r="S20" i="10" s="1"/>
  <c r="S26" i="10" s="1"/>
  <c r="V5" i="24"/>
  <c r="T4" i="10"/>
  <c r="T5" i="10" s="1"/>
  <c r="U4" i="24"/>
  <c r="S24" i="24"/>
  <c r="U17" i="24"/>
  <c r="T23" i="24"/>
  <c r="T21" i="24"/>
  <c r="N27" i="12"/>
  <c r="V4" i="15"/>
  <c r="W5" i="15"/>
  <c r="V13" i="38"/>
  <c r="V14" i="38" s="1"/>
  <c r="U4" i="11"/>
  <c r="V5" i="11"/>
  <c r="V4" i="12"/>
  <c r="W5" i="12"/>
  <c r="U6" i="10"/>
  <c r="R21" i="10" l="1"/>
  <c r="T9" i="10"/>
  <c r="T18" i="10" s="1"/>
  <c r="T11" i="10"/>
  <c r="T20" i="10" s="1"/>
  <c r="T26" i="10" s="1"/>
  <c r="S12" i="10"/>
  <c r="V4" i="24"/>
  <c r="V20" i="24"/>
  <c r="V26" i="12" s="1"/>
  <c r="V31" i="24"/>
  <c r="V33" i="24"/>
  <c r="V30" i="24"/>
  <c r="V32" i="24"/>
  <c r="T10" i="10"/>
  <c r="T19" i="10" s="1"/>
  <c r="T25" i="10" s="1"/>
  <c r="S21" i="10"/>
  <c r="W5" i="24"/>
  <c r="W20" i="24" s="1"/>
  <c r="U4" i="10"/>
  <c r="U5" i="10" s="1"/>
  <c r="T24" i="24"/>
  <c r="V17" i="24"/>
  <c r="U21" i="24"/>
  <c r="U23" i="24"/>
  <c r="N22" i="24"/>
  <c r="O19" i="24" s="1"/>
  <c r="N81" i="10"/>
  <c r="N13" i="12" s="1"/>
  <c r="W4" i="15"/>
  <c r="X5" i="15"/>
  <c r="W13" i="38"/>
  <c r="W14" i="38" s="1"/>
  <c r="X15" i="38"/>
  <c r="V4" i="11"/>
  <c r="W5" i="11"/>
  <c r="W4" i="12"/>
  <c r="X5" i="12"/>
  <c r="V6" i="10"/>
  <c r="D36" i="10"/>
  <c r="D37" i="10"/>
  <c r="D38" i="10"/>
  <c r="D39" i="10"/>
  <c r="D40" i="10"/>
  <c r="D54" i="10"/>
  <c r="J29" i="24"/>
  <c r="J14" i="15"/>
  <c r="D21" i="12"/>
  <c r="D41" i="10"/>
  <c r="D11" i="12"/>
  <c r="D67" i="10"/>
  <c r="D45" i="10"/>
  <c r="D46" i="10"/>
  <c r="D47" i="10"/>
  <c r="D48" i="10"/>
  <c r="D49" i="10"/>
  <c r="D50" i="10"/>
  <c r="D51" i="10"/>
  <c r="D52" i="10"/>
  <c r="D53" i="10"/>
  <c r="D44" i="10"/>
  <c r="B21" i="18"/>
  <c r="B13" i="18"/>
  <c r="B43" i="22"/>
  <c r="D23" i="11"/>
  <c r="D15" i="12"/>
  <c r="D17" i="11"/>
  <c r="D27" i="11"/>
  <c r="D31" i="12"/>
  <c r="B28" i="18"/>
  <c r="B55" i="22"/>
  <c r="B48" i="22"/>
  <c r="W26" i="12" l="1"/>
  <c r="W31" i="24"/>
  <c r="W33" i="24"/>
  <c r="W30" i="24"/>
  <c r="W32" i="24"/>
  <c r="X5" i="24"/>
  <c r="W4" i="24"/>
  <c r="T12" i="10"/>
  <c r="U11" i="10"/>
  <c r="U20" i="10" s="1"/>
  <c r="U26" i="10" s="1"/>
  <c r="T24" i="10"/>
  <c r="T21" i="10"/>
  <c r="U9" i="10"/>
  <c r="U10" i="10"/>
  <c r="U19" i="10" s="1"/>
  <c r="U25" i="10" s="1"/>
  <c r="V4" i="10"/>
  <c r="V5" i="10" s="1"/>
  <c r="V11" i="10" s="1"/>
  <c r="U24" i="24"/>
  <c r="W17" i="24"/>
  <c r="V23" i="24"/>
  <c r="V21" i="24"/>
  <c r="N26" i="11"/>
  <c r="N27" i="11" s="1"/>
  <c r="Y5" i="15"/>
  <c r="X4" i="15"/>
  <c r="X13" i="38"/>
  <c r="X14" i="38" s="1"/>
  <c r="Y15" i="38"/>
  <c r="W4" i="11"/>
  <c r="X5" i="11"/>
  <c r="X4" i="12"/>
  <c r="Y5" i="12"/>
  <c r="W6" i="10"/>
  <c r="I6" i="10"/>
  <c r="P30" i="18"/>
  <c r="P60" i="18"/>
  <c r="B2" i="12"/>
  <c r="X4" i="24" l="1"/>
  <c r="X20" i="24"/>
  <c r="X26" i="12" s="1"/>
  <c r="Y5" i="24"/>
  <c r="X33" i="24"/>
  <c r="X30" i="24"/>
  <c r="X32" i="24"/>
  <c r="X31" i="24"/>
  <c r="X17" i="24"/>
  <c r="Y17" i="24" s="1"/>
  <c r="U12" i="10"/>
  <c r="U18" i="10"/>
  <c r="V9" i="10"/>
  <c r="V20" i="10"/>
  <c r="V26" i="10" s="1"/>
  <c r="V10" i="10"/>
  <c r="V19" i="10" s="1"/>
  <c r="V25" i="10" s="1"/>
  <c r="W4" i="10"/>
  <c r="W5" i="10" s="1"/>
  <c r="V24" i="24"/>
  <c r="W21" i="24"/>
  <c r="W23" i="24"/>
  <c r="O81" i="10"/>
  <c r="O13" i="12" s="1"/>
  <c r="J16" i="11"/>
  <c r="J77" i="10"/>
  <c r="O22" i="24"/>
  <c r="O27" i="12"/>
  <c r="Z5" i="15"/>
  <c r="Y4" i="15"/>
  <c r="Y13" i="38"/>
  <c r="Y14" i="38" s="1"/>
  <c r="Z15" i="38"/>
  <c r="X4" i="11"/>
  <c r="Y5" i="11"/>
  <c r="Y4" i="12"/>
  <c r="Z5" i="12"/>
  <c r="X6" i="10"/>
  <c r="V12" i="10" l="1"/>
  <c r="Y30" i="24"/>
  <c r="Y20" i="24"/>
  <c r="Y26" i="12" s="1"/>
  <c r="Z5" i="24"/>
  <c r="Z20" i="24" s="1"/>
  <c r="Z26" i="12" s="1"/>
  <c r="Y4" i="24"/>
  <c r="Y31" i="24"/>
  <c r="Y32" i="24"/>
  <c r="Y33" i="24"/>
  <c r="X23" i="24"/>
  <c r="X21" i="24"/>
  <c r="V18" i="10"/>
  <c r="W11" i="10"/>
  <c r="W20" i="10" s="1"/>
  <c r="W26" i="10" s="1"/>
  <c r="W9" i="10"/>
  <c r="W10" i="10"/>
  <c r="W19" i="10" s="1"/>
  <c r="W25" i="10" s="1"/>
  <c r="U21" i="10"/>
  <c r="U24" i="10"/>
  <c r="X4" i="10"/>
  <c r="X5" i="10" s="1"/>
  <c r="W24" i="24"/>
  <c r="Z17" i="24"/>
  <c r="Y21" i="24"/>
  <c r="Y23" i="24"/>
  <c r="J12" i="10"/>
  <c r="P28" i="12"/>
  <c r="O28" i="12"/>
  <c r="O31" i="12" s="1"/>
  <c r="K28" i="12"/>
  <c r="K31" i="12" s="1"/>
  <c r="X28" i="12"/>
  <c r="V28" i="12"/>
  <c r="T28" i="12"/>
  <c r="N28" i="12"/>
  <c r="N31" i="12" s="1"/>
  <c r="P19" i="24"/>
  <c r="O26" i="11"/>
  <c r="O27" i="11" s="1"/>
  <c r="R28" i="12"/>
  <c r="L28" i="12"/>
  <c r="L31" i="12" s="1"/>
  <c r="W28" i="12"/>
  <c r="U28" i="12"/>
  <c r="S28" i="12"/>
  <c r="Q28" i="12"/>
  <c r="M28" i="12"/>
  <c r="M31" i="12" s="1"/>
  <c r="AA5" i="24"/>
  <c r="AA20" i="24" s="1"/>
  <c r="Z4" i="24"/>
  <c r="AA5" i="15"/>
  <c r="Z4" i="15"/>
  <c r="Z13" i="38"/>
  <c r="Z14" i="38" s="1"/>
  <c r="AA15" i="38"/>
  <c r="Y4" i="11"/>
  <c r="Z5" i="11"/>
  <c r="AA5" i="12"/>
  <c r="Z4" i="12"/>
  <c r="Y6" i="10"/>
  <c r="K77" i="10"/>
  <c r="P77" i="10"/>
  <c r="N77" i="10"/>
  <c r="L77" i="10"/>
  <c r="AC77" i="10"/>
  <c r="M77" i="10"/>
  <c r="AL77" i="10"/>
  <c r="O77" i="10"/>
  <c r="BK77" i="10"/>
  <c r="Q77" i="10"/>
  <c r="AH77" i="10"/>
  <c r="AE77" i="10"/>
  <c r="AN77" i="10"/>
  <c r="AM77" i="10"/>
  <c r="AD77" i="10"/>
  <c r="AX77" i="10"/>
  <c r="R77" i="10"/>
  <c r="AW77" i="10"/>
  <c r="AU77" i="10"/>
  <c r="AK77" i="10"/>
  <c r="Y77" i="10"/>
  <c r="S77" i="10"/>
  <c r="BQ77" i="10"/>
  <c r="BG77" i="10"/>
  <c r="BM77" i="10"/>
  <c r="BD77" i="10"/>
  <c r="AQ77" i="10"/>
  <c r="AA77" i="10"/>
  <c r="BP77" i="10"/>
  <c r="BE77" i="10"/>
  <c r="AV77" i="10"/>
  <c r="Z77" i="10"/>
  <c r="AF77" i="10"/>
  <c r="U77" i="10"/>
  <c r="BL77" i="10"/>
  <c r="BH77" i="10"/>
  <c r="BF77" i="10"/>
  <c r="AT77" i="10"/>
  <c r="AR77" i="10"/>
  <c r="AP77" i="10"/>
  <c r="AG77" i="10"/>
  <c r="V77" i="10"/>
  <c r="X77" i="10"/>
  <c r="AJ77" i="10"/>
  <c r="K14" i="15"/>
  <c r="K17" i="15" s="1"/>
  <c r="BO77" i="10"/>
  <c r="BN77" i="10"/>
  <c r="BB77" i="10"/>
  <c r="AS77" i="10"/>
  <c r="BC77" i="10"/>
  <c r="AI77" i="10"/>
  <c r="AO77" i="10"/>
  <c r="T77" i="10"/>
  <c r="AB77" i="10"/>
  <c r="W77" i="10"/>
  <c r="AY77" i="10"/>
  <c r="AZ77" i="10"/>
  <c r="BA77" i="10"/>
  <c r="BI77" i="10"/>
  <c r="BJ77" i="10"/>
  <c r="W12" i="10" l="1"/>
  <c r="Z33" i="24"/>
  <c r="Z31" i="24"/>
  <c r="Z32" i="24"/>
  <c r="Z30" i="24"/>
  <c r="X24" i="24"/>
  <c r="AA32" i="24"/>
  <c r="AA31" i="24"/>
  <c r="AA33" i="24"/>
  <c r="AA30" i="24"/>
  <c r="W18" i="10"/>
  <c r="X10" i="10"/>
  <c r="X19" i="10" s="1"/>
  <c r="X25" i="10" s="1"/>
  <c r="X11" i="10"/>
  <c r="X20" i="10" s="1"/>
  <c r="X26" i="10" s="1"/>
  <c r="X9" i="10"/>
  <c r="X18" i="10" s="1"/>
  <c r="Y11" i="10"/>
  <c r="V21" i="10"/>
  <c r="V24" i="10"/>
  <c r="Y4" i="10"/>
  <c r="Y5" i="10" s="1"/>
  <c r="Y24" i="24"/>
  <c r="AA26" i="12"/>
  <c r="AA17" i="24"/>
  <c r="Z23" i="24"/>
  <c r="Z21" i="24"/>
  <c r="K16" i="11"/>
  <c r="Y28" i="12"/>
  <c r="AB5" i="24"/>
  <c r="AB20" i="24" s="1"/>
  <c r="AA4" i="24"/>
  <c r="AA4" i="15"/>
  <c r="AB5" i="15"/>
  <c r="AB15" i="38"/>
  <c r="AA13" i="38"/>
  <c r="AA14" i="38" s="1"/>
  <c r="AA5" i="11"/>
  <c r="Z4" i="11"/>
  <c r="AB5" i="12"/>
  <c r="AA4" i="12"/>
  <c r="Z6" i="10"/>
  <c r="Y10" i="10" l="1"/>
  <c r="Y19" i="10" s="1"/>
  <c r="Y25" i="10" s="1"/>
  <c r="Y9" i="10"/>
  <c r="Y18" i="10" s="1"/>
  <c r="AB32" i="24"/>
  <c r="AB31" i="24"/>
  <c r="AB33" i="24"/>
  <c r="AB30" i="24"/>
  <c r="X21" i="10"/>
  <c r="X24" i="10"/>
  <c r="W21" i="10"/>
  <c r="W24" i="10"/>
  <c r="X12" i="10"/>
  <c r="Y20" i="10"/>
  <c r="Y26" i="10" s="1"/>
  <c r="Z4" i="10"/>
  <c r="Z5" i="10" s="1"/>
  <c r="Z24" i="24"/>
  <c r="AA23" i="24"/>
  <c r="AA21" i="24"/>
  <c r="AB26" i="12"/>
  <c r="AB17" i="24"/>
  <c r="L14" i="15"/>
  <c r="L17" i="15" s="1"/>
  <c r="Z28" i="12"/>
  <c r="P22" i="24"/>
  <c r="P27" i="12"/>
  <c r="P31" i="12" s="1"/>
  <c r="P81" i="10"/>
  <c r="AC5" i="24"/>
  <c r="AC20" i="24" s="1"/>
  <c r="AB4" i="24"/>
  <c r="AB4" i="15"/>
  <c r="AC5" i="15"/>
  <c r="AC15" i="38"/>
  <c r="AB13" i="38"/>
  <c r="AB14" i="38" s="1"/>
  <c r="AB5" i="11"/>
  <c r="AA4" i="11"/>
  <c r="AC5" i="12"/>
  <c r="AB4" i="12"/>
  <c r="AA6" i="10"/>
  <c r="N31" i="10"/>
  <c r="L32" i="10"/>
  <c r="M31" i="10"/>
  <c r="N30" i="10"/>
  <c r="L30" i="10"/>
  <c r="O32" i="10"/>
  <c r="M30" i="10"/>
  <c r="Y12" i="10" l="1"/>
  <c r="AC31" i="24"/>
  <c r="AC30" i="24"/>
  <c r="AC33" i="24"/>
  <c r="AC32" i="24"/>
  <c r="Y24" i="10"/>
  <c r="Y21" i="10"/>
  <c r="Z11" i="10"/>
  <c r="Z20" i="10" s="1"/>
  <c r="Z26" i="10" s="1"/>
  <c r="Z10" i="10"/>
  <c r="Z19" i="10" s="1"/>
  <c r="Z25" i="10" s="1"/>
  <c r="Z9" i="10"/>
  <c r="P13" i="12"/>
  <c r="AA24" i="24"/>
  <c r="AC26" i="12"/>
  <c r="AC17" i="24"/>
  <c r="AB23" i="24"/>
  <c r="AB21" i="24"/>
  <c r="L16" i="11"/>
  <c r="M14" i="15"/>
  <c r="M17" i="15" s="1"/>
  <c r="AA4" i="10"/>
  <c r="AA5" i="10" s="1"/>
  <c r="AA28" i="12"/>
  <c r="Q19" i="24"/>
  <c r="P26" i="11"/>
  <c r="P27" i="11" s="1"/>
  <c r="J28" i="12"/>
  <c r="J31" i="12" s="1"/>
  <c r="J35" i="24"/>
  <c r="J34" i="11" s="1"/>
  <c r="AC4" i="24"/>
  <c r="AD5" i="24"/>
  <c r="AD20" i="24" s="1"/>
  <c r="AC4" i="15"/>
  <c r="AD5" i="15"/>
  <c r="AC13" i="38"/>
  <c r="AC14" i="38" s="1"/>
  <c r="AD15" i="38"/>
  <c r="AC5" i="11"/>
  <c r="AB4" i="11"/>
  <c r="AD5" i="12"/>
  <c r="AC4" i="12"/>
  <c r="AB6" i="10"/>
  <c r="M32" i="10"/>
  <c r="M33" i="10" s="1"/>
  <c r="N32" i="10"/>
  <c r="N33" i="10" s="1"/>
  <c r="O30" i="10"/>
  <c r="K31" i="10"/>
  <c r="O31" i="10"/>
  <c r="K30" i="10"/>
  <c r="L31" i="10"/>
  <c r="L33" i="10" s="1"/>
  <c r="K32" i="10"/>
  <c r="P32" i="10"/>
  <c r="R32" i="10"/>
  <c r="P31" i="10"/>
  <c r="J32" i="10"/>
  <c r="AA9" i="10" l="1"/>
  <c r="AA18" i="10" s="1"/>
  <c r="AA24" i="10" s="1"/>
  <c r="Z12" i="10"/>
  <c r="AD31" i="24"/>
  <c r="AD33" i="24"/>
  <c r="AD30" i="24"/>
  <c r="AD32" i="24"/>
  <c r="AA10" i="10"/>
  <c r="AA11" i="10"/>
  <c r="AA20" i="10" s="1"/>
  <c r="AA26" i="10" s="1"/>
  <c r="Z18" i="10"/>
  <c r="K33" i="10"/>
  <c r="O33" i="10"/>
  <c r="AB24" i="24"/>
  <c r="AC21" i="24"/>
  <c r="AC23" i="24"/>
  <c r="AD26" i="12"/>
  <c r="AD17" i="24"/>
  <c r="M16" i="11"/>
  <c r="N14" i="15"/>
  <c r="N17" i="15" s="1"/>
  <c r="AB4" i="10"/>
  <c r="AB5" i="10" s="1"/>
  <c r="AB28" i="12"/>
  <c r="AD4" i="24"/>
  <c r="AE5" i="24"/>
  <c r="AE20" i="24" s="1"/>
  <c r="AD4" i="15"/>
  <c r="AE5" i="15"/>
  <c r="AD13" i="38"/>
  <c r="AD14" i="38" s="1"/>
  <c r="AE15" i="38"/>
  <c r="AD5" i="11"/>
  <c r="AC4" i="11"/>
  <c r="AD4" i="12"/>
  <c r="AE5" i="12"/>
  <c r="AC6" i="10"/>
  <c r="Q32" i="10"/>
  <c r="J31" i="10"/>
  <c r="P30" i="10"/>
  <c r="P33" i="10" s="1"/>
  <c r="S32" i="10"/>
  <c r="Q31" i="10"/>
  <c r="J30" i="10"/>
  <c r="K29" i="24"/>
  <c r="K35" i="24" s="1"/>
  <c r="K34" i="11" s="1"/>
  <c r="J33" i="10" l="1"/>
  <c r="AB9" i="10"/>
  <c r="AB18" i="10" s="1"/>
  <c r="AA12" i="10"/>
  <c r="AA19" i="10"/>
  <c r="AA25" i="10" s="1"/>
  <c r="AE31" i="24"/>
  <c r="AE33" i="24"/>
  <c r="AE30" i="24"/>
  <c r="AE32" i="24"/>
  <c r="AB10" i="10"/>
  <c r="AB11" i="10"/>
  <c r="AB20" i="10" s="1"/>
  <c r="AB26" i="10" s="1"/>
  <c r="Z24" i="10"/>
  <c r="Z21" i="10"/>
  <c r="AC24" i="24"/>
  <c r="AD21" i="24"/>
  <c r="AD23" i="24"/>
  <c r="AE26" i="12"/>
  <c r="AE17" i="24"/>
  <c r="N16" i="11"/>
  <c r="O14" i="15"/>
  <c r="B60" i="18"/>
  <c r="B30" i="18"/>
  <c r="AC4" i="10"/>
  <c r="AC5" i="10" s="1"/>
  <c r="AC28" i="12"/>
  <c r="Q22" i="24"/>
  <c r="Q27" i="12"/>
  <c r="Q31" i="12" s="1"/>
  <c r="Q81" i="10"/>
  <c r="AE4" i="24"/>
  <c r="AF5" i="24"/>
  <c r="AF20" i="24" s="1"/>
  <c r="AE4" i="15"/>
  <c r="AF5" i="15"/>
  <c r="AF15" i="38"/>
  <c r="AE13" i="38"/>
  <c r="AE14" i="38" s="1"/>
  <c r="AD4" i="11"/>
  <c r="AE5" i="11"/>
  <c r="AE4" i="12"/>
  <c r="AF5" i="12"/>
  <c r="AD6" i="10"/>
  <c r="S30" i="10"/>
  <c r="Q30" i="10"/>
  <c r="Q33" i="10" s="1"/>
  <c r="R30" i="10"/>
  <c r="T30" i="10"/>
  <c r="U30" i="10"/>
  <c r="T32" i="10"/>
  <c r="R31" i="10"/>
  <c r="J21" i="10"/>
  <c r="K27" i="10"/>
  <c r="K9" i="24" s="1"/>
  <c r="K10" i="24" s="1"/>
  <c r="K12" i="11" s="1"/>
  <c r="L29" i="24"/>
  <c r="L35" i="24" s="1"/>
  <c r="L34" i="11" s="1"/>
  <c r="AA21" i="10" l="1"/>
  <c r="AB12" i="10"/>
  <c r="AF33" i="24"/>
  <c r="AF30" i="24"/>
  <c r="AF32" i="24"/>
  <c r="AF31" i="24"/>
  <c r="AC10" i="10"/>
  <c r="AC19" i="10" s="1"/>
  <c r="AC25" i="10" s="1"/>
  <c r="AC11" i="10"/>
  <c r="AC20" i="10" s="1"/>
  <c r="AC26" i="10" s="1"/>
  <c r="R33" i="10"/>
  <c r="AC9" i="10"/>
  <c r="AB19" i="10"/>
  <c r="AB25" i="10" s="1"/>
  <c r="AB24" i="10"/>
  <c r="Q13" i="12"/>
  <c r="AD24" i="24"/>
  <c r="AE21" i="24"/>
  <c r="AE23" i="24"/>
  <c r="AF26" i="12"/>
  <c r="AF17" i="24"/>
  <c r="O17" i="15"/>
  <c r="O16" i="11" s="1"/>
  <c r="AD4" i="10"/>
  <c r="AD5" i="10" s="1"/>
  <c r="AD28" i="12"/>
  <c r="R19" i="24"/>
  <c r="Q26" i="11"/>
  <c r="Q27" i="11" s="1"/>
  <c r="AF4" i="24"/>
  <c r="AG5" i="24"/>
  <c r="AG20" i="24" s="1"/>
  <c r="AG5" i="15"/>
  <c r="AF4" i="15"/>
  <c r="AF13" i="38"/>
  <c r="AF14" i="38" s="1"/>
  <c r="AG15" i="38"/>
  <c r="AE4" i="11"/>
  <c r="AF5" i="11"/>
  <c r="AF4" i="12"/>
  <c r="AG5" i="12"/>
  <c r="AE6" i="10"/>
  <c r="U32" i="10"/>
  <c r="S31" i="10"/>
  <c r="S33" i="10" s="1"/>
  <c r="J10" i="12"/>
  <c r="J27" i="10"/>
  <c r="J9" i="24" s="1"/>
  <c r="J10" i="24" s="1"/>
  <c r="M29" i="24"/>
  <c r="M35" i="24" s="1"/>
  <c r="M34" i="11" s="1"/>
  <c r="L27" i="10"/>
  <c r="L9" i="24" s="1"/>
  <c r="L10" i="24" s="1"/>
  <c r="AC12" i="10" l="1"/>
  <c r="K11" i="24"/>
  <c r="K12" i="24" s="1"/>
  <c r="J12" i="11"/>
  <c r="J11" i="24"/>
  <c r="J12" i="24" s="1"/>
  <c r="J11" i="12" s="1"/>
  <c r="AC18" i="10"/>
  <c r="AC21" i="10" s="1"/>
  <c r="L11" i="24"/>
  <c r="L12" i="24" s="1"/>
  <c r="L11" i="12" s="1"/>
  <c r="L12" i="11"/>
  <c r="AG33" i="24"/>
  <c r="AG32" i="24"/>
  <c r="AG31" i="24"/>
  <c r="AG30" i="24"/>
  <c r="AB21" i="10"/>
  <c r="AD9" i="10"/>
  <c r="AD11" i="10"/>
  <c r="AD20" i="10" s="1"/>
  <c r="AD26" i="10" s="1"/>
  <c r="AD10" i="10"/>
  <c r="AD19" i="10" s="1"/>
  <c r="AD25" i="10" s="1"/>
  <c r="AE24" i="24"/>
  <c r="AF21" i="24"/>
  <c r="AF23" i="24"/>
  <c r="AG26" i="12"/>
  <c r="AG17" i="24"/>
  <c r="P14" i="15"/>
  <c r="P17" i="15" s="1"/>
  <c r="P16" i="11" s="1"/>
  <c r="AE4" i="10"/>
  <c r="AE5" i="10" s="1"/>
  <c r="AE28" i="12"/>
  <c r="AG4" i="24"/>
  <c r="AH5" i="24"/>
  <c r="AH20" i="24" s="1"/>
  <c r="AH5" i="15"/>
  <c r="AG4" i="15"/>
  <c r="AG13" i="38"/>
  <c r="AG14" i="38" s="1"/>
  <c r="AH15" i="38"/>
  <c r="AF4" i="11"/>
  <c r="AG5" i="11"/>
  <c r="AG4" i="12"/>
  <c r="AH5" i="12"/>
  <c r="AF6" i="10"/>
  <c r="V32" i="10"/>
  <c r="T31" i="10"/>
  <c r="T33" i="10" s="1"/>
  <c r="K10" i="12"/>
  <c r="L10" i="12"/>
  <c r="J11" i="11"/>
  <c r="M27" i="10"/>
  <c r="M9" i="24" s="1"/>
  <c r="M10" i="24" s="1"/>
  <c r="N29" i="24"/>
  <c r="N35" i="24" s="1"/>
  <c r="N34" i="11" s="1"/>
  <c r="AC24" i="10" l="1"/>
  <c r="AD12" i="10"/>
  <c r="M12" i="11"/>
  <c r="M11" i="24"/>
  <c r="M12" i="24" s="1"/>
  <c r="M11" i="12" s="1"/>
  <c r="K11" i="12"/>
  <c r="AH30" i="24"/>
  <c r="AH32" i="24"/>
  <c r="AH31" i="24"/>
  <c r="AH33" i="24"/>
  <c r="AE9" i="10"/>
  <c r="AE18" i="10" s="1"/>
  <c r="AE11" i="10"/>
  <c r="AE20" i="10" s="1"/>
  <c r="AE26" i="10" s="1"/>
  <c r="AD18" i="10"/>
  <c r="AE10" i="10"/>
  <c r="AE19" i="10" s="1"/>
  <c r="AE25" i="10" s="1"/>
  <c r="AF24" i="24"/>
  <c r="AG23" i="24"/>
  <c r="AG21" i="24"/>
  <c r="AH26" i="12"/>
  <c r="AH17" i="24"/>
  <c r="Q14" i="15"/>
  <c r="Q17" i="15" s="1"/>
  <c r="AF4" i="10"/>
  <c r="AF5" i="10" s="1"/>
  <c r="AF28" i="12"/>
  <c r="R22" i="24"/>
  <c r="R27" i="12"/>
  <c r="R31" i="12" s="1"/>
  <c r="R81" i="10"/>
  <c r="AI5" i="24"/>
  <c r="AI20" i="24" s="1"/>
  <c r="AH4" i="24"/>
  <c r="AI5" i="15"/>
  <c r="AH4" i="15"/>
  <c r="AI15" i="38"/>
  <c r="AH13" i="38"/>
  <c r="AH14" i="38" s="1"/>
  <c r="AG4" i="11"/>
  <c r="AH5" i="11"/>
  <c r="AI5" i="12"/>
  <c r="AH4" i="12"/>
  <c r="AG6" i="10"/>
  <c r="W32" i="10"/>
  <c r="U31" i="10"/>
  <c r="U33" i="10" s="1"/>
  <c r="K11" i="11"/>
  <c r="L11" i="11" s="1"/>
  <c r="J17" i="11"/>
  <c r="N27" i="10"/>
  <c r="N9" i="24" s="1"/>
  <c r="N10" i="24" s="1"/>
  <c r="O29" i="24"/>
  <c r="O35" i="24" s="1"/>
  <c r="O34" i="11" s="1"/>
  <c r="AF10" i="10" l="1"/>
  <c r="AF19" i="10" s="1"/>
  <c r="AF25" i="10" s="1"/>
  <c r="N11" i="24"/>
  <c r="N12" i="24" s="1"/>
  <c r="N11" i="12" s="1"/>
  <c r="N12" i="11"/>
  <c r="AI32" i="24"/>
  <c r="AI31" i="24"/>
  <c r="AI33" i="24"/>
  <c r="AI30" i="24"/>
  <c r="AE21" i="10"/>
  <c r="AE24" i="10"/>
  <c r="AF11" i="10"/>
  <c r="AF20" i="10" s="1"/>
  <c r="AF26" i="10" s="1"/>
  <c r="AF9" i="10"/>
  <c r="AD21" i="10"/>
  <c r="AD24" i="10"/>
  <c r="AE12" i="10"/>
  <c r="R13" i="12"/>
  <c r="AG24" i="24"/>
  <c r="AH23" i="24"/>
  <c r="AH21" i="24"/>
  <c r="AI26" i="12"/>
  <c r="AI17" i="24"/>
  <c r="Q16" i="11"/>
  <c r="R14" i="15"/>
  <c r="R17" i="15" s="1"/>
  <c r="R16" i="11" s="1"/>
  <c r="AG4" i="10"/>
  <c r="AG5" i="10" s="1"/>
  <c r="AG28" i="12"/>
  <c r="S19" i="24"/>
  <c r="R26" i="11"/>
  <c r="R27" i="11" s="1"/>
  <c r="AJ5" i="24"/>
  <c r="AJ20" i="24" s="1"/>
  <c r="AI4" i="24"/>
  <c r="AJ5" i="15"/>
  <c r="AI4" i="15"/>
  <c r="AJ15" i="38"/>
  <c r="AI13" i="38"/>
  <c r="AI14" i="38" s="1"/>
  <c r="AI5" i="11"/>
  <c r="AH4" i="11"/>
  <c r="AJ5" i="12"/>
  <c r="AI4" i="12"/>
  <c r="AH6" i="10"/>
  <c r="X32" i="10"/>
  <c r="M10" i="12"/>
  <c r="K17" i="11"/>
  <c r="P29" i="24"/>
  <c r="P35" i="24" s="1"/>
  <c r="P34" i="11" s="1"/>
  <c r="O27" i="10"/>
  <c r="O9" i="24" s="1"/>
  <c r="O10" i="24" s="1"/>
  <c r="AF12" i="10" l="1"/>
  <c r="O12" i="11"/>
  <c r="O11" i="24"/>
  <c r="O12" i="24" s="1"/>
  <c r="O11" i="12" s="1"/>
  <c r="AJ32" i="24"/>
  <c r="AJ31" i="24"/>
  <c r="AJ33" i="24"/>
  <c r="AJ30" i="24"/>
  <c r="AG11" i="10"/>
  <c r="AG20" i="10" s="1"/>
  <c r="AG26" i="10" s="1"/>
  <c r="AG10" i="10"/>
  <c r="AG19" i="10" s="1"/>
  <c r="AG25" i="10" s="1"/>
  <c r="AF18" i="10"/>
  <c r="AG9" i="10"/>
  <c r="AH24" i="24"/>
  <c r="AI23" i="24"/>
  <c r="AI21" i="24"/>
  <c r="AJ26" i="12"/>
  <c r="AJ17" i="24"/>
  <c r="S14" i="15"/>
  <c r="S17" i="15" s="1"/>
  <c r="T14" i="15" s="1"/>
  <c r="T17" i="15" s="1"/>
  <c r="AH28" i="12"/>
  <c r="AH4" i="10"/>
  <c r="AH5" i="10" s="1"/>
  <c r="S27" i="12"/>
  <c r="S31" i="12" s="1"/>
  <c r="AK5" i="24"/>
  <c r="AK20" i="24" s="1"/>
  <c r="AJ4" i="24"/>
  <c r="AJ4" i="15"/>
  <c r="AK5" i="15"/>
  <c r="AK15" i="38"/>
  <c r="AJ13" i="38"/>
  <c r="AJ14" i="38" s="1"/>
  <c r="AJ5" i="11"/>
  <c r="AI4" i="11"/>
  <c r="AK5" i="12"/>
  <c r="AJ4" i="12"/>
  <c r="AI6" i="10"/>
  <c r="Y32" i="10"/>
  <c r="M11" i="11"/>
  <c r="N10" i="12"/>
  <c r="L17" i="11"/>
  <c r="P27" i="10"/>
  <c r="P9" i="24" s="1"/>
  <c r="P10" i="24" s="1"/>
  <c r="Q29" i="24"/>
  <c r="Q35" i="24" s="1"/>
  <c r="Q34" i="11" s="1"/>
  <c r="P12" i="11" l="1"/>
  <c r="P11" i="24"/>
  <c r="P12" i="24" s="1"/>
  <c r="P11" i="12" s="1"/>
  <c r="AG12" i="10"/>
  <c r="AK31" i="24"/>
  <c r="AK33" i="24"/>
  <c r="AK30" i="24"/>
  <c r="AK32" i="24"/>
  <c r="AF21" i="10"/>
  <c r="AF24" i="10"/>
  <c r="AH10" i="10"/>
  <c r="AH19" i="10" s="1"/>
  <c r="AH25" i="10" s="1"/>
  <c r="AG18" i="10"/>
  <c r="AH11" i="10"/>
  <c r="AH20" i="10" s="1"/>
  <c r="AH26" i="10" s="1"/>
  <c r="AH9" i="10"/>
  <c r="AI24" i="24"/>
  <c r="AJ23" i="24"/>
  <c r="AJ21" i="24"/>
  <c r="AK26" i="12"/>
  <c r="AK17" i="24"/>
  <c r="S16" i="11"/>
  <c r="T16" i="11"/>
  <c r="U14" i="15"/>
  <c r="U17" i="15" s="1"/>
  <c r="U16" i="11" s="1"/>
  <c r="AI4" i="10"/>
  <c r="AI5" i="10" s="1"/>
  <c r="AI28" i="12"/>
  <c r="S22" i="24"/>
  <c r="S81" i="10"/>
  <c r="AK4" i="24"/>
  <c r="AL5" i="24"/>
  <c r="AL20" i="24" s="1"/>
  <c r="AK4" i="15"/>
  <c r="AL5" i="15"/>
  <c r="AL15" i="38"/>
  <c r="AK13" i="38"/>
  <c r="AK14" i="38" s="1"/>
  <c r="AK5" i="11"/>
  <c r="AJ4" i="11"/>
  <c r="AL5" i="12"/>
  <c r="AK4" i="12"/>
  <c r="AJ6" i="10"/>
  <c r="Z32" i="10"/>
  <c r="N11" i="11"/>
  <c r="O10" i="12"/>
  <c r="M17" i="11"/>
  <c r="N17" i="11"/>
  <c r="Q27" i="10"/>
  <c r="Q9" i="24" s="1"/>
  <c r="Q10" i="24" s="1"/>
  <c r="R29" i="24"/>
  <c r="R35" i="24" s="1"/>
  <c r="R34" i="11" s="1"/>
  <c r="Q12" i="11" l="1"/>
  <c r="Q11" i="24"/>
  <c r="Q12" i="24" s="1"/>
  <c r="Q11" i="12" s="1"/>
  <c r="AL31" i="24"/>
  <c r="AL33" i="24"/>
  <c r="AL30" i="24"/>
  <c r="AL32" i="24"/>
  <c r="AH12" i="10"/>
  <c r="AH18" i="10"/>
  <c r="AG24" i="10"/>
  <c r="AG21" i="10"/>
  <c r="AI10" i="10"/>
  <c r="AI19" i="10" s="1"/>
  <c r="AI25" i="10" s="1"/>
  <c r="AI9" i="10"/>
  <c r="AI11" i="10"/>
  <c r="AI20" i="10" s="1"/>
  <c r="AI26" i="10" s="1"/>
  <c r="S13" i="12"/>
  <c r="AJ24" i="24"/>
  <c r="AL26" i="12"/>
  <c r="AL17" i="24"/>
  <c r="AK23" i="24"/>
  <c r="AK21" i="24"/>
  <c r="V14" i="15"/>
  <c r="V17" i="15" s="1"/>
  <c r="AJ28" i="12"/>
  <c r="AJ4" i="10"/>
  <c r="AJ5" i="10" s="1"/>
  <c r="T19" i="24"/>
  <c r="S26" i="11"/>
  <c r="S27" i="11" s="1"/>
  <c r="AL4" i="24"/>
  <c r="AM5" i="24"/>
  <c r="AM20" i="24" s="1"/>
  <c r="AL4" i="15"/>
  <c r="AM5" i="15"/>
  <c r="AL13" i="38"/>
  <c r="AL14" i="38" s="1"/>
  <c r="AM15" i="38"/>
  <c r="AL5" i="11"/>
  <c r="AK4" i="11"/>
  <c r="AL4" i="12"/>
  <c r="AM5" i="12"/>
  <c r="AK6" i="10"/>
  <c r="AA32" i="10"/>
  <c r="P10" i="12"/>
  <c r="Q10" i="12"/>
  <c r="O17" i="11"/>
  <c r="O11" i="11"/>
  <c r="R27" i="10"/>
  <c r="R9" i="24" s="1"/>
  <c r="R10" i="24" s="1"/>
  <c r="S29" i="24"/>
  <c r="S35" i="24" s="1"/>
  <c r="S34" i="11" s="1"/>
  <c r="R11" i="24" l="1"/>
  <c r="R12" i="24" s="1"/>
  <c r="R11" i="12" s="1"/>
  <c r="R12" i="11"/>
  <c r="AM31" i="24"/>
  <c r="AM33" i="24"/>
  <c r="AM30" i="24"/>
  <c r="AM32" i="24"/>
  <c r="AI12" i="10"/>
  <c r="AJ9" i="10"/>
  <c r="AJ18" i="10" s="1"/>
  <c r="AJ10" i="10"/>
  <c r="AJ19" i="10" s="1"/>
  <c r="AJ25" i="10" s="1"/>
  <c r="AJ11" i="10"/>
  <c r="AJ20" i="10" s="1"/>
  <c r="AJ26" i="10" s="1"/>
  <c r="AI18" i="10"/>
  <c r="AH24" i="10"/>
  <c r="AH21" i="10"/>
  <c r="AK24" i="24"/>
  <c r="AL21" i="24"/>
  <c r="AL23" i="24"/>
  <c r="AM26" i="12"/>
  <c r="AM17" i="24"/>
  <c r="V16" i="11"/>
  <c r="W14" i="15"/>
  <c r="W17" i="15" s="1"/>
  <c r="W16" i="11" s="1"/>
  <c r="AK4" i="10"/>
  <c r="AK5" i="10" s="1"/>
  <c r="AK28" i="12"/>
  <c r="T27" i="12"/>
  <c r="T31" i="12" s="1"/>
  <c r="AM4" i="24"/>
  <c r="AN5" i="24"/>
  <c r="AN20" i="24" s="1"/>
  <c r="AM4" i="15"/>
  <c r="AN5" i="15"/>
  <c r="AM13" i="38"/>
  <c r="AM14" i="38" s="1"/>
  <c r="AN15" i="38"/>
  <c r="AL4" i="11"/>
  <c r="AM5" i="11"/>
  <c r="AM4" i="12"/>
  <c r="AN5" i="12"/>
  <c r="AL6" i="10"/>
  <c r="AB32" i="10"/>
  <c r="P11" i="11"/>
  <c r="Q11" i="11" s="1"/>
  <c r="T29" i="24"/>
  <c r="T35" i="24" s="1"/>
  <c r="T34" i="11" s="1"/>
  <c r="S27" i="10"/>
  <c r="S9" i="24" s="1"/>
  <c r="S10" i="24" s="1"/>
  <c r="S12" i="11" l="1"/>
  <c r="S11" i="24"/>
  <c r="S12" i="24" s="1"/>
  <c r="S11" i="12" s="1"/>
  <c r="AN33" i="24"/>
  <c r="AN30" i="24"/>
  <c r="AN32" i="24"/>
  <c r="AN31" i="24"/>
  <c r="AK11" i="10"/>
  <c r="AK20" i="10" s="1"/>
  <c r="AK26" i="10" s="1"/>
  <c r="AK9" i="10"/>
  <c r="AK10" i="10"/>
  <c r="AK19" i="10" s="1"/>
  <c r="AK25" i="10" s="1"/>
  <c r="AI21" i="10"/>
  <c r="AI24" i="10"/>
  <c r="AJ12" i="10"/>
  <c r="AJ24" i="10"/>
  <c r="AJ21" i="10"/>
  <c r="AL24" i="24"/>
  <c r="AN26" i="12"/>
  <c r="AN17" i="24"/>
  <c r="AM21" i="24"/>
  <c r="AM23" i="24"/>
  <c r="X14" i="15"/>
  <c r="X17" i="15" s="1"/>
  <c r="AL4" i="10"/>
  <c r="AL5" i="10" s="1"/>
  <c r="T22" i="24"/>
  <c r="AL28" i="12"/>
  <c r="T81" i="10"/>
  <c r="AN4" i="24"/>
  <c r="AO5" i="24"/>
  <c r="AO20" i="24" s="1"/>
  <c r="AO5" i="15"/>
  <c r="AN4" i="15"/>
  <c r="AN13" i="38"/>
  <c r="AN14" i="38" s="1"/>
  <c r="AO15" i="38"/>
  <c r="AM4" i="11"/>
  <c r="AN5" i="11"/>
  <c r="AN4" i="12"/>
  <c r="AO5" i="12"/>
  <c r="AM6" i="10"/>
  <c r="AC32" i="10"/>
  <c r="R10" i="12"/>
  <c r="P17" i="11"/>
  <c r="Q17" i="11"/>
  <c r="U29" i="24"/>
  <c r="U35" i="24" s="1"/>
  <c r="U34" i="11" s="1"/>
  <c r="T27" i="10"/>
  <c r="T9" i="24" s="1"/>
  <c r="T10" i="24" s="1"/>
  <c r="AK12" i="10" l="1"/>
  <c r="AL9" i="10"/>
  <c r="AL18" i="10" s="1"/>
  <c r="AL10" i="10"/>
  <c r="AL19" i="10" s="1"/>
  <c r="AL25" i="10" s="1"/>
  <c r="T12" i="11"/>
  <c r="T11" i="24"/>
  <c r="T12" i="24" s="1"/>
  <c r="T11" i="12" s="1"/>
  <c r="AL11" i="10"/>
  <c r="AL12" i="10" s="1"/>
  <c r="AO33" i="24"/>
  <c r="AO30" i="24"/>
  <c r="AO32" i="24"/>
  <c r="AO31" i="24"/>
  <c r="AK18" i="10"/>
  <c r="T13" i="12"/>
  <c r="AM24" i="24"/>
  <c r="AO26" i="12"/>
  <c r="AO17" i="24"/>
  <c r="AN21" i="24"/>
  <c r="AN23" i="24"/>
  <c r="Y14" i="15"/>
  <c r="Y17" i="15" s="1"/>
  <c r="AM4" i="10"/>
  <c r="AM5" i="10" s="1"/>
  <c r="U19" i="24"/>
  <c r="T26" i="11"/>
  <c r="T27" i="11" s="1"/>
  <c r="AM28" i="12"/>
  <c r="AO4" i="24"/>
  <c r="AP5" i="24"/>
  <c r="AP20" i="24" s="1"/>
  <c r="AP5" i="15"/>
  <c r="AO4" i="15"/>
  <c r="AO13" i="38"/>
  <c r="AO14" i="38" s="1"/>
  <c r="AP15" i="38"/>
  <c r="AN4" i="11"/>
  <c r="AO5" i="11"/>
  <c r="AO4" i="12"/>
  <c r="AP5" i="12"/>
  <c r="AN6" i="10"/>
  <c r="V30" i="10"/>
  <c r="AD32" i="10"/>
  <c r="R11" i="11"/>
  <c r="S10" i="12"/>
  <c r="T10" i="12"/>
  <c r="U27" i="10"/>
  <c r="U9" i="24" s="1"/>
  <c r="U10" i="24" s="1"/>
  <c r="V29" i="24"/>
  <c r="V35" i="24" s="1"/>
  <c r="V34" i="11" s="1"/>
  <c r="AL20" i="10" l="1"/>
  <c r="AL26" i="10" s="1"/>
  <c r="U12" i="11"/>
  <c r="U11" i="24"/>
  <c r="U12" i="24" s="1"/>
  <c r="U11" i="12" s="1"/>
  <c r="AP30" i="24"/>
  <c r="AP32" i="24"/>
  <c r="AP31" i="24"/>
  <c r="AP33" i="24"/>
  <c r="AL24" i="10"/>
  <c r="AM11" i="10"/>
  <c r="AM20" i="10" s="1"/>
  <c r="AM26" i="10" s="1"/>
  <c r="AM9" i="10"/>
  <c r="AM18" i="10" s="1"/>
  <c r="AM24" i="10" s="1"/>
  <c r="AM10" i="10"/>
  <c r="AM19" i="10" s="1"/>
  <c r="AM25" i="10" s="1"/>
  <c r="AK21" i="10"/>
  <c r="AK24" i="10"/>
  <c r="AN24" i="24"/>
  <c r="AO23" i="24"/>
  <c r="AO21" i="24"/>
  <c r="AP26" i="12"/>
  <c r="AP17" i="24"/>
  <c r="Z14" i="15"/>
  <c r="Z17" i="15" s="1"/>
  <c r="X16" i="11"/>
  <c r="AN4" i="10"/>
  <c r="AN5" i="10" s="1"/>
  <c r="AN9" i="10" s="1"/>
  <c r="AN28" i="12"/>
  <c r="AQ5" i="24"/>
  <c r="AQ20" i="24" s="1"/>
  <c r="AP4" i="24"/>
  <c r="AQ5" i="15"/>
  <c r="AP4" i="15"/>
  <c r="AP13" i="38"/>
  <c r="AP14" i="38" s="1"/>
  <c r="AQ15" i="38"/>
  <c r="AO4" i="11"/>
  <c r="AP5" i="11"/>
  <c r="AQ5" i="12"/>
  <c r="AP4" i="12"/>
  <c r="AO6" i="10"/>
  <c r="V31" i="10"/>
  <c r="V33" i="10" s="1"/>
  <c r="AE32" i="10"/>
  <c r="W31" i="10"/>
  <c r="W30" i="10"/>
  <c r="V27" i="10"/>
  <c r="V9" i="24" s="1"/>
  <c r="V10" i="24" s="1"/>
  <c r="W27" i="10"/>
  <c r="W9" i="24" s="1"/>
  <c r="W10" i="24" s="1"/>
  <c r="S11" i="11"/>
  <c r="T11" i="11" s="1"/>
  <c r="R17" i="11"/>
  <c r="S17" i="11"/>
  <c r="W29" i="24"/>
  <c r="W35" i="24" s="1"/>
  <c r="W34" i="11" s="1"/>
  <c r="AL21" i="10" l="1"/>
  <c r="W12" i="11"/>
  <c r="W11" i="24"/>
  <c r="W12" i="24" s="1"/>
  <c r="V11" i="24"/>
  <c r="V12" i="24" s="1"/>
  <c r="V11" i="12" s="1"/>
  <c r="V12" i="11"/>
  <c r="AQ32" i="24"/>
  <c r="AQ31" i="24"/>
  <c r="AQ33" i="24"/>
  <c r="AQ30" i="24"/>
  <c r="AN18" i="10"/>
  <c r="AM12" i="10"/>
  <c r="W33" i="10"/>
  <c r="AN11" i="10"/>
  <c r="AN20" i="10" s="1"/>
  <c r="AN26" i="10" s="1"/>
  <c r="AM21" i="10"/>
  <c r="AN10" i="10"/>
  <c r="AO24" i="24"/>
  <c r="AQ26" i="12"/>
  <c r="AQ17" i="24"/>
  <c r="AP21" i="24"/>
  <c r="AP23" i="24"/>
  <c r="AA14" i="15"/>
  <c r="AA17" i="15" s="1"/>
  <c r="Y16" i="11"/>
  <c r="AO4" i="10"/>
  <c r="AO5" i="10" s="1"/>
  <c r="AO28" i="12"/>
  <c r="U22" i="24"/>
  <c r="U27" i="12"/>
  <c r="U31" i="12" s="1"/>
  <c r="U81" i="10"/>
  <c r="AR5" i="24"/>
  <c r="AR20" i="24" s="1"/>
  <c r="AQ4" i="24"/>
  <c r="AQ4" i="15"/>
  <c r="AR5" i="15"/>
  <c r="AR15" i="38"/>
  <c r="AQ13" i="38"/>
  <c r="AQ14" i="38" s="1"/>
  <c r="AP4" i="11"/>
  <c r="AQ5" i="11"/>
  <c r="AR5" i="12"/>
  <c r="AQ4" i="12"/>
  <c r="AP6" i="10"/>
  <c r="AF32" i="10"/>
  <c r="X30" i="10"/>
  <c r="X31" i="10"/>
  <c r="U10" i="12"/>
  <c r="V10" i="12"/>
  <c r="X29" i="24"/>
  <c r="X35" i="24" s="1"/>
  <c r="X34" i="11" s="1"/>
  <c r="AN12" i="10" l="1"/>
  <c r="W11" i="12"/>
  <c r="AR32" i="24"/>
  <c r="AR31" i="24"/>
  <c r="AR33" i="24"/>
  <c r="AR30" i="24"/>
  <c r="X33" i="10"/>
  <c r="AO10" i="10"/>
  <c r="AO19" i="10" s="1"/>
  <c r="AO25" i="10" s="1"/>
  <c r="AO11" i="10"/>
  <c r="AO20" i="10" s="1"/>
  <c r="AO26" i="10" s="1"/>
  <c r="AO9" i="10"/>
  <c r="AN24" i="10"/>
  <c r="AN19" i="10"/>
  <c r="AN25" i="10" s="1"/>
  <c r="U13" i="12"/>
  <c r="AP24" i="24"/>
  <c r="AQ23" i="24"/>
  <c r="AQ21" i="24"/>
  <c r="AR26" i="12"/>
  <c r="AR17" i="24"/>
  <c r="Z16" i="11"/>
  <c r="AB14" i="15"/>
  <c r="AB17" i="15" s="1"/>
  <c r="AP4" i="10"/>
  <c r="AP5" i="10" s="1"/>
  <c r="AP28" i="12"/>
  <c r="V19" i="24"/>
  <c r="U26" i="11"/>
  <c r="U27" i="11" s="1"/>
  <c r="AS5" i="24"/>
  <c r="AS20" i="24" s="1"/>
  <c r="AR4" i="24"/>
  <c r="AR4" i="15"/>
  <c r="AS5" i="15"/>
  <c r="AS15" i="38"/>
  <c r="AR13" i="38"/>
  <c r="AR14" i="38" s="1"/>
  <c r="AR5" i="11"/>
  <c r="AQ4" i="11"/>
  <c r="AS5" i="12"/>
  <c r="AR4" i="12"/>
  <c r="AQ6" i="10"/>
  <c r="W10" i="12"/>
  <c r="AG32" i="10"/>
  <c r="Y30" i="10"/>
  <c r="Y31" i="10"/>
  <c r="X27" i="10"/>
  <c r="X9" i="24" s="1"/>
  <c r="X10" i="24" s="1"/>
  <c r="Y27" i="10"/>
  <c r="Y9" i="24" s="1"/>
  <c r="Y10" i="24" s="1"/>
  <c r="T17" i="11"/>
  <c r="U17" i="11"/>
  <c r="U11" i="11"/>
  <c r="V11" i="11" s="1"/>
  <c r="Y29" i="24"/>
  <c r="Y35" i="24" s="1"/>
  <c r="Y34" i="11" s="1"/>
  <c r="Y33" i="10" l="1"/>
  <c r="Y11" i="24"/>
  <c r="Y12" i="24" s="1"/>
  <c r="Y12" i="11"/>
  <c r="X12" i="11"/>
  <c r="X11" i="24"/>
  <c r="X12" i="24" s="1"/>
  <c r="X11" i="12" s="1"/>
  <c r="AS31" i="24"/>
  <c r="AS33" i="24"/>
  <c r="AS30" i="24"/>
  <c r="AS32" i="24"/>
  <c r="AP10" i="10"/>
  <c r="AP19" i="10" s="1"/>
  <c r="AP25" i="10" s="1"/>
  <c r="AO12" i="10"/>
  <c r="AP11" i="10"/>
  <c r="AP20" i="10" s="1"/>
  <c r="AP26" i="10" s="1"/>
  <c r="AO18" i="10"/>
  <c r="AP9" i="10"/>
  <c r="AN21" i="10"/>
  <c r="AQ24" i="24"/>
  <c r="AR23" i="24"/>
  <c r="AR21" i="24"/>
  <c r="AS26" i="12"/>
  <c r="AS17" i="24"/>
  <c r="AC14" i="15"/>
  <c r="AC17" i="15" s="1"/>
  <c r="AA16" i="11"/>
  <c r="AQ4" i="10"/>
  <c r="AQ5" i="10" s="1"/>
  <c r="AQ28" i="12"/>
  <c r="V27" i="12"/>
  <c r="V31" i="12" s="1"/>
  <c r="AS4" i="24"/>
  <c r="AT5" i="24"/>
  <c r="AT20" i="24" s="1"/>
  <c r="AS4" i="15"/>
  <c r="AT5" i="15"/>
  <c r="AT15" i="38"/>
  <c r="AS13" i="38"/>
  <c r="AS14" i="38" s="1"/>
  <c r="AS5" i="11"/>
  <c r="AR4" i="11"/>
  <c r="AS4" i="12"/>
  <c r="AT5" i="12"/>
  <c r="AR6" i="10"/>
  <c r="W11" i="11"/>
  <c r="AH32" i="10"/>
  <c r="Z30" i="10"/>
  <c r="Z31" i="10"/>
  <c r="X10" i="12"/>
  <c r="Z27" i="10"/>
  <c r="Z9" i="24" s="1"/>
  <c r="Z10" i="24" s="1"/>
  <c r="Z29" i="24"/>
  <c r="Z35" i="24" s="1"/>
  <c r="Z34" i="11" s="1"/>
  <c r="Z33" i="10" l="1"/>
  <c r="Z12" i="11"/>
  <c r="Z11" i="24"/>
  <c r="Z12" i="24" s="1"/>
  <c r="Z11" i="12" s="1"/>
  <c r="Y11" i="12"/>
  <c r="AT31" i="24"/>
  <c r="AT33" i="24"/>
  <c r="AT30" i="24"/>
  <c r="AT32" i="24"/>
  <c r="AP12" i="10"/>
  <c r="AQ9" i="10"/>
  <c r="AQ10" i="10"/>
  <c r="AQ19" i="10" s="1"/>
  <c r="AQ25" i="10" s="1"/>
  <c r="AQ11" i="10"/>
  <c r="AQ20" i="10" s="1"/>
  <c r="AQ26" i="10" s="1"/>
  <c r="AO24" i="10"/>
  <c r="AO21" i="10"/>
  <c r="AP18" i="10"/>
  <c r="AR24" i="24"/>
  <c r="AS21" i="24"/>
  <c r="AS23" i="24"/>
  <c r="AT26" i="12"/>
  <c r="AT17" i="24"/>
  <c r="AB16" i="11"/>
  <c r="AD14" i="15"/>
  <c r="AD17" i="15" s="1"/>
  <c r="AR4" i="10"/>
  <c r="AR5" i="10" s="1"/>
  <c r="AR28" i="12"/>
  <c r="V81" i="10"/>
  <c r="V13" i="12" s="1"/>
  <c r="V22" i="24"/>
  <c r="AU5" i="24"/>
  <c r="AU20" i="24" s="1"/>
  <c r="AT4" i="24"/>
  <c r="AT4" i="15"/>
  <c r="AU5" i="15"/>
  <c r="AT13" i="38"/>
  <c r="AT14" i="38" s="1"/>
  <c r="AU15" i="38"/>
  <c r="AT5" i="11"/>
  <c r="AS4" i="11"/>
  <c r="AT4" i="12"/>
  <c r="AU5" i="12"/>
  <c r="AS6" i="10"/>
  <c r="AI32" i="10"/>
  <c r="AA30" i="10"/>
  <c r="AA31" i="10"/>
  <c r="X11" i="11"/>
  <c r="AA27" i="10"/>
  <c r="AA9" i="24" s="1"/>
  <c r="AA10" i="24" s="1"/>
  <c r="Y10" i="12"/>
  <c r="V17" i="11"/>
  <c r="AA29" i="24"/>
  <c r="AA35" i="24" s="1"/>
  <c r="AA34" i="11" s="1"/>
  <c r="AA12" i="11" l="1"/>
  <c r="AA11" i="24"/>
  <c r="AA12" i="24" s="1"/>
  <c r="AA11" i="12" s="1"/>
  <c r="AR10" i="10"/>
  <c r="AR19" i="10" s="1"/>
  <c r="AR25" i="10" s="1"/>
  <c r="AR9" i="10"/>
  <c r="AR18" i="10" s="1"/>
  <c r="AU31" i="24"/>
  <c r="AU33" i="24"/>
  <c r="AU30" i="24"/>
  <c r="AU32" i="24"/>
  <c r="AQ12" i="10"/>
  <c r="AQ18" i="10"/>
  <c r="AR11" i="10"/>
  <c r="AR20" i="10" s="1"/>
  <c r="AR26" i="10" s="1"/>
  <c r="AA33" i="10"/>
  <c r="AP24" i="10"/>
  <c r="AP21" i="10"/>
  <c r="AS24" i="24"/>
  <c r="AT21" i="24"/>
  <c r="AT23" i="24"/>
  <c r="AU26" i="12"/>
  <c r="AU17" i="24"/>
  <c r="AC16" i="11"/>
  <c r="AE14" i="15"/>
  <c r="AE17" i="15" s="1"/>
  <c r="AS4" i="10"/>
  <c r="AS5" i="10" s="1"/>
  <c r="W19" i="24"/>
  <c r="V26" i="11"/>
  <c r="V27" i="11" s="1"/>
  <c r="AS28" i="12"/>
  <c r="AU4" i="24"/>
  <c r="AV5" i="24"/>
  <c r="AV20" i="24" s="1"/>
  <c r="AU4" i="15"/>
  <c r="AV5" i="15"/>
  <c r="AU13" i="38"/>
  <c r="AU14" i="38" s="1"/>
  <c r="AV15" i="38"/>
  <c r="AU5" i="11"/>
  <c r="AT4" i="11"/>
  <c r="AU4" i="12"/>
  <c r="AV5" i="12"/>
  <c r="AT6" i="10"/>
  <c r="AJ32" i="10"/>
  <c r="AB31" i="10"/>
  <c r="AB30" i="10"/>
  <c r="Y11" i="11"/>
  <c r="Z10" i="12"/>
  <c r="AB27" i="10"/>
  <c r="AB9" i="24" s="1"/>
  <c r="AB10" i="24" s="1"/>
  <c r="W17" i="11"/>
  <c r="AB29" i="24"/>
  <c r="AB35" i="24" s="1"/>
  <c r="AB34" i="11" s="1"/>
  <c r="AB11" i="24" l="1"/>
  <c r="AB12" i="24" s="1"/>
  <c r="AB11" i="12" s="1"/>
  <c r="AB12" i="11"/>
  <c r="AB33" i="10"/>
  <c r="AV33" i="24"/>
  <c r="AV30" i="24"/>
  <c r="AV32" i="24"/>
  <c r="AV31" i="24"/>
  <c r="AQ21" i="10"/>
  <c r="AQ24" i="10"/>
  <c r="AR12" i="10"/>
  <c r="AS9" i="10"/>
  <c r="AR24" i="10"/>
  <c r="AR21" i="10"/>
  <c r="AS10" i="10"/>
  <c r="AS19" i="10" s="1"/>
  <c r="AS25" i="10" s="1"/>
  <c r="AS11" i="10"/>
  <c r="AS20" i="10" s="1"/>
  <c r="AS26" i="10" s="1"/>
  <c r="AT24" i="24"/>
  <c r="AU21" i="24"/>
  <c r="AU23" i="24"/>
  <c r="AV26" i="12"/>
  <c r="AV17" i="24"/>
  <c r="AF14" i="15"/>
  <c r="AF17" i="15" s="1"/>
  <c r="AD16" i="11"/>
  <c r="AT4" i="10"/>
  <c r="AT5" i="10" s="1"/>
  <c r="W27" i="12"/>
  <c r="W31" i="12" s="1"/>
  <c r="AT28" i="12"/>
  <c r="AV4" i="24"/>
  <c r="AW5" i="24"/>
  <c r="AW20" i="24" s="1"/>
  <c r="AW5" i="15"/>
  <c r="AV4" i="15"/>
  <c r="AV13" i="38"/>
  <c r="AV14" i="38" s="1"/>
  <c r="AW15" i="38"/>
  <c r="AU4" i="11"/>
  <c r="AV5" i="11"/>
  <c r="AV4" i="12"/>
  <c r="AW5" i="12"/>
  <c r="AU6" i="10"/>
  <c r="AK32" i="10"/>
  <c r="AC31" i="10"/>
  <c r="AC30" i="10"/>
  <c r="AC33" i="10" s="1"/>
  <c r="AC27" i="10"/>
  <c r="AC9" i="24" s="1"/>
  <c r="AC10" i="24" s="1"/>
  <c r="Z11" i="11"/>
  <c r="AA10" i="12"/>
  <c r="X17" i="11"/>
  <c r="Y17" i="11"/>
  <c r="AC29" i="24"/>
  <c r="AC35" i="24" s="1"/>
  <c r="AC34" i="11" s="1"/>
  <c r="AC12" i="11" l="1"/>
  <c r="AC11" i="24"/>
  <c r="AC12" i="24" s="1"/>
  <c r="AC11" i="12" s="1"/>
  <c r="AS12" i="10"/>
  <c r="AW33" i="24"/>
  <c r="AW30" i="24"/>
  <c r="AW32" i="24"/>
  <c r="AW31" i="24"/>
  <c r="AT10" i="10"/>
  <c r="AT19" i="10" s="1"/>
  <c r="AT25" i="10" s="1"/>
  <c r="AT11" i="10"/>
  <c r="AT20" i="10" s="1"/>
  <c r="AT26" i="10" s="1"/>
  <c r="AS18" i="10"/>
  <c r="AT9" i="10"/>
  <c r="AT18" i="10" s="1"/>
  <c r="AU24" i="24"/>
  <c r="AV21" i="24"/>
  <c r="AV23" i="24"/>
  <c r="AW26" i="12"/>
  <c r="AW17" i="24"/>
  <c r="AG14" i="15"/>
  <c r="AG17" i="15" s="1"/>
  <c r="AE16" i="11"/>
  <c r="AU4" i="10"/>
  <c r="AU5" i="10" s="1"/>
  <c r="AU28" i="12"/>
  <c r="W22" i="24"/>
  <c r="W81" i="10"/>
  <c r="W13" i="12" s="1"/>
  <c r="AW4" i="24"/>
  <c r="AX5" i="24"/>
  <c r="AX20" i="24" s="1"/>
  <c r="AX5" i="15"/>
  <c r="AW4" i="15"/>
  <c r="AW13" i="38"/>
  <c r="AW14" i="38" s="1"/>
  <c r="AX15" i="38"/>
  <c r="AV4" i="11"/>
  <c r="AW5" i="11"/>
  <c r="AW4" i="12"/>
  <c r="AX5" i="12"/>
  <c r="AV6" i="10"/>
  <c r="AL32" i="10"/>
  <c r="AD31" i="10"/>
  <c r="AD30" i="10"/>
  <c r="AA11" i="11"/>
  <c r="AD27" i="10"/>
  <c r="AD9" i="24" s="1"/>
  <c r="AD10" i="24" s="1"/>
  <c r="AB10" i="12"/>
  <c r="AD29" i="24"/>
  <c r="AD35" i="24" s="1"/>
  <c r="AD34" i="11" s="1"/>
  <c r="AD11" i="24" l="1"/>
  <c r="AD12" i="24" s="1"/>
  <c r="AD11" i="12" s="1"/>
  <c r="AD12" i="11"/>
  <c r="AX30" i="24"/>
  <c r="AX32" i="24"/>
  <c r="AX31" i="24"/>
  <c r="AX33" i="24"/>
  <c r="AT21" i="10"/>
  <c r="AT24" i="10"/>
  <c r="AS21" i="10"/>
  <c r="AS24" i="10"/>
  <c r="AU10" i="10"/>
  <c r="AU19" i="10" s="1"/>
  <c r="AU25" i="10" s="1"/>
  <c r="AT12" i="10"/>
  <c r="AU9" i="10"/>
  <c r="AD33" i="10"/>
  <c r="AU11" i="10"/>
  <c r="AU20" i="10" s="1"/>
  <c r="AU26" i="10" s="1"/>
  <c r="AV24" i="24"/>
  <c r="AW21" i="24"/>
  <c r="AW23" i="24"/>
  <c r="AX26" i="12"/>
  <c r="AX17" i="24"/>
  <c r="AH14" i="15"/>
  <c r="AH17" i="15" s="1"/>
  <c r="AF16" i="11"/>
  <c r="AV4" i="10"/>
  <c r="AV5" i="10" s="1"/>
  <c r="AV28" i="12"/>
  <c r="X19" i="24"/>
  <c r="W26" i="11"/>
  <c r="W27" i="11" s="1"/>
  <c r="AY5" i="24"/>
  <c r="AY20" i="24" s="1"/>
  <c r="AX4" i="24"/>
  <c r="AY5" i="15"/>
  <c r="AX4" i="15"/>
  <c r="AY15" i="38"/>
  <c r="AX13" i="38"/>
  <c r="AX14" i="38" s="1"/>
  <c r="AW4" i="11"/>
  <c r="AX5" i="11"/>
  <c r="AX4" i="12"/>
  <c r="AY5" i="12"/>
  <c r="AW6" i="10"/>
  <c r="AM32" i="10"/>
  <c r="AE31" i="10"/>
  <c r="AE30" i="10"/>
  <c r="AE27" i="10"/>
  <c r="AE9" i="24" s="1"/>
  <c r="AE10" i="24" s="1"/>
  <c r="AC10" i="12"/>
  <c r="AB11" i="11"/>
  <c r="Z17" i="11"/>
  <c r="AA17" i="11"/>
  <c r="AE29" i="24"/>
  <c r="AE35" i="24" s="1"/>
  <c r="AE34" i="11" s="1"/>
  <c r="AU12" i="10" l="1"/>
  <c r="AE12" i="11"/>
  <c r="AE11" i="24"/>
  <c r="AE12" i="24" s="1"/>
  <c r="AE11" i="12" s="1"/>
  <c r="AY32" i="24"/>
  <c r="AY31" i="24"/>
  <c r="AY33" i="24"/>
  <c r="AY30" i="24"/>
  <c r="AE33" i="10"/>
  <c r="AV9" i="10"/>
  <c r="AV11" i="10"/>
  <c r="AV20" i="10" s="1"/>
  <c r="AV26" i="10" s="1"/>
  <c r="AU18" i="10"/>
  <c r="AV10" i="10"/>
  <c r="AV19" i="10" s="1"/>
  <c r="AV25" i="10" s="1"/>
  <c r="AW24" i="24"/>
  <c r="AX23" i="24"/>
  <c r="AX21" i="24"/>
  <c r="AY26" i="12"/>
  <c r="AY17" i="24"/>
  <c r="AI14" i="15"/>
  <c r="AI17" i="15" s="1"/>
  <c r="AG16" i="11"/>
  <c r="AW4" i="10"/>
  <c r="AW5" i="10" s="1"/>
  <c r="AW28" i="12"/>
  <c r="AX6" i="10"/>
  <c r="AZ5" i="24"/>
  <c r="AZ20" i="24" s="1"/>
  <c r="AY4" i="24"/>
  <c r="AY4" i="15"/>
  <c r="AZ5" i="15"/>
  <c r="AZ15" i="38"/>
  <c r="AY13" i="38"/>
  <c r="AY14" i="38" s="1"/>
  <c r="AY5" i="11"/>
  <c r="AX4" i="11"/>
  <c r="AZ5" i="12"/>
  <c r="AY4" i="12"/>
  <c r="AN32" i="10"/>
  <c r="AF30" i="10"/>
  <c r="AF31" i="10"/>
  <c r="AC11" i="11"/>
  <c r="AD10" i="12"/>
  <c r="AF27" i="10"/>
  <c r="AF9" i="24" s="1"/>
  <c r="AF10" i="24" s="1"/>
  <c r="AB17" i="11"/>
  <c r="AF29" i="24"/>
  <c r="AF35" i="24" s="1"/>
  <c r="AF34" i="11" s="1"/>
  <c r="AF12" i="11" l="1"/>
  <c r="AF11" i="24"/>
  <c r="AF12" i="24" s="1"/>
  <c r="AF11" i="12" s="1"/>
  <c r="AZ32" i="24"/>
  <c r="AZ31" i="24"/>
  <c r="AZ33" i="24"/>
  <c r="AZ30" i="24"/>
  <c r="AU21" i="10"/>
  <c r="AU24" i="10"/>
  <c r="AV12" i="10"/>
  <c r="AW10" i="10"/>
  <c r="AW19" i="10" s="1"/>
  <c r="AW25" i="10" s="1"/>
  <c r="AV18" i="10"/>
  <c r="AW11" i="10"/>
  <c r="AW20" i="10" s="1"/>
  <c r="AW26" i="10" s="1"/>
  <c r="AW9" i="10"/>
  <c r="AW18" i="10" s="1"/>
  <c r="AF33" i="10"/>
  <c r="AX24" i="24"/>
  <c r="AY23" i="24"/>
  <c r="AY21" i="24"/>
  <c r="AZ26" i="12"/>
  <c r="AZ17" i="24"/>
  <c r="AH16" i="11"/>
  <c r="AJ14" i="15"/>
  <c r="AJ17" i="15" s="1"/>
  <c r="AX4" i="10"/>
  <c r="AX5" i="10" s="1"/>
  <c r="AX28" i="12"/>
  <c r="X22" i="24"/>
  <c r="X27" i="12"/>
  <c r="X31" i="12" s="1"/>
  <c r="X81" i="10"/>
  <c r="X13" i="12" s="1"/>
  <c r="AY6" i="10"/>
  <c r="BA5" i="24"/>
  <c r="BA20" i="24" s="1"/>
  <c r="AZ4" i="24"/>
  <c r="AZ4" i="15"/>
  <c r="BA5" i="15"/>
  <c r="BA15" i="38"/>
  <c r="AZ13" i="38"/>
  <c r="AZ14" i="38" s="1"/>
  <c r="AZ5" i="11"/>
  <c r="AY4" i="11"/>
  <c r="BA5" i="12"/>
  <c r="AZ4" i="12"/>
  <c r="AO32" i="10"/>
  <c r="AG30" i="10"/>
  <c r="AG31" i="10"/>
  <c r="AG27" i="10"/>
  <c r="AG9" i="24" s="1"/>
  <c r="AG10" i="24" s="1"/>
  <c r="AD11" i="11"/>
  <c r="AE10" i="12"/>
  <c r="AG29" i="24"/>
  <c r="AG35" i="24" s="1"/>
  <c r="AG34" i="11" s="1"/>
  <c r="AG33" i="10" l="1"/>
  <c r="AG12" i="11"/>
  <c r="AG11" i="24"/>
  <c r="AG12" i="24" s="1"/>
  <c r="AG11" i="12" s="1"/>
  <c r="BA31" i="24"/>
  <c r="BA30" i="24"/>
  <c r="BA33" i="24"/>
  <c r="BA32" i="24"/>
  <c r="AW24" i="10"/>
  <c r="AW21" i="10"/>
  <c r="AX10" i="10"/>
  <c r="AX19" i="10" s="1"/>
  <c r="AX25" i="10" s="1"/>
  <c r="AX9" i="10"/>
  <c r="AW12" i="10"/>
  <c r="AX11" i="10"/>
  <c r="AX20" i="10" s="1"/>
  <c r="AX26" i="10" s="1"/>
  <c r="AV21" i="10"/>
  <c r="AV24" i="10"/>
  <c r="AY24" i="24"/>
  <c r="AZ23" i="24"/>
  <c r="AZ21" i="24"/>
  <c r="BA26" i="12"/>
  <c r="BA17" i="24"/>
  <c r="AI16" i="11"/>
  <c r="AK14" i="15"/>
  <c r="AK17" i="15" s="1"/>
  <c r="AY4" i="10"/>
  <c r="AY5" i="10" s="1"/>
  <c r="AY28" i="12"/>
  <c r="Y19" i="24"/>
  <c r="X26" i="11"/>
  <c r="X27" i="11" s="1"/>
  <c r="AZ6" i="10"/>
  <c r="BA4" i="24"/>
  <c r="BB5" i="24"/>
  <c r="BB20" i="24" s="1"/>
  <c r="BA4" i="15"/>
  <c r="BB5" i="15"/>
  <c r="BA13" i="38"/>
  <c r="BA14" i="38" s="1"/>
  <c r="BB15" i="38"/>
  <c r="BA5" i="11"/>
  <c r="AZ4" i="11"/>
  <c r="BB5" i="12"/>
  <c r="BA4" i="12"/>
  <c r="AP32" i="10"/>
  <c r="AH31" i="10"/>
  <c r="AH30" i="10"/>
  <c r="AH33" i="10" s="1"/>
  <c r="AE11" i="11"/>
  <c r="AF10" i="12"/>
  <c r="AC17" i="11"/>
  <c r="AH29" i="24"/>
  <c r="AH35" i="24" s="1"/>
  <c r="AH34" i="11" s="1"/>
  <c r="AX12" i="10" l="1"/>
  <c r="AY11" i="10"/>
  <c r="AY20" i="10" s="1"/>
  <c r="AY26" i="10" s="1"/>
  <c r="AY9" i="10"/>
  <c r="AY18" i="10" s="1"/>
  <c r="AY24" i="10" s="1"/>
  <c r="BB31" i="24"/>
  <c r="BB33" i="24"/>
  <c r="BB30" i="24"/>
  <c r="BB32" i="24"/>
  <c r="AX18" i="10"/>
  <c r="AY10" i="10"/>
  <c r="AZ24" i="24"/>
  <c r="BB26" i="12"/>
  <c r="BB17" i="24"/>
  <c r="BA23" i="24"/>
  <c r="BA21" i="24"/>
  <c r="AL14" i="15"/>
  <c r="AL17" i="15" s="1"/>
  <c r="AJ16" i="11"/>
  <c r="AZ4" i="10"/>
  <c r="AZ5" i="10" s="1"/>
  <c r="AZ28" i="12"/>
  <c r="Y27" i="12"/>
  <c r="Y31" i="12" s="1"/>
  <c r="BA6" i="10"/>
  <c r="BB4" i="24"/>
  <c r="BC5" i="24"/>
  <c r="BC20" i="24" s="1"/>
  <c r="BB4" i="15"/>
  <c r="BC5" i="15"/>
  <c r="BB13" i="38"/>
  <c r="BB14" i="38" s="1"/>
  <c r="BC15" i="38"/>
  <c r="BA4" i="11"/>
  <c r="BB5" i="11"/>
  <c r="BB4" i="12"/>
  <c r="BC5" i="12"/>
  <c r="AQ32" i="10"/>
  <c r="AI30" i="10"/>
  <c r="AI31" i="10"/>
  <c r="AI27" i="10"/>
  <c r="AI9" i="24" s="1"/>
  <c r="AI10" i="24" s="1"/>
  <c r="AH27" i="10"/>
  <c r="AH9" i="24" s="1"/>
  <c r="AH10" i="24" s="1"/>
  <c r="AF11" i="11"/>
  <c r="AG10" i="12"/>
  <c r="AD17" i="11"/>
  <c r="AE17" i="11"/>
  <c r="AI29" i="24"/>
  <c r="AI35" i="24" s="1"/>
  <c r="AI34" i="11" s="1"/>
  <c r="AY12" i="10" l="1"/>
  <c r="AI11" i="24"/>
  <c r="AI12" i="24" s="1"/>
  <c r="AI12" i="11"/>
  <c r="AH11" i="24"/>
  <c r="AH12" i="24" s="1"/>
  <c r="AH11" i="12" s="1"/>
  <c r="AH12" i="11"/>
  <c r="BC31" i="24"/>
  <c r="BC33" i="24"/>
  <c r="BC30" i="24"/>
  <c r="BC32" i="24"/>
  <c r="AY19" i="10"/>
  <c r="AY25" i="10" s="1"/>
  <c r="AZ9" i="10"/>
  <c r="AZ18" i="10" s="1"/>
  <c r="AZ10" i="10"/>
  <c r="AZ19" i="10" s="1"/>
  <c r="AZ25" i="10" s="1"/>
  <c r="AZ11" i="10"/>
  <c r="AZ20" i="10" s="1"/>
  <c r="AZ26" i="10" s="1"/>
  <c r="AI33" i="10"/>
  <c r="AY21" i="10"/>
  <c r="AX24" i="10"/>
  <c r="AX21" i="10"/>
  <c r="BA24" i="24"/>
  <c r="BB21" i="24"/>
  <c r="BB23" i="24"/>
  <c r="BC26" i="12"/>
  <c r="BC17" i="24"/>
  <c r="AK16" i="11"/>
  <c r="AM14" i="15"/>
  <c r="AM17" i="15" s="1"/>
  <c r="BA4" i="10"/>
  <c r="BA5" i="10" s="1"/>
  <c r="Y22" i="24"/>
  <c r="Y26" i="11" s="1"/>
  <c r="Y27" i="11" s="1"/>
  <c r="BA28" i="12"/>
  <c r="Y81" i="10"/>
  <c r="Y13" i="12" s="1"/>
  <c r="BB6" i="10"/>
  <c r="BC4" i="24"/>
  <c r="BD5" i="24"/>
  <c r="BD20" i="24" s="1"/>
  <c r="BC4" i="15"/>
  <c r="BD5" i="15"/>
  <c r="BD15" i="38"/>
  <c r="BC13" i="38"/>
  <c r="BC14" i="38" s="1"/>
  <c r="BB4" i="11"/>
  <c r="BC5" i="11"/>
  <c r="BC4" i="12"/>
  <c r="BD5" i="12"/>
  <c r="AR32" i="10"/>
  <c r="AJ31" i="10"/>
  <c r="AJ30" i="10"/>
  <c r="AJ27" i="10"/>
  <c r="AJ9" i="24" s="1"/>
  <c r="AJ10" i="24" s="1"/>
  <c r="AG11" i="11"/>
  <c r="AI10" i="12"/>
  <c r="AH10" i="12"/>
  <c r="AJ29" i="24"/>
  <c r="AJ35" i="24" s="1"/>
  <c r="AJ34" i="11" s="1"/>
  <c r="AJ11" i="24" l="1"/>
  <c r="AJ12" i="24" s="1"/>
  <c r="AJ11" i="12" s="1"/>
  <c r="AJ12" i="11"/>
  <c r="AI11" i="12"/>
  <c r="BD33" i="24"/>
  <c r="BD30" i="24"/>
  <c r="BD32" i="24"/>
  <c r="BD31" i="24"/>
  <c r="AZ24" i="10"/>
  <c r="AZ21" i="10"/>
  <c r="BA10" i="10"/>
  <c r="BA19" i="10" s="1"/>
  <c r="BA25" i="10" s="1"/>
  <c r="BA9" i="10"/>
  <c r="AZ12" i="10"/>
  <c r="AJ33" i="10"/>
  <c r="BA11" i="10"/>
  <c r="BA20" i="10" s="1"/>
  <c r="BA26" i="10" s="1"/>
  <c r="BB24" i="24"/>
  <c r="BC21" i="24"/>
  <c r="BC23" i="24"/>
  <c r="BD26" i="12"/>
  <c r="BD17" i="24"/>
  <c r="AL16" i="11"/>
  <c r="AN14" i="15"/>
  <c r="AN17" i="15" s="1"/>
  <c r="BB4" i="10"/>
  <c r="BB5" i="10" s="1"/>
  <c r="BC6" i="10"/>
  <c r="Z19" i="24"/>
  <c r="BB28" i="12"/>
  <c r="BD4" i="24"/>
  <c r="BE5" i="24"/>
  <c r="BE20" i="24" s="1"/>
  <c r="BE5" i="15"/>
  <c r="BD4" i="15"/>
  <c r="BD13" i="38"/>
  <c r="BD14" i="38" s="1"/>
  <c r="BE15" i="38"/>
  <c r="BC4" i="11"/>
  <c r="BD5" i="11"/>
  <c r="BD4" i="12"/>
  <c r="BE5" i="12"/>
  <c r="AS32" i="10"/>
  <c r="AK30" i="10"/>
  <c r="AK31" i="10"/>
  <c r="AK27" i="10"/>
  <c r="AK9" i="24" s="1"/>
  <c r="AK10" i="24" s="1"/>
  <c r="AH11" i="11"/>
  <c r="AI11" i="11" s="1"/>
  <c r="AF17" i="11"/>
  <c r="AG17" i="11"/>
  <c r="AK29" i="24"/>
  <c r="AK35" i="24" s="1"/>
  <c r="AK34" i="11" s="1"/>
  <c r="AK12" i="11" l="1"/>
  <c r="AK11" i="24"/>
  <c r="AK12" i="24" s="1"/>
  <c r="AK11" i="12" s="1"/>
  <c r="BE33" i="24"/>
  <c r="BE30" i="24"/>
  <c r="BE32" i="24"/>
  <c r="BE31" i="24"/>
  <c r="BA12" i="10"/>
  <c r="BB9" i="10"/>
  <c r="BB18" i="10" s="1"/>
  <c r="BB24" i="10" s="1"/>
  <c r="BB11" i="10"/>
  <c r="BB20" i="10" s="1"/>
  <c r="BB26" i="10" s="1"/>
  <c r="BB10" i="10"/>
  <c r="BB19" i="10" s="1"/>
  <c r="BB25" i="10" s="1"/>
  <c r="AK33" i="10"/>
  <c r="BA18" i="10"/>
  <c r="BC24" i="24"/>
  <c r="BD21" i="24"/>
  <c r="BD23" i="24"/>
  <c r="BE26" i="12"/>
  <c r="BE17" i="24"/>
  <c r="AM16" i="11"/>
  <c r="AO14" i="15"/>
  <c r="AO17" i="15" s="1"/>
  <c r="BC4" i="10"/>
  <c r="BC5" i="10" s="1"/>
  <c r="BD6" i="10"/>
  <c r="Z27" i="12"/>
  <c r="Z31" i="12" s="1"/>
  <c r="Z81" i="10"/>
  <c r="Z13" i="12" s="1"/>
  <c r="BC28" i="12"/>
  <c r="BE4" i="24"/>
  <c r="BF5" i="24"/>
  <c r="BF20" i="24" s="1"/>
  <c r="BF5" i="15"/>
  <c r="BE4" i="15"/>
  <c r="BE13" i="38"/>
  <c r="BE14" i="38" s="1"/>
  <c r="BF15" i="38"/>
  <c r="BD4" i="11"/>
  <c r="BE5" i="11"/>
  <c r="BE4" i="12"/>
  <c r="BF5" i="12"/>
  <c r="AL31" i="10"/>
  <c r="AL30" i="10"/>
  <c r="AL33" i="10" s="1"/>
  <c r="AJ10" i="12"/>
  <c r="AL29" i="24"/>
  <c r="AL35" i="24" s="1"/>
  <c r="AL34" i="11" s="1"/>
  <c r="BC10" i="10" l="1"/>
  <c r="BC19" i="10" s="1"/>
  <c r="BC25" i="10" s="1"/>
  <c r="BC11" i="10"/>
  <c r="BC20" i="10" s="1"/>
  <c r="BC26" i="10" s="1"/>
  <c r="BF32" i="24"/>
  <c r="BF31" i="24"/>
  <c r="BF33" i="24"/>
  <c r="BF30" i="24"/>
  <c r="BB21" i="10"/>
  <c r="BA21" i="10"/>
  <c r="BA24" i="10"/>
  <c r="BB12" i="10"/>
  <c r="BC9" i="10"/>
  <c r="BD24" i="24"/>
  <c r="BF26" i="12"/>
  <c r="BF17" i="24"/>
  <c r="BE23" i="24"/>
  <c r="BE21" i="24"/>
  <c r="AP14" i="15"/>
  <c r="AP17" i="15" s="1"/>
  <c r="AN16" i="11"/>
  <c r="Z22" i="24"/>
  <c r="Z26" i="11" s="1"/>
  <c r="Z27" i="11" s="1"/>
  <c r="BD4" i="10"/>
  <c r="BD5" i="10" s="1"/>
  <c r="BE6" i="10"/>
  <c r="BD28" i="12"/>
  <c r="BG5" i="24"/>
  <c r="BG20" i="24" s="1"/>
  <c r="BF4" i="24"/>
  <c r="BG5" i="15"/>
  <c r="BF4" i="15"/>
  <c r="BG15" i="38"/>
  <c r="BF13" i="38"/>
  <c r="BF14" i="38" s="1"/>
  <c r="BE4" i="11"/>
  <c r="BF5" i="11"/>
  <c r="BG5" i="12"/>
  <c r="BF4" i="12"/>
  <c r="AJ11" i="11"/>
  <c r="AK10" i="12"/>
  <c r="AH17" i="11"/>
  <c r="AI17" i="11"/>
  <c r="AM29" i="24"/>
  <c r="AM35" i="24" s="1"/>
  <c r="AM34" i="11" s="1"/>
  <c r="BC12" i="10" l="1"/>
  <c r="BD10" i="10"/>
  <c r="BD19" i="10" s="1"/>
  <c r="BD25" i="10" s="1"/>
  <c r="BG32" i="24"/>
  <c r="BG31" i="24"/>
  <c r="BG33" i="24"/>
  <c r="BG30" i="24"/>
  <c r="BC18" i="10"/>
  <c r="BD11" i="10"/>
  <c r="BD20" i="10" s="1"/>
  <c r="BD26" i="10" s="1"/>
  <c r="BD9" i="10"/>
  <c r="BF6" i="10"/>
  <c r="BE24" i="24"/>
  <c r="BG26" i="12"/>
  <c r="BG17" i="24"/>
  <c r="BF23" i="24"/>
  <c r="BF21" i="24"/>
  <c r="AO16" i="11"/>
  <c r="AQ14" i="15"/>
  <c r="AQ17" i="15" s="1"/>
  <c r="AA19" i="24"/>
  <c r="BE4" i="10"/>
  <c r="BE5" i="10" s="1"/>
  <c r="BE28" i="12"/>
  <c r="BH5" i="24"/>
  <c r="BH20" i="24" s="1"/>
  <c r="BG4" i="24"/>
  <c r="BG4" i="15"/>
  <c r="BH5" i="15"/>
  <c r="BH15" i="38"/>
  <c r="BG13" i="38"/>
  <c r="BG14" i="38" s="1"/>
  <c r="BG5" i="11"/>
  <c r="BF4" i="11"/>
  <c r="BH5" i="12"/>
  <c r="BG4" i="12"/>
  <c r="AK11" i="11"/>
  <c r="AJ17" i="11"/>
  <c r="AN29" i="24"/>
  <c r="AN35" i="24" s="1"/>
  <c r="AN34" i="11" s="1"/>
  <c r="BD12" i="10" l="1"/>
  <c r="BH32" i="24"/>
  <c r="BH31" i="24"/>
  <c r="BH33" i="24"/>
  <c r="BH30" i="24"/>
  <c r="BD18" i="10"/>
  <c r="BC21" i="10"/>
  <c r="BC24" i="10"/>
  <c r="BE11" i="10"/>
  <c r="BE20" i="10" s="1"/>
  <c r="BE26" i="10" s="1"/>
  <c r="BE10" i="10"/>
  <c r="BE19" i="10" s="1"/>
  <c r="BE25" i="10" s="1"/>
  <c r="BE9" i="10"/>
  <c r="BG6" i="10"/>
  <c r="BF4" i="10"/>
  <c r="BF5" i="10" s="1"/>
  <c r="BF24" i="24"/>
  <c r="BG23" i="24"/>
  <c r="BG21" i="24"/>
  <c r="BH26" i="12"/>
  <c r="BH17" i="24"/>
  <c r="AA27" i="12"/>
  <c r="AA31" i="12" s="1"/>
  <c r="AP16" i="11"/>
  <c r="AR14" i="15"/>
  <c r="AR17" i="15" s="1"/>
  <c r="BF28" i="12"/>
  <c r="AA81" i="10"/>
  <c r="AA13" i="12" s="1"/>
  <c r="BI5" i="24"/>
  <c r="BI20" i="24" s="1"/>
  <c r="BH4" i="24"/>
  <c r="BH4" i="15"/>
  <c r="BI5" i="15"/>
  <c r="BI15" i="38"/>
  <c r="BH13" i="38"/>
  <c r="BH14" i="38" s="1"/>
  <c r="BH5" i="11"/>
  <c r="BG4" i="11"/>
  <c r="BI5" i="12"/>
  <c r="BH4" i="12"/>
  <c r="AK17" i="11"/>
  <c r="AO29" i="24"/>
  <c r="AO35" i="24" s="1"/>
  <c r="AO34" i="11" s="1"/>
  <c r="BE12" i="10" l="1"/>
  <c r="BI31" i="24"/>
  <c r="BI33" i="24"/>
  <c r="BI30" i="24"/>
  <c r="BI32" i="24"/>
  <c r="BF11" i="10"/>
  <c r="BF20" i="10" s="1"/>
  <c r="BF26" i="10" s="1"/>
  <c r="BD21" i="10"/>
  <c r="BD24" i="10"/>
  <c r="BF9" i="10"/>
  <c r="BF18" i="10" s="1"/>
  <c r="BE18" i="10"/>
  <c r="BH6" i="10"/>
  <c r="BI6" i="10" s="1"/>
  <c r="BF10" i="10"/>
  <c r="BF19" i="10" s="1"/>
  <c r="BF25" i="10" s="1"/>
  <c r="BG4" i="10"/>
  <c r="BG5" i="10" s="1"/>
  <c r="BG24" i="24"/>
  <c r="BH23" i="24"/>
  <c r="BH21" i="24"/>
  <c r="BI26" i="12"/>
  <c r="BI17" i="24"/>
  <c r="AA22" i="24"/>
  <c r="AB19" i="24" s="1"/>
  <c r="AS14" i="15"/>
  <c r="AS17" i="15" s="1"/>
  <c r="AQ16" i="11"/>
  <c r="BG28" i="12"/>
  <c r="BI4" i="24"/>
  <c r="BJ5" i="24"/>
  <c r="BJ20" i="24" s="1"/>
  <c r="BI4" i="15"/>
  <c r="BJ5" i="15"/>
  <c r="BI13" i="38"/>
  <c r="BI14" i="38" s="1"/>
  <c r="BJ15" i="38"/>
  <c r="BI5" i="11"/>
  <c r="BH4" i="11"/>
  <c r="BI4" i="12"/>
  <c r="BJ5" i="12"/>
  <c r="AL17" i="11"/>
  <c r="AP29" i="24"/>
  <c r="AP35" i="24" s="1"/>
  <c r="AP34" i="11" s="1"/>
  <c r="BG11" i="10" l="1"/>
  <c r="BG20" i="10" s="1"/>
  <c r="BG26" i="10" s="1"/>
  <c r="BJ31" i="24"/>
  <c r="BJ33" i="24"/>
  <c r="BJ30" i="24"/>
  <c r="BJ32" i="24"/>
  <c r="BE24" i="10"/>
  <c r="BE21" i="10"/>
  <c r="BF24" i="10"/>
  <c r="BF21" i="10"/>
  <c r="BF12" i="10"/>
  <c r="BH4" i="10"/>
  <c r="BH5" i="10" s="1"/>
  <c r="BG10" i="10"/>
  <c r="BG19" i="10" s="1"/>
  <c r="BG25" i="10" s="1"/>
  <c r="BG9" i="10"/>
  <c r="BG18" i="10" s="1"/>
  <c r="BH24" i="24"/>
  <c r="BI23" i="24"/>
  <c r="BI21" i="24"/>
  <c r="BJ26" i="12"/>
  <c r="BJ17" i="24"/>
  <c r="AB27" i="12"/>
  <c r="AB31" i="12" s="1"/>
  <c r="AA26" i="11"/>
  <c r="AA27" i="11" s="1"/>
  <c r="AR16" i="11"/>
  <c r="AT14" i="15"/>
  <c r="AT17" i="15" s="1"/>
  <c r="BI4" i="10"/>
  <c r="BI5" i="10" s="1"/>
  <c r="AB81" i="10"/>
  <c r="AB13" i="12" s="1"/>
  <c r="BH28" i="12"/>
  <c r="BJ4" i="24"/>
  <c r="BK5" i="24"/>
  <c r="BK20" i="24" s="1"/>
  <c r="BJ4" i="15"/>
  <c r="BK5" i="15"/>
  <c r="BJ13" i="38"/>
  <c r="BJ14" i="38" s="1"/>
  <c r="BK15" i="38"/>
  <c r="BJ5" i="11"/>
  <c r="BI4" i="11"/>
  <c r="BJ4" i="12"/>
  <c r="BK5" i="12"/>
  <c r="BJ6" i="10"/>
  <c r="AM17" i="11"/>
  <c r="AQ29" i="24"/>
  <c r="AQ35" i="24" s="1"/>
  <c r="AQ34" i="11" s="1"/>
  <c r="BK31" i="24" l="1"/>
  <c r="BK33" i="24"/>
  <c r="BK30" i="24"/>
  <c r="BK32" i="24"/>
  <c r="BG21" i="10"/>
  <c r="BG12" i="10"/>
  <c r="BI9" i="10"/>
  <c r="BH10" i="10"/>
  <c r="BH19" i="10" s="1"/>
  <c r="BH25" i="10" s="1"/>
  <c r="BI10" i="10"/>
  <c r="BI19" i="10" s="1"/>
  <c r="BI25" i="10" s="1"/>
  <c r="BH9" i="10"/>
  <c r="BG24" i="10"/>
  <c r="BI11" i="10"/>
  <c r="BI20" i="10" s="1"/>
  <c r="BI26" i="10" s="1"/>
  <c r="BH11" i="10"/>
  <c r="BH20" i="10" s="1"/>
  <c r="BH26" i="10" s="1"/>
  <c r="BI24" i="24"/>
  <c r="BJ23" i="24"/>
  <c r="BJ21" i="24"/>
  <c r="BK26" i="12"/>
  <c r="BK17" i="24"/>
  <c r="AB22" i="24"/>
  <c r="AC19" i="24" s="1"/>
  <c r="AS16" i="11"/>
  <c r="AU14" i="15"/>
  <c r="AU17" i="15" s="1"/>
  <c r="BJ4" i="10"/>
  <c r="BJ5" i="10" s="1"/>
  <c r="BI28" i="12"/>
  <c r="BK4" i="24"/>
  <c r="BL5" i="24"/>
  <c r="BL20" i="24" s="1"/>
  <c r="BK4" i="15"/>
  <c r="BL5" i="15"/>
  <c r="BK13" i="38"/>
  <c r="BK14" i="38" s="1"/>
  <c r="BL15" i="38"/>
  <c r="BJ4" i="11"/>
  <c r="BK5" i="11"/>
  <c r="BK4" i="12"/>
  <c r="BL5" i="12"/>
  <c r="BK6" i="10"/>
  <c r="AN17" i="11"/>
  <c r="AR29" i="24"/>
  <c r="AR35" i="24" s="1"/>
  <c r="AR34" i="11" s="1"/>
  <c r="BL33" i="24" l="1"/>
  <c r="BL30" i="24"/>
  <c r="BL32" i="24"/>
  <c r="BL31" i="24"/>
  <c r="BI12" i="10"/>
  <c r="BJ9" i="10"/>
  <c r="BJ10" i="10"/>
  <c r="BJ19" i="10" s="1"/>
  <c r="BJ25" i="10" s="1"/>
  <c r="BJ11" i="10"/>
  <c r="BJ20" i="10" s="1"/>
  <c r="BJ26" i="10" s="1"/>
  <c r="BH12" i="10"/>
  <c r="BH18" i="10"/>
  <c r="BI18" i="10"/>
  <c r="BJ24" i="24"/>
  <c r="BK21" i="24"/>
  <c r="BK23" i="24"/>
  <c r="BL26" i="12"/>
  <c r="BL17" i="24"/>
  <c r="AB26" i="11"/>
  <c r="AB27" i="11" s="1"/>
  <c r="AV14" i="15"/>
  <c r="AV17" i="15" s="1"/>
  <c r="AT16" i="11"/>
  <c r="BK4" i="10"/>
  <c r="BK5" i="10" s="1"/>
  <c r="BJ28" i="12"/>
  <c r="AC27" i="12"/>
  <c r="AC31" i="12" s="1"/>
  <c r="BL4" i="24"/>
  <c r="BM5" i="24"/>
  <c r="BM20" i="24" s="1"/>
  <c r="BM5" i="15"/>
  <c r="BL4" i="15"/>
  <c r="BL13" i="38"/>
  <c r="BL14" i="38" s="1"/>
  <c r="BM15" i="38"/>
  <c r="BK4" i="11"/>
  <c r="BL5" i="11"/>
  <c r="BL4" i="12"/>
  <c r="BM5" i="12"/>
  <c r="BL6" i="10"/>
  <c r="AO17" i="11"/>
  <c r="AS29" i="24"/>
  <c r="AS35" i="24" s="1"/>
  <c r="AS34" i="11" s="1"/>
  <c r="BM33" i="24" l="1"/>
  <c r="BM30" i="24"/>
  <c r="BM32" i="24"/>
  <c r="BM31" i="24"/>
  <c r="BK9" i="10"/>
  <c r="BJ12" i="10"/>
  <c r="BK10" i="10"/>
  <c r="BK19" i="10" s="1"/>
  <c r="BK25" i="10" s="1"/>
  <c r="BK11" i="10"/>
  <c r="BK20" i="10" s="1"/>
  <c r="BK26" i="10" s="1"/>
  <c r="BI21" i="10"/>
  <c r="BI24" i="10"/>
  <c r="BH24" i="10"/>
  <c r="BH21" i="10"/>
  <c r="BJ18" i="10"/>
  <c r="BK24" i="24"/>
  <c r="BL21" i="24"/>
  <c r="BL23" i="24"/>
  <c r="BM26" i="12"/>
  <c r="BM17" i="24"/>
  <c r="AW14" i="15"/>
  <c r="AW17" i="15" s="1"/>
  <c r="AU16" i="11"/>
  <c r="BL4" i="10"/>
  <c r="BL5" i="10" s="1"/>
  <c r="AC22" i="24"/>
  <c r="AD19" i="24" s="1"/>
  <c r="AC81" i="10"/>
  <c r="AC13" i="12" s="1"/>
  <c r="BK28" i="12"/>
  <c r="BM4" i="24"/>
  <c r="BN5" i="24"/>
  <c r="BN20" i="24" s="1"/>
  <c r="BN5" i="15"/>
  <c r="BM4" i="15"/>
  <c r="BM13" i="38"/>
  <c r="BM14" i="38" s="1"/>
  <c r="BN15" i="38"/>
  <c r="BL4" i="11"/>
  <c r="BM5" i="11"/>
  <c r="BM4" i="12"/>
  <c r="BN5" i="12"/>
  <c r="BM6" i="10"/>
  <c r="AP17" i="11"/>
  <c r="AT29" i="24"/>
  <c r="AT35" i="24" s="1"/>
  <c r="AT34" i="11" s="1"/>
  <c r="BK12" i="10" l="1"/>
  <c r="BN30" i="24"/>
  <c r="BN32" i="24"/>
  <c r="BN31" i="24"/>
  <c r="BN33" i="24"/>
  <c r="BL11" i="10"/>
  <c r="BL20" i="10" s="1"/>
  <c r="BL26" i="10" s="1"/>
  <c r="BJ21" i="10"/>
  <c r="BJ24" i="10"/>
  <c r="BK18" i="10"/>
  <c r="BL10" i="10"/>
  <c r="BL19" i="10" s="1"/>
  <c r="BL25" i="10" s="1"/>
  <c r="BL9" i="10"/>
  <c r="BL18" i="10" s="1"/>
  <c r="BL24" i="10" s="1"/>
  <c r="BL24" i="24"/>
  <c r="BN26" i="12"/>
  <c r="BN17" i="24"/>
  <c r="BM23" i="24"/>
  <c r="BM21" i="24"/>
  <c r="AV16" i="11"/>
  <c r="AX14" i="15"/>
  <c r="AX17" i="15" s="1"/>
  <c r="BM4" i="10"/>
  <c r="BM5" i="10" s="1"/>
  <c r="AC26" i="11"/>
  <c r="AC27" i="11" s="1"/>
  <c r="AD27" i="12"/>
  <c r="AD31" i="12" s="1"/>
  <c r="BL28" i="12"/>
  <c r="BO5" i="24"/>
  <c r="BO20" i="24" s="1"/>
  <c r="BN4" i="24"/>
  <c r="BO5" i="15"/>
  <c r="BN4" i="15"/>
  <c r="BN13" i="38"/>
  <c r="BN14" i="38" s="1"/>
  <c r="BO15" i="38"/>
  <c r="BM4" i="11"/>
  <c r="BN5" i="11"/>
  <c r="BO5" i="12"/>
  <c r="BN4" i="12"/>
  <c r="BN6" i="10"/>
  <c r="AU29" i="24"/>
  <c r="AU35" i="24" s="1"/>
  <c r="AU34" i="11" s="1"/>
  <c r="BO32" i="24" l="1"/>
  <c r="BO31" i="24"/>
  <c r="BO33" i="24"/>
  <c r="BO30" i="24"/>
  <c r="BL12" i="10"/>
  <c r="BK21" i="10"/>
  <c r="BK24" i="10"/>
  <c r="BM11" i="10"/>
  <c r="BM20" i="10" s="1"/>
  <c r="BM26" i="10" s="1"/>
  <c r="BL21" i="10"/>
  <c r="BM9" i="10"/>
  <c r="BM10" i="10"/>
  <c r="BM19" i="10" s="1"/>
  <c r="BM25" i="10" s="1"/>
  <c r="BM24" i="24"/>
  <c r="BN21" i="24"/>
  <c r="BN23" i="24"/>
  <c r="BO26" i="12"/>
  <c r="BO17" i="24"/>
  <c r="AW16" i="11"/>
  <c r="AY14" i="15"/>
  <c r="AY17" i="15" s="1"/>
  <c r="BN4" i="10"/>
  <c r="BN5" i="10" s="1"/>
  <c r="AD81" i="10"/>
  <c r="AD13" i="12" s="1"/>
  <c r="BM28" i="12"/>
  <c r="AD22" i="24"/>
  <c r="BP5" i="24"/>
  <c r="BP20" i="24" s="1"/>
  <c r="BO4" i="24"/>
  <c r="BO4" i="15"/>
  <c r="BP5" i="15"/>
  <c r="BP15" i="38"/>
  <c r="BO13" i="38"/>
  <c r="BO14" i="38" s="1"/>
  <c r="BN4" i="11"/>
  <c r="BO5" i="11"/>
  <c r="BP5" i="12"/>
  <c r="BO4" i="12"/>
  <c r="BO6" i="10"/>
  <c r="AQ17" i="11"/>
  <c r="AV29" i="24"/>
  <c r="AV35" i="24" s="1"/>
  <c r="AV34" i="11" s="1"/>
  <c r="BM12" i="10" l="1"/>
  <c r="BN9" i="10"/>
  <c r="BN18" i="10" s="1"/>
  <c r="BP32" i="24"/>
  <c r="BP31" i="24"/>
  <c r="BP33" i="24"/>
  <c r="BP30" i="24"/>
  <c r="BM18" i="10"/>
  <c r="BN11" i="10"/>
  <c r="BN20" i="10" s="1"/>
  <c r="BN26" i="10" s="1"/>
  <c r="BN10" i="10"/>
  <c r="BN24" i="24"/>
  <c r="BO23" i="24"/>
  <c r="BO21" i="24"/>
  <c r="BP26" i="12"/>
  <c r="BP17" i="24"/>
  <c r="AX16" i="11"/>
  <c r="AZ14" i="15"/>
  <c r="AZ17" i="15" s="1"/>
  <c r="BO4" i="10"/>
  <c r="BO5" i="10" s="1"/>
  <c r="BN28" i="12"/>
  <c r="AE19" i="24"/>
  <c r="AD26" i="11"/>
  <c r="AD27" i="11" s="1"/>
  <c r="BQ5" i="24"/>
  <c r="BQ20" i="24" s="1"/>
  <c r="BP4" i="24"/>
  <c r="BP4" i="15"/>
  <c r="BQ5" i="15"/>
  <c r="BQ4" i="15" s="1"/>
  <c r="BQ15" i="38"/>
  <c r="BP13" i="38"/>
  <c r="BP14" i="38" s="1"/>
  <c r="BP5" i="11"/>
  <c r="BO4" i="11"/>
  <c r="BQ5" i="12"/>
  <c r="BP4" i="12"/>
  <c r="BP6" i="10"/>
  <c r="AR17" i="11"/>
  <c r="AS17" i="11"/>
  <c r="AW29" i="24"/>
  <c r="AW35" i="24" s="1"/>
  <c r="AW34" i="11" s="1"/>
  <c r="BN12" i="10" l="1"/>
  <c r="BQ17" i="24"/>
  <c r="BQ21" i="24" s="1"/>
  <c r="BQ31" i="24"/>
  <c r="BQ30" i="24"/>
  <c r="BQ33" i="24"/>
  <c r="BQ32" i="24"/>
  <c r="BN19" i="10"/>
  <c r="BN25" i="10" s="1"/>
  <c r="BN24" i="10"/>
  <c r="BO9" i="10"/>
  <c r="BO10" i="10"/>
  <c r="BO19" i="10" s="1"/>
  <c r="BO25" i="10" s="1"/>
  <c r="BO11" i="10"/>
  <c r="BO20" i="10" s="1"/>
  <c r="BO26" i="10" s="1"/>
  <c r="BM24" i="10"/>
  <c r="BM21" i="10"/>
  <c r="Y55" i="18"/>
  <c r="Z55" i="18"/>
  <c r="Y56" i="18"/>
  <c r="X55" i="18"/>
  <c r="Z56" i="18"/>
  <c r="AA56" i="18"/>
  <c r="AA55" i="18"/>
  <c r="U56" i="18"/>
  <c r="Q56" i="18"/>
  <c r="T56" i="18"/>
  <c r="V56" i="18"/>
  <c r="S56" i="18"/>
  <c r="R56" i="18"/>
  <c r="U55" i="18"/>
  <c r="T55" i="18"/>
  <c r="P56" i="18"/>
  <c r="S55" i="18"/>
  <c r="R55" i="18"/>
  <c r="P55" i="18"/>
  <c r="Q55" i="18"/>
  <c r="BO24" i="24"/>
  <c r="BP23" i="24"/>
  <c r="BP21" i="24"/>
  <c r="AY16" i="11"/>
  <c r="BA14" i="15"/>
  <c r="BA17" i="15" s="1"/>
  <c r="D51" i="38"/>
  <c r="D22" i="38"/>
  <c r="D56" i="38"/>
  <c r="D48" i="38"/>
  <c r="D53" i="38"/>
  <c r="D21" i="38"/>
  <c r="D50" i="38"/>
  <c r="D47" i="38"/>
  <c r="D49" i="38"/>
  <c r="D55" i="38"/>
  <c r="D24" i="38"/>
  <c r="D20" i="38"/>
  <c r="D52" i="38"/>
  <c r="D23" i="38"/>
  <c r="D54" i="38"/>
  <c r="BP4" i="10"/>
  <c r="BP5" i="10" s="1"/>
  <c r="BO28" i="12"/>
  <c r="BQ4" i="12"/>
  <c r="BQ4" i="24"/>
  <c r="BQ26" i="12"/>
  <c r="AE27" i="12"/>
  <c r="AE31" i="12" s="1"/>
  <c r="D31" i="38"/>
  <c r="BQ13" i="38"/>
  <c r="BQ14" i="38" s="1"/>
  <c r="D36" i="38"/>
  <c r="D35" i="38"/>
  <c r="D34" i="38"/>
  <c r="D33" i="38"/>
  <c r="D40" i="38"/>
  <c r="D32" i="38"/>
  <c r="D37" i="38"/>
  <c r="D39" i="38"/>
  <c r="D38" i="38"/>
  <c r="BQ5" i="11"/>
  <c r="BP4" i="11"/>
  <c r="BQ6" i="10"/>
  <c r="AX29" i="24"/>
  <c r="AX35" i="24" s="1"/>
  <c r="AX34" i="11" s="1"/>
  <c r="J20" i="38" l="1"/>
  <c r="K20" i="38"/>
  <c r="L20" i="38"/>
  <c r="M20" i="38"/>
  <c r="N20" i="38"/>
  <c r="O20" i="38"/>
  <c r="P20" i="38"/>
  <c r="Q20" i="38"/>
  <c r="R20" i="38"/>
  <c r="S20" i="38"/>
  <c r="T20" i="38"/>
  <c r="U20" i="38"/>
  <c r="W20" i="38"/>
  <c r="V20" i="38"/>
  <c r="X20" i="38"/>
  <c r="Y20" i="38"/>
  <c r="Z20" i="38"/>
  <c r="AA20" i="38"/>
  <c r="AB20" i="38"/>
  <c r="AC20" i="38"/>
  <c r="AD20" i="38"/>
  <c r="AE20" i="38"/>
  <c r="AF20" i="38"/>
  <c r="AG20" i="38"/>
  <c r="AH20" i="38"/>
  <c r="AI20" i="38"/>
  <c r="AJ20" i="38"/>
  <c r="AK20" i="38"/>
  <c r="AL20" i="38"/>
  <c r="AM20" i="38"/>
  <c r="AN20" i="38"/>
  <c r="AO20" i="38"/>
  <c r="AP20" i="38"/>
  <c r="AQ20" i="38"/>
  <c r="AR20" i="38"/>
  <c r="AS20" i="38"/>
  <c r="AT20" i="38"/>
  <c r="AU20" i="38"/>
  <c r="AV20" i="38"/>
  <c r="AW20" i="38"/>
  <c r="AX20" i="38"/>
  <c r="AY20" i="38"/>
  <c r="AZ20" i="38"/>
  <c r="BA20" i="38"/>
  <c r="BB20" i="38"/>
  <c r="BC20" i="38"/>
  <c r="BD20" i="38"/>
  <c r="BE20" i="38"/>
  <c r="BF20" i="38"/>
  <c r="BG20" i="38"/>
  <c r="BH20" i="38"/>
  <c r="BI20" i="38"/>
  <c r="BJ20" i="38"/>
  <c r="BK20" i="38"/>
  <c r="BL20" i="38"/>
  <c r="BM20" i="38"/>
  <c r="BQ4" i="11"/>
  <c r="BQ51" i="38"/>
  <c r="BQ48" i="10" s="1"/>
  <c r="BQ36" i="38"/>
  <c r="BQ62" i="10" s="1"/>
  <c r="BQ31" i="38"/>
  <c r="BQ57" i="10" s="1"/>
  <c r="BQ53" i="38"/>
  <c r="BQ32" i="38"/>
  <c r="BQ58" i="10" s="1"/>
  <c r="BQ40" i="38"/>
  <c r="BQ66" i="10" s="1"/>
  <c r="BQ33" i="38"/>
  <c r="BQ59" i="10" s="1"/>
  <c r="BQ55" i="38"/>
  <c r="BQ52" i="10" s="1"/>
  <c r="BO12" i="10"/>
  <c r="BQ23" i="24"/>
  <c r="BP10" i="10"/>
  <c r="BP19" i="10" s="1"/>
  <c r="BP25" i="10" s="1"/>
  <c r="J34" i="38"/>
  <c r="K34" i="38"/>
  <c r="K60" i="10" s="1"/>
  <c r="L34" i="38"/>
  <c r="L60" i="10" s="1"/>
  <c r="M34" i="38"/>
  <c r="M60" i="10" s="1"/>
  <c r="N34" i="38"/>
  <c r="O34" i="38"/>
  <c r="O60" i="10" s="1"/>
  <c r="P34" i="38"/>
  <c r="Q34" i="38"/>
  <c r="Q60" i="10" s="1"/>
  <c r="R34" i="38"/>
  <c r="S34" i="38"/>
  <c r="S60" i="10" s="1"/>
  <c r="T34" i="38"/>
  <c r="T60" i="10" s="1"/>
  <c r="V34" i="38"/>
  <c r="V60" i="10" s="1"/>
  <c r="U34" i="38"/>
  <c r="U60" i="10" s="1"/>
  <c r="W34" i="38"/>
  <c r="W60" i="10" s="1"/>
  <c r="X34" i="38"/>
  <c r="X60" i="10" s="1"/>
  <c r="Y34" i="38"/>
  <c r="Y60" i="10" s="1"/>
  <c r="Z34" i="38"/>
  <c r="AA34" i="38"/>
  <c r="AA60" i="10" s="1"/>
  <c r="AB34" i="38"/>
  <c r="AB60" i="10" s="1"/>
  <c r="AC34" i="38"/>
  <c r="AC60" i="10" s="1"/>
  <c r="AD34" i="38"/>
  <c r="AE34" i="38"/>
  <c r="AE60" i="10" s="1"/>
  <c r="AF34" i="38"/>
  <c r="AG34" i="38"/>
  <c r="AG60" i="10" s="1"/>
  <c r="AH34" i="38"/>
  <c r="AI34" i="38"/>
  <c r="AJ34" i="38"/>
  <c r="AJ60" i="10" s="1"/>
  <c r="AK34" i="38"/>
  <c r="AK60" i="10" s="1"/>
  <c r="AL34" i="38"/>
  <c r="AM34" i="38"/>
  <c r="AM60" i="10" s="1"/>
  <c r="AN34" i="38"/>
  <c r="AN60" i="10" s="1"/>
  <c r="AO34" i="38"/>
  <c r="AO60" i="10" s="1"/>
  <c r="AP34" i="38"/>
  <c r="AQ34" i="38"/>
  <c r="AQ60" i="10" s="1"/>
  <c r="AR34" i="38"/>
  <c r="AR60" i="10" s="1"/>
  <c r="AS34" i="38"/>
  <c r="AS60" i="10" s="1"/>
  <c r="AT34" i="38"/>
  <c r="AU34" i="38"/>
  <c r="AU60" i="10" s="1"/>
  <c r="AV34" i="38"/>
  <c r="AV60" i="10" s="1"/>
  <c r="AW34" i="38"/>
  <c r="AW60" i="10" s="1"/>
  <c r="AX34" i="38"/>
  <c r="AY34" i="38"/>
  <c r="AY60" i="10" s="1"/>
  <c r="AZ34" i="38"/>
  <c r="BA34" i="38"/>
  <c r="BA60" i="10" s="1"/>
  <c r="BB34" i="38"/>
  <c r="BC34" i="38"/>
  <c r="BC60" i="10" s="1"/>
  <c r="BD34" i="38"/>
  <c r="BE34" i="38"/>
  <c r="BE60" i="10" s="1"/>
  <c r="BF34" i="38"/>
  <c r="BG34" i="38"/>
  <c r="BG60" i="10" s="1"/>
  <c r="BH34" i="38"/>
  <c r="BH60" i="10" s="1"/>
  <c r="BI34" i="38"/>
  <c r="BI60" i="10" s="1"/>
  <c r="BJ34" i="38"/>
  <c r="BK34" i="38"/>
  <c r="BL34" i="38"/>
  <c r="BL60" i="10" s="1"/>
  <c r="BM34" i="38"/>
  <c r="BM60" i="10" s="1"/>
  <c r="BN34" i="38"/>
  <c r="BO34" i="38"/>
  <c r="BO60" i="10" s="1"/>
  <c r="BP34" i="38"/>
  <c r="BP60" i="10" s="1"/>
  <c r="J55" i="38"/>
  <c r="J52" i="10" s="1"/>
  <c r="K55" i="38"/>
  <c r="K52" i="10" s="1"/>
  <c r="L55" i="38"/>
  <c r="L52" i="10" s="1"/>
  <c r="M55" i="38"/>
  <c r="M52" i="10" s="1"/>
  <c r="N55" i="38"/>
  <c r="N52" i="10" s="1"/>
  <c r="O55" i="38"/>
  <c r="P55" i="38"/>
  <c r="P52" i="10" s="1"/>
  <c r="Q55" i="38"/>
  <c r="Q52" i="10" s="1"/>
  <c r="R55" i="38"/>
  <c r="R52" i="10" s="1"/>
  <c r="S55" i="38"/>
  <c r="S52" i="10" s="1"/>
  <c r="T55" i="38"/>
  <c r="T52" i="10" s="1"/>
  <c r="U55" i="38"/>
  <c r="V55" i="38"/>
  <c r="V52" i="10" s="1"/>
  <c r="W55" i="38"/>
  <c r="X55" i="38"/>
  <c r="X52" i="10" s="1"/>
  <c r="Y55" i="38"/>
  <c r="Y52" i="10" s="1"/>
  <c r="Z55" i="38"/>
  <c r="Z52" i="10" s="1"/>
  <c r="AA55" i="38"/>
  <c r="AA52" i="10" s="1"/>
  <c r="AB55" i="38"/>
  <c r="AC55" i="38"/>
  <c r="AC52" i="10" s="1"/>
  <c r="AD55" i="38"/>
  <c r="AD52" i="10" s="1"/>
  <c r="AE55" i="38"/>
  <c r="AF55" i="38"/>
  <c r="AF52" i="10" s="1"/>
  <c r="AG55" i="38"/>
  <c r="AG52" i="10" s="1"/>
  <c r="AH55" i="38"/>
  <c r="AH52" i="10" s="1"/>
  <c r="AI55" i="38"/>
  <c r="AI52" i="10" s="1"/>
  <c r="AJ55" i="38"/>
  <c r="AJ52" i="10" s="1"/>
  <c r="AK55" i="38"/>
  <c r="AL55" i="38"/>
  <c r="AL52" i="10" s="1"/>
  <c r="AM55" i="38"/>
  <c r="AN55" i="38"/>
  <c r="AN52" i="10" s="1"/>
  <c r="AO55" i="38"/>
  <c r="AO52" i="10" s="1"/>
  <c r="AP55" i="38"/>
  <c r="AP52" i="10" s="1"/>
  <c r="AQ55" i="38"/>
  <c r="AR55" i="38"/>
  <c r="AR52" i="10" s="1"/>
  <c r="AS55" i="38"/>
  <c r="AS52" i="10" s="1"/>
  <c r="AT55" i="38"/>
  <c r="AT52" i="10" s="1"/>
  <c r="AU55" i="38"/>
  <c r="AV55" i="38"/>
  <c r="AV52" i="10" s="1"/>
  <c r="AW55" i="38"/>
  <c r="AW52" i="10" s="1"/>
  <c r="AX55" i="38"/>
  <c r="AX52" i="10" s="1"/>
  <c r="AY55" i="38"/>
  <c r="AY52" i="10" s="1"/>
  <c r="AZ55" i="38"/>
  <c r="AZ52" i="10" s="1"/>
  <c r="BA55" i="38"/>
  <c r="BA52" i="10" s="1"/>
  <c r="BB55" i="38"/>
  <c r="BB52" i="10" s="1"/>
  <c r="BC55" i="38"/>
  <c r="BD55" i="38"/>
  <c r="BD52" i="10" s="1"/>
  <c r="BE55" i="38"/>
  <c r="BE52" i="10" s="1"/>
  <c r="BF55" i="38"/>
  <c r="BF52" i="10" s="1"/>
  <c r="BG55" i="38"/>
  <c r="BG52" i="10" s="1"/>
  <c r="BH55" i="38"/>
  <c r="BH52" i="10" s="1"/>
  <c r="BI55" i="38"/>
  <c r="BI52" i="10" s="1"/>
  <c r="BJ55" i="38"/>
  <c r="BJ52" i="10" s="1"/>
  <c r="BK55" i="38"/>
  <c r="BL55" i="38"/>
  <c r="BM55" i="38"/>
  <c r="BM52" i="10" s="1"/>
  <c r="BN55" i="38"/>
  <c r="BN52" i="10" s="1"/>
  <c r="BO55" i="38"/>
  <c r="BO52" i="10" s="1"/>
  <c r="BP55" i="38"/>
  <c r="BP52" i="10" s="1"/>
  <c r="J22" i="38"/>
  <c r="J38" i="10" s="1"/>
  <c r="K22" i="38"/>
  <c r="K38" i="10" s="1"/>
  <c r="L22" i="38"/>
  <c r="M22" i="38"/>
  <c r="M38" i="10" s="1"/>
  <c r="N22" i="38"/>
  <c r="N38" i="10" s="1"/>
  <c r="O22" i="38"/>
  <c r="O38" i="10" s="1"/>
  <c r="P22" i="38"/>
  <c r="P38" i="10" s="1"/>
  <c r="Q22" i="38"/>
  <c r="Q38" i="10" s="1"/>
  <c r="R22" i="38"/>
  <c r="R38" i="10" s="1"/>
  <c r="S22" i="38"/>
  <c r="S38" i="10" s="1"/>
  <c r="T22" i="38"/>
  <c r="V22" i="38"/>
  <c r="V38" i="10" s="1"/>
  <c r="U22" i="38"/>
  <c r="U38" i="10" s="1"/>
  <c r="W22" i="38"/>
  <c r="W38" i="10" s="1"/>
  <c r="X22" i="38"/>
  <c r="X38" i="10" s="1"/>
  <c r="Y22" i="38"/>
  <c r="Y38" i="10" s="1"/>
  <c r="Z22" i="38"/>
  <c r="Z38" i="10" s="1"/>
  <c r="AA22" i="38"/>
  <c r="AA38" i="10" s="1"/>
  <c r="AB22" i="38"/>
  <c r="AC22" i="38"/>
  <c r="AC38" i="10" s="1"/>
  <c r="AD22" i="38"/>
  <c r="AD38" i="10" s="1"/>
  <c r="AE22" i="38"/>
  <c r="AE38" i="10" s="1"/>
  <c r="AF22" i="38"/>
  <c r="AF38" i="10" s="1"/>
  <c r="AG22" i="38"/>
  <c r="AG38" i="10" s="1"/>
  <c r="AH22" i="38"/>
  <c r="AI22" i="38"/>
  <c r="AI38" i="10" s="1"/>
  <c r="AJ22" i="38"/>
  <c r="AK22" i="38"/>
  <c r="AK38" i="10" s="1"/>
  <c r="AL22" i="38"/>
  <c r="AM22" i="38"/>
  <c r="AN22" i="38"/>
  <c r="AO22" i="38"/>
  <c r="AP22" i="38"/>
  <c r="AQ22" i="38"/>
  <c r="AR22" i="38"/>
  <c r="AS22" i="38"/>
  <c r="AT22" i="38"/>
  <c r="AU22" i="38"/>
  <c r="AV22" i="38"/>
  <c r="AW22" i="38"/>
  <c r="AX22" i="38"/>
  <c r="AY22" i="38"/>
  <c r="AZ22" i="38"/>
  <c r="BA22" i="38"/>
  <c r="BB22" i="38"/>
  <c r="BC22" i="38"/>
  <c r="BD22" i="38"/>
  <c r="BE22" i="38"/>
  <c r="BF22" i="38"/>
  <c r="BG22" i="38"/>
  <c r="BH22" i="38"/>
  <c r="BI22" i="38"/>
  <c r="BJ22" i="38"/>
  <c r="BK22" i="38"/>
  <c r="BL22" i="38"/>
  <c r="BM22" i="38"/>
  <c r="BP11" i="10"/>
  <c r="BQ34" i="38"/>
  <c r="BQ60" i="10" s="1"/>
  <c r="K40" i="38"/>
  <c r="J40" i="38"/>
  <c r="J66" i="10" s="1"/>
  <c r="L40" i="38"/>
  <c r="L66" i="10" s="1"/>
  <c r="M40" i="38"/>
  <c r="M66" i="10" s="1"/>
  <c r="N40" i="38"/>
  <c r="N66" i="10" s="1"/>
  <c r="O40" i="38"/>
  <c r="O66" i="10" s="1"/>
  <c r="P40" i="38"/>
  <c r="Q40" i="38"/>
  <c r="Q66" i="10" s="1"/>
  <c r="R40" i="38"/>
  <c r="S40" i="38"/>
  <c r="S66" i="10" s="1"/>
  <c r="T40" i="38"/>
  <c r="T66" i="10" s="1"/>
  <c r="U40" i="38"/>
  <c r="U66" i="10" s="1"/>
  <c r="V40" i="38"/>
  <c r="V66" i="10" s="1"/>
  <c r="W40" i="38"/>
  <c r="W66" i="10" s="1"/>
  <c r="X40" i="38"/>
  <c r="X66" i="10" s="1"/>
  <c r="Y40" i="38"/>
  <c r="Y66" i="10" s="1"/>
  <c r="Z40" i="38"/>
  <c r="AA40" i="38"/>
  <c r="AA66" i="10" s="1"/>
  <c r="AB40" i="38"/>
  <c r="AB66" i="10" s="1"/>
  <c r="AC40" i="38"/>
  <c r="AC66" i="10" s="1"/>
  <c r="AD40" i="38"/>
  <c r="AD66" i="10" s="1"/>
  <c r="AE40" i="38"/>
  <c r="AE66" i="10" s="1"/>
  <c r="AF40" i="38"/>
  <c r="AF66" i="10" s="1"/>
  <c r="AG40" i="38"/>
  <c r="AG66" i="10" s="1"/>
  <c r="AH40" i="38"/>
  <c r="AI40" i="38"/>
  <c r="AI66" i="10" s="1"/>
  <c r="AJ40" i="38"/>
  <c r="AJ66" i="10" s="1"/>
  <c r="AK40" i="38"/>
  <c r="AK66" i="10" s="1"/>
  <c r="AL40" i="38"/>
  <c r="AL66" i="10" s="1"/>
  <c r="AM40" i="38"/>
  <c r="AM66" i="10" s="1"/>
  <c r="AN40" i="38"/>
  <c r="AN66" i="10" s="1"/>
  <c r="AO40" i="38"/>
  <c r="AO66" i="10" s="1"/>
  <c r="AP40" i="38"/>
  <c r="AQ40" i="38"/>
  <c r="AQ66" i="10" s="1"/>
  <c r="AR40" i="38"/>
  <c r="AS40" i="38"/>
  <c r="AS66" i="10" s="1"/>
  <c r="AT40" i="38"/>
  <c r="AT66" i="10" s="1"/>
  <c r="AU40" i="38"/>
  <c r="AU66" i="10" s="1"/>
  <c r="AV40" i="38"/>
  <c r="AV66" i="10" s="1"/>
  <c r="AW40" i="38"/>
  <c r="AW66" i="10" s="1"/>
  <c r="AX40" i="38"/>
  <c r="AY40" i="38"/>
  <c r="AY66" i="10" s="1"/>
  <c r="AZ40" i="38"/>
  <c r="AZ66" i="10" s="1"/>
  <c r="BA40" i="38"/>
  <c r="BA66" i="10" s="1"/>
  <c r="BB40" i="38"/>
  <c r="BB66" i="10" s="1"/>
  <c r="BC40" i="38"/>
  <c r="BC66" i="10" s="1"/>
  <c r="BD40" i="38"/>
  <c r="BD66" i="10" s="1"/>
  <c r="BE40" i="38"/>
  <c r="BE66" i="10" s="1"/>
  <c r="BF40" i="38"/>
  <c r="BG40" i="38"/>
  <c r="BG66" i="10" s="1"/>
  <c r="BH40" i="38"/>
  <c r="BH66" i="10" s="1"/>
  <c r="BI40" i="38"/>
  <c r="BI66" i="10" s="1"/>
  <c r="BJ40" i="38"/>
  <c r="BJ66" i="10" s="1"/>
  <c r="BK40" i="38"/>
  <c r="BK66" i="10" s="1"/>
  <c r="BL40" i="38"/>
  <c r="BL66" i="10" s="1"/>
  <c r="BM40" i="38"/>
  <c r="BM66" i="10" s="1"/>
  <c r="BN40" i="38"/>
  <c r="BO40" i="38"/>
  <c r="BO66" i="10" s="1"/>
  <c r="BP40" i="38"/>
  <c r="BP66" i="10" s="1"/>
  <c r="K33" i="38"/>
  <c r="K59" i="10" s="1"/>
  <c r="J33" i="38"/>
  <c r="J59" i="10" s="1"/>
  <c r="L33" i="38"/>
  <c r="L59" i="10" s="1"/>
  <c r="M33" i="38"/>
  <c r="M59" i="10" s="1"/>
  <c r="N33" i="38"/>
  <c r="N59" i="10" s="1"/>
  <c r="O33" i="38"/>
  <c r="P33" i="38"/>
  <c r="P59" i="10" s="1"/>
  <c r="Q33" i="38"/>
  <c r="Q59" i="10" s="1"/>
  <c r="R33" i="38"/>
  <c r="R59" i="10" s="1"/>
  <c r="S33" i="38"/>
  <c r="S59" i="10" s="1"/>
  <c r="T33" i="38"/>
  <c r="T59" i="10" s="1"/>
  <c r="V33" i="38"/>
  <c r="V59" i="10" s="1"/>
  <c r="U33" i="38"/>
  <c r="U59" i="10" s="1"/>
  <c r="W33" i="38"/>
  <c r="X33" i="38"/>
  <c r="X59" i="10" s="1"/>
  <c r="Y33" i="38"/>
  <c r="Y59" i="10" s="1"/>
  <c r="Z33" i="38"/>
  <c r="Z59" i="10" s="1"/>
  <c r="AA33" i="38"/>
  <c r="AA59" i="10" s="1"/>
  <c r="AB33" i="38"/>
  <c r="AB59" i="10" s="1"/>
  <c r="AC33" i="38"/>
  <c r="AC59" i="10" s="1"/>
  <c r="AD33" i="38"/>
  <c r="AD59" i="10" s="1"/>
  <c r="AE33" i="38"/>
  <c r="AF33" i="38"/>
  <c r="AF59" i="10" s="1"/>
  <c r="AG33" i="38"/>
  <c r="AG59" i="10" s="1"/>
  <c r="AH33" i="38"/>
  <c r="AH59" i="10" s="1"/>
  <c r="AI33" i="38"/>
  <c r="AJ33" i="38"/>
  <c r="AJ59" i="10" s="1"/>
  <c r="AK33" i="38"/>
  <c r="AK59" i="10" s="1"/>
  <c r="AL33" i="38"/>
  <c r="AL59" i="10" s="1"/>
  <c r="AM33" i="38"/>
  <c r="AN33" i="38"/>
  <c r="AN59" i="10" s="1"/>
  <c r="AO33" i="38"/>
  <c r="AO59" i="10" s="1"/>
  <c r="AP33" i="38"/>
  <c r="AP59" i="10" s="1"/>
  <c r="AQ33" i="38"/>
  <c r="AR33" i="38"/>
  <c r="AR59" i="10" s="1"/>
  <c r="AS33" i="38"/>
  <c r="AT33" i="38"/>
  <c r="AT59" i="10" s="1"/>
  <c r="AU33" i="38"/>
  <c r="AU59" i="10" s="1"/>
  <c r="AV33" i="38"/>
  <c r="AV59" i="10" s="1"/>
  <c r="AW33" i="38"/>
  <c r="AW59" i="10" s="1"/>
  <c r="AX33" i="38"/>
  <c r="AX59" i="10" s="1"/>
  <c r="AY33" i="38"/>
  <c r="AZ33" i="38"/>
  <c r="AZ59" i="10" s="1"/>
  <c r="BA33" i="38"/>
  <c r="BA59" i="10" s="1"/>
  <c r="BB33" i="38"/>
  <c r="BB59" i="10" s="1"/>
  <c r="BC33" i="38"/>
  <c r="BD33" i="38"/>
  <c r="BD59" i="10" s="1"/>
  <c r="BE33" i="38"/>
  <c r="BE59" i="10" s="1"/>
  <c r="BF33" i="38"/>
  <c r="BF59" i="10" s="1"/>
  <c r="BG33" i="38"/>
  <c r="BH33" i="38"/>
  <c r="BH59" i="10" s="1"/>
  <c r="BI33" i="38"/>
  <c r="BI59" i="10" s="1"/>
  <c r="BJ33" i="38"/>
  <c r="BJ59" i="10" s="1"/>
  <c r="BK33" i="38"/>
  <c r="BL33" i="38"/>
  <c r="BL59" i="10" s="1"/>
  <c r="BM33" i="38"/>
  <c r="BM59" i="10" s="1"/>
  <c r="BN33" i="38"/>
  <c r="BN59" i="10" s="1"/>
  <c r="BO33" i="38"/>
  <c r="BP33" i="38"/>
  <c r="BP59" i="10" s="1"/>
  <c r="J56" i="38"/>
  <c r="J53" i="10" s="1"/>
  <c r="K56" i="38"/>
  <c r="K53" i="10" s="1"/>
  <c r="L56" i="38"/>
  <c r="M56" i="38"/>
  <c r="M53" i="10" s="1"/>
  <c r="N56" i="38"/>
  <c r="N53" i="10" s="1"/>
  <c r="O56" i="38"/>
  <c r="O53" i="10" s="1"/>
  <c r="P56" i="38"/>
  <c r="Q56" i="38"/>
  <c r="Q53" i="10" s="1"/>
  <c r="R56" i="38"/>
  <c r="R53" i="10" s="1"/>
  <c r="S56" i="38"/>
  <c r="S53" i="10" s="1"/>
  <c r="T56" i="38"/>
  <c r="T53" i="10" s="1"/>
  <c r="V56" i="38"/>
  <c r="V53" i="10" s="1"/>
  <c r="U56" i="38"/>
  <c r="U53" i="10" s="1"/>
  <c r="W56" i="38"/>
  <c r="W53" i="10" s="1"/>
  <c r="X56" i="38"/>
  <c r="X53" i="10" s="1"/>
  <c r="Y56" i="38"/>
  <c r="Y53" i="10" s="1"/>
  <c r="Z56" i="38"/>
  <c r="Z53" i="10" s="1"/>
  <c r="AA56" i="38"/>
  <c r="AA53" i="10" s="1"/>
  <c r="AB56" i="38"/>
  <c r="AC56" i="38"/>
  <c r="AC53" i="10" s="1"/>
  <c r="AD56" i="38"/>
  <c r="AD53" i="10" s="1"/>
  <c r="AE56" i="38"/>
  <c r="AE53" i="10" s="1"/>
  <c r="AF56" i="38"/>
  <c r="AF53" i="10" s="1"/>
  <c r="AG56" i="38"/>
  <c r="AG53" i="10" s="1"/>
  <c r="AH56" i="38"/>
  <c r="AH53" i="10" s="1"/>
  <c r="AI56" i="38"/>
  <c r="AI53" i="10" s="1"/>
  <c r="AJ56" i="38"/>
  <c r="AK56" i="38"/>
  <c r="AK53" i="10" s="1"/>
  <c r="AL56" i="38"/>
  <c r="AL53" i="10" s="1"/>
  <c r="AM56" i="38"/>
  <c r="AM53" i="10" s="1"/>
  <c r="AN56" i="38"/>
  <c r="AN53" i="10" s="1"/>
  <c r="AO56" i="38"/>
  <c r="AO53" i="10" s="1"/>
  <c r="AP56" i="38"/>
  <c r="AP53" i="10" s="1"/>
  <c r="AQ56" i="38"/>
  <c r="AQ53" i="10" s="1"/>
  <c r="AR56" i="38"/>
  <c r="AS56" i="38"/>
  <c r="AS53" i="10" s="1"/>
  <c r="AT56" i="38"/>
  <c r="AT53" i="10" s="1"/>
  <c r="AU56" i="38"/>
  <c r="AU53" i="10" s="1"/>
  <c r="AV56" i="38"/>
  <c r="AV53" i="10" s="1"/>
  <c r="AW56" i="38"/>
  <c r="AW53" i="10" s="1"/>
  <c r="AX56" i="38"/>
  <c r="AX53" i="10" s="1"/>
  <c r="AY56" i="38"/>
  <c r="AY53" i="10" s="1"/>
  <c r="AZ56" i="38"/>
  <c r="BA56" i="38"/>
  <c r="BA53" i="10" s="1"/>
  <c r="BB56" i="38"/>
  <c r="BB53" i="10" s="1"/>
  <c r="BC56" i="38"/>
  <c r="BC53" i="10" s="1"/>
  <c r="BD56" i="38"/>
  <c r="BD53" i="10" s="1"/>
  <c r="BE56" i="38"/>
  <c r="BE53" i="10" s="1"/>
  <c r="BF56" i="38"/>
  <c r="BF53" i="10" s="1"/>
  <c r="BG56" i="38"/>
  <c r="BG53" i="10" s="1"/>
  <c r="BH56" i="38"/>
  <c r="BI56" i="38"/>
  <c r="BI53" i="10" s="1"/>
  <c r="BJ56" i="38"/>
  <c r="BJ53" i="10" s="1"/>
  <c r="BK56" i="38"/>
  <c r="BK53" i="10" s="1"/>
  <c r="BL56" i="38"/>
  <c r="BM56" i="38"/>
  <c r="BM53" i="10" s="1"/>
  <c r="BN56" i="38"/>
  <c r="BN53" i="10" s="1"/>
  <c r="BO56" i="38"/>
  <c r="BO53" i="10" s="1"/>
  <c r="BP56" i="38"/>
  <c r="BP20" i="10"/>
  <c r="BP26" i="10" s="1"/>
  <c r="J47" i="38"/>
  <c r="K47" i="38"/>
  <c r="L47" i="38"/>
  <c r="M47" i="38"/>
  <c r="N47" i="38"/>
  <c r="O47" i="38"/>
  <c r="P47" i="38"/>
  <c r="Q47" i="38"/>
  <c r="R47" i="38"/>
  <c r="S47" i="38"/>
  <c r="T47" i="38"/>
  <c r="V47" i="38"/>
  <c r="U47" i="38"/>
  <c r="W47" i="38"/>
  <c r="X47" i="38"/>
  <c r="Y47" i="38"/>
  <c r="Z47" i="38"/>
  <c r="AA47" i="38"/>
  <c r="AB47" i="38"/>
  <c r="AC47" i="38"/>
  <c r="AD47" i="38"/>
  <c r="AE47" i="38"/>
  <c r="AF47" i="38"/>
  <c r="AG47" i="38"/>
  <c r="AH47" i="38"/>
  <c r="AI47" i="38"/>
  <c r="AJ47" i="38"/>
  <c r="AK47" i="38"/>
  <c r="AL47" i="38"/>
  <c r="AM47" i="38"/>
  <c r="AN47" i="38"/>
  <c r="AO47" i="38"/>
  <c r="AP47" i="38"/>
  <c r="AQ47" i="38"/>
  <c r="AR47" i="38"/>
  <c r="AS47" i="38"/>
  <c r="AT47" i="38"/>
  <c r="AU47" i="38"/>
  <c r="AV47" i="38"/>
  <c r="AW47" i="38"/>
  <c r="AX47" i="38"/>
  <c r="AY47" i="38"/>
  <c r="AZ47" i="38"/>
  <c r="BA47" i="38"/>
  <c r="BB47" i="38"/>
  <c r="BC47" i="38"/>
  <c r="BD47" i="38"/>
  <c r="BE47" i="38"/>
  <c r="BF47" i="38"/>
  <c r="BG47" i="38"/>
  <c r="BH47" i="38"/>
  <c r="BI47" i="38"/>
  <c r="BJ47" i="38"/>
  <c r="BK47" i="38"/>
  <c r="BL47" i="38"/>
  <c r="BM47" i="38"/>
  <c r="BN47" i="38"/>
  <c r="BO47" i="38"/>
  <c r="BP47" i="38"/>
  <c r="BQ56" i="38"/>
  <c r="BQ53" i="10" s="1"/>
  <c r="K35" i="38"/>
  <c r="K61" i="10" s="1"/>
  <c r="J35" i="38"/>
  <c r="J61" i="10" s="1"/>
  <c r="L35" i="38"/>
  <c r="M35" i="38"/>
  <c r="M61" i="10" s="1"/>
  <c r="N35" i="38"/>
  <c r="N61" i="10" s="1"/>
  <c r="O35" i="38"/>
  <c r="O61" i="10" s="1"/>
  <c r="P35" i="38"/>
  <c r="Q35" i="38"/>
  <c r="Q61" i="10" s="1"/>
  <c r="R35" i="38"/>
  <c r="R61" i="10" s="1"/>
  <c r="S35" i="38"/>
  <c r="S61" i="10" s="1"/>
  <c r="T35" i="38"/>
  <c r="T61" i="10" s="1"/>
  <c r="U35" i="38"/>
  <c r="U61" i="10" s="1"/>
  <c r="V35" i="38"/>
  <c r="V61" i="10" s="1"/>
  <c r="W35" i="38"/>
  <c r="W61" i="10" s="1"/>
  <c r="X35" i="38"/>
  <c r="Y35" i="38"/>
  <c r="Y61" i="10" s="1"/>
  <c r="Z35" i="38"/>
  <c r="Z61" i="10" s="1"/>
  <c r="AA35" i="38"/>
  <c r="AA61" i="10" s="1"/>
  <c r="AB35" i="38"/>
  <c r="AC35" i="38"/>
  <c r="AC61" i="10" s="1"/>
  <c r="AD35" i="38"/>
  <c r="AD61" i="10" s="1"/>
  <c r="AE35" i="38"/>
  <c r="AE61" i="10" s="1"/>
  <c r="AF35" i="38"/>
  <c r="AG35" i="38"/>
  <c r="AG61" i="10" s="1"/>
  <c r="AH35" i="38"/>
  <c r="AH61" i="10" s="1"/>
  <c r="AI35" i="38"/>
  <c r="AI61" i="10" s="1"/>
  <c r="AJ35" i="38"/>
  <c r="AJ61" i="10" s="1"/>
  <c r="AK35" i="38"/>
  <c r="AK61" i="10" s="1"/>
  <c r="AL35" i="38"/>
  <c r="AL61" i="10" s="1"/>
  <c r="AM35" i="38"/>
  <c r="AM61" i="10" s="1"/>
  <c r="AN35" i="38"/>
  <c r="AO35" i="38"/>
  <c r="AO61" i="10" s="1"/>
  <c r="AP35" i="38"/>
  <c r="AP61" i="10" s="1"/>
  <c r="AQ35" i="38"/>
  <c r="AQ61" i="10" s="1"/>
  <c r="AR35" i="38"/>
  <c r="AS35" i="38"/>
  <c r="AS61" i="10" s="1"/>
  <c r="AT35" i="38"/>
  <c r="AT61" i="10" s="1"/>
  <c r="AU35" i="38"/>
  <c r="AU61" i="10" s="1"/>
  <c r="AV35" i="38"/>
  <c r="AW35" i="38"/>
  <c r="AW61" i="10" s="1"/>
  <c r="AX35" i="38"/>
  <c r="AX61" i="10" s="1"/>
  <c r="AY35" i="38"/>
  <c r="AY61" i="10" s="1"/>
  <c r="AZ35" i="38"/>
  <c r="BA35" i="38"/>
  <c r="BA61" i="10" s="1"/>
  <c r="BB35" i="38"/>
  <c r="BB61" i="10" s="1"/>
  <c r="BC35" i="38"/>
  <c r="BC61" i="10" s="1"/>
  <c r="BD35" i="38"/>
  <c r="BE35" i="38"/>
  <c r="BE61" i="10" s="1"/>
  <c r="BF35" i="38"/>
  <c r="BF61" i="10" s="1"/>
  <c r="BG35" i="38"/>
  <c r="BG61" i="10" s="1"/>
  <c r="BH35" i="38"/>
  <c r="BI35" i="38"/>
  <c r="BI61" i="10" s="1"/>
  <c r="BJ35" i="38"/>
  <c r="BJ61" i="10" s="1"/>
  <c r="BK35" i="38"/>
  <c r="BK61" i="10" s="1"/>
  <c r="BL35" i="38"/>
  <c r="BM35" i="38"/>
  <c r="BM61" i="10" s="1"/>
  <c r="BN35" i="38"/>
  <c r="BN61" i="10" s="1"/>
  <c r="BO35" i="38"/>
  <c r="BO61" i="10" s="1"/>
  <c r="BP35" i="38"/>
  <c r="J54" i="38"/>
  <c r="J51" i="10" s="1"/>
  <c r="K54" i="38"/>
  <c r="K51" i="10" s="1"/>
  <c r="L54" i="38"/>
  <c r="L51" i="10" s="1"/>
  <c r="M54" i="38"/>
  <c r="N54" i="38"/>
  <c r="N51" i="10" s="1"/>
  <c r="O54" i="38"/>
  <c r="O51" i="10" s="1"/>
  <c r="P54" i="38"/>
  <c r="P51" i="10" s="1"/>
  <c r="Q54" i="38"/>
  <c r="Q51" i="10" s="1"/>
  <c r="R54" i="38"/>
  <c r="R51" i="10" s="1"/>
  <c r="S54" i="38"/>
  <c r="S51" i="10" s="1"/>
  <c r="T54" i="38"/>
  <c r="T51" i="10" s="1"/>
  <c r="U54" i="38"/>
  <c r="V54" i="38"/>
  <c r="V51" i="10" s="1"/>
  <c r="W54" i="38"/>
  <c r="W51" i="10" s="1"/>
  <c r="X54" i="38"/>
  <c r="X51" i="10" s="1"/>
  <c r="Y54" i="38"/>
  <c r="Y51" i="10" s="1"/>
  <c r="Z54" i="38"/>
  <c r="Z51" i="10" s="1"/>
  <c r="AA54" i="38"/>
  <c r="AA51" i="10" s="1"/>
  <c r="AB54" i="38"/>
  <c r="AB51" i="10" s="1"/>
  <c r="AC54" i="38"/>
  <c r="AD54" i="38"/>
  <c r="AD51" i="10" s="1"/>
  <c r="AE54" i="38"/>
  <c r="AE51" i="10" s="1"/>
  <c r="AF54" i="38"/>
  <c r="AF51" i="10" s="1"/>
  <c r="AG54" i="38"/>
  <c r="AH54" i="38"/>
  <c r="AH51" i="10" s="1"/>
  <c r="AI54" i="38"/>
  <c r="AI51" i="10" s="1"/>
  <c r="AJ54" i="38"/>
  <c r="AJ51" i="10" s="1"/>
  <c r="AK54" i="38"/>
  <c r="AL54" i="38"/>
  <c r="AL51" i="10" s="1"/>
  <c r="AM54" i="38"/>
  <c r="AM51" i="10" s="1"/>
  <c r="AN54" i="38"/>
  <c r="AN51" i="10" s="1"/>
  <c r="AO54" i="38"/>
  <c r="AO51" i="10" s="1"/>
  <c r="AP54" i="38"/>
  <c r="AP51" i="10" s="1"/>
  <c r="AQ54" i="38"/>
  <c r="AQ51" i="10" s="1"/>
  <c r="AR54" i="38"/>
  <c r="AR51" i="10" s="1"/>
  <c r="AS54" i="38"/>
  <c r="AT54" i="38"/>
  <c r="AT51" i="10" s="1"/>
  <c r="AU54" i="38"/>
  <c r="AU51" i="10" s="1"/>
  <c r="AV54" i="38"/>
  <c r="AV51" i="10" s="1"/>
  <c r="AW54" i="38"/>
  <c r="AW51" i="10" s="1"/>
  <c r="AX54" i="38"/>
  <c r="AX51" i="10" s="1"/>
  <c r="AY54" i="38"/>
  <c r="AY51" i="10" s="1"/>
  <c r="AZ54" i="38"/>
  <c r="AZ51" i="10" s="1"/>
  <c r="BA54" i="38"/>
  <c r="BB54" i="38"/>
  <c r="BB51" i="10" s="1"/>
  <c r="BC54" i="38"/>
  <c r="BC51" i="10" s="1"/>
  <c r="BD54" i="38"/>
  <c r="BD51" i="10" s="1"/>
  <c r="BE54" i="38"/>
  <c r="BE51" i="10" s="1"/>
  <c r="BF54" i="38"/>
  <c r="BF51" i="10" s="1"/>
  <c r="BG54" i="38"/>
  <c r="BG51" i="10" s="1"/>
  <c r="BH54" i="38"/>
  <c r="BH51" i="10" s="1"/>
  <c r="BI54" i="38"/>
  <c r="BJ54" i="38"/>
  <c r="BJ51" i="10" s="1"/>
  <c r="BK54" i="38"/>
  <c r="BK51" i="10" s="1"/>
  <c r="BL54" i="38"/>
  <c r="BL51" i="10" s="1"/>
  <c r="BM54" i="38"/>
  <c r="BM51" i="10" s="1"/>
  <c r="BN54" i="38"/>
  <c r="BN51" i="10" s="1"/>
  <c r="BO54" i="38"/>
  <c r="BO51" i="10" s="1"/>
  <c r="BP54" i="38"/>
  <c r="BP51" i="10" s="1"/>
  <c r="J50" i="38"/>
  <c r="K50" i="38"/>
  <c r="K47" i="10" s="1"/>
  <c r="L50" i="38"/>
  <c r="L47" i="10" s="1"/>
  <c r="M50" i="38"/>
  <c r="M47" i="10" s="1"/>
  <c r="N50" i="38"/>
  <c r="O50" i="38"/>
  <c r="O47" i="10" s="1"/>
  <c r="P50" i="38"/>
  <c r="P47" i="10" s="1"/>
  <c r="Q50" i="38"/>
  <c r="Q47" i="10" s="1"/>
  <c r="R50" i="38"/>
  <c r="S50" i="38"/>
  <c r="S47" i="10" s="1"/>
  <c r="T50" i="38"/>
  <c r="T47" i="10" s="1"/>
  <c r="V50" i="38"/>
  <c r="V47" i="10" s="1"/>
  <c r="U50" i="38"/>
  <c r="U47" i="10" s="1"/>
  <c r="W50" i="38"/>
  <c r="W47" i="10" s="1"/>
  <c r="X50" i="38"/>
  <c r="X47" i="10" s="1"/>
  <c r="Y50" i="38"/>
  <c r="Y47" i="10" s="1"/>
  <c r="Z50" i="38"/>
  <c r="AA50" i="38"/>
  <c r="AA47" i="10" s="1"/>
  <c r="AB50" i="38"/>
  <c r="AB47" i="10" s="1"/>
  <c r="AC50" i="38"/>
  <c r="AC47" i="10" s="1"/>
  <c r="AD50" i="38"/>
  <c r="AD47" i="10" s="1"/>
  <c r="AE50" i="38"/>
  <c r="AE47" i="10" s="1"/>
  <c r="AF50" i="38"/>
  <c r="AF47" i="10" s="1"/>
  <c r="AG50" i="38"/>
  <c r="AG47" i="10" s="1"/>
  <c r="AH50" i="38"/>
  <c r="AI50" i="38"/>
  <c r="AI47" i="10" s="1"/>
  <c r="AJ50" i="38"/>
  <c r="AJ47" i="10" s="1"/>
  <c r="AK50" i="38"/>
  <c r="AK47" i="10" s="1"/>
  <c r="AL50" i="38"/>
  <c r="AL47" i="10" s="1"/>
  <c r="AM50" i="38"/>
  <c r="AM47" i="10" s="1"/>
  <c r="AN50" i="38"/>
  <c r="AN47" i="10" s="1"/>
  <c r="AO50" i="38"/>
  <c r="AO47" i="10" s="1"/>
  <c r="AP50" i="38"/>
  <c r="AQ50" i="38"/>
  <c r="AQ47" i="10" s="1"/>
  <c r="AR50" i="38"/>
  <c r="AR47" i="10" s="1"/>
  <c r="AS50" i="38"/>
  <c r="AS47" i="10" s="1"/>
  <c r="AT50" i="38"/>
  <c r="AU50" i="38"/>
  <c r="AU47" i="10" s="1"/>
  <c r="AV50" i="38"/>
  <c r="AV47" i="10" s="1"/>
  <c r="AW50" i="38"/>
  <c r="AW47" i="10" s="1"/>
  <c r="AX50" i="38"/>
  <c r="AY50" i="38"/>
  <c r="AY47" i="10" s="1"/>
  <c r="AZ50" i="38"/>
  <c r="AZ47" i="10" s="1"/>
  <c r="BA50" i="38"/>
  <c r="BA47" i="10" s="1"/>
  <c r="BB50" i="38"/>
  <c r="BB47" i="10" s="1"/>
  <c r="BC50" i="38"/>
  <c r="BC47" i="10" s="1"/>
  <c r="BD50" i="38"/>
  <c r="BD47" i="10" s="1"/>
  <c r="BE50" i="38"/>
  <c r="BE47" i="10" s="1"/>
  <c r="BF50" i="38"/>
  <c r="BG50" i="38"/>
  <c r="BG47" i="10" s="1"/>
  <c r="BH50" i="38"/>
  <c r="BH47" i="10" s="1"/>
  <c r="BI50" i="38"/>
  <c r="BI47" i="10" s="1"/>
  <c r="BJ50" i="38"/>
  <c r="BJ47" i="10" s="1"/>
  <c r="BK50" i="38"/>
  <c r="BK47" i="10" s="1"/>
  <c r="BL50" i="38"/>
  <c r="BL47" i="10" s="1"/>
  <c r="BM50" i="38"/>
  <c r="BM47" i="10" s="1"/>
  <c r="BN50" i="38"/>
  <c r="BO50" i="38"/>
  <c r="BO47" i="10" s="1"/>
  <c r="BP50" i="38"/>
  <c r="BP47" i="10" s="1"/>
  <c r="BN21" i="10"/>
  <c r="BN22" i="38" s="1"/>
  <c r="BQ47" i="38"/>
  <c r="BQ44" i="10" s="1"/>
  <c r="J49" i="38"/>
  <c r="J46" i="10" s="1"/>
  <c r="K49" i="38"/>
  <c r="K46" i="10" s="1"/>
  <c r="L49" i="38"/>
  <c r="L46" i="10" s="1"/>
  <c r="M49" i="38"/>
  <c r="N49" i="38"/>
  <c r="N46" i="10" s="1"/>
  <c r="O49" i="38"/>
  <c r="O46" i="10" s="1"/>
  <c r="P49" i="38"/>
  <c r="P46" i="10" s="1"/>
  <c r="Q49" i="38"/>
  <c r="Q46" i="10" s="1"/>
  <c r="R49" i="38"/>
  <c r="R46" i="10" s="1"/>
  <c r="S49" i="38"/>
  <c r="S46" i="10" s="1"/>
  <c r="T49" i="38"/>
  <c r="T46" i="10" s="1"/>
  <c r="V49" i="38"/>
  <c r="U49" i="38"/>
  <c r="U46" i="10" s="1"/>
  <c r="W49" i="38"/>
  <c r="W46" i="10" s="1"/>
  <c r="X49" i="38"/>
  <c r="X46" i="10" s="1"/>
  <c r="Y49" i="38"/>
  <c r="Y46" i="10" s="1"/>
  <c r="Z49" i="38"/>
  <c r="Z46" i="10" s="1"/>
  <c r="AA49" i="38"/>
  <c r="AA46" i="10" s="1"/>
  <c r="AB49" i="38"/>
  <c r="AB46" i="10" s="1"/>
  <c r="AC49" i="38"/>
  <c r="AD49" i="38"/>
  <c r="AD46" i="10" s="1"/>
  <c r="AE49" i="38"/>
  <c r="AE46" i="10" s="1"/>
  <c r="AF49" i="38"/>
  <c r="AF46" i="10" s="1"/>
  <c r="AG49" i="38"/>
  <c r="AH49" i="38"/>
  <c r="AH46" i="10" s="1"/>
  <c r="AI49" i="38"/>
  <c r="AI46" i="10" s="1"/>
  <c r="AJ49" i="38"/>
  <c r="AJ46" i="10" s="1"/>
  <c r="AK49" i="38"/>
  <c r="AL49" i="38"/>
  <c r="AL46" i="10" s="1"/>
  <c r="AM49" i="38"/>
  <c r="AM46" i="10" s="1"/>
  <c r="AN49" i="38"/>
  <c r="AN46" i="10" s="1"/>
  <c r="AO49" i="38"/>
  <c r="AP49" i="38"/>
  <c r="AP46" i="10" s="1"/>
  <c r="AQ49" i="38"/>
  <c r="AQ46" i="10" s="1"/>
  <c r="AR49" i="38"/>
  <c r="AR46" i="10" s="1"/>
  <c r="AS49" i="38"/>
  <c r="AT49" i="38"/>
  <c r="AT46" i="10" s="1"/>
  <c r="AU49" i="38"/>
  <c r="AU46" i="10" s="1"/>
  <c r="AV49" i="38"/>
  <c r="AV46" i="10" s="1"/>
  <c r="AW49" i="38"/>
  <c r="AW46" i="10" s="1"/>
  <c r="AX49" i="38"/>
  <c r="AX46" i="10" s="1"/>
  <c r="AY49" i="38"/>
  <c r="AY46" i="10" s="1"/>
  <c r="AZ49" i="38"/>
  <c r="AZ46" i="10" s="1"/>
  <c r="BA49" i="38"/>
  <c r="BB49" i="38"/>
  <c r="BB46" i="10" s="1"/>
  <c r="BC49" i="38"/>
  <c r="BC46" i="10" s="1"/>
  <c r="BD49" i="38"/>
  <c r="BD46" i="10" s="1"/>
  <c r="BE49" i="38"/>
  <c r="BE46" i="10" s="1"/>
  <c r="BF49" i="38"/>
  <c r="BF46" i="10" s="1"/>
  <c r="BG49" i="38"/>
  <c r="BG46" i="10" s="1"/>
  <c r="BH49" i="38"/>
  <c r="BH46" i="10" s="1"/>
  <c r="BI49" i="38"/>
  <c r="BJ49" i="38"/>
  <c r="BJ46" i="10" s="1"/>
  <c r="BK49" i="38"/>
  <c r="BK46" i="10" s="1"/>
  <c r="BL49" i="38"/>
  <c r="BL46" i="10" s="1"/>
  <c r="BM49" i="38"/>
  <c r="BM46" i="10" s="1"/>
  <c r="BN49" i="38"/>
  <c r="BN46" i="10" s="1"/>
  <c r="BO49" i="38"/>
  <c r="BO46" i="10" s="1"/>
  <c r="BP49" i="38"/>
  <c r="BP46" i="10" s="1"/>
  <c r="J51" i="38"/>
  <c r="K51" i="38"/>
  <c r="K48" i="10" s="1"/>
  <c r="L51" i="38"/>
  <c r="L48" i="10" s="1"/>
  <c r="M51" i="38"/>
  <c r="M48" i="10" s="1"/>
  <c r="N51" i="38"/>
  <c r="N48" i="10" s="1"/>
  <c r="O51" i="38"/>
  <c r="O48" i="10" s="1"/>
  <c r="P51" i="38"/>
  <c r="P48" i="10" s="1"/>
  <c r="Q51" i="38"/>
  <c r="Q48" i="10" s="1"/>
  <c r="R51" i="38"/>
  <c r="S51" i="38"/>
  <c r="S48" i="10" s="1"/>
  <c r="T51" i="38"/>
  <c r="T48" i="10" s="1"/>
  <c r="U51" i="38"/>
  <c r="U48" i="10" s="1"/>
  <c r="V51" i="38"/>
  <c r="V48" i="10" s="1"/>
  <c r="W51" i="38"/>
  <c r="W48" i="10" s="1"/>
  <c r="X51" i="38"/>
  <c r="X48" i="10" s="1"/>
  <c r="Y51" i="38"/>
  <c r="Y48" i="10" s="1"/>
  <c r="Z51" i="38"/>
  <c r="AA51" i="38"/>
  <c r="AA48" i="10" s="1"/>
  <c r="AB51" i="38"/>
  <c r="AB48" i="10" s="1"/>
  <c r="AC51" i="38"/>
  <c r="AC48" i="10" s="1"/>
  <c r="AD51" i="38"/>
  <c r="AD48" i="10" s="1"/>
  <c r="AE51" i="38"/>
  <c r="AE48" i="10" s="1"/>
  <c r="AF51" i="38"/>
  <c r="AF48" i="10" s="1"/>
  <c r="AG51" i="38"/>
  <c r="AG48" i="10" s="1"/>
  <c r="AH51" i="38"/>
  <c r="AI51" i="38"/>
  <c r="AI48" i="10" s="1"/>
  <c r="AJ51" i="38"/>
  <c r="AJ48" i="10" s="1"/>
  <c r="AK51" i="38"/>
  <c r="AK48" i="10" s="1"/>
  <c r="AL51" i="38"/>
  <c r="AL48" i="10" s="1"/>
  <c r="AM51" i="38"/>
  <c r="AM48" i="10" s="1"/>
  <c r="AN51" i="38"/>
  <c r="AN48" i="10" s="1"/>
  <c r="AO51" i="38"/>
  <c r="AO48" i="10" s="1"/>
  <c r="AP51" i="38"/>
  <c r="AQ51" i="38"/>
  <c r="AQ48" i="10" s="1"/>
  <c r="AR51" i="38"/>
  <c r="AR48" i="10" s="1"/>
  <c r="AS51" i="38"/>
  <c r="AS48" i="10" s="1"/>
  <c r="AT51" i="38"/>
  <c r="AU51" i="38"/>
  <c r="AU48" i="10" s="1"/>
  <c r="AV51" i="38"/>
  <c r="AV48" i="10" s="1"/>
  <c r="AW51" i="38"/>
  <c r="AW48" i="10" s="1"/>
  <c r="AX51" i="38"/>
  <c r="AY51" i="38"/>
  <c r="AY48" i="10" s="1"/>
  <c r="AZ51" i="38"/>
  <c r="AZ48" i="10" s="1"/>
  <c r="BA51" i="38"/>
  <c r="BA48" i="10" s="1"/>
  <c r="BB51" i="38"/>
  <c r="BB48" i="10" s="1"/>
  <c r="BC51" i="38"/>
  <c r="BC48" i="10" s="1"/>
  <c r="BD51" i="38"/>
  <c r="BD48" i="10" s="1"/>
  <c r="BE51" i="38"/>
  <c r="BE48" i="10" s="1"/>
  <c r="BF51" i="38"/>
  <c r="BG51" i="38"/>
  <c r="BG48" i="10" s="1"/>
  <c r="BH51" i="38"/>
  <c r="BH48" i="10" s="1"/>
  <c r="BI51" i="38"/>
  <c r="BI48" i="10" s="1"/>
  <c r="BJ51" i="38"/>
  <c r="BJ48" i="10" s="1"/>
  <c r="BK51" i="38"/>
  <c r="BK48" i="10" s="1"/>
  <c r="BL51" i="38"/>
  <c r="BL48" i="10" s="1"/>
  <c r="BM51" i="38"/>
  <c r="BM48" i="10" s="1"/>
  <c r="BN51" i="38"/>
  <c r="BO51" i="38"/>
  <c r="BO48" i="10" s="1"/>
  <c r="BP51" i="38"/>
  <c r="BP48" i="10" s="1"/>
  <c r="K36" i="38"/>
  <c r="K62" i="10" s="1"/>
  <c r="L36" i="38"/>
  <c r="J36" i="38"/>
  <c r="J62" i="10" s="1"/>
  <c r="M36" i="38"/>
  <c r="M62" i="10" s="1"/>
  <c r="N36" i="38"/>
  <c r="N62" i="10" s="1"/>
  <c r="O36" i="38"/>
  <c r="P36" i="38"/>
  <c r="P62" i="10" s="1"/>
  <c r="Q36" i="38"/>
  <c r="Q62" i="10" s="1"/>
  <c r="R36" i="38"/>
  <c r="R62" i="10" s="1"/>
  <c r="S36" i="38"/>
  <c r="S62" i="10" s="1"/>
  <c r="T36" i="38"/>
  <c r="T62" i="10" s="1"/>
  <c r="V36" i="38"/>
  <c r="V62" i="10" s="1"/>
  <c r="U36" i="38"/>
  <c r="U62" i="10" s="1"/>
  <c r="W36" i="38"/>
  <c r="X36" i="38"/>
  <c r="X62" i="10" s="1"/>
  <c r="Y36" i="38"/>
  <c r="Y62" i="10" s="1"/>
  <c r="Z36" i="38"/>
  <c r="Z62" i="10" s="1"/>
  <c r="AA36" i="38"/>
  <c r="AA62" i="10" s="1"/>
  <c r="AB36" i="38"/>
  <c r="AB62" i="10" s="1"/>
  <c r="AC36" i="38"/>
  <c r="AC62" i="10" s="1"/>
  <c r="AD36" i="38"/>
  <c r="AD62" i="10" s="1"/>
  <c r="AE36" i="38"/>
  <c r="AF36" i="38"/>
  <c r="AF62" i="10" s="1"/>
  <c r="AG36" i="38"/>
  <c r="AG62" i="10" s="1"/>
  <c r="AH36" i="38"/>
  <c r="AH62" i="10" s="1"/>
  <c r="AI36" i="38"/>
  <c r="AJ36" i="38"/>
  <c r="AJ62" i="10" s="1"/>
  <c r="AK36" i="38"/>
  <c r="AK62" i="10" s="1"/>
  <c r="AL36" i="38"/>
  <c r="AL62" i="10" s="1"/>
  <c r="AM36" i="38"/>
  <c r="AN36" i="38"/>
  <c r="AN62" i="10" s="1"/>
  <c r="AO36" i="38"/>
  <c r="AO62" i="10" s="1"/>
  <c r="AP36" i="38"/>
  <c r="AP62" i="10" s="1"/>
  <c r="AQ36" i="38"/>
  <c r="AQ62" i="10" s="1"/>
  <c r="AR36" i="38"/>
  <c r="AR62" i="10" s="1"/>
  <c r="AS36" i="38"/>
  <c r="AS62" i="10" s="1"/>
  <c r="AT36" i="38"/>
  <c r="AT62" i="10" s="1"/>
  <c r="AU36" i="38"/>
  <c r="AV36" i="38"/>
  <c r="AV62" i="10" s="1"/>
  <c r="AW36" i="38"/>
  <c r="AW62" i="10" s="1"/>
  <c r="AX36" i="38"/>
  <c r="AX62" i="10" s="1"/>
  <c r="AY36" i="38"/>
  <c r="AY62" i="10" s="1"/>
  <c r="AZ36" i="38"/>
  <c r="AZ62" i="10" s="1"/>
  <c r="BA36" i="38"/>
  <c r="BA62" i="10" s="1"/>
  <c r="BB36" i="38"/>
  <c r="BB62" i="10" s="1"/>
  <c r="BC36" i="38"/>
  <c r="BD36" i="38"/>
  <c r="BD62" i="10" s="1"/>
  <c r="BE36" i="38"/>
  <c r="BE62" i="10" s="1"/>
  <c r="BF36" i="38"/>
  <c r="BF62" i="10" s="1"/>
  <c r="BG36" i="38"/>
  <c r="BG62" i="10" s="1"/>
  <c r="BH36" i="38"/>
  <c r="BH62" i="10" s="1"/>
  <c r="BI36" i="38"/>
  <c r="BI62" i="10" s="1"/>
  <c r="BJ36" i="38"/>
  <c r="BJ62" i="10" s="1"/>
  <c r="BK36" i="38"/>
  <c r="BL36" i="38"/>
  <c r="BL62" i="10" s="1"/>
  <c r="BM36" i="38"/>
  <c r="BM62" i="10" s="1"/>
  <c r="BN36" i="38"/>
  <c r="BN62" i="10" s="1"/>
  <c r="BO36" i="38"/>
  <c r="BO62" i="10" s="1"/>
  <c r="BP36" i="38"/>
  <c r="BP62" i="10" s="1"/>
  <c r="L37" i="38"/>
  <c r="L63" i="10" s="1"/>
  <c r="K37" i="38"/>
  <c r="K63" i="10" s="1"/>
  <c r="J37" i="38"/>
  <c r="M37" i="38"/>
  <c r="M63" i="10" s="1"/>
  <c r="N37" i="38"/>
  <c r="N63" i="10" s="1"/>
  <c r="O37" i="38"/>
  <c r="O63" i="10" s="1"/>
  <c r="P37" i="38"/>
  <c r="Q37" i="38"/>
  <c r="Q63" i="10" s="1"/>
  <c r="R37" i="38"/>
  <c r="R63" i="10" s="1"/>
  <c r="S37" i="38"/>
  <c r="S63" i="10" s="1"/>
  <c r="T37" i="38"/>
  <c r="V37" i="38"/>
  <c r="V63" i="10" s="1"/>
  <c r="U37" i="38"/>
  <c r="U63" i="10" s="1"/>
  <c r="W37" i="38"/>
  <c r="W63" i="10" s="1"/>
  <c r="X37" i="38"/>
  <c r="X63" i="10" s="1"/>
  <c r="Y37" i="38"/>
  <c r="Z37" i="38"/>
  <c r="Z63" i="10" s="1"/>
  <c r="AA37" i="38"/>
  <c r="AA63" i="10" s="1"/>
  <c r="AB37" i="38"/>
  <c r="AC37" i="38"/>
  <c r="AC63" i="10" s="1"/>
  <c r="AD37" i="38"/>
  <c r="AD63" i="10" s="1"/>
  <c r="AE37" i="38"/>
  <c r="AE63" i="10" s="1"/>
  <c r="AF37" i="38"/>
  <c r="AF63" i="10" s="1"/>
  <c r="AG37" i="38"/>
  <c r="AG63" i="10" s="1"/>
  <c r="AH37" i="38"/>
  <c r="AH63" i="10" s="1"/>
  <c r="AI37" i="38"/>
  <c r="AI63" i="10" s="1"/>
  <c r="AJ37" i="38"/>
  <c r="AK37" i="38"/>
  <c r="AK63" i="10" s="1"/>
  <c r="AL37" i="38"/>
  <c r="AL63" i="10" s="1"/>
  <c r="AM37" i="38"/>
  <c r="AM63" i="10" s="1"/>
  <c r="AN37" i="38"/>
  <c r="AN63" i="10" s="1"/>
  <c r="AO37" i="38"/>
  <c r="AO63" i="10" s="1"/>
  <c r="AP37" i="38"/>
  <c r="AP63" i="10" s="1"/>
  <c r="AQ37" i="38"/>
  <c r="AQ63" i="10" s="1"/>
  <c r="AR37" i="38"/>
  <c r="AS37" i="38"/>
  <c r="AS63" i="10" s="1"/>
  <c r="AT37" i="38"/>
  <c r="AT63" i="10" s="1"/>
  <c r="AU37" i="38"/>
  <c r="AU63" i="10" s="1"/>
  <c r="AV37" i="38"/>
  <c r="AV63" i="10" s="1"/>
  <c r="AW37" i="38"/>
  <c r="AW63" i="10" s="1"/>
  <c r="AX37" i="38"/>
  <c r="AX63" i="10" s="1"/>
  <c r="AY37" i="38"/>
  <c r="AY63" i="10" s="1"/>
  <c r="AZ37" i="38"/>
  <c r="BA37" i="38"/>
  <c r="BA63" i="10" s="1"/>
  <c r="BB37" i="38"/>
  <c r="BB63" i="10" s="1"/>
  <c r="BC37" i="38"/>
  <c r="BC63" i="10" s="1"/>
  <c r="BD37" i="38"/>
  <c r="BD63" i="10" s="1"/>
  <c r="BE37" i="38"/>
  <c r="BF37" i="38"/>
  <c r="BF63" i="10" s="1"/>
  <c r="BG37" i="38"/>
  <c r="BG63" i="10" s="1"/>
  <c r="BH37" i="38"/>
  <c r="BI37" i="38"/>
  <c r="BI63" i="10" s="1"/>
  <c r="BJ37" i="38"/>
  <c r="BJ63" i="10" s="1"/>
  <c r="BK37" i="38"/>
  <c r="BK63" i="10" s="1"/>
  <c r="BL37" i="38"/>
  <c r="BL63" i="10" s="1"/>
  <c r="BM37" i="38"/>
  <c r="BM63" i="10" s="1"/>
  <c r="BN37" i="38"/>
  <c r="BN63" i="10" s="1"/>
  <c r="BO37" i="38"/>
  <c r="BO63" i="10" s="1"/>
  <c r="BP37" i="38"/>
  <c r="J21" i="38"/>
  <c r="J37" i="10" s="1"/>
  <c r="K21" i="38"/>
  <c r="K37" i="10" s="1"/>
  <c r="L21" i="38"/>
  <c r="L37" i="10" s="1"/>
  <c r="M21" i="38"/>
  <c r="M37" i="10" s="1"/>
  <c r="N21" i="38"/>
  <c r="N37" i="10" s="1"/>
  <c r="O21" i="38"/>
  <c r="O37" i="10" s="1"/>
  <c r="P21" i="38"/>
  <c r="P37" i="10" s="1"/>
  <c r="Q21" i="38"/>
  <c r="R21" i="38"/>
  <c r="R37" i="10" s="1"/>
  <c r="S21" i="38"/>
  <c r="S37" i="10" s="1"/>
  <c r="T21" i="38"/>
  <c r="T37" i="10" s="1"/>
  <c r="U21" i="38"/>
  <c r="V21" i="38"/>
  <c r="V37" i="10" s="1"/>
  <c r="W21" i="38"/>
  <c r="W37" i="10" s="1"/>
  <c r="X21" i="38"/>
  <c r="X37" i="10" s="1"/>
  <c r="Y21" i="38"/>
  <c r="Z21" i="38"/>
  <c r="Z37" i="10" s="1"/>
  <c r="AA21" i="38"/>
  <c r="AA37" i="10" s="1"/>
  <c r="AB21" i="38"/>
  <c r="AB37" i="10" s="1"/>
  <c r="AC21" i="38"/>
  <c r="AC37" i="10" s="1"/>
  <c r="AD21" i="38"/>
  <c r="AD37" i="10" s="1"/>
  <c r="AE21" i="38"/>
  <c r="AE37" i="10" s="1"/>
  <c r="AF21" i="38"/>
  <c r="AF37" i="10" s="1"/>
  <c r="AG21" i="38"/>
  <c r="AH21" i="38"/>
  <c r="AH37" i="10" s="1"/>
  <c r="AI21" i="38"/>
  <c r="AI37" i="10" s="1"/>
  <c r="AJ21" i="38"/>
  <c r="AJ37" i="10" s="1"/>
  <c r="AK21" i="38"/>
  <c r="AK37" i="10" s="1"/>
  <c r="AL21" i="38"/>
  <c r="AM21" i="38"/>
  <c r="AN21" i="38"/>
  <c r="AO21" i="38"/>
  <c r="AP21" i="38"/>
  <c r="AQ21" i="38"/>
  <c r="AR21" i="38"/>
  <c r="AS21" i="38"/>
  <c r="AT21" i="38"/>
  <c r="AU21" i="38"/>
  <c r="AV21" i="38"/>
  <c r="AW21" i="38"/>
  <c r="AX21" i="38"/>
  <c r="AY21" i="38"/>
  <c r="AZ21" i="38"/>
  <c r="BA21" i="38"/>
  <c r="BB21" i="38"/>
  <c r="BC21" i="38"/>
  <c r="BD21" i="38"/>
  <c r="BE21" i="38"/>
  <c r="BF21" i="38"/>
  <c r="BG21" i="38"/>
  <c r="BH21" i="38"/>
  <c r="BI21" i="38"/>
  <c r="BJ21" i="38"/>
  <c r="BK21" i="38"/>
  <c r="BL21" i="38"/>
  <c r="BM21" i="38"/>
  <c r="BN21" i="38"/>
  <c r="BO18" i="10"/>
  <c r="BQ35" i="38"/>
  <c r="BQ61" i="10" s="1"/>
  <c r="BQ50" i="38"/>
  <c r="BQ47" i="10" s="1"/>
  <c r="J48" i="38"/>
  <c r="J45" i="10" s="1"/>
  <c r="K48" i="38"/>
  <c r="K45" i="10" s="1"/>
  <c r="L48" i="38"/>
  <c r="L45" i="10" s="1"/>
  <c r="M48" i="38"/>
  <c r="N48" i="38"/>
  <c r="N45" i="10" s="1"/>
  <c r="O48" i="38"/>
  <c r="O45" i="10" s="1"/>
  <c r="P48" i="38"/>
  <c r="P45" i="10" s="1"/>
  <c r="Q48" i="38"/>
  <c r="Q45" i="10" s="1"/>
  <c r="R48" i="38"/>
  <c r="R45" i="10" s="1"/>
  <c r="S48" i="38"/>
  <c r="S45" i="10" s="1"/>
  <c r="T48" i="38"/>
  <c r="T45" i="10" s="1"/>
  <c r="V48" i="38"/>
  <c r="U48" i="38"/>
  <c r="U45" i="10" s="1"/>
  <c r="W48" i="38"/>
  <c r="W45" i="10" s="1"/>
  <c r="X48" i="38"/>
  <c r="X45" i="10" s="1"/>
  <c r="Y48" i="38"/>
  <c r="Y45" i="10" s="1"/>
  <c r="Z48" i="38"/>
  <c r="Z45" i="10" s="1"/>
  <c r="AA48" i="38"/>
  <c r="AA45" i="10" s="1"/>
  <c r="AB48" i="38"/>
  <c r="AB45" i="10" s="1"/>
  <c r="AC48" i="38"/>
  <c r="AD48" i="38"/>
  <c r="AD45" i="10" s="1"/>
  <c r="AE48" i="38"/>
  <c r="AE45" i="10" s="1"/>
  <c r="AF48" i="38"/>
  <c r="AF45" i="10" s="1"/>
  <c r="AG48" i="38"/>
  <c r="AG45" i="10" s="1"/>
  <c r="AH48" i="38"/>
  <c r="AH45" i="10" s="1"/>
  <c r="AI48" i="38"/>
  <c r="AI45" i="10" s="1"/>
  <c r="AJ48" i="38"/>
  <c r="AJ45" i="10" s="1"/>
  <c r="AK48" i="38"/>
  <c r="AL48" i="38"/>
  <c r="AL45" i="10" s="1"/>
  <c r="AM48" i="38"/>
  <c r="AM45" i="10" s="1"/>
  <c r="AN48" i="38"/>
  <c r="AN45" i="10" s="1"/>
  <c r="AO48" i="38"/>
  <c r="AO45" i="10" s="1"/>
  <c r="AP48" i="38"/>
  <c r="AP45" i="10" s="1"/>
  <c r="AQ48" i="38"/>
  <c r="AQ45" i="10" s="1"/>
  <c r="AR48" i="38"/>
  <c r="AR45" i="10" s="1"/>
  <c r="AS48" i="38"/>
  <c r="AT48" i="38"/>
  <c r="AT45" i="10" s="1"/>
  <c r="AU48" i="38"/>
  <c r="AU45" i="10" s="1"/>
  <c r="AV48" i="38"/>
  <c r="AV45" i="10" s="1"/>
  <c r="AW48" i="38"/>
  <c r="AW45" i="10" s="1"/>
  <c r="AX48" i="38"/>
  <c r="AX45" i="10" s="1"/>
  <c r="AY48" i="38"/>
  <c r="AY45" i="10" s="1"/>
  <c r="AZ48" i="38"/>
  <c r="AZ45" i="10" s="1"/>
  <c r="BA48" i="38"/>
  <c r="BB48" i="38"/>
  <c r="BB45" i="10" s="1"/>
  <c r="BC48" i="38"/>
  <c r="BC45" i="10" s="1"/>
  <c r="BD48" i="38"/>
  <c r="BD45" i="10" s="1"/>
  <c r="BE48" i="38"/>
  <c r="BE45" i="10" s="1"/>
  <c r="BF48" i="38"/>
  <c r="BF45" i="10" s="1"/>
  <c r="BG48" i="38"/>
  <c r="BG45" i="10" s="1"/>
  <c r="BH48" i="38"/>
  <c r="BH45" i="10" s="1"/>
  <c r="BI48" i="38"/>
  <c r="BJ48" i="38"/>
  <c r="BJ45" i="10" s="1"/>
  <c r="BK48" i="38"/>
  <c r="BK45" i="10" s="1"/>
  <c r="BL48" i="38"/>
  <c r="BL45" i="10" s="1"/>
  <c r="BM48" i="38"/>
  <c r="BM45" i="10" s="1"/>
  <c r="BN48" i="38"/>
  <c r="BN45" i="10" s="1"/>
  <c r="BO48" i="38"/>
  <c r="BO45" i="10" s="1"/>
  <c r="BP48" i="38"/>
  <c r="BP45" i="10" s="1"/>
  <c r="J24" i="38"/>
  <c r="K24" i="38"/>
  <c r="K40" i="10" s="1"/>
  <c r="L24" i="38"/>
  <c r="L40" i="10" s="1"/>
  <c r="M24" i="38"/>
  <c r="M40" i="10" s="1"/>
  <c r="N24" i="38"/>
  <c r="N40" i="10" s="1"/>
  <c r="O24" i="38"/>
  <c r="P24" i="38"/>
  <c r="P40" i="10" s="1"/>
  <c r="Q24" i="38"/>
  <c r="Q40" i="10" s="1"/>
  <c r="R24" i="38"/>
  <c r="S24" i="38"/>
  <c r="S40" i="10" s="1"/>
  <c r="T24" i="38"/>
  <c r="T40" i="10" s="1"/>
  <c r="U24" i="38"/>
  <c r="U40" i="10" s="1"/>
  <c r="V24" i="38"/>
  <c r="V40" i="10" s="1"/>
  <c r="W24" i="38"/>
  <c r="W40" i="10" s="1"/>
  <c r="X24" i="38"/>
  <c r="X40" i="10" s="1"/>
  <c r="Y24" i="38"/>
  <c r="Y40" i="10" s="1"/>
  <c r="Z24" i="38"/>
  <c r="AA24" i="38"/>
  <c r="AA40" i="10" s="1"/>
  <c r="AB24" i="38"/>
  <c r="AB40" i="10" s="1"/>
  <c r="AC24" i="38"/>
  <c r="AC40" i="10" s="1"/>
  <c r="AD24" i="38"/>
  <c r="AD40" i="10" s="1"/>
  <c r="AE24" i="38"/>
  <c r="AE40" i="10" s="1"/>
  <c r="AF24" i="38"/>
  <c r="AF40" i="10" s="1"/>
  <c r="AG24" i="38"/>
  <c r="AG40" i="10" s="1"/>
  <c r="AH24" i="38"/>
  <c r="AI24" i="38"/>
  <c r="AI40" i="10" s="1"/>
  <c r="AJ24" i="38"/>
  <c r="AJ40" i="10" s="1"/>
  <c r="AK24" i="38"/>
  <c r="AK40" i="10" s="1"/>
  <c r="AL24" i="38"/>
  <c r="AM24" i="38"/>
  <c r="AN24" i="38"/>
  <c r="AO24" i="38"/>
  <c r="AP24" i="38"/>
  <c r="AQ24" i="38"/>
  <c r="AR24" i="38"/>
  <c r="AS24" i="38"/>
  <c r="AT24" i="38"/>
  <c r="AU24" i="38"/>
  <c r="AV24" i="38"/>
  <c r="AW24" i="38"/>
  <c r="AX24" i="38"/>
  <c r="AY24" i="38"/>
  <c r="AZ24" i="38"/>
  <c r="BA24" i="38"/>
  <c r="BB24" i="38"/>
  <c r="BC24" i="38"/>
  <c r="BD24" i="38"/>
  <c r="BE24" i="38"/>
  <c r="BF24" i="38"/>
  <c r="BG24" i="38"/>
  <c r="BH24" i="38"/>
  <c r="BI24" i="38"/>
  <c r="BJ24" i="38"/>
  <c r="BK24" i="38"/>
  <c r="BL24" i="38"/>
  <c r="BM24" i="38"/>
  <c r="BN24" i="38"/>
  <c r="J38" i="38"/>
  <c r="J64" i="10" s="1"/>
  <c r="K38" i="38"/>
  <c r="K64" i="10" s="1"/>
  <c r="L38" i="38"/>
  <c r="L64" i="10" s="1"/>
  <c r="M38" i="38"/>
  <c r="M64" i="10" s="1"/>
  <c r="N38" i="38"/>
  <c r="N64" i="10" s="1"/>
  <c r="O38" i="38"/>
  <c r="O64" i="10" s="1"/>
  <c r="P38" i="38"/>
  <c r="P64" i="10" s="1"/>
  <c r="Q38" i="38"/>
  <c r="R38" i="38"/>
  <c r="R64" i="10" s="1"/>
  <c r="S38" i="38"/>
  <c r="S64" i="10" s="1"/>
  <c r="T38" i="38"/>
  <c r="T64" i="10" s="1"/>
  <c r="V38" i="38"/>
  <c r="V64" i="10" s="1"/>
  <c r="U38" i="38"/>
  <c r="W38" i="38"/>
  <c r="W64" i="10" s="1"/>
  <c r="X38" i="38"/>
  <c r="X64" i="10" s="1"/>
  <c r="Y38" i="38"/>
  <c r="Z38" i="38"/>
  <c r="Z64" i="10" s="1"/>
  <c r="AA38" i="38"/>
  <c r="AA64" i="10" s="1"/>
  <c r="AB38" i="38"/>
  <c r="AB64" i="10" s="1"/>
  <c r="AC38" i="38"/>
  <c r="AC64" i="10" s="1"/>
  <c r="AD38" i="38"/>
  <c r="AD64" i="10" s="1"/>
  <c r="AE38" i="38"/>
  <c r="AE64" i="10" s="1"/>
  <c r="AF38" i="38"/>
  <c r="AF64" i="10" s="1"/>
  <c r="AG38" i="38"/>
  <c r="AH38" i="38"/>
  <c r="AH64" i="10" s="1"/>
  <c r="AI38" i="38"/>
  <c r="AI64" i="10" s="1"/>
  <c r="AJ38" i="38"/>
  <c r="AJ64" i="10" s="1"/>
  <c r="AK38" i="38"/>
  <c r="AK64" i="10" s="1"/>
  <c r="AL38" i="38"/>
  <c r="AL64" i="10" s="1"/>
  <c r="AM38" i="38"/>
  <c r="AM64" i="10" s="1"/>
  <c r="AN38" i="38"/>
  <c r="AN64" i="10" s="1"/>
  <c r="AO38" i="38"/>
  <c r="AP38" i="38"/>
  <c r="AP64" i="10" s="1"/>
  <c r="AQ38" i="38"/>
  <c r="AQ64" i="10" s="1"/>
  <c r="AR38" i="38"/>
  <c r="AR64" i="10" s="1"/>
  <c r="AS38" i="38"/>
  <c r="AS64" i="10" s="1"/>
  <c r="AT38" i="38"/>
  <c r="AT64" i="10" s="1"/>
  <c r="AU38" i="38"/>
  <c r="AU64" i="10" s="1"/>
  <c r="AV38" i="38"/>
  <c r="AV64" i="10" s="1"/>
  <c r="AW38" i="38"/>
  <c r="AX38" i="38"/>
  <c r="AX64" i="10" s="1"/>
  <c r="AY38" i="38"/>
  <c r="AY64" i="10" s="1"/>
  <c r="AZ38" i="38"/>
  <c r="AZ64" i="10" s="1"/>
  <c r="BA38" i="38"/>
  <c r="BA64" i="10" s="1"/>
  <c r="BB38" i="38"/>
  <c r="BB64" i="10" s="1"/>
  <c r="BC38" i="38"/>
  <c r="BC64" i="10" s="1"/>
  <c r="BD38" i="38"/>
  <c r="BD64" i="10" s="1"/>
  <c r="BE38" i="38"/>
  <c r="BF38" i="38"/>
  <c r="BF64" i="10" s="1"/>
  <c r="BG38" i="38"/>
  <c r="BG64" i="10" s="1"/>
  <c r="BH38" i="38"/>
  <c r="BH64" i="10" s="1"/>
  <c r="BI38" i="38"/>
  <c r="BI64" i="10" s="1"/>
  <c r="BJ38" i="38"/>
  <c r="BJ64" i="10" s="1"/>
  <c r="BK38" i="38"/>
  <c r="BK64" i="10" s="1"/>
  <c r="BL38" i="38"/>
  <c r="BL64" i="10" s="1"/>
  <c r="BM38" i="38"/>
  <c r="BM64" i="10" s="1"/>
  <c r="BN38" i="38"/>
  <c r="BN64" i="10" s="1"/>
  <c r="BO38" i="38"/>
  <c r="BO64" i="10" s="1"/>
  <c r="BP38" i="38"/>
  <c r="BP64" i="10" s="1"/>
  <c r="L39" i="38"/>
  <c r="K39" i="38"/>
  <c r="K65" i="10" s="1"/>
  <c r="J39" i="38"/>
  <c r="J65" i="10" s="1"/>
  <c r="M39" i="38"/>
  <c r="M65" i="10" s="1"/>
  <c r="N39" i="38"/>
  <c r="O39" i="38"/>
  <c r="O65" i="10" s="1"/>
  <c r="P39" i="38"/>
  <c r="P65" i="10" s="1"/>
  <c r="Q39" i="38"/>
  <c r="Q65" i="10" s="1"/>
  <c r="R39" i="38"/>
  <c r="R65" i="10" s="1"/>
  <c r="S39" i="38"/>
  <c r="S65" i="10" s="1"/>
  <c r="T39" i="38"/>
  <c r="T65" i="10" s="1"/>
  <c r="U39" i="38"/>
  <c r="U65" i="10" s="1"/>
  <c r="V39" i="38"/>
  <c r="W39" i="38"/>
  <c r="W65" i="10" s="1"/>
  <c r="X39" i="38"/>
  <c r="X65" i="10" s="1"/>
  <c r="Y39" i="38"/>
  <c r="Y65" i="10" s="1"/>
  <c r="Z39" i="38"/>
  <c r="Z65" i="10" s="1"/>
  <c r="AA39" i="38"/>
  <c r="AA65" i="10" s="1"/>
  <c r="AB39" i="38"/>
  <c r="AB65" i="10" s="1"/>
  <c r="AC39" i="38"/>
  <c r="AC65" i="10" s="1"/>
  <c r="AD39" i="38"/>
  <c r="AD65" i="10" s="1"/>
  <c r="AE39" i="38"/>
  <c r="AE65" i="10" s="1"/>
  <c r="AF39" i="38"/>
  <c r="AF65" i="10" s="1"/>
  <c r="AG39" i="38"/>
  <c r="AG65" i="10" s="1"/>
  <c r="AH39" i="38"/>
  <c r="AH65" i="10" s="1"/>
  <c r="AI39" i="38"/>
  <c r="AI65" i="10" s="1"/>
  <c r="AJ39" i="38"/>
  <c r="AJ65" i="10" s="1"/>
  <c r="AK39" i="38"/>
  <c r="AK65" i="10" s="1"/>
  <c r="AL39" i="38"/>
  <c r="AL65" i="10" s="1"/>
  <c r="AM39" i="38"/>
  <c r="AM65" i="10" s="1"/>
  <c r="AN39" i="38"/>
  <c r="AN65" i="10" s="1"/>
  <c r="AO39" i="38"/>
  <c r="AO65" i="10" s="1"/>
  <c r="AP39" i="38"/>
  <c r="AP65" i="10" s="1"/>
  <c r="AQ39" i="38"/>
  <c r="AQ65" i="10" s="1"/>
  <c r="AR39" i="38"/>
  <c r="AR65" i="10" s="1"/>
  <c r="AS39" i="38"/>
  <c r="AS65" i="10" s="1"/>
  <c r="AT39" i="38"/>
  <c r="AT65" i="10" s="1"/>
  <c r="AU39" i="38"/>
  <c r="AU65" i="10" s="1"/>
  <c r="AV39" i="38"/>
  <c r="AV65" i="10" s="1"/>
  <c r="AW39" i="38"/>
  <c r="AW65" i="10" s="1"/>
  <c r="AX39" i="38"/>
  <c r="AX65" i="10" s="1"/>
  <c r="AY39" i="38"/>
  <c r="AZ39" i="38"/>
  <c r="AZ65" i="10" s="1"/>
  <c r="BA39" i="38"/>
  <c r="BA65" i="10" s="1"/>
  <c r="BB39" i="38"/>
  <c r="BC39" i="38"/>
  <c r="BC65" i="10" s="1"/>
  <c r="BD39" i="38"/>
  <c r="BD65" i="10" s="1"/>
  <c r="BE39" i="38"/>
  <c r="BE65" i="10" s="1"/>
  <c r="BF39" i="38"/>
  <c r="BF65" i="10" s="1"/>
  <c r="BG39" i="38"/>
  <c r="BG65" i="10" s="1"/>
  <c r="BH39" i="38"/>
  <c r="BH65" i="10" s="1"/>
  <c r="BI39" i="38"/>
  <c r="BI65" i="10" s="1"/>
  <c r="BJ39" i="38"/>
  <c r="BJ65" i="10" s="1"/>
  <c r="BK39" i="38"/>
  <c r="BK65" i="10" s="1"/>
  <c r="BL39" i="38"/>
  <c r="BL65" i="10" s="1"/>
  <c r="BM39" i="38"/>
  <c r="BM65" i="10" s="1"/>
  <c r="BN39" i="38"/>
  <c r="BN65" i="10" s="1"/>
  <c r="BO39" i="38"/>
  <c r="BO65" i="10" s="1"/>
  <c r="BP39" i="38"/>
  <c r="BP65" i="10" s="1"/>
  <c r="J31" i="38"/>
  <c r="J57" i="10" s="1"/>
  <c r="K31" i="38"/>
  <c r="L31" i="38"/>
  <c r="L57" i="10" s="1"/>
  <c r="M31" i="38"/>
  <c r="M57" i="10" s="1"/>
  <c r="N31" i="38"/>
  <c r="N57" i="10" s="1"/>
  <c r="O31" i="38"/>
  <c r="O57" i="10" s="1"/>
  <c r="P31" i="38"/>
  <c r="P57" i="10" s="1"/>
  <c r="Q31" i="38"/>
  <c r="Q57" i="10" s="1"/>
  <c r="R31" i="38"/>
  <c r="R57" i="10" s="1"/>
  <c r="S31" i="38"/>
  <c r="S57" i="10" s="1"/>
  <c r="T31" i="38"/>
  <c r="T57" i="10" s="1"/>
  <c r="V31" i="38"/>
  <c r="V57" i="10" s="1"/>
  <c r="U31" i="38"/>
  <c r="U57" i="10" s="1"/>
  <c r="W31" i="38"/>
  <c r="W57" i="10" s="1"/>
  <c r="X31" i="38"/>
  <c r="X57" i="10" s="1"/>
  <c r="Y31" i="38"/>
  <c r="Y57" i="10" s="1"/>
  <c r="Z31" i="38"/>
  <c r="Z57" i="10" s="1"/>
  <c r="AA31" i="38"/>
  <c r="AA57" i="10" s="1"/>
  <c r="AB31" i="38"/>
  <c r="AB57" i="10" s="1"/>
  <c r="AC31" i="38"/>
  <c r="AC57" i="10" s="1"/>
  <c r="AD31" i="38"/>
  <c r="AD57" i="10" s="1"/>
  <c r="AE31" i="38"/>
  <c r="AF31" i="38"/>
  <c r="AF57" i="10" s="1"/>
  <c r="AG31" i="38"/>
  <c r="AG57" i="10" s="1"/>
  <c r="AH31" i="38"/>
  <c r="AH57" i="10" s="1"/>
  <c r="AI31" i="38"/>
  <c r="AI57" i="10" s="1"/>
  <c r="AJ31" i="38"/>
  <c r="AJ57" i="10" s="1"/>
  <c r="AK31" i="38"/>
  <c r="AK57" i="10" s="1"/>
  <c r="AL31" i="38"/>
  <c r="AL57" i="10" s="1"/>
  <c r="AM31" i="38"/>
  <c r="AM57" i="10" s="1"/>
  <c r="AN31" i="38"/>
  <c r="AN57" i="10" s="1"/>
  <c r="AO31" i="38"/>
  <c r="AO57" i="10" s="1"/>
  <c r="AP31" i="38"/>
  <c r="AP57" i="10" s="1"/>
  <c r="AQ31" i="38"/>
  <c r="AQ57" i="10" s="1"/>
  <c r="AR31" i="38"/>
  <c r="AR57" i="10" s="1"/>
  <c r="AS31" i="38"/>
  <c r="AS57" i="10" s="1"/>
  <c r="AT31" i="38"/>
  <c r="AT57" i="10" s="1"/>
  <c r="AU31" i="38"/>
  <c r="AU57" i="10" s="1"/>
  <c r="AV31" i="38"/>
  <c r="AV57" i="10" s="1"/>
  <c r="AW31" i="38"/>
  <c r="AW57" i="10" s="1"/>
  <c r="AX31" i="38"/>
  <c r="AX57" i="10" s="1"/>
  <c r="AY31" i="38"/>
  <c r="AY57" i="10" s="1"/>
  <c r="AZ31" i="38"/>
  <c r="AZ57" i="10" s="1"/>
  <c r="BA31" i="38"/>
  <c r="BA57" i="10" s="1"/>
  <c r="BB31" i="38"/>
  <c r="BB57" i="10" s="1"/>
  <c r="BC31" i="38"/>
  <c r="BC57" i="10" s="1"/>
  <c r="BD31" i="38"/>
  <c r="BD57" i="10" s="1"/>
  <c r="BE31" i="38"/>
  <c r="BE57" i="10" s="1"/>
  <c r="BF31" i="38"/>
  <c r="BF57" i="10" s="1"/>
  <c r="BG31" i="38"/>
  <c r="BG57" i="10" s="1"/>
  <c r="BH31" i="38"/>
  <c r="BH57" i="10" s="1"/>
  <c r="BI31" i="38"/>
  <c r="BI57" i="10" s="1"/>
  <c r="BJ31" i="38"/>
  <c r="BJ57" i="10" s="1"/>
  <c r="BK31" i="38"/>
  <c r="BK57" i="10" s="1"/>
  <c r="BL31" i="38"/>
  <c r="BL57" i="10" s="1"/>
  <c r="BM31" i="38"/>
  <c r="BM57" i="10" s="1"/>
  <c r="BN31" i="38"/>
  <c r="BN57" i="10" s="1"/>
  <c r="BO31" i="38"/>
  <c r="BO57" i="10" s="1"/>
  <c r="BP31" i="38"/>
  <c r="BP57" i="10" s="1"/>
  <c r="J23" i="38"/>
  <c r="J39" i="10" s="1"/>
  <c r="K23" i="38"/>
  <c r="K39" i="10" s="1"/>
  <c r="L23" i="38"/>
  <c r="L39" i="10" s="1"/>
  <c r="M23" i="38"/>
  <c r="M39" i="10" s="1"/>
  <c r="N23" i="38"/>
  <c r="N39" i="10" s="1"/>
  <c r="O23" i="38"/>
  <c r="O39" i="10" s="1"/>
  <c r="P23" i="38"/>
  <c r="Q23" i="38"/>
  <c r="Q39" i="10" s="1"/>
  <c r="R23" i="38"/>
  <c r="R39" i="10" s="1"/>
  <c r="S23" i="38"/>
  <c r="S39" i="10" s="1"/>
  <c r="T23" i="38"/>
  <c r="T39" i="10" s="1"/>
  <c r="U23" i="38"/>
  <c r="U39" i="10" s="1"/>
  <c r="V23" i="38"/>
  <c r="V39" i="10" s="1"/>
  <c r="W23" i="38"/>
  <c r="W39" i="10" s="1"/>
  <c r="X23" i="38"/>
  <c r="X39" i="10" s="1"/>
  <c r="Y23" i="38"/>
  <c r="Y39" i="10" s="1"/>
  <c r="Z23" i="38"/>
  <c r="Z39" i="10" s="1"/>
  <c r="AA23" i="38"/>
  <c r="AA39" i="10" s="1"/>
  <c r="AB23" i="38"/>
  <c r="AB39" i="10" s="1"/>
  <c r="AC23" i="38"/>
  <c r="AD23" i="38"/>
  <c r="AD39" i="10" s="1"/>
  <c r="AE23" i="38"/>
  <c r="AE39" i="10" s="1"/>
  <c r="AF23" i="38"/>
  <c r="AG23" i="38"/>
  <c r="AG39" i="10" s="1"/>
  <c r="AH23" i="38"/>
  <c r="AH39" i="10" s="1"/>
  <c r="AI23" i="38"/>
  <c r="AI39" i="10" s="1"/>
  <c r="AJ23" i="38"/>
  <c r="AJ39" i="10" s="1"/>
  <c r="AK23" i="38"/>
  <c r="AK39" i="10" s="1"/>
  <c r="AL23" i="38"/>
  <c r="AM23" i="38"/>
  <c r="AN23" i="38"/>
  <c r="AO23" i="38"/>
  <c r="AP23" i="38"/>
  <c r="AQ23" i="38"/>
  <c r="AR23" i="38"/>
  <c r="AS23" i="38"/>
  <c r="AT23" i="38"/>
  <c r="AU23" i="38"/>
  <c r="AV23" i="38"/>
  <c r="AW23" i="38"/>
  <c r="AX23" i="38"/>
  <c r="AY23" i="38"/>
  <c r="AZ23" i="38"/>
  <c r="BA23" i="38"/>
  <c r="BB23" i="38"/>
  <c r="BC23" i="38"/>
  <c r="BD23" i="38"/>
  <c r="BE23" i="38"/>
  <c r="BF23" i="38"/>
  <c r="BG23" i="38"/>
  <c r="BH23" i="38"/>
  <c r="BI23" i="38"/>
  <c r="BJ23" i="38"/>
  <c r="BK23" i="38"/>
  <c r="BL23" i="38"/>
  <c r="BM23" i="38"/>
  <c r="BN23" i="38"/>
  <c r="K32" i="38"/>
  <c r="K58" i="10" s="1"/>
  <c r="L32" i="38"/>
  <c r="L58" i="10" s="1"/>
  <c r="J32" i="38"/>
  <c r="J58" i="10" s="1"/>
  <c r="M32" i="38"/>
  <c r="M58" i="10" s="1"/>
  <c r="N32" i="38"/>
  <c r="N58" i="10" s="1"/>
  <c r="O32" i="38"/>
  <c r="O58" i="10" s="1"/>
  <c r="P32" i="38"/>
  <c r="P58" i="10" s="1"/>
  <c r="Q32" i="38"/>
  <c r="Q58" i="10" s="1"/>
  <c r="R32" i="38"/>
  <c r="R58" i="10" s="1"/>
  <c r="S32" i="38"/>
  <c r="S58" i="10" s="1"/>
  <c r="T32" i="38"/>
  <c r="T58" i="10" s="1"/>
  <c r="V32" i="38"/>
  <c r="V58" i="10" s="1"/>
  <c r="U32" i="38"/>
  <c r="U58" i="10" s="1"/>
  <c r="W32" i="38"/>
  <c r="W58" i="10" s="1"/>
  <c r="X32" i="38"/>
  <c r="X58" i="10" s="1"/>
  <c r="Y32" i="38"/>
  <c r="Y58" i="10" s="1"/>
  <c r="Z32" i="38"/>
  <c r="Z58" i="10" s="1"/>
  <c r="AA32" i="38"/>
  <c r="AA58" i="10" s="1"/>
  <c r="AB32" i="38"/>
  <c r="AB58" i="10" s="1"/>
  <c r="AC32" i="38"/>
  <c r="AC58" i="10" s="1"/>
  <c r="AD32" i="38"/>
  <c r="AD58" i="10" s="1"/>
  <c r="AE32" i="38"/>
  <c r="AE58" i="10" s="1"/>
  <c r="AF32" i="38"/>
  <c r="AF58" i="10" s="1"/>
  <c r="AG32" i="38"/>
  <c r="AG58" i="10" s="1"/>
  <c r="AH32" i="38"/>
  <c r="AH58" i="10" s="1"/>
  <c r="AI32" i="38"/>
  <c r="AI58" i="10" s="1"/>
  <c r="AJ32" i="38"/>
  <c r="AJ58" i="10" s="1"/>
  <c r="AK32" i="38"/>
  <c r="AK58" i="10" s="1"/>
  <c r="AL32" i="38"/>
  <c r="AL58" i="10" s="1"/>
  <c r="AM32" i="38"/>
  <c r="AM58" i="10" s="1"/>
  <c r="AN32" i="38"/>
  <c r="AN58" i="10" s="1"/>
  <c r="AO32" i="38"/>
  <c r="AO58" i="10" s="1"/>
  <c r="AP32" i="38"/>
  <c r="AP58" i="10" s="1"/>
  <c r="AQ32" i="38"/>
  <c r="AQ58" i="10" s="1"/>
  <c r="AR32" i="38"/>
  <c r="AR58" i="10" s="1"/>
  <c r="AS32" i="38"/>
  <c r="AS58" i="10" s="1"/>
  <c r="AT32" i="38"/>
  <c r="AT58" i="10" s="1"/>
  <c r="AU32" i="38"/>
  <c r="AU58" i="10" s="1"/>
  <c r="AV32" i="38"/>
  <c r="AV58" i="10" s="1"/>
  <c r="AW32" i="38"/>
  <c r="AW58" i="10" s="1"/>
  <c r="AX32" i="38"/>
  <c r="AX58" i="10" s="1"/>
  <c r="AY32" i="38"/>
  <c r="AY58" i="10" s="1"/>
  <c r="AZ32" i="38"/>
  <c r="AZ58" i="10" s="1"/>
  <c r="BA32" i="38"/>
  <c r="BA58" i="10" s="1"/>
  <c r="BB32" i="38"/>
  <c r="BB58" i="10" s="1"/>
  <c r="BC32" i="38"/>
  <c r="BC58" i="10" s="1"/>
  <c r="BD32" i="38"/>
  <c r="BD58" i="10" s="1"/>
  <c r="BE32" i="38"/>
  <c r="BE58" i="10" s="1"/>
  <c r="BF32" i="38"/>
  <c r="BF58" i="10" s="1"/>
  <c r="BG32" i="38"/>
  <c r="BG58" i="10" s="1"/>
  <c r="BH32" i="38"/>
  <c r="BH58" i="10" s="1"/>
  <c r="BI32" i="38"/>
  <c r="BI58" i="10" s="1"/>
  <c r="BJ32" i="38"/>
  <c r="BJ58" i="10" s="1"/>
  <c r="BK32" i="38"/>
  <c r="BK58" i="10" s="1"/>
  <c r="BL32" i="38"/>
  <c r="BL58" i="10" s="1"/>
  <c r="BM32" i="38"/>
  <c r="BM58" i="10" s="1"/>
  <c r="BN32" i="38"/>
  <c r="BN58" i="10" s="1"/>
  <c r="BO32" i="38"/>
  <c r="BO58" i="10" s="1"/>
  <c r="BP32" i="38"/>
  <c r="BP58" i="10" s="1"/>
  <c r="J52" i="38"/>
  <c r="J49" i="10" s="1"/>
  <c r="K52" i="38"/>
  <c r="K49" i="10" s="1"/>
  <c r="L52" i="38"/>
  <c r="L49" i="10" s="1"/>
  <c r="M52" i="38"/>
  <c r="M49" i="10" s="1"/>
  <c r="N52" i="38"/>
  <c r="N49" i="10" s="1"/>
  <c r="O52" i="38"/>
  <c r="O49" i="10" s="1"/>
  <c r="P52" i="38"/>
  <c r="P49" i="10" s="1"/>
  <c r="Q52" i="38"/>
  <c r="Q49" i="10" s="1"/>
  <c r="R52" i="38"/>
  <c r="R49" i="10" s="1"/>
  <c r="S52" i="38"/>
  <c r="S49" i="10" s="1"/>
  <c r="T52" i="38"/>
  <c r="T49" i="10" s="1"/>
  <c r="V52" i="38"/>
  <c r="V49" i="10" s="1"/>
  <c r="U52" i="38"/>
  <c r="U49" i="10" s="1"/>
  <c r="W52" i="38"/>
  <c r="W49" i="10" s="1"/>
  <c r="X52" i="38"/>
  <c r="X49" i="10" s="1"/>
  <c r="Y52" i="38"/>
  <c r="Y49" i="10" s="1"/>
  <c r="Z52" i="38"/>
  <c r="Z49" i="10" s="1"/>
  <c r="AA52" i="38"/>
  <c r="AA49" i="10" s="1"/>
  <c r="AB52" i="38"/>
  <c r="AC52" i="38"/>
  <c r="AC49" i="10" s="1"/>
  <c r="AD52" i="38"/>
  <c r="AD49" i="10" s="1"/>
  <c r="AE52" i="38"/>
  <c r="AE49" i="10" s="1"/>
  <c r="AF52" i="38"/>
  <c r="AF49" i="10" s="1"/>
  <c r="AG52" i="38"/>
  <c r="AG49" i="10" s="1"/>
  <c r="AH52" i="38"/>
  <c r="AH49" i="10" s="1"/>
  <c r="AI52" i="38"/>
  <c r="AI49" i="10" s="1"/>
  <c r="AJ52" i="38"/>
  <c r="AK52" i="38"/>
  <c r="AK49" i="10" s="1"/>
  <c r="AL52" i="38"/>
  <c r="AL49" i="10" s="1"/>
  <c r="AM52" i="38"/>
  <c r="AM49" i="10" s="1"/>
  <c r="AN52" i="38"/>
  <c r="AN49" i="10" s="1"/>
  <c r="AO52" i="38"/>
  <c r="AO49" i="10" s="1"/>
  <c r="AP52" i="38"/>
  <c r="AP49" i="10" s="1"/>
  <c r="AQ52" i="38"/>
  <c r="AQ49" i="10" s="1"/>
  <c r="AR52" i="38"/>
  <c r="AR49" i="10" s="1"/>
  <c r="AS52" i="38"/>
  <c r="AS49" i="10" s="1"/>
  <c r="AT52" i="38"/>
  <c r="AT49" i="10" s="1"/>
  <c r="AU52" i="38"/>
  <c r="AU49" i="10" s="1"/>
  <c r="AV52" i="38"/>
  <c r="AV49" i="10" s="1"/>
  <c r="AW52" i="38"/>
  <c r="AW49" i="10" s="1"/>
  <c r="AX52" i="38"/>
  <c r="AX49" i="10" s="1"/>
  <c r="AY52" i="38"/>
  <c r="AY49" i="10" s="1"/>
  <c r="AZ52" i="38"/>
  <c r="AZ49" i="10" s="1"/>
  <c r="BA52" i="38"/>
  <c r="BA49" i="10" s="1"/>
  <c r="BB52" i="38"/>
  <c r="BB49" i="10" s="1"/>
  <c r="BC52" i="38"/>
  <c r="BC49" i="10" s="1"/>
  <c r="BD52" i="38"/>
  <c r="BD49" i="10" s="1"/>
  <c r="BE52" i="38"/>
  <c r="BE49" i="10" s="1"/>
  <c r="BF52" i="38"/>
  <c r="BF49" i="10" s="1"/>
  <c r="BG52" i="38"/>
  <c r="BG49" i="10" s="1"/>
  <c r="BH52" i="38"/>
  <c r="BH49" i="10" s="1"/>
  <c r="BI52" i="38"/>
  <c r="BI49" i="10" s="1"/>
  <c r="BJ52" i="38"/>
  <c r="BJ49" i="10" s="1"/>
  <c r="BK52" i="38"/>
  <c r="BK49" i="10" s="1"/>
  <c r="BL52" i="38"/>
  <c r="BL49" i="10" s="1"/>
  <c r="BM52" i="38"/>
  <c r="BM49" i="10" s="1"/>
  <c r="BN52" i="38"/>
  <c r="BN49" i="10" s="1"/>
  <c r="BO52" i="38"/>
  <c r="BO49" i="10" s="1"/>
  <c r="BP52" i="38"/>
  <c r="BP49" i="10" s="1"/>
  <c r="J53" i="38"/>
  <c r="J50" i="10" s="1"/>
  <c r="K53" i="38"/>
  <c r="K50" i="10" s="1"/>
  <c r="L53" i="38"/>
  <c r="L50" i="10" s="1"/>
  <c r="M53" i="38"/>
  <c r="M50" i="10" s="1"/>
  <c r="N53" i="38"/>
  <c r="N50" i="10" s="1"/>
  <c r="O53" i="38"/>
  <c r="O50" i="10" s="1"/>
  <c r="P53" i="38"/>
  <c r="P50" i="10" s="1"/>
  <c r="Q53" i="38"/>
  <c r="Q50" i="10" s="1"/>
  <c r="R53" i="38"/>
  <c r="R50" i="10" s="1"/>
  <c r="S53" i="38"/>
  <c r="S50" i="10" s="1"/>
  <c r="T53" i="38"/>
  <c r="T50" i="10" s="1"/>
  <c r="V53" i="38"/>
  <c r="V50" i="10" s="1"/>
  <c r="U53" i="38"/>
  <c r="U50" i="10" s="1"/>
  <c r="W53" i="38"/>
  <c r="W50" i="10" s="1"/>
  <c r="X53" i="38"/>
  <c r="X50" i="10" s="1"/>
  <c r="Y53" i="38"/>
  <c r="Y50" i="10" s="1"/>
  <c r="Z53" i="38"/>
  <c r="Z50" i="10" s="1"/>
  <c r="AA53" i="38"/>
  <c r="AA50" i="10" s="1"/>
  <c r="AB53" i="38"/>
  <c r="AB50" i="10" s="1"/>
  <c r="AC53" i="38"/>
  <c r="AC50" i="10" s="1"/>
  <c r="AD53" i="38"/>
  <c r="AD50" i="10" s="1"/>
  <c r="AE53" i="38"/>
  <c r="AE50" i="10" s="1"/>
  <c r="AF53" i="38"/>
  <c r="AF50" i="10" s="1"/>
  <c r="AG53" i="38"/>
  <c r="AH53" i="38"/>
  <c r="AH50" i="10" s="1"/>
  <c r="AI53" i="38"/>
  <c r="AI50" i="10" s="1"/>
  <c r="AJ53" i="38"/>
  <c r="AJ50" i="10" s="1"/>
  <c r="AK53" i="38"/>
  <c r="AK50" i="10" s="1"/>
  <c r="AL53" i="38"/>
  <c r="AL50" i="10" s="1"/>
  <c r="AM53" i="38"/>
  <c r="AM50" i="10" s="1"/>
  <c r="AN53" i="38"/>
  <c r="AN50" i="10" s="1"/>
  <c r="AO53" i="38"/>
  <c r="AO50" i="10" s="1"/>
  <c r="AP53" i="38"/>
  <c r="AP50" i="10" s="1"/>
  <c r="AQ53" i="38"/>
  <c r="AQ50" i="10" s="1"/>
  <c r="AR53" i="38"/>
  <c r="AR50" i="10" s="1"/>
  <c r="AS53" i="38"/>
  <c r="AS50" i="10" s="1"/>
  <c r="AT53" i="38"/>
  <c r="AT50" i="10" s="1"/>
  <c r="AU53" i="38"/>
  <c r="AU50" i="10" s="1"/>
  <c r="AV53" i="38"/>
  <c r="AV50" i="10" s="1"/>
  <c r="AW53" i="38"/>
  <c r="AW50" i="10" s="1"/>
  <c r="AX53" i="38"/>
  <c r="AX50" i="10" s="1"/>
  <c r="AY53" i="38"/>
  <c r="AY50" i="10" s="1"/>
  <c r="AZ53" i="38"/>
  <c r="AZ50" i="10" s="1"/>
  <c r="BA53" i="38"/>
  <c r="BA50" i="10" s="1"/>
  <c r="BB53" i="38"/>
  <c r="BB50" i="10" s="1"/>
  <c r="BC53" i="38"/>
  <c r="BC50" i="10" s="1"/>
  <c r="BD53" i="38"/>
  <c r="BD50" i="10" s="1"/>
  <c r="BE53" i="38"/>
  <c r="BE50" i="10" s="1"/>
  <c r="BF53" i="38"/>
  <c r="BF50" i="10" s="1"/>
  <c r="BG53" i="38"/>
  <c r="BG50" i="10" s="1"/>
  <c r="BH53" i="38"/>
  <c r="BH50" i="10" s="1"/>
  <c r="BI53" i="38"/>
  <c r="BI50" i="10" s="1"/>
  <c r="BJ53" i="38"/>
  <c r="BJ50" i="10" s="1"/>
  <c r="BK53" i="38"/>
  <c r="BK50" i="10" s="1"/>
  <c r="BL53" i="38"/>
  <c r="BL50" i="10" s="1"/>
  <c r="BM53" i="38"/>
  <c r="BM50" i="10" s="1"/>
  <c r="BN53" i="38"/>
  <c r="BN50" i="10" s="1"/>
  <c r="BO53" i="38"/>
  <c r="BO50" i="10" s="1"/>
  <c r="BP53" i="38"/>
  <c r="BP50" i="10" s="1"/>
  <c r="BQ39" i="38"/>
  <c r="BQ65" i="10" s="1"/>
  <c r="BQ37" i="38"/>
  <c r="BQ63" i="10" s="1"/>
  <c r="BQ52" i="38"/>
  <c r="BQ49" i="10" s="1"/>
  <c r="BQ54" i="38"/>
  <c r="BQ51" i="10" s="1"/>
  <c r="BP9" i="10"/>
  <c r="BQ38" i="38"/>
  <c r="BQ64" i="10" s="1"/>
  <c r="BQ49" i="38"/>
  <c r="BQ46" i="10" s="1"/>
  <c r="BQ48" i="38"/>
  <c r="BQ45" i="10" s="1"/>
  <c r="P24" i="18"/>
  <c r="P22" i="18"/>
  <c r="X22" i="18"/>
  <c r="V22" i="18"/>
  <c r="Q22" i="18"/>
  <c r="Q24" i="18"/>
  <c r="S24" i="18"/>
  <c r="Y22" i="18"/>
  <c r="W22" i="18"/>
  <c r="Z22" i="18"/>
  <c r="R22" i="18"/>
  <c r="R24" i="18"/>
  <c r="AA22" i="18"/>
  <c r="U24" i="18"/>
  <c r="T22" i="18"/>
  <c r="U22" i="18"/>
  <c r="S22" i="18"/>
  <c r="T24" i="18"/>
  <c r="V24" i="18"/>
  <c r="R8" i="18"/>
  <c r="Q10" i="18"/>
  <c r="Q8" i="18"/>
  <c r="R10" i="18"/>
  <c r="P8" i="18"/>
  <c r="W24" i="18"/>
  <c r="P10" i="18"/>
  <c r="X24" i="18"/>
  <c r="S10" i="18"/>
  <c r="S8" i="18"/>
  <c r="T8" i="18"/>
  <c r="U10" i="18"/>
  <c r="T10" i="18"/>
  <c r="U8" i="18"/>
  <c r="W8" i="18"/>
  <c r="V10" i="18"/>
  <c r="V8" i="18"/>
  <c r="Y24" i="18"/>
  <c r="W10" i="18"/>
  <c r="X10" i="18"/>
  <c r="X8" i="18"/>
  <c r="Y8" i="18"/>
  <c r="Y10" i="18"/>
  <c r="Z8" i="18"/>
  <c r="Z10" i="18"/>
  <c r="AA8" i="18"/>
  <c r="AA10" i="18"/>
  <c r="Z24" i="18"/>
  <c r="AA24" i="18"/>
  <c r="L55" i="18"/>
  <c r="K55" i="18"/>
  <c r="M55" i="18"/>
  <c r="J55" i="18"/>
  <c r="BQ24" i="24"/>
  <c r="BQ50" i="10"/>
  <c r="BP24" i="24"/>
  <c r="U52" i="10"/>
  <c r="AK52" i="10"/>
  <c r="AQ52" i="10"/>
  <c r="BL52" i="10"/>
  <c r="M45" i="10"/>
  <c r="V45" i="10"/>
  <c r="AC45" i="10"/>
  <c r="AK45" i="10"/>
  <c r="AS45" i="10"/>
  <c r="BA45" i="10"/>
  <c r="BI45" i="10"/>
  <c r="M46" i="10"/>
  <c r="V46" i="10"/>
  <c r="AC46" i="10"/>
  <c r="AK46" i="10"/>
  <c r="AS46" i="10"/>
  <c r="BA46" i="10"/>
  <c r="BI46" i="10"/>
  <c r="J48" i="10"/>
  <c r="R48" i="10"/>
  <c r="Z48" i="10"/>
  <c r="AH48" i="10"/>
  <c r="AP48" i="10"/>
  <c r="AT48" i="10"/>
  <c r="AX48" i="10"/>
  <c r="BF48" i="10"/>
  <c r="BN48" i="10"/>
  <c r="L53" i="10"/>
  <c r="P53" i="10"/>
  <c r="AB53" i="10"/>
  <c r="AJ53" i="10"/>
  <c r="AR53" i="10"/>
  <c r="AZ53" i="10"/>
  <c r="BH53" i="10"/>
  <c r="BL53" i="10"/>
  <c r="BP53" i="10"/>
  <c r="M51" i="10"/>
  <c r="U51" i="10"/>
  <c r="AC51" i="10"/>
  <c r="AG51" i="10"/>
  <c r="AK51" i="10"/>
  <c r="AS51" i="10"/>
  <c r="BA51" i="10"/>
  <c r="BI51" i="10"/>
  <c r="J47" i="10"/>
  <c r="N47" i="10"/>
  <c r="R47" i="10"/>
  <c r="Z47" i="10"/>
  <c r="AH47" i="10"/>
  <c r="AP47" i="10"/>
  <c r="AT47" i="10"/>
  <c r="AX47" i="10"/>
  <c r="BF47" i="10"/>
  <c r="BN47" i="10"/>
  <c r="AB49" i="10"/>
  <c r="AJ49" i="10"/>
  <c r="AG50" i="10"/>
  <c r="BB14" i="15"/>
  <c r="BB17" i="15" s="1"/>
  <c r="AZ16" i="11"/>
  <c r="O52" i="10"/>
  <c r="W52" i="10"/>
  <c r="AB52" i="10"/>
  <c r="AE52" i="10"/>
  <c r="AM52" i="10"/>
  <c r="AU52" i="10"/>
  <c r="BC52" i="10"/>
  <c r="BK52" i="10"/>
  <c r="AG46" i="10"/>
  <c r="AO46" i="10"/>
  <c r="P39" i="10"/>
  <c r="AC39" i="10"/>
  <c r="AF39" i="10"/>
  <c r="Q37" i="10"/>
  <c r="U37" i="10"/>
  <c r="Y37" i="10"/>
  <c r="AG37" i="10"/>
  <c r="J40" i="10"/>
  <c r="O40" i="10"/>
  <c r="R40" i="10"/>
  <c r="Z40" i="10"/>
  <c r="AH40" i="10"/>
  <c r="L38" i="10"/>
  <c r="T38" i="10"/>
  <c r="AB38" i="10"/>
  <c r="AH38" i="10"/>
  <c r="AJ38" i="10"/>
  <c r="L61" i="10"/>
  <c r="P61" i="10"/>
  <c r="X61" i="10"/>
  <c r="AB61" i="10"/>
  <c r="AF61" i="10"/>
  <c r="AN61" i="10"/>
  <c r="AR61" i="10"/>
  <c r="AV61" i="10"/>
  <c r="AZ61" i="10"/>
  <c r="BD61" i="10"/>
  <c r="BH61" i="10"/>
  <c r="BL61" i="10"/>
  <c r="BP61" i="10"/>
  <c r="Q64" i="10"/>
  <c r="U64" i="10"/>
  <c r="Y64" i="10"/>
  <c r="AG64" i="10"/>
  <c r="AO64" i="10"/>
  <c r="AW64" i="10"/>
  <c r="BE64" i="10"/>
  <c r="J63" i="10"/>
  <c r="T63" i="10"/>
  <c r="Y63" i="10"/>
  <c r="AB63" i="10"/>
  <c r="AJ63" i="10"/>
  <c r="AR63" i="10"/>
  <c r="AZ63" i="10"/>
  <c r="BE63" i="10"/>
  <c r="BH63" i="10"/>
  <c r="BP63" i="10"/>
  <c r="K57" i="10"/>
  <c r="AE57" i="10"/>
  <c r="L62" i="10"/>
  <c r="O62" i="10"/>
  <c r="W62" i="10"/>
  <c r="AE62" i="10"/>
  <c r="AI62" i="10"/>
  <c r="AM62" i="10"/>
  <c r="AU62" i="10"/>
  <c r="BC62" i="10"/>
  <c r="BK62" i="10"/>
  <c r="L65" i="10"/>
  <c r="N65" i="10"/>
  <c r="AY65" i="10"/>
  <c r="BB65" i="10"/>
  <c r="K66" i="10"/>
  <c r="P66" i="10"/>
  <c r="R66" i="10"/>
  <c r="Z66" i="10"/>
  <c r="AH66" i="10"/>
  <c r="AP66" i="10"/>
  <c r="AR66" i="10"/>
  <c r="AX66" i="10"/>
  <c r="BF66" i="10"/>
  <c r="BN66" i="10"/>
  <c r="O59" i="10"/>
  <c r="W59" i="10"/>
  <c r="AE59" i="10"/>
  <c r="AI59" i="10"/>
  <c r="AM59" i="10"/>
  <c r="AQ59" i="10"/>
  <c r="AS59" i="10"/>
  <c r="AY59" i="10"/>
  <c r="BC59" i="10"/>
  <c r="BG59" i="10"/>
  <c r="BK59" i="10"/>
  <c r="BO59" i="10"/>
  <c r="J60" i="10"/>
  <c r="N60" i="10"/>
  <c r="P60" i="10"/>
  <c r="R60" i="10"/>
  <c r="Z60" i="10"/>
  <c r="AD60" i="10"/>
  <c r="AF60" i="10"/>
  <c r="AH60" i="10"/>
  <c r="AI60" i="10"/>
  <c r="AL60" i="10"/>
  <c r="AP60" i="10"/>
  <c r="AT60" i="10"/>
  <c r="AX60" i="10"/>
  <c r="AZ60" i="10"/>
  <c r="BB60" i="10"/>
  <c r="BD60" i="10"/>
  <c r="BF60" i="10"/>
  <c r="BJ60" i="10"/>
  <c r="BK60" i="10"/>
  <c r="BN60" i="10"/>
  <c r="BQ4" i="10"/>
  <c r="BQ5" i="10" s="1"/>
  <c r="AE22" i="24"/>
  <c r="AE81" i="10"/>
  <c r="AE13" i="12" s="1"/>
  <c r="BP28" i="12"/>
  <c r="V65" i="10"/>
  <c r="P63" i="10"/>
  <c r="AT17" i="11"/>
  <c r="AY29" i="24"/>
  <c r="AY35" i="24" s="1"/>
  <c r="AY34" i="11" s="1"/>
  <c r="BN20" i="38" l="1"/>
  <c r="BN25" i="38" s="1"/>
  <c r="BP12" i="10"/>
  <c r="BL41" i="38"/>
  <c r="BD41" i="38"/>
  <c r="AV41" i="38"/>
  <c r="AN41" i="38"/>
  <c r="AF41" i="38"/>
  <c r="X41" i="38"/>
  <c r="P41" i="38"/>
  <c r="BQ41" i="38"/>
  <c r="BJ41" i="38"/>
  <c r="BB41" i="38"/>
  <c r="AT41" i="38"/>
  <c r="AL41" i="38"/>
  <c r="AD41" i="38"/>
  <c r="U41" i="38"/>
  <c r="N41" i="38"/>
  <c r="BK57" i="38"/>
  <c r="BC57" i="38"/>
  <c r="AU57" i="38"/>
  <c r="AM57" i="38"/>
  <c r="AE57" i="38"/>
  <c r="W57" i="38"/>
  <c r="O57" i="38"/>
  <c r="BP18" i="10"/>
  <c r="BI25" i="38"/>
  <c r="BA25" i="38"/>
  <c r="AS25" i="38"/>
  <c r="AK25" i="38"/>
  <c r="AC25" i="38"/>
  <c r="M25" i="38"/>
  <c r="V25" i="38"/>
  <c r="BI41" i="38"/>
  <c r="BA41" i="38"/>
  <c r="AS41" i="38"/>
  <c r="AK41" i="38"/>
  <c r="AC41" i="38"/>
  <c r="V41" i="38"/>
  <c r="M41" i="38"/>
  <c r="U57" i="38"/>
  <c r="BH25" i="38"/>
  <c r="AZ25" i="38"/>
  <c r="AR25" i="38"/>
  <c r="AJ25" i="38"/>
  <c r="AB25" i="38"/>
  <c r="T25" i="38"/>
  <c r="L25" i="38"/>
  <c r="BP41" i="38"/>
  <c r="BH41" i="38"/>
  <c r="AZ41" i="38"/>
  <c r="AR41" i="38"/>
  <c r="AJ41" i="38"/>
  <c r="AB41" i="38"/>
  <c r="T41" i="38"/>
  <c r="L41" i="38"/>
  <c r="BJ57" i="38"/>
  <c r="BB57" i="38"/>
  <c r="AT57" i="38"/>
  <c r="AL57" i="38"/>
  <c r="AD57" i="38"/>
  <c r="N57" i="38"/>
  <c r="BI57" i="38"/>
  <c r="BA57" i="38"/>
  <c r="AS57" i="38"/>
  <c r="AK57" i="38"/>
  <c r="AC57" i="38"/>
  <c r="M57" i="38"/>
  <c r="BG25" i="38"/>
  <c r="AY25" i="38"/>
  <c r="AQ25" i="38"/>
  <c r="AI25" i="38"/>
  <c r="AA25" i="38"/>
  <c r="S25" i="38"/>
  <c r="K25" i="38"/>
  <c r="BO41" i="38"/>
  <c r="BG41" i="38"/>
  <c r="AY41" i="38"/>
  <c r="AQ41" i="38"/>
  <c r="AI41" i="38"/>
  <c r="AA41" i="38"/>
  <c r="S41" i="38"/>
  <c r="K41" i="38"/>
  <c r="BQ10" i="10"/>
  <c r="BQ19" i="10" s="1"/>
  <c r="BQ25" i="10" s="1"/>
  <c r="V57" i="38"/>
  <c r="BP57" i="38"/>
  <c r="BH57" i="38"/>
  <c r="AZ57" i="38"/>
  <c r="AR57" i="38"/>
  <c r="AJ57" i="38"/>
  <c r="AB57" i="38"/>
  <c r="T57" i="38"/>
  <c r="L57" i="38"/>
  <c r="BK41" i="38"/>
  <c r="BC41" i="38"/>
  <c r="AU41" i="38"/>
  <c r="AM41" i="38"/>
  <c r="AE41" i="38"/>
  <c r="W41" i="38"/>
  <c r="O41" i="38"/>
  <c r="BF25" i="38"/>
  <c r="AX25" i="38"/>
  <c r="AP25" i="38"/>
  <c r="AH25" i="38"/>
  <c r="Z25" i="38"/>
  <c r="R25" i="38"/>
  <c r="BN41" i="38"/>
  <c r="BF41" i="38"/>
  <c r="AX41" i="38"/>
  <c r="AP41" i="38"/>
  <c r="AH41" i="38"/>
  <c r="Z41" i="38"/>
  <c r="R41" i="38"/>
  <c r="BQ9" i="10"/>
  <c r="BO57" i="38"/>
  <c r="BG57" i="38"/>
  <c r="AY57" i="38"/>
  <c r="AQ57" i="38"/>
  <c r="AI57" i="38"/>
  <c r="AA57" i="38"/>
  <c r="S57" i="38"/>
  <c r="K57" i="38"/>
  <c r="BM25" i="38"/>
  <c r="BE25" i="38"/>
  <c r="AW25" i="38"/>
  <c r="AO25" i="38"/>
  <c r="AG25" i="38"/>
  <c r="Y25" i="38"/>
  <c r="Q25" i="38"/>
  <c r="BM41" i="38"/>
  <c r="BE41" i="38"/>
  <c r="AW41" i="38"/>
  <c r="AO41" i="38"/>
  <c r="AG41" i="38"/>
  <c r="Y41" i="38"/>
  <c r="Q41" i="38"/>
  <c r="BQ11" i="10"/>
  <c r="BQ20" i="10" s="1"/>
  <c r="L39" i="22" s="1"/>
  <c r="BN57" i="38"/>
  <c r="BF57" i="38"/>
  <c r="AX57" i="38"/>
  <c r="AP57" i="38"/>
  <c r="AH57" i="38"/>
  <c r="Z57" i="38"/>
  <c r="R57" i="38"/>
  <c r="BL25" i="38"/>
  <c r="BD25" i="38"/>
  <c r="AV25" i="38"/>
  <c r="AN25" i="38"/>
  <c r="AF25" i="38"/>
  <c r="X25" i="38"/>
  <c r="P25" i="38"/>
  <c r="BM57" i="38"/>
  <c r="BE57" i="38"/>
  <c r="AW57" i="38"/>
  <c r="AO57" i="38"/>
  <c r="AG57" i="38"/>
  <c r="Y57" i="38"/>
  <c r="Q57" i="38"/>
  <c r="BK25" i="38"/>
  <c r="BC25" i="38"/>
  <c r="AU25" i="38"/>
  <c r="AM25" i="38"/>
  <c r="AE25" i="38"/>
  <c r="W25" i="38"/>
  <c r="O25" i="38"/>
  <c r="BO21" i="10"/>
  <c r="BO20" i="38" s="1"/>
  <c r="BO24" i="10"/>
  <c r="BQ57" i="38"/>
  <c r="BL57" i="38"/>
  <c r="BD57" i="38"/>
  <c r="AV57" i="38"/>
  <c r="AN57" i="38"/>
  <c r="AF57" i="38"/>
  <c r="X57" i="38"/>
  <c r="P57" i="38"/>
  <c r="U25" i="38"/>
  <c r="BJ25" i="38"/>
  <c r="BB25" i="38"/>
  <c r="AT25" i="38"/>
  <c r="AL25" i="38"/>
  <c r="AD25" i="38"/>
  <c r="N25" i="38"/>
  <c r="K8" i="18"/>
  <c r="M22" i="18"/>
  <c r="K22" i="18"/>
  <c r="K10" i="18"/>
  <c r="N22" i="18"/>
  <c r="L22" i="18"/>
  <c r="J22" i="18"/>
  <c r="K38" i="22"/>
  <c r="I37" i="22"/>
  <c r="I39" i="22"/>
  <c r="J39" i="22"/>
  <c r="I38" i="22"/>
  <c r="J38" i="22"/>
  <c r="K39" i="22"/>
  <c r="K37" i="22"/>
  <c r="J37" i="22"/>
  <c r="H39" i="22"/>
  <c r="H38" i="22"/>
  <c r="H37" i="22"/>
  <c r="BA16" i="11"/>
  <c r="BC14" i="15"/>
  <c r="BC17" i="15" s="1"/>
  <c r="BM44" i="10"/>
  <c r="BM54" i="10" s="1"/>
  <c r="BE44" i="10"/>
  <c r="AW44" i="10"/>
  <c r="AO44" i="10"/>
  <c r="AG44" i="10"/>
  <c r="Y44" i="10"/>
  <c r="R44" i="10"/>
  <c r="AH44" i="10"/>
  <c r="J44" i="10"/>
  <c r="J57" i="38"/>
  <c r="BL44" i="10"/>
  <c r="BD44" i="10"/>
  <c r="AV44" i="10"/>
  <c r="AN44" i="10"/>
  <c r="AF44" i="10"/>
  <c r="X44" i="10"/>
  <c r="P44" i="10"/>
  <c r="BF44" i="10"/>
  <c r="BK44" i="10"/>
  <c r="BC44" i="10"/>
  <c r="AU44" i="10"/>
  <c r="AM44" i="10"/>
  <c r="AE44" i="10"/>
  <c r="W44" i="10"/>
  <c r="O44" i="10"/>
  <c r="AP44" i="10"/>
  <c r="Q44" i="10"/>
  <c r="BJ44" i="10"/>
  <c r="BB44" i="10"/>
  <c r="AT44" i="10"/>
  <c r="AL44" i="10"/>
  <c r="AD44" i="10"/>
  <c r="V44" i="10"/>
  <c r="N44" i="10"/>
  <c r="BN44" i="10"/>
  <c r="Z44" i="10"/>
  <c r="BI44" i="10"/>
  <c r="BA44" i="10"/>
  <c r="AS44" i="10"/>
  <c r="AK44" i="10"/>
  <c r="AC44" i="10"/>
  <c r="U44" i="10"/>
  <c r="M44" i="10"/>
  <c r="BP44" i="10"/>
  <c r="BH44" i="10"/>
  <c r="AZ44" i="10"/>
  <c r="AR44" i="10"/>
  <c r="AJ44" i="10"/>
  <c r="AB44" i="10"/>
  <c r="T44" i="10"/>
  <c r="L44" i="10"/>
  <c r="AX44" i="10"/>
  <c r="BO44" i="10"/>
  <c r="BG44" i="10"/>
  <c r="AY44" i="10"/>
  <c r="AQ44" i="10"/>
  <c r="AI44" i="10"/>
  <c r="AA44" i="10"/>
  <c r="S44" i="10"/>
  <c r="K44" i="10"/>
  <c r="AG36" i="10"/>
  <c r="AG41" i="10" s="1"/>
  <c r="Y36" i="10"/>
  <c r="Y41" i="10" s="1"/>
  <c r="P36" i="10"/>
  <c r="P41" i="10" s="1"/>
  <c r="AE36" i="10"/>
  <c r="AE41" i="10" s="1"/>
  <c r="AF36" i="10"/>
  <c r="AF41" i="10" s="1"/>
  <c r="X36" i="10"/>
  <c r="X41" i="10" s="1"/>
  <c r="Q36" i="10"/>
  <c r="Q41" i="10" s="1"/>
  <c r="W14" i="18" s="1"/>
  <c r="W36" i="10"/>
  <c r="W41" i="10" s="1"/>
  <c r="O36" i="10"/>
  <c r="O41" i="10" s="1"/>
  <c r="U14" i="18" s="1"/>
  <c r="AD36" i="10"/>
  <c r="AD41" i="10" s="1"/>
  <c r="V36" i="10"/>
  <c r="V41" i="10" s="1"/>
  <c r="N36" i="10"/>
  <c r="N41" i="10" s="1"/>
  <c r="AK36" i="10"/>
  <c r="AK41" i="10" s="1"/>
  <c r="AC36" i="10"/>
  <c r="AC41" i="10" s="1"/>
  <c r="U36" i="10"/>
  <c r="U41" i="10" s="1"/>
  <c r="AA14" i="18" s="1"/>
  <c r="M36" i="10"/>
  <c r="M41" i="10" s="1"/>
  <c r="AJ36" i="10"/>
  <c r="AJ41" i="10" s="1"/>
  <c r="AB36" i="10"/>
  <c r="AB41" i="10" s="1"/>
  <c r="T36" i="10"/>
  <c r="T41" i="10" s="1"/>
  <c r="L36" i="10"/>
  <c r="L41" i="10" s="1"/>
  <c r="AI36" i="10"/>
  <c r="AI41" i="10" s="1"/>
  <c r="AA36" i="10"/>
  <c r="AA41" i="10" s="1"/>
  <c r="S36" i="10"/>
  <c r="S41" i="10" s="1"/>
  <c r="Y14" i="18" s="1"/>
  <c r="K36" i="10"/>
  <c r="K41" i="10" s="1"/>
  <c r="AH36" i="10"/>
  <c r="AH41" i="10" s="1"/>
  <c r="Z36" i="10"/>
  <c r="Z41" i="10" s="1"/>
  <c r="R36" i="10"/>
  <c r="R41" i="10" s="1"/>
  <c r="X14" i="18" s="1"/>
  <c r="J36" i="10"/>
  <c r="J41" i="10" s="1"/>
  <c r="P14" i="18" s="1"/>
  <c r="J25" i="38"/>
  <c r="T12" i="18"/>
  <c r="Q12" i="18"/>
  <c r="Z12" i="18"/>
  <c r="Z11" i="18"/>
  <c r="AA9" i="18"/>
  <c r="V9" i="18"/>
  <c r="V11" i="18"/>
  <c r="W9" i="18"/>
  <c r="V12" i="18"/>
  <c r="U12" i="18"/>
  <c r="W11" i="18"/>
  <c r="X9" i="18"/>
  <c r="W12" i="18"/>
  <c r="AA12" i="18"/>
  <c r="AA11" i="18"/>
  <c r="X12" i="18"/>
  <c r="S12" i="18"/>
  <c r="S11" i="18"/>
  <c r="T9" i="18"/>
  <c r="P12" i="18"/>
  <c r="R12" i="18"/>
  <c r="X11" i="18"/>
  <c r="Y9" i="18"/>
  <c r="P11" i="18"/>
  <c r="Q9" i="18"/>
  <c r="T11" i="18"/>
  <c r="U9" i="18"/>
  <c r="Q11" i="18"/>
  <c r="R9" i="18"/>
  <c r="Y11" i="18"/>
  <c r="Z9" i="18"/>
  <c r="Y12" i="18"/>
  <c r="U11" i="18"/>
  <c r="R11" i="18"/>
  <c r="S9" i="18"/>
  <c r="BQ28" i="12"/>
  <c r="AF19" i="24"/>
  <c r="AE26" i="11"/>
  <c r="AE27" i="11" s="1"/>
  <c r="BG67" i="10"/>
  <c r="AP67" i="10"/>
  <c r="J41" i="38"/>
  <c r="J67" i="10"/>
  <c r="P18" i="18" s="1"/>
  <c r="S67" i="10"/>
  <c r="AW67" i="10"/>
  <c r="Y67" i="10"/>
  <c r="AQ67" i="10"/>
  <c r="AX67" i="10"/>
  <c r="BE67" i="10"/>
  <c r="AG67" i="10"/>
  <c r="Q67" i="10"/>
  <c r="W18" i="18" s="1"/>
  <c r="BL67" i="10"/>
  <c r="BD67" i="10"/>
  <c r="AV67" i="10"/>
  <c r="AN67" i="10"/>
  <c r="AF67" i="10"/>
  <c r="X67" i="10"/>
  <c r="P67" i="10"/>
  <c r="Z67" i="10"/>
  <c r="AO67" i="10"/>
  <c r="BK67" i="10"/>
  <c r="BC67" i="10"/>
  <c r="AU67" i="10"/>
  <c r="AM67" i="10"/>
  <c r="AE67" i="10"/>
  <c r="W67" i="10"/>
  <c r="O67" i="10"/>
  <c r="U18" i="18" s="1"/>
  <c r="AY67" i="10"/>
  <c r="L67" i="10"/>
  <c r="R18" i="18" s="1"/>
  <c r="AH67" i="10"/>
  <c r="R67" i="10"/>
  <c r="BJ67" i="10"/>
  <c r="AT67" i="10"/>
  <c r="AD67" i="10"/>
  <c r="AI67" i="10"/>
  <c r="BF67" i="10"/>
  <c r="BM67" i="10"/>
  <c r="BB67" i="10"/>
  <c r="AL67" i="10"/>
  <c r="V67" i="10"/>
  <c r="N67" i="10"/>
  <c r="BI67" i="10"/>
  <c r="BA67" i="10"/>
  <c r="AS67" i="10"/>
  <c r="AK67" i="10"/>
  <c r="AC67" i="10"/>
  <c r="U67" i="10"/>
  <c r="M67" i="10"/>
  <c r="AA67" i="10"/>
  <c r="BN67" i="10"/>
  <c r="BH67" i="10"/>
  <c r="AZ67" i="10"/>
  <c r="AR67" i="10"/>
  <c r="AJ67" i="10"/>
  <c r="AB67" i="10"/>
  <c r="T67" i="10"/>
  <c r="K67" i="10"/>
  <c r="BO67" i="10"/>
  <c r="AU17" i="11"/>
  <c r="AV17" i="11"/>
  <c r="AZ29" i="24"/>
  <c r="AZ35" i="24" s="1"/>
  <c r="AZ34" i="11" s="1"/>
  <c r="Y18" i="18" l="1"/>
  <c r="Y19" i="18" s="1"/>
  <c r="Q14" i="18"/>
  <c r="Q15" i="18" s="1"/>
  <c r="S14" i="18"/>
  <c r="S15" i="18" s="1"/>
  <c r="V18" i="18"/>
  <c r="V19" i="18" s="1"/>
  <c r="Q18" i="18"/>
  <c r="Q19" i="18" s="1"/>
  <c r="T18" i="18"/>
  <c r="T19" i="18" s="1"/>
  <c r="Z18" i="18"/>
  <c r="Z19" i="18" s="1"/>
  <c r="S18" i="18"/>
  <c r="S19" i="18" s="1"/>
  <c r="R14" i="18"/>
  <c r="R15" i="18" s="1"/>
  <c r="T14" i="18"/>
  <c r="T15" i="18" s="1"/>
  <c r="AA18" i="18"/>
  <c r="AA19" i="18" s="1"/>
  <c r="X18" i="18"/>
  <c r="X19" i="18" s="1"/>
  <c r="Z14" i="18"/>
  <c r="Z15" i="18" s="1"/>
  <c r="V14" i="18"/>
  <c r="V15" i="18" s="1"/>
  <c r="BQ12" i="10"/>
  <c r="BQ26" i="10"/>
  <c r="BP24" i="10"/>
  <c r="BP21" i="10"/>
  <c r="BP20" i="38" s="1"/>
  <c r="BO24" i="38"/>
  <c r="BO22" i="38"/>
  <c r="BO21" i="38"/>
  <c r="BO23" i="38"/>
  <c r="BQ18" i="10"/>
  <c r="L37" i="22" s="1"/>
  <c r="K40" i="22"/>
  <c r="H40" i="22"/>
  <c r="I40" i="22"/>
  <c r="J40" i="22"/>
  <c r="N55" i="18"/>
  <c r="U15" i="18"/>
  <c r="J14" i="18"/>
  <c r="P15" i="18"/>
  <c r="J18" i="18"/>
  <c r="P19" i="18"/>
  <c r="L18" i="18"/>
  <c r="Y15" i="18"/>
  <c r="AA15" i="18"/>
  <c r="K14" i="18"/>
  <c r="W15" i="18"/>
  <c r="M18" i="18"/>
  <c r="X15" i="18"/>
  <c r="K18" i="18"/>
  <c r="Z13" i="18"/>
  <c r="AA13" i="18"/>
  <c r="R13" i="18"/>
  <c r="W13" i="18"/>
  <c r="U13" i="18"/>
  <c r="S13" i="18"/>
  <c r="V13" i="18"/>
  <c r="T13" i="18"/>
  <c r="P13" i="18"/>
  <c r="Q13" i="18"/>
  <c r="Y13" i="18"/>
  <c r="X13" i="18"/>
  <c r="BD14" i="15"/>
  <c r="BD17" i="15" s="1"/>
  <c r="BB16" i="11"/>
  <c r="U19" i="18"/>
  <c r="R19" i="18"/>
  <c r="W19" i="18"/>
  <c r="L38" i="22"/>
  <c r="AF27" i="12"/>
  <c r="AF31" i="12" s="1"/>
  <c r="Z54" i="10"/>
  <c r="Z69" i="10" s="1"/>
  <c r="AH54" i="10"/>
  <c r="BN54" i="10"/>
  <c r="AI54" i="10"/>
  <c r="AG54" i="10"/>
  <c r="X54" i="10"/>
  <c r="AJ54" i="10"/>
  <c r="BI54" i="10"/>
  <c r="AV54" i="10"/>
  <c r="BF54" i="10"/>
  <c r="BJ54" i="10"/>
  <c r="N54" i="10"/>
  <c r="T16" i="18" s="1"/>
  <c r="BE54" i="10"/>
  <c r="AD54" i="10"/>
  <c r="P54" i="10"/>
  <c r="AY54" i="10"/>
  <c r="AP54" i="10"/>
  <c r="AF54" i="10"/>
  <c r="Y54" i="10"/>
  <c r="BG54" i="10"/>
  <c r="AR54" i="10"/>
  <c r="S54" i="10"/>
  <c r="AS54" i="10"/>
  <c r="U54" i="10"/>
  <c r="AA16" i="18" s="1"/>
  <c r="AU54" i="10"/>
  <c r="R54" i="10"/>
  <c r="X16" i="18" s="1"/>
  <c r="BD54" i="10"/>
  <c r="AA54" i="10"/>
  <c r="T54" i="10"/>
  <c r="AM54" i="10"/>
  <c r="W54" i="10"/>
  <c r="AL54" i="10"/>
  <c r="AK54" i="10"/>
  <c r="BC54" i="10"/>
  <c r="BL54" i="10"/>
  <c r="AX54" i="10"/>
  <c r="AZ54" i="10"/>
  <c r="AB54" i="10"/>
  <c r="BA54" i="10"/>
  <c r="V54" i="10"/>
  <c r="AT54" i="10"/>
  <c r="L54" i="10"/>
  <c r="R16" i="18" s="1"/>
  <c r="AO54" i="10"/>
  <c r="K54" i="10"/>
  <c r="Q16" i="18" s="1"/>
  <c r="J54" i="10"/>
  <c r="P16" i="18" s="1"/>
  <c r="Q54" i="10"/>
  <c r="W16" i="18" s="1"/>
  <c r="O54" i="10"/>
  <c r="U16" i="18" s="1"/>
  <c r="BK54" i="10"/>
  <c r="AN54" i="10"/>
  <c r="AQ54" i="10"/>
  <c r="AC54" i="10"/>
  <c r="BB54" i="10"/>
  <c r="AE54" i="10"/>
  <c r="AW54" i="10"/>
  <c r="M54" i="10"/>
  <c r="S16" i="18" s="1"/>
  <c r="BH54" i="10"/>
  <c r="BP67" i="10"/>
  <c r="BQ67" i="10"/>
  <c r="AW17" i="11"/>
  <c r="BA29" i="24"/>
  <c r="BA35" i="24" s="1"/>
  <c r="BA34" i="11" s="1"/>
  <c r="V16" i="18" l="1"/>
  <c r="Y16" i="18"/>
  <c r="Z16" i="18"/>
  <c r="BO25" i="38"/>
  <c r="BP23" i="38"/>
  <c r="BP24" i="38"/>
  <c r="BP22" i="38"/>
  <c r="BP21" i="38"/>
  <c r="BQ21" i="10"/>
  <c r="BQ20" i="38" s="1"/>
  <c r="BQ24" i="10"/>
  <c r="L40" i="22"/>
  <c r="V55" i="18"/>
  <c r="W55" i="18"/>
  <c r="N18" i="18"/>
  <c r="L16" i="18"/>
  <c r="M16" i="18"/>
  <c r="K16" i="18"/>
  <c r="J16" i="18"/>
  <c r="BC16" i="11"/>
  <c r="BE14" i="15"/>
  <c r="BE17" i="15" s="1"/>
  <c r="AF22" i="24"/>
  <c r="AG19" i="24" s="1"/>
  <c r="J69" i="10"/>
  <c r="J71" i="10" s="1"/>
  <c r="Z71" i="10"/>
  <c r="Z79" i="10" s="1"/>
  <c r="AF81" i="10"/>
  <c r="AJ69" i="10"/>
  <c r="P69" i="10"/>
  <c r="AA69" i="10"/>
  <c r="AI69" i="10"/>
  <c r="AH69" i="10"/>
  <c r="S69" i="10"/>
  <c r="O69" i="10"/>
  <c r="AB69" i="10"/>
  <c r="R69" i="10"/>
  <c r="T69" i="10"/>
  <c r="AK69" i="10"/>
  <c r="N69" i="10"/>
  <c r="AG69" i="10"/>
  <c r="M69" i="10"/>
  <c r="X69" i="10"/>
  <c r="V69" i="10"/>
  <c r="W69" i="10"/>
  <c r="AF69" i="10"/>
  <c r="AE69" i="10"/>
  <c r="Y69" i="10"/>
  <c r="AC69" i="10"/>
  <c r="AD69" i="10"/>
  <c r="K69" i="10"/>
  <c r="L69" i="10"/>
  <c r="Q69" i="10"/>
  <c r="U69" i="10"/>
  <c r="BO54" i="10"/>
  <c r="BB29" i="24"/>
  <c r="BB35" i="24" s="1"/>
  <c r="BB34" i="11" s="1"/>
  <c r="J12" i="12" l="1"/>
  <c r="J22" i="11" s="1"/>
  <c r="BQ23" i="38"/>
  <c r="BQ21" i="38"/>
  <c r="BQ22" i="38"/>
  <c r="BQ24" i="38"/>
  <c r="BP25" i="38"/>
  <c r="AF13" i="12"/>
  <c r="Z20" i="18"/>
  <c r="Z23" i="18" s="1"/>
  <c r="Z25" i="18" s="1"/>
  <c r="Z17" i="18"/>
  <c r="AA17" i="18"/>
  <c r="AA20" i="18"/>
  <c r="AA23" i="18" s="1"/>
  <c r="AA25" i="18" s="1"/>
  <c r="R17" i="18"/>
  <c r="R20" i="18"/>
  <c r="R23" i="18" s="1"/>
  <c r="R25" i="18" s="1"/>
  <c r="S17" i="18"/>
  <c r="S20" i="18"/>
  <c r="S23" i="18" s="1"/>
  <c r="S25" i="18" s="1"/>
  <c r="X17" i="18"/>
  <c r="X20" i="18"/>
  <c r="X23" i="18" s="1"/>
  <c r="X25" i="18" s="1"/>
  <c r="Q17" i="18"/>
  <c r="Q20" i="18"/>
  <c r="Q23" i="18" s="1"/>
  <c r="Q25" i="18" s="1"/>
  <c r="Y17" i="18"/>
  <c r="Y20" i="18"/>
  <c r="Y23" i="18" s="1"/>
  <c r="Y25" i="18" s="1"/>
  <c r="W17" i="18"/>
  <c r="W20" i="18"/>
  <c r="W23" i="18" s="1"/>
  <c r="W25" i="18" s="1"/>
  <c r="V17" i="18"/>
  <c r="V20" i="18"/>
  <c r="V23" i="18" s="1"/>
  <c r="V25" i="18" s="1"/>
  <c r="T17" i="18"/>
  <c r="T20" i="18"/>
  <c r="T23" i="18" s="1"/>
  <c r="T25" i="18" s="1"/>
  <c r="U17" i="18"/>
  <c r="U20" i="18"/>
  <c r="U23" i="18" s="1"/>
  <c r="U25" i="18" s="1"/>
  <c r="BD16" i="11"/>
  <c r="BF14" i="15"/>
  <c r="BF17" i="15" s="1"/>
  <c r="AF26" i="11"/>
  <c r="AF27" i="11" s="1"/>
  <c r="Z12" i="12"/>
  <c r="J79" i="10"/>
  <c r="AD71" i="10"/>
  <c r="AD79" i="10" s="1"/>
  <c r="AD12" i="12"/>
  <c r="M71" i="10"/>
  <c r="M12" i="12"/>
  <c r="S71" i="10"/>
  <c r="S12" i="12"/>
  <c r="AC71" i="10"/>
  <c r="AC79" i="10" s="1"/>
  <c r="AC12" i="12"/>
  <c r="AG71" i="10"/>
  <c r="AG79" i="10" s="1"/>
  <c r="AG12" i="12"/>
  <c r="AH71" i="10"/>
  <c r="AH79" i="10" s="1"/>
  <c r="AH12" i="12"/>
  <c r="K71" i="10"/>
  <c r="K12" i="12"/>
  <c r="O71" i="10"/>
  <c r="O12" i="12"/>
  <c r="Y71" i="10"/>
  <c r="Y79" i="10" s="1"/>
  <c r="Y12" i="12"/>
  <c r="N71" i="10"/>
  <c r="N12" i="12"/>
  <c r="AI71" i="10"/>
  <c r="AI79" i="10" s="1"/>
  <c r="AI12" i="12"/>
  <c r="U71" i="10"/>
  <c r="U12" i="12"/>
  <c r="AA71" i="10"/>
  <c r="AA79" i="10" s="1"/>
  <c r="AA12" i="12"/>
  <c r="Q71" i="10"/>
  <c r="Q12" i="12"/>
  <c r="AF71" i="10"/>
  <c r="AF79" i="10" s="1"/>
  <c r="AF12" i="12"/>
  <c r="T71" i="10"/>
  <c r="T12" i="12"/>
  <c r="P71" i="10"/>
  <c r="P12" i="12"/>
  <c r="X71" i="10"/>
  <c r="X79" i="10" s="1"/>
  <c r="X12" i="12"/>
  <c r="AK71" i="10"/>
  <c r="AK79" i="10" s="1"/>
  <c r="AK12" i="12"/>
  <c r="W71" i="10"/>
  <c r="W79" i="10" s="1"/>
  <c r="W12" i="12"/>
  <c r="R71" i="10"/>
  <c r="R12" i="12"/>
  <c r="AJ71" i="10"/>
  <c r="AJ79" i="10" s="1"/>
  <c r="AJ12" i="12"/>
  <c r="AE71" i="10"/>
  <c r="AE79" i="10" s="1"/>
  <c r="AE12" i="12"/>
  <c r="L71" i="10"/>
  <c r="L12" i="12"/>
  <c r="V71" i="10"/>
  <c r="V79" i="10" s="1"/>
  <c r="V12" i="12"/>
  <c r="AB71" i="10"/>
  <c r="AB79" i="10" s="1"/>
  <c r="AB12" i="12"/>
  <c r="AG27" i="12"/>
  <c r="BQ54" i="10"/>
  <c r="BP54" i="10"/>
  <c r="AX17" i="11"/>
  <c r="BC29" i="24"/>
  <c r="BC35" i="24" s="1"/>
  <c r="BC34" i="11" s="1"/>
  <c r="BQ25" i="38" l="1"/>
  <c r="K22" i="11"/>
  <c r="L22" i="11" s="1"/>
  <c r="M22" i="11" s="1"/>
  <c r="N22" i="11" s="1"/>
  <c r="O22" i="11" s="1"/>
  <c r="P22" i="11" s="1"/>
  <c r="Q22" i="11" s="1"/>
  <c r="R22" i="11" s="1"/>
  <c r="S22" i="11" s="1"/>
  <c r="T22" i="11" s="1"/>
  <c r="U22" i="11" s="1"/>
  <c r="V22" i="11" s="1"/>
  <c r="W22" i="11" s="1"/>
  <c r="X22" i="11" s="1"/>
  <c r="Y22" i="11" s="1"/>
  <c r="Z22" i="11" s="1"/>
  <c r="AA22" i="11" s="1"/>
  <c r="AB22" i="11" s="1"/>
  <c r="AC22" i="11" s="1"/>
  <c r="AD22" i="11" s="1"/>
  <c r="AE22" i="11" s="1"/>
  <c r="AF22" i="11" s="1"/>
  <c r="AG22" i="11" s="1"/>
  <c r="AH22" i="11" s="1"/>
  <c r="AI22" i="11" s="1"/>
  <c r="AJ22" i="11" s="1"/>
  <c r="AK22" i="11" s="1"/>
  <c r="J23" i="11"/>
  <c r="AG31" i="12"/>
  <c r="K56" i="18" s="1"/>
  <c r="N16" i="18"/>
  <c r="P17" i="18"/>
  <c r="P20" i="18"/>
  <c r="P23" i="18" s="1"/>
  <c r="P25" i="18" s="1"/>
  <c r="BE16" i="11"/>
  <c r="BG14" i="15"/>
  <c r="BG17" i="15" s="1"/>
  <c r="Q79" i="10"/>
  <c r="N79" i="10"/>
  <c r="M79" i="10"/>
  <c r="R79" i="10"/>
  <c r="P79" i="10"/>
  <c r="L79" i="10"/>
  <c r="T79" i="10"/>
  <c r="U79" i="10"/>
  <c r="O79" i="10"/>
  <c r="K79" i="10"/>
  <c r="S79" i="10"/>
  <c r="AG22" i="24"/>
  <c r="AG81" i="10"/>
  <c r="AY17" i="11"/>
  <c r="AZ17" i="11"/>
  <c r="BD29" i="24"/>
  <c r="BD35" i="24" s="1"/>
  <c r="BD34" i="11" s="1"/>
  <c r="AG13" i="12" l="1"/>
  <c r="K24" i="18"/>
  <c r="BF16" i="11"/>
  <c r="BH14" i="15"/>
  <c r="BH17" i="15" s="1"/>
  <c r="P21" i="18"/>
  <c r="K23" i="11"/>
  <c r="Q21" i="18"/>
  <c r="Z21" i="18"/>
  <c r="S21" i="18"/>
  <c r="AA21" i="18"/>
  <c r="R21" i="18"/>
  <c r="T21" i="18"/>
  <c r="X21" i="18"/>
  <c r="U21" i="18"/>
  <c r="V21" i="18"/>
  <c r="W21" i="18"/>
  <c r="Y21" i="18"/>
  <c r="L23" i="11"/>
  <c r="AH19" i="24"/>
  <c r="AG26" i="11"/>
  <c r="AG27" i="11" s="1"/>
  <c r="BA17" i="11"/>
  <c r="BE29" i="24"/>
  <c r="BE35" i="24" s="1"/>
  <c r="BE34" i="11" s="1"/>
  <c r="BG16" i="11" l="1"/>
  <c r="BI14" i="15"/>
  <c r="BI17" i="15" s="1"/>
  <c r="M23" i="11"/>
  <c r="AH27" i="12"/>
  <c r="AH31" i="12" s="1"/>
  <c r="BB17" i="11"/>
  <c r="BF29" i="24"/>
  <c r="BF35" i="24" s="1"/>
  <c r="BF34" i="11" s="1"/>
  <c r="BJ14" i="15" l="1"/>
  <c r="BJ17" i="15" s="1"/>
  <c r="BH16" i="11"/>
  <c r="AH22" i="24"/>
  <c r="AI19" i="24" s="1"/>
  <c r="N23" i="11"/>
  <c r="AH81" i="10"/>
  <c r="BG29" i="24"/>
  <c r="BG35" i="24" s="1"/>
  <c r="BG34" i="11" s="1"/>
  <c r="AH13" i="12" l="1"/>
  <c r="BK14" i="15"/>
  <c r="BK17" i="15" s="1"/>
  <c r="BI16" i="11"/>
  <c r="AH26" i="11"/>
  <c r="AH27" i="11" s="1"/>
  <c r="O23" i="11"/>
  <c r="AI27" i="12"/>
  <c r="AI31" i="12" s="1"/>
  <c r="BC17" i="11"/>
  <c r="BH29" i="24"/>
  <c r="BH35" i="24" s="1"/>
  <c r="BH34" i="11" s="1"/>
  <c r="BL14" i="15" l="1"/>
  <c r="BL17" i="15" s="1"/>
  <c r="BJ16" i="11"/>
  <c r="P23" i="11"/>
  <c r="AI22" i="24"/>
  <c r="AI81" i="10"/>
  <c r="BD17" i="11"/>
  <c r="BE17" i="11"/>
  <c r="BI29" i="24"/>
  <c r="BI35" i="24" s="1"/>
  <c r="BI34" i="11" s="1"/>
  <c r="AI13" i="12" l="1"/>
  <c r="BM14" i="15"/>
  <c r="BM17" i="15" s="1"/>
  <c r="BK16" i="11"/>
  <c r="Q23" i="11"/>
  <c r="AJ19" i="24"/>
  <c r="AI26" i="11"/>
  <c r="AI27" i="11" s="1"/>
  <c r="BJ29" i="24"/>
  <c r="BJ35" i="24" s="1"/>
  <c r="BJ34" i="11" s="1"/>
  <c r="BN14" i="15" l="1"/>
  <c r="BN17" i="15" s="1"/>
  <c r="BL16" i="11"/>
  <c r="R23" i="11"/>
  <c r="AJ27" i="12"/>
  <c r="AJ31" i="12" s="1"/>
  <c r="BF17" i="11"/>
  <c r="BG17" i="11"/>
  <c r="BK29" i="24"/>
  <c r="BK35" i="24" s="1"/>
  <c r="BK34" i="11" s="1"/>
  <c r="BO14" i="15" l="1"/>
  <c r="BO17" i="15" s="1"/>
  <c r="BM16" i="11"/>
  <c r="S23" i="11"/>
  <c r="AJ22" i="24"/>
  <c r="AJ81" i="10"/>
  <c r="BH17" i="11"/>
  <c r="BL29" i="24"/>
  <c r="BL35" i="24" s="1"/>
  <c r="BL34" i="11" s="1"/>
  <c r="AI83" i="10"/>
  <c r="AI85" i="10" s="1"/>
  <c r="AF83" i="10"/>
  <c r="AF85" i="10" s="1"/>
  <c r="AG83" i="10"/>
  <c r="AG85" i="10" s="1"/>
  <c r="AD83" i="10"/>
  <c r="AD85" i="10" s="1"/>
  <c r="X83" i="10"/>
  <c r="X85" i="10" s="1"/>
  <c r="Y83" i="10"/>
  <c r="Y85" i="10" s="1"/>
  <c r="Z83" i="10"/>
  <c r="Z85" i="10" s="1"/>
  <c r="AE83" i="10"/>
  <c r="AE85" i="10" s="1"/>
  <c r="AC83" i="10"/>
  <c r="AC85" i="10" s="1"/>
  <c r="W83" i="10"/>
  <c r="W85" i="10" s="1"/>
  <c r="AB83" i="10"/>
  <c r="AB85" i="10" s="1"/>
  <c r="AA83" i="10"/>
  <c r="AA85" i="10" s="1"/>
  <c r="AJ83" i="10" l="1"/>
  <c r="AJ85" i="10" s="1"/>
  <c r="AJ13" i="12"/>
  <c r="BP14" i="15"/>
  <c r="BP17" i="15" s="1"/>
  <c r="BN16" i="11"/>
  <c r="T23" i="11"/>
  <c r="AK19" i="24"/>
  <c r="AJ26" i="11"/>
  <c r="AJ27" i="11" s="1"/>
  <c r="BI17" i="11"/>
  <c r="BM29" i="24"/>
  <c r="BM35" i="24" s="1"/>
  <c r="BM34" i="11" s="1"/>
  <c r="T83" i="10"/>
  <c r="P83" i="10"/>
  <c r="U83" i="10"/>
  <c r="AH83" i="10"/>
  <c r="AH85" i="10" s="1"/>
  <c r="L83" i="10"/>
  <c r="M83" i="10"/>
  <c r="O83" i="10"/>
  <c r="N83" i="10"/>
  <c r="K83" i="10"/>
  <c r="R83" i="10"/>
  <c r="J83" i="10"/>
  <c r="Q83" i="10"/>
  <c r="V83" i="10"/>
  <c r="V85" i="10" s="1"/>
  <c r="S83" i="10"/>
  <c r="BQ14" i="15" l="1"/>
  <c r="BQ17" i="15" s="1"/>
  <c r="BO16" i="11"/>
  <c r="T85" i="10"/>
  <c r="U85" i="10"/>
  <c r="L85" i="10"/>
  <c r="R26" i="18" s="1"/>
  <c r="J85" i="10"/>
  <c r="P26" i="18" s="1"/>
  <c r="N85" i="10"/>
  <c r="T26" i="18" s="1"/>
  <c r="P85" i="10"/>
  <c r="Q85" i="10"/>
  <c r="M85" i="10"/>
  <c r="K85" i="10"/>
  <c r="S85" i="10"/>
  <c r="R85" i="10"/>
  <c r="O85" i="10"/>
  <c r="U26" i="18" s="1"/>
  <c r="U23" i="11"/>
  <c r="BJ17" i="11"/>
  <c r="BN29" i="24"/>
  <c r="BN35" i="24" s="1"/>
  <c r="BN34" i="11" s="1"/>
  <c r="X26" i="18" l="1"/>
  <c r="AA26" i="18"/>
  <c r="Z26" i="18"/>
  <c r="Q26" i="18"/>
  <c r="S26" i="18"/>
  <c r="W26" i="18"/>
  <c r="Y26" i="18"/>
  <c r="V26" i="18"/>
  <c r="K26" i="18"/>
  <c r="J26" i="18"/>
  <c r="BQ16" i="11"/>
  <c r="BP16" i="11"/>
  <c r="V23" i="11"/>
  <c r="AK22" i="24"/>
  <c r="AK27" i="12"/>
  <c r="AK31" i="12" s="1"/>
  <c r="AK81" i="10"/>
  <c r="BK17" i="11"/>
  <c r="BO29" i="24"/>
  <c r="BO35" i="24" s="1"/>
  <c r="BO34" i="11" s="1"/>
  <c r="AK83" i="10" l="1"/>
  <c r="AK85" i="10" s="1"/>
  <c r="AK13" i="12"/>
  <c r="W23" i="11"/>
  <c r="AL19" i="24"/>
  <c r="AK26" i="11"/>
  <c r="AK27" i="11" s="1"/>
  <c r="BL17" i="11"/>
  <c r="BP29" i="24"/>
  <c r="BP35" i="24" s="1"/>
  <c r="BP34" i="11" s="1"/>
  <c r="X23" i="11" l="1"/>
  <c r="AL27" i="12"/>
  <c r="AL31" i="12" s="1"/>
  <c r="BM17" i="11"/>
  <c r="BQ29" i="24"/>
  <c r="Y23" i="11" l="1"/>
  <c r="AL22" i="24"/>
  <c r="AL81" i="10"/>
  <c r="AL13" i="12" s="1"/>
  <c r="BQ35" i="24"/>
  <c r="BQ34" i="11" s="1"/>
  <c r="BN17" i="11"/>
  <c r="Z23" i="11" l="1"/>
  <c r="AM19" i="24"/>
  <c r="AL26" i="11"/>
  <c r="AL27" i="11" s="1"/>
  <c r="BO17" i="11"/>
  <c r="AA23" i="11" l="1"/>
  <c r="BQ17" i="11"/>
  <c r="BP17" i="11"/>
  <c r="AB23" i="11" l="1"/>
  <c r="AM22" i="24"/>
  <c r="AM27" i="12"/>
  <c r="AM31" i="12" s="1"/>
  <c r="AM81" i="10"/>
  <c r="AM13" i="12" s="1"/>
  <c r="AC23" i="11" l="1"/>
  <c r="AN19" i="24"/>
  <c r="AM26" i="11"/>
  <c r="AM27" i="11" s="1"/>
  <c r="AD23" i="11" l="1"/>
  <c r="AN27" i="12"/>
  <c r="AN31" i="12" s="1"/>
  <c r="AE23" i="11" l="1"/>
  <c r="AN22" i="24"/>
  <c r="AN81" i="10"/>
  <c r="AN13" i="12" s="1"/>
  <c r="AF23" i="11" l="1"/>
  <c r="AO19" i="24"/>
  <c r="AN26" i="11"/>
  <c r="AN27" i="11" s="1"/>
  <c r="AG23" i="11" l="1"/>
  <c r="AO27" i="12"/>
  <c r="AO31" i="12" s="1"/>
  <c r="AH23" i="11" l="1"/>
  <c r="AO22" i="24"/>
  <c r="AO81" i="10"/>
  <c r="AO13" i="12" s="1"/>
  <c r="AI23" i="11" l="1"/>
  <c r="AP19" i="24"/>
  <c r="AO26" i="11"/>
  <c r="AO27" i="11" s="1"/>
  <c r="AK23" i="11" l="1"/>
  <c r="AJ23" i="11"/>
  <c r="AP22" i="24" l="1"/>
  <c r="AP27" i="12"/>
  <c r="AP31" i="12" s="1"/>
  <c r="AP81" i="10"/>
  <c r="AP13" i="12" s="1"/>
  <c r="AQ19" i="24" l="1"/>
  <c r="AP26" i="11"/>
  <c r="AP27" i="11" s="1"/>
  <c r="AQ27" i="12" l="1"/>
  <c r="AQ31" i="12" s="1"/>
  <c r="AQ22" i="24" l="1"/>
  <c r="AQ81" i="10"/>
  <c r="AQ13" i="12" s="1"/>
  <c r="AR19" i="24" l="1"/>
  <c r="AQ26" i="11"/>
  <c r="AQ27" i="11" s="1"/>
  <c r="AR22" i="24" l="1"/>
  <c r="AR27" i="12"/>
  <c r="AR31" i="12" s="1"/>
  <c r="AR81" i="10"/>
  <c r="AR13" i="12" s="1"/>
  <c r="AS19" i="24" l="1"/>
  <c r="AR26" i="11"/>
  <c r="AR27" i="11" s="1"/>
  <c r="AS27" i="12" l="1"/>
  <c r="AS31" i="12" s="1"/>
  <c r="AS22" i="24" l="1"/>
  <c r="AT19" i="24" s="1"/>
  <c r="AS81" i="10"/>
  <c r="AS13" i="12" s="1"/>
  <c r="AS26" i="11" l="1"/>
  <c r="AS27" i="11" s="1"/>
  <c r="AT22" i="24" l="1"/>
  <c r="AT27" i="12"/>
  <c r="AT31" i="12" s="1"/>
  <c r="AT81" i="10"/>
  <c r="AT13" i="12" l="1"/>
  <c r="AU19" i="24"/>
  <c r="AT26" i="11"/>
  <c r="AT27" i="11" s="1"/>
  <c r="AU27" i="12" l="1"/>
  <c r="AU31" i="12" s="1"/>
  <c r="AU22" i="24" l="1"/>
  <c r="AU81" i="10"/>
  <c r="AU13" i="12" l="1"/>
  <c r="AV19" i="24"/>
  <c r="AU26" i="11"/>
  <c r="AU27" i="11" s="1"/>
  <c r="AV22" i="24" l="1"/>
  <c r="AV27" i="12"/>
  <c r="AV31" i="12" s="1"/>
  <c r="AV81" i="10"/>
  <c r="AV13" i="12" l="1"/>
  <c r="AW19" i="24"/>
  <c r="AV26" i="11"/>
  <c r="AV27" i="11" s="1"/>
  <c r="AW22" i="24" l="1"/>
  <c r="AW27" i="12"/>
  <c r="AW31" i="12" s="1"/>
  <c r="AW81" i="10"/>
  <c r="AW13" i="12" l="1"/>
  <c r="AX19" i="24"/>
  <c r="AW26" i="11"/>
  <c r="AW27" i="11" s="1"/>
  <c r="AX27" i="12" l="1"/>
  <c r="AX31" i="12" s="1"/>
  <c r="AX22" i="24" l="1"/>
  <c r="AX81" i="10"/>
  <c r="AX13" i="12" s="1"/>
  <c r="AY19" i="24" l="1"/>
  <c r="AX26" i="11"/>
  <c r="AX27" i="11" s="1"/>
  <c r="AY81" i="10" l="1"/>
  <c r="AY13" i="12" s="1"/>
  <c r="AY22" i="24"/>
  <c r="AY27" i="12"/>
  <c r="AY31" i="12" s="1"/>
  <c r="AZ19" i="24" l="1"/>
  <c r="AY26" i="11"/>
  <c r="AY27" i="11" s="1"/>
  <c r="AZ27" i="12" l="1"/>
  <c r="AZ31" i="12" s="1"/>
  <c r="AZ22" i="24" l="1"/>
  <c r="AZ81" i="10"/>
  <c r="AZ13" i="12" s="1"/>
  <c r="BA19" i="24" l="1"/>
  <c r="AZ26" i="11"/>
  <c r="AZ27" i="11" s="1"/>
  <c r="BA22" i="24" l="1"/>
  <c r="BA27" i="12"/>
  <c r="BA31" i="12" s="1"/>
  <c r="BA81" i="10"/>
  <c r="BA13" i="12" s="1"/>
  <c r="BB19" i="24" l="1"/>
  <c r="BA26" i="11"/>
  <c r="BA27" i="11" s="1"/>
  <c r="BB22" i="24" l="1"/>
  <c r="BB27" i="12"/>
  <c r="BB31" i="12" s="1"/>
  <c r="BB81" i="10"/>
  <c r="BB13" i="12" s="1"/>
  <c r="BC19" i="24" l="1"/>
  <c r="BB26" i="11"/>
  <c r="BB27" i="11" s="1"/>
  <c r="BC27" i="12" l="1"/>
  <c r="BC31" i="12" s="1"/>
  <c r="BC81" i="10" l="1"/>
  <c r="BC13" i="12" s="1"/>
  <c r="BC22" i="24"/>
  <c r="BD19" i="24" l="1"/>
  <c r="BC26" i="11"/>
  <c r="BC27" i="11" s="1"/>
  <c r="BD27" i="12" l="1"/>
  <c r="BD31" i="12" s="1"/>
  <c r="BD22" i="24" l="1"/>
  <c r="BD81" i="10"/>
  <c r="BD13" i="12" s="1"/>
  <c r="BE19" i="24" l="1"/>
  <c r="BD26" i="11"/>
  <c r="BD27" i="11" s="1"/>
  <c r="BE22" i="24" l="1"/>
  <c r="BE27" i="12"/>
  <c r="BE31" i="12" s="1"/>
  <c r="BE81" i="10"/>
  <c r="BE13" i="12" s="1"/>
  <c r="BF19" i="24" l="1"/>
  <c r="BE26" i="11"/>
  <c r="BE27" i="11" s="1"/>
  <c r="BF22" i="24" l="1"/>
  <c r="BF27" i="12"/>
  <c r="BF31" i="12" s="1"/>
  <c r="BF81" i="10"/>
  <c r="AM30" i="10"/>
  <c r="AN30" i="10"/>
  <c r="BF13" i="12" l="1"/>
  <c r="AM37" i="10"/>
  <c r="AM40" i="10"/>
  <c r="AM39" i="10"/>
  <c r="AM36" i="10"/>
  <c r="AM38" i="10"/>
  <c r="AL36" i="10"/>
  <c r="BG19" i="24"/>
  <c r="BF26" i="11"/>
  <c r="BF27" i="11" s="1"/>
  <c r="AM31" i="10"/>
  <c r="AM33" i="10" s="1"/>
  <c r="AO30" i="10"/>
  <c r="AN31" i="10"/>
  <c r="AN33" i="10" s="1"/>
  <c r="AN27" i="10"/>
  <c r="AN9" i="24" s="1"/>
  <c r="AN10" i="24" s="1"/>
  <c r="AL27" i="10"/>
  <c r="AL9" i="24" s="1"/>
  <c r="AL10" i="24" s="1"/>
  <c r="AM27" i="10"/>
  <c r="AM9" i="24" s="1"/>
  <c r="AM10" i="24" s="1"/>
  <c r="AL10" i="12"/>
  <c r="AM10" i="12"/>
  <c r="AT32" i="10"/>
  <c r="AN12" i="11" l="1"/>
  <c r="AN11" i="24"/>
  <c r="AN12" i="24" s="1"/>
  <c r="AL11" i="24"/>
  <c r="AL12" i="24" s="1"/>
  <c r="AL11" i="12" s="1"/>
  <c r="AL12" i="11"/>
  <c r="AM12" i="11"/>
  <c r="AM11" i="24"/>
  <c r="AM12" i="24" s="1"/>
  <c r="AM11" i="12" s="1"/>
  <c r="AL11" i="11"/>
  <c r="AM11" i="11" s="1"/>
  <c r="AO31" i="10"/>
  <c r="AO33" i="10" s="1"/>
  <c r="AP31" i="10"/>
  <c r="AQ31" i="10"/>
  <c r="AP30" i="10"/>
  <c r="AL38" i="10"/>
  <c r="AL39" i="10"/>
  <c r="AL40" i="10"/>
  <c r="AL37" i="10"/>
  <c r="AU32" i="10"/>
  <c r="AN11" i="12" l="1"/>
  <c r="AP33" i="10"/>
  <c r="BG22" i="24"/>
  <c r="BG27" i="12"/>
  <c r="BG31" i="12" s="1"/>
  <c r="BG81" i="10"/>
  <c r="AR31" i="10"/>
  <c r="AQ30" i="10"/>
  <c r="AQ33" i="10" s="1"/>
  <c r="AL41" i="10"/>
  <c r="AV32" i="10"/>
  <c r="AM41" i="10"/>
  <c r="BG13" i="12" l="1"/>
  <c r="AL69" i="10"/>
  <c r="BH19" i="24"/>
  <c r="BG26" i="11"/>
  <c r="BG27" i="11" s="1"/>
  <c r="AO27" i="10"/>
  <c r="AO9" i="24" s="1"/>
  <c r="AO10" i="24" s="1"/>
  <c r="AN10" i="12"/>
  <c r="AP27" i="10"/>
  <c r="AP9" i="24" s="1"/>
  <c r="AP10" i="24" s="1"/>
  <c r="AR30" i="10"/>
  <c r="AR33" i="10" s="1"/>
  <c r="AS31" i="10"/>
  <c r="AW32" i="10"/>
  <c r="AM69" i="10"/>
  <c r="AP11" i="24" l="1"/>
  <c r="AP12" i="24" s="1"/>
  <c r="AP12" i="11"/>
  <c r="AO12" i="11"/>
  <c r="AO11" i="24"/>
  <c r="AO12" i="24" s="1"/>
  <c r="AO11" i="12" s="1"/>
  <c r="AL12" i="12"/>
  <c r="AL22" i="11" s="1"/>
  <c r="AL71" i="10"/>
  <c r="AL79" i="10" s="1"/>
  <c r="AM12" i="12"/>
  <c r="BH27" i="12"/>
  <c r="BH31" i="12" s="1"/>
  <c r="AO10" i="12"/>
  <c r="AQ27" i="10"/>
  <c r="AQ9" i="24" s="1"/>
  <c r="AQ10" i="24" s="1"/>
  <c r="AN38" i="10"/>
  <c r="AN40" i="10"/>
  <c r="AN36" i="10"/>
  <c r="AN39" i="10"/>
  <c r="AN37" i="10"/>
  <c r="AN11" i="11"/>
  <c r="AT31" i="10"/>
  <c r="AU31" i="10"/>
  <c r="AX32" i="10"/>
  <c r="AM71" i="10"/>
  <c r="AM22" i="11" l="1"/>
  <c r="AM23" i="11" s="1"/>
  <c r="AQ12" i="11"/>
  <c r="AQ11" i="24"/>
  <c r="AQ12" i="24" s="1"/>
  <c r="AQ11" i="12" s="1"/>
  <c r="AP11" i="12"/>
  <c r="AL23" i="11"/>
  <c r="BH22" i="24"/>
  <c r="BH81" i="10"/>
  <c r="AS30" i="10"/>
  <c r="AS33" i="10" s="1"/>
  <c r="AO11" i="11"/>
  <c r="AP10" i="12"/>
  <c r="AO37" i="10"/>
  <c r="AO40" i="10"/>
  <c r="AO36" i="10"/>
  <c r="AO39" i="10"/>
  <c r="AO38" i="10"/>
  <c r="AR27" i="10"/>
  <c r="AR9" i="24" s="1"/>
  <c r="AR10" i="24" s="1"/>
  <c r="AN41" i="10"/>
  <c r="AV31" i="10"/>
  <c r="AU30" i="10"/>
  <c r="AU33" i="10" s="1"/>
  <c r="AT30" i="10"/>
  <c r="AT33" i="10" s="1"/>
  <c r="AL83" i="10"/>
  <c r="AL85" i="10" s="1"/>
  <c r="AY32" i="10"/>
  <c r="AM79" i="10"/>
  <c r="AR11" i="24" l="1"/>
  <c r="AR12" i="24" s="1"/>
  <c r="AR11" i="12" s="1"/>
  <c r="AR12" i="11"/>
  <c r="BH13" i="12"/>
  <c r="BI19" i="24"/>
  <c r="BH26" i="11"/>
  <c r="BH27" i="11" s="1"/>
  <c r="AP11" i="11"/>
  <c r="AO41" i="10"/>
  <c r="AN69" i="10"/>
  <c r="AS27" i="10"/>
  <c r="AS9" i="24" s="1"/>
  <c r="AS10" i="24" s="1"/>
  <c r="AQ10" i="12"/>
  <c r="AP38" i="10"/>
  <c r="AP37" i="10"/>
  <c r="AP40" i="10"/>
  <c r="AP36" i="10"/>
  <c r="AP39" i="10"/>
  <c r="AW31" i="10"/>
  <c r="AV30" i="10"/>
  <c r="AV33" i="10" s="1"/>
  <c r="AZ32" i="10"/>
  <c r="AM83" i="10"/>
  <c r="AM85" i="10" s="1"/>
  <c r="AS12" i="11" l="1"/>
  <c r="AS11" i="24"/>
  <c r="AS12" i="24" s="1"/>
  <c r="AS11" i="12" s="1"/>
  <c r="AN12" i="12"/>
  <c r="AN22" i="11" s="1"/>
  <c r="AP41" i="10"/>
  <c r="AN71" i="10"/>
  <c r="AR10" i="12"/>
  <c r="AQ11" i="11"/>
  <c r="AT27" i="10"/>
  <c r="AT9" i="24" s="1"/>
  <c r="AT10" i="24" s="1"/>
  <c r="AQ36" i="10"/>
  <c r="AQ39" i="10"/>
  <c r="AQ38" i="10"/>
  <c r="AQ40" i="10"/>
  <c r="AQ37" i="10"/>
  <c r="AO69" i="10"/>
  <c r="AO12" i="12" s="1"/>
  <c r="AW30" i="10"/>
  <c r="AW33" i="10" s="1"/>
  <c r="AX31" i="10"/>
  <c r="BA32" i="10"/>
  <c r="AT11" i="24" l="1"/>
  <c r="AT12" i="24" s="1"/>
  <c r="AT11" i="12" s="1"/>
  <c r="AT12" i="11"/>
  <c r="AO22" i="11"/>
  <c r="AO23" i="11" s="1"/>
  <c r="AP69" i="10"/>
  <c r="AP71" i="10" s="1"/>
  <c r="AN23" i="11"/>
  <c r="BI22" i="24"/>
  <c r="BI27" i="12"/>
  <c r="BI31" i="12" s="1"/>
  <c r="BI81" i="10"/>
  <c r="AR11" i="11"/>
  <c r="AU27" i="10"/>
  <c r="AU9" i="24" s="1"/>
  <c r="AU10" i="24" s="1"/>
  <c r="AR38" i="10"/>
  <c r="AR40" i="10"/>
  <c r="AR36" i="10"/>
  <c r="AR39" i="10"/>
  <c r="AR37" i="10"/>
  <c r="AS10" i="12"/>
  <c r="AN79" i="10"/>
  <c r="AO71" i="10"/>
  <c r="AQ41" i="10"/>
  <c r="AX30" i="10"/>
  <c r="AX33" i="10" s="1"/>
  <c r="AY31" i="10"/>
  <c r="BB32" i="10"/>
  <c r="AU12" i="11" l="1"/>
  <c r="AU11" i="24"/>
  <c r="AU12" i="24" s="1"/>
  <c r="AU11" i="12" s="1"/>
  <c r="AP12" i="12"/>
  <c r="BI13" i="12"/>
  <c r="BJ19" i="24"/>
  <c r="BI26" i="11"/>
  <c r="BI27" i="11" s="1"/>
  <c r="AS37" i="10"/>
  <c r="AS36" i="10"/>
  <c r="AS39" i="10"/>
  <c r="AS38" i="10"/>
  <c r="AS40" i="10"/>
  <c r="AR41" i="10"/>
  <c r="AT10" i="12"/>
  <c r="AQ69" i="10"/>
  <c r="AQ12" i="12" s="1"/>
  <c r="AV27" i="10"/>
  <c r="AV9" i="24" s="1"/>
  <c r="AV10" i="24" s="1"/>
  <c r="AO79" i="10"/>
  <c r="AN83" i="10"/>
  <c r="AN85" i="10" s="1"/>
  <c r="AS11" i="11"/>
  <c r="AY30" i="10"/>
  <c r="AY33" i="10" s="1"/>
  <c r="AZ31" i="10"/>
  <c r="BC32" i="10"/>
  <c r="AP79" i="10"/>
  <c r="AV12" i="11" l="1"/>
  <c r="AV11" i="24"/>
  <c r="AV12" i="24" s="1"/>
  <c r="AV11" i="12" s="1"/>
  <c r="AP22" i="11"/>
  <c r="AQ22" i="11" s="1"/>
  <c r="AQ23" i="11" s="1"/>
  <c r="AU10" i="12"/>
  <c r="AO83" i="10"/>
  <c r="AO85" i="10" s="1"/>
  <c r="AQ71" i="10"/>
  <c r="AT38" i="10"/>
  <c r="AT39" i="10"/>
  <c r="AT40" i="10"/>
  <c r="AT36" i="10"/>
  <c r="AT37" i="10"/>
  <c r="AR69" i="10"/>
  <c r="AR12" i="12" s="1"/>
  <c r="AW27" i="10"/>
  <c r="AW9" i="24" s="1"/>
  <c r="AW10" i="24" s="1"/>
  <c r="AT11" i="11"/>
  <c r="BA31" i="10"/>
  <c r="AZ30" i="10"/>
  <c r="AZ33" i="10" s="1"/>
  <c r="BD32" i="10"/>
  <c r="AP83" i="10"/>
  <c r="AP85" i="10" s="1"/>
  <c r="AW12" i="11" l="1"/>
  <c r="AW11" i="24"/>
  <c r="AW12" i="24" s="1"/>
  <c r="AW11" i="12" s="1"/>
  <c r="AR22" i="11"/>
  <c r="AR23" i="11" s="1"/>
  <c r="AP23" i="11"/>
  <c r="BJ22" i="24"/>
  <c r="BJ27" i="12"/>
  <c r="BJ31" i="12" s="1"/>
  <c r="BJ81" i="10"/>
  <c r="BJ13" i="12" s="1"/>
  <c r="AU11" i="11"/>
  <c r="AR71" i="10"/>
  <c r="AS41" i="10"/>
  <c r="AQ79" i="10"/>
  <c r="AX27" i="10"/>
  <c r="AX9" i="24" s="1"/>
  <c r="AX10" i="24" s="1"/>
  <c r="AV10" i="12"/>
  <c r="AT41" i="10"/>
  <c r="AU36" i="10"/>
  <c r="AU37" i="10"/>
  <c r="AU38" i="10"/>
  <c r="AU40" i="10"/>
  <c r="AU39" i="10"/>
  <c r="BB31" i="10"/>
  <c r="BA30" i="10"/>
  <c r="BA33" i="10" s="1"/>
  <c r="BE32" i="10"/>
  <c r="AX11" i="24" l="1"/>
  <c r="AX12" i="24" s="1"/>
  <c r="AX11" i="12" s="1"/>
  <c r="AX12" i="11"/>
  <c r="BK19" i="24"/>
  <c r="BJ26" i="11"/>
  <c r="BJ27" i="11" s="1"/>
  <c r="AT69" i="10"/>
  <c r="AU41" i="10"/>
  <c r="AY27" i="10"/>
  <c r="AY9" i="24" s="1"/>
  <c r="AY10" i="24" s="1"/>
  <c r="AV36" i="10"/>
  <c r="AV37" i="10"/>
  <c r="AV38" i="10"/>
  <c r="AV39" i="10"/>
  <c r="AV40" i="10"/>
  <c r="AS69" i="10"/>
  <c r="AS12" i="12" s="1"/>
  <c r="AR79" i="10"/>
  <c r="AQ83" i="10"/>
  <c r="AQ85" i="10" s="1"/>
  <c r="AV11" i="11"/>
  <c r="AW10" i="12"/>
  <c r="BC31" i="10"/>
  <c r="BB30" i="10"/>
  <c r="BB33" i="10" s="1"/>
  <c r="BF32" i="10"/>
  <c r="AY11" i="24" l="1"/>
  <c r="AY12" i="24" s="1"/>
  <c r="AY11" i="12" s="1"/>
  <c r="AY12" i="11"/>
  <c r="AS22" i="11"/>
  <c r="AT71" i="10"/>
  <c r="AT79" i="10" s="1"/>
  <c r="AT12" i="12"/>
  <c r="AW11" i="11"/>
  <c r="AX10" i="12"/>
  <c r="AW40" i="10"/>
  <c r="AW38" i="10"/>
  <c r="AW37" i="10"/>
  <c r="AW36" i="10"/>
  <c r="AW39" i="10"/>
  <c r="AZ27" i="10"/>
  <c r="AZ9" i="24" s="1"/>
  <c r="AZ10" i="24" s="1"/>
  <c r="AR83" i="10"/>
  <c r="AR85" i="10" s="1"/>
  <c r="AV41" i="10"/>
  <c r="AU69" i="10"/>
  <c r="AU12" i="12" s="1"/>
  <c r="AS71" i="10"/>
  <c r="BC30" i="10"/>
  <c r="BC33" i="10" s="1"/>
  <c r="BD31" i="10"/>
  <c r="BG32" i="10"/>
  <c r="AZ12" i="11" l="1"/>
  <c r="AZ11" i="24"/>
  <c r="AZ12" i="24" s="1"/>
  <c r="AZ11" i="12" s="1"/>
  <c r="AT22" i="11"/>
  <c r="AU22" i="11" s="1"/>
  <c r="AS23" i="11"/>
  <c r="BK22" i="24"/>
  <c r="BK27" i="12"/>
  <c r="BK31" i="12" s="1"/>
  <c r="BK81" i="10"/>
  <c r="BK13" i="12" s="1"/>
  <c r="AS79" i="10"/>
  <c r="AY10" i="12"/>
  <c r="AU71" i="10"/>
  <c r="AW41" i="10"/>
  <c r="AX11" i="11"/>
  <c r="AV69" i="10"/>
  <c r="AV12" i="12" s="1"/>
  <c r="BA27" i="10"/>
  <c r="BA9" i="24" s="1"/>
  <c r="BA10" i="24" s="1"/>
  <c r="AX36" i="10"/>
  <c r="AX40" i="10"/>
  <c r="AX38" i="10"/>
  <c r="AX39" i="10"/>
  <c r="AX37" i="10"/>
  <c r="BE31" i="10"/>
  <c r="BD30" i="10"/>
  <c r="BD33" i="10" s="1"/>
  <c r="BH32" i="10"/>
  <c r="AT83" i="10"/>
  <c r="AT85" i="10" s="1"/>
  <c r="BA12" i="11" l="1"/>
  <c r="BA11" i="24"/>
  <c r="BA12" i="24" s="1"/>
  <c r="BA11" i="12" s="1"/>
  <c r="AT23" i="11"/>
  <c r="AV22" i="11"/>
  <c r="AU23" i="11"/>
  <c r="BL19" i="24"/>
  <c r="BK26" i="11"/>
  <c r="BK27" i="11" s="1"/>
  <c r="AY11" i="11"/>
  <c r="AV71" i="10"/>
  <c r="AZ10" i="12"/>
  <c r="AX41" i="10"/>
  <c r="AW69" i="10"/>
  <c r="AW12" i="12" s="1"/>
  <c r="AY38" i="10"/>
  <c r="AY36" i="10"/>
  <c r="AY37" i="10"/>
  <c r="AY39" i="10"/>
  <c r="AY40" i="10"/>
  <c r="AU79" i="10"/>
  <c r="BB27" i="10"/>
  <c r="BB9" i="24" s="1"/>
  <c r="BB10" i="24" s="1"/>
  <c r="AS83" i="10"/>
  <c r="AS85" i="10" s="1"/>
  <c r="BE30" i="10"/>
  <c r="BE33" i="10" s="1"/>
  <c r="BF31" i="10"/>
  <c r="BG31" i="10"/>
  <c r="BI32" i="10"/>
  <c r="BB11" i="24" l="1"/>
  <c r="BB12" i="24" s="1"/>
  <c r="BB11" i="12" s="1"/>
  <c r="BB12" i="11"/>
  <c r="AW22" i="11"/>
  <c r="AV23" i="11"/>
  <c r="BL27" i="12"/>
  <c r="BL31" i="12" s="1"/>
  <c r="AX69" i="10"/>
  <c r="AX12" i="12" s="1"/>
  <c r="AU83" i="10"/>
  <c r="AU85" i="10" s="1"/>
  <c r="BA10" i="12"/>
  <c r="AW71" i="10"/>
  <c r="BC27" i="10"/>
  <c r="BC9" i="24" s="1"/>
  <c r="BC10" i="24" s="1"/>
  <c r="AZ11" i="11"/>
  <c r="AZ36" i="10"/>
  <c r="AZ37" i="10"/>
  <c r="AZ38" i="10"/>
  <c r="AZ39" i="10"/>
  <c r="AZ40" i="10"/>
  <c r="AY41" i="10"/>
  <c r="AV79" i="10"/>
  <c r="BF30" i="10"/>
  <c r="BF33" i="10" s="1"/>
  <c r="BH31" i="10"/>
  <c r="BJ32" i="10"/>
  <c r="BC12" i="11" l="1"/>
  <c r="BC11" i="24"/>
  <c r="BC12" i="24" s="1"/>
  <c r="BC11" i="12" s="1"/>
  <c r="AX22" i="11"/>
  <c r="AW23" i="11"/>
  <c r="BL22" i="24"/>
  <c r="BL81" i="10"/>
  <c r="BL13" i="12" s="1"/>
  <c r="BA11" i="11"/>
  <c r="AY69" i="10"/>
  <c r="AY12" i="12" s="1"/>
  <c r="BA37" i="10"/>
  <c r="BA38" i="10"/>
  <c r="BA40" i="10"/>
  <c r="BA36" i="10"/>
  <c r="BA39" i="10"/>
  <c r="AX71" i="10"/>
  <c r="BD27" i="10"/>
  <c r="BD9" i="24" s="1"/>
  <c r="BD10" i="24" s="1"/>
  <c r="AV83" i="10"/>
  <c r="AV85" i="10" s="1"/>
  <c r="BB10" i="12"/>
  <c r="AZ41" i="10"/>
  <c r="AW79" i="10"/>
  <c r="BG30" i="10"/>
  <c r="BG33" i="10" s="1"/>
  <c r="BI31" i="10"/>
  <c r="BK32" i="10"/>
  <c r="BD12" i="11" l="1"/>
  <c r="BD11" i="24"/>
  <c r="BD12" i="24" s="1"/>
  <c r="BD11" i="12" s="1"/>
  <c r="AY22" i="11"/>
  <c r="AX23" i="11"/>
  <c r="BM19" i="24"/>
  <c r="BL26" i="11"/>
  <c r="BL27" i="11" s="1"/>
  <c r="BE27" i="10"/>
  <c r="BE9" i="24" s="1"/>
  <c r="BE10" i="24" s="1"/>
  <c r="BB11" i="11"/>
  <c r="AZ69" i="10"/>
  <c r="AZ12" i="12" s="1"/>
  <c r="AY71" i="10"/>
  <c r="BC10" i="12"/>
  <c r="BB36" i="10"/>
  <c r="BB39" i="10"/>
  <c r="BB38" i="10"/>
  <c r="BB40" i="10"/>
  <c r="BB37" i="10"/>
  <c r="BA41" i="10"/>
  <c r="AW83" i="10"/>
  <c r="AW85" i="10" s="1"/>
  <c r="AX79" i="10"/>
  <c r="BH30" i="10"/>
  <c r="BH33" i="10" s="1"/>
  <c r="BJ31" i="10"/>
  <c r="BL32" i="10"/>
  <c r="BH27" i="10"/>
  <c r="BH9" i="24" s="1"/>
  <c r="BH10" i="24" s="1"/>
  <c r="BH12" i="11" l="1"/>
  <c r="BE11" i="24"/>
  <c r="BE12" i="24" s="1"/>
  <c r="BE11" i="12" s="1"/>
  <c r="BE12" i="11"/>
  <c r="AZ22" i="11"/>
  <c r="AY23" i="11"/>
  <c r="BM27" i="12"/>
  <c r="BM31" i="12" s="1"/>
  <c r="BG27" i="10"/>
  <c r="BG9" i="24" s="1"/>
  <c r="BG10" i="24" s="1"/>
  <c r="BC11" i="11"/>
  <c r="BB41" i="10"/>
  <c r="AY79" i="10"/>
  <c r="AX83" i="10"/>
  <c r="AX85" i="10" s="1"/>
  <c r="BD10" i="12"/>
  <c r="BC40" i="10"/>
  <c r="BC36" i="10"/>
  <c r="BC38" i="10"/>
  <c r="BC39" i="10"/>
  <c r="BC37" i="10"/>
  <c r="AZ71" i="10"/>
  <c r="BF27" i="10"/>
  <c r="BF9" i="24" s="1"/>
  <c r="BF10" i="24" s="1"/>
  <c r="BA69" i="10"/>
  <c r="BA12" i="12" s="1"/>
  <c r="BK31" i="10"/>
  <c r="BI30" i="10"/>
  <c r="BI33" i="10" s="1"/>
  <c r="BM32" i="10"/>
  <c r="BG12" i="11" l="1"/>
  <c r="BG11" i="24"/>
  <c r="BG12" i="24" s="1"/>
  <c r="BF11" i="24"/>
  <c r="BF12" i="24" s="1"/>
  <c r="BF11" i="12" s="1"/>
  <c r="BF12" i="11"/>
  <c r="BH11" i="24"/>
  <c r="BH12" i="24" s="1"/>
  <c r="BH11" i="12" s="1"/>
  <c r="BA22" i="11"/>
  <c r="AZ23" i="11"/>
  <c r="BM22" i="24"/>
  <c r="BM81" i="10"/>
  <c r="BM13" i="12" s="1"/>
  <c r="BE10" i="12"/>
  <c r="AZ79" i="10"/>
  <c r="BD37" i="10"/>
  <c r="BD36" i="10"/>
  <c r="BD39" i="10"/>
  <c r="BD38" i="10"/>
  <c r="BD40" i="10"/>
  <c r="BA71" i="10"/>
  <c r="BC41" i="10"/>
  <c r="AY83" i="10"/>
  <c r="AY85" i="10" s="1"/>
  <c r="BB69" i="10"/>
  <c r="BB12" i="12" s="1"/>
  <c r="BD11" i="11"/>
  <c r="BL31" i="10"/>
  <c r="BJ30" i="10"/>
  <c r="BJ33" i="10" s="1"/>
  <c r="BN32" i="10"/>
  <c r="BI27" i="10"/>
  <c r="BI9" i="24" s="1"/>
  <c r="BI10" i="24" s="1"/>
  <c r="BG11" i="12" l="1"/>
  <c r="BI12" i="11"/>
  <c r="BI11" i="24"/>
  <c r="BI12" i="24" s="1"/>
  <c r="BI11" i="12" s="1"/>
  <c r="BB22" i="11"/>
  <c r="BA23" i="11"/>
  <c r="BN19" i="24"/>
  <c r="BM26" i="11"/>
  <c r="BM27" i="11" s="1"/>
  <c r="BE11" i="11"/>
  <c r="BH10" i="12"/>
  <c r="BJ27" i="10"/>
  <c r="BJ9" i="24" s="1"/>
  <c r="BJ10" i="24" s="1"/>
  <c r="BF10" i="12"/>
  <c r="BD41" i="10"/>
  <c r="BC69" i="10"/>
  <c r="BC12" i="12" s="1"/>
  <c r="BA79" i="10"/>
  <c r="AZ83" i="10"/>
  <c r="AZ85" i="10" s="1"/>
  <c r="BE37" i="10"/>
  <c r="BE36" i="10"/>
  <c r="BE40" i="10"/>
  <c r="BE38" i="10"/>
  <c r="BE39" i="10"/>
  <c r="BB71" i="10"/>
  <c r="BG10" i="12"/>
  <c r="BM31" i="10"/>
  <c r="BK30" i="10"/>
  <c r="BK33" i="10" s="1"/>
  <c r="BO32" i="10"/>
  <c r="BI10" i="12"/>
  <c r="BH36" i="10"/>
  <c r="BH38" i="10"/>
  <c r="BH39" i="10"/>
  <c r="BH40" i="10"/>
  <c r="BH37" i="10"/>
  <c r="BJ11" i="24" l="1"/>
  <c r="BJ12" i="24" s="1"/>
  <c r="BJ11" i="12" s="1"/>
  <c r="BJ12" i="11"/>
  <c r="BC22" i="11"/>
  <c r="BB23" i="11"/>
  <c r="BE41" i="10"/>
  <c r="BC71" i="10"/>
  <c r="BA83" i="10"/>
  <c r="BA85" i="10" s="1"/>
  <c r="BF38" i="10"/>
  <c r="BF37" i="10"/>
  <c r="BF36" i="10"/>
  <c r="BF39" i="10"/>
  <c r="BF40" i="10"/>
  <c r="BG40" i="10"/>
  <c r="BG38" i="10"/>
  <c r="BG39" i="10"/>
  <c r="BG37" i="10"/>
  <c r="BG36" i="10"/>
  <c r="BB79" i="10"/>
  <c r="BF11" i="11"/>
  <c r="BG11" i="11" s="1"/>
  <c r="BH11" i="11" s="1"/>
  <c r="BI11" i="11" s="1"/>
  <c r="BD69" i="10"/>
  <c r="BD12" i="12" s="1"/>
  <c r="BL30" i="10"/>
  <c r="BL33" i="10" s="1"/>
  <c r="BN31" i="10"/>
  <c r="BP32" i="10"/>
  <c r="BK27" i="10"/>
  <c r="BK9" i="24" s="1"/>
  <c r="BK10" i="24" s="1"/>
  <c r="BJ10" i="12"/>
  <c r="BI37" i="10"/>
  <c r="BI39" i="10"/>
  <c r="BI40" i="10"/>
  <c r="BI36" i="10"/>
  <c r="BI38" i="10"/>
  <c r="BK12" i="11" l="1"/>
  <c r="BK11" i="24"/>
  <c r="BK12" i="24" s="1"/>
  <c r="BK11" i="12" s="1"/>
  <c r="BD22" i="11"/>
  <c r="BC23" i="11"/>
  <c r="BN22" i="24"/>
  <c r="BN27" i="12"/>
  <c r="BN31" i="12" s="1"/>
  <c r="BN81" i="10"/>
  <c r="BN13" i="12" s="1"/>
  <c r="BL27" i="10"/>
  <c r="BL9" i="24" s="1"/>
  <c r="BL10" i="24" s="1"/>
  <c r="BD71" i="10"/>
  <c r="BG41" i="10"/>
  <c r="BF41" i="10"/>
  <c r="BC79" i="10"/>
  <c r="BB83" i="10"/>
  <c r="BB85" i="10" s="1"/>
  <c r="BE69" i="10"/>
  <c r="BE12" i="12" s="1"/>
  <c r="BO31" i="10"/>
  <c r="BM30" i="10"/>
  <c r="BM33" i="10" s="1"/>
  <c r="BQ32" i="10"/>
  <c r="BJ36" i="10"/>
  <c r="BJ38" i="10"/>
  <c r="BJ37" i="10"/>
  <c r="BJ39" i="10"/>
  <c r="BJ40" i="10"/>
  <c r="BH41" i="10"/>
  <c r="BJ11" i="11"/>
  <c r="BK10" i="12"/>
  <c r="BI41" i="10"/>
  <c r="BL12" i="11" l="1"/>
  <c r="BL11" i="24"/>
  <c r="BL12" i="24" s="1"/>
  <c r="BL11" i="12" s="1"/>
  <c r="BE22" i="11"/>
  <c r="BD23" i="11"/>
  <c r="BO19" i="24"/>
  <c r="BN26" i="11"/>
  <c r="BN27" i="11" s="1"/>
  <c r="BG69" i="10"/>
  <c r="BE71" i="10"/>
  <c r="BC83" i="10"/>
  <c r="BC85" i="10" s="1"/>
  <c r="BF69" i="10"/>
  <c r="BF12" i="12" s="1"/>
  <c r="BD79" i="10"/>
  <c r="BP31" i="10"/>
  <c r="BN30" i="10"/>
  <c r="BN33" i="10" s="1"/>
  <c r="BK36" i="10"/>
  <c r="BK38" i="10"/>
  <c r="BK37" i="10"/>
  <c r="BK39" i="10"/>
  <c r="BK40" i="10"/>
  <c r="BI69" i="10"/>
  <c r="BH69" i="10"/>
  <c r="BL10" i="12"/>
  <c r="BK11" i="11"/>
  <c r="BJ41" i="10"/>
  <c r="BM27" i="10"/>
  <c r="BM9" i="24" s="1"/>
  <c r="BM10" i="24" s="1"/>
  <c r="BM12" i="11" l="1"/>
  <c r="BM11" i="24"/>
  <c r="BM12" i="24" s="1"/>
  <c r="BM11" i="12" s="1"/>
  <c r="BF22" i="11"/>
  <c r="BE23" i="11"/>
  <c r="BH12" i="12"/>
  <c r="BI12" i="12"/>
  <c r="BG12" i="12"/>
  <c r="BN27" i="10"/>
  <c r="BN9" i="24" s="1"/>
  <c r="BN10" i="24" s="1"/>
  <c r="BG71" i="10"/>
  <c r="BD83" i="10"/>
  <c r="BD85" i="10" s="1"/>
  <c r="BE79" i="10"/>
  <c r="BF71" i="10"/>
  <c r="BQ31" i="10"/>
  <c r="BO30" i="10"/>
  <c r="BO33" i="10" s="1"/>
  <c r="BI71" i="10"/>
  <c r="BL11" i="11"/>
  <c r="BL37" i="10"/>
  <c r="BL39" i="10"/>
  <c r="BL40" i="10"/>
  <c r="BL36" i="10"/>
  <c r="BL38" i="10"/>
  <c r="BM10" i="12"/>
  <c r="BJ69" i="10"/>
  <c r="BJ12" i="12" s="1"/>
  <c r="BH71" i="10"/>
  <c r="BN11" i="24" l="1"/>
  <c r="BN12" i="24" s="1"/>
  <c r="BN11" i="12" s="1"/>
  <c r="BN12" i="11"/>
  <c r="BG22" i="11"/>
  <c r="BH22" i="11" s="1"/>
  <c r="BI22" i="11" s="1"/>
  <c r="BJ22" i="11" s="1"/>
  <c r="BO22" i="24"/>
  <c r="BO27" i="12"/>
  <c r="BO31" i="12" s="1"/>
  <c r="BO81" i="10"/>
  <c r="BO13" i="12" s="1"/>
  <c r="BO27" i="10"/>
  <c r="BO9" i="24" s="1"/>
  <c r="BO10" i="24" s="1"/>
  <c r="BE83" i="10"/>
  <c r="BE85" i="10" s="1"/>
  <c r="BF79" i="10"/>
  <c r="BG79" i="10"/>
  <c r="BP30" i="10"/>
  <c r="BP33" i="10" s="1"/>
  <c r="BH79" i="10"/>
  <c r="BL41" i="10"/>
  <c r="BK41" i="10"/>
  <c r="BM37" i="10"/>
  <c r="BM39" i="10"/>
  <c r="BM40" i="10"/>
  <c r="BM36" i="10"/>
  <c r="BM38" i="10"/>
  <c r="BN10" i="12"/>
  <c r="BM11" i="11"/>
  <c r="BJ71" i="10"/>
  <c r="BI79" i="10"/>
  <c r="BO12" i="11" l="1"/>
  <c r="BO11" i="24"/>
  <c r="BO12" i="24" s="1"/>
  <c r="BO11" i="12" s="1"/>
  <c r="BF23" i="11"/>
  <c r="BG23" i="11"/>
  <c r="BP19" i="24"/>
  <c r="BO26" i="11"/>
  <c r="BO27" i="11" s="1"/>
  <c r="BP27" i="10"/>
  <c r="BP9" i="24" s="1"/>
  <c r="BP10" i="24" s="1"/>
  <c r="BG83" i="10"/>
  <c r="BG85" i="10" s="1"/>
  <c r="BF83" i="10"/>
  <c r="BF85" i="10" s="1"/>
  <c r="BQ30" i="10"/>
  <c r="BQ33" i="10" s="1"/>
  <c r="BN11" i="11"/>
  <c r="BK69" i="10"/>
  <c r="BK12" i="12" s="1"/>
  <c r="BL69" i="10"/>
  <c r="BI83" i="10"/>
  <c r="BI85" i="10" s="1"/>
  <c r="BJ79" i="10"/>
  <c r="BH83" i="10"/>
  <c r="BH85" i="10" s="1"/>
  <c r="BN36" i="10"/>
  <c r="BN38" i="10"/>
  <c r="BN37" i="10"/>
  <c r="BN39" i="10"/>
  <c r="BN40" i="10"/>
  <c r="BO10" i="12"/>
  <c r="BP11" i="24" l="1"/>
  <c r="BP12" i="24" s="1"/>
  <c r="BP11" i="12" s="1"/>
  <c r="BP12" i="11"/>
  <c r="BK22" i="11"/>
  <c r="BL12" i="12"/>
  <c r="BH23" i="11"/>
  <c r="BP27" i="12"/>
  <c r="BP31" i="12" s="1"/>
  <c r="BP10" i="12"/>
  <c r="BJ83" i="10"/>
  <c r="BJ85" i="10" s="1"/>
  <c r="BM41" i="10"/>
  <c r="BO36" i="10"/>
  <c r="BO38" i="10"/>
  <c r="BO37" i="10"/>
  <c r="BO39" i="10"/>
  <c r="BO40" i="10"/>
  <c r="BL71" i="10"/>
  <c r="BK71" i="10"/>
  <c r="BQ27" i="10"/>
  <c r="BQ9" i="24" s="1"/>
  <c r="BQ10" i="24" s="1"/>
  <c r="BO11" i="11"/>
  <c r="BN41" i="10"/>
  <c r="BQ12" i="11" l="1"/>
  <c r="BQ11" i="24"/>
  <c r="BQ12" i="24" s="1"/>
  <c r="BQ11" i="12" s="1"/>
  <c r="BL22" i="11"/>
  <c r="J10" i="18"/>
  <c r="L10" i="18"/>
  <c r="M10" i="18"/>
  <c r="N10" i="18"/>
  <c r="J8" i="18"/>
  <c r="L8" i="18"/>
  <c r="M8" i="18"/>
  <c r="N8" i="18"/>
  <c r="BP22" i="24"/>
  <c r="BQ19" i="24" s="1"/>
  <c r="BI23" i="11"/>
  <c r="BP81" i="10"/>
  <c r="BP13" i="12" s="1"/>
  <c r="BP11" i="11"/>
  <c r="BL79" i="10"/>
  <c r="BO41" i="10"/>
  <c r="BN69" i="10"/>
  <c r="BQ10" i="12"/>
  <c r="BK79" i="10"/>
  <c r="BM69" i="10"/>
  <c r="BM12" i="12" s="1"/>
  <c r="BP37" i="10"/>
  <c r="BP39" i="10"/>
  <c r="BP40" i="10"/>
  <c r="BP36" i="10"/>
  <c r="BP38" i="10"/>
  <c r="BM22" i="11" l="1"/>
  <c r="BP26" i="11"/>
  <c r="BP27" i="11" s="1"/>
  <c r="BN12" i="12"/>
  <c r="BJ23" i="11"/>
  <c r="BP41" i="10"/>
  <c r="BM71" i="10"/>
  <c r="BK83" i="10"/>
  <c r="BK85" i="10" s="1"/>
  <c r="BL83" i="10"/>
  <c r="BL85" i="10" s="1"/>
  <c r="BQ11" i="11"/>
  <c r="BO69" i="10"/>
  <c r="BO12" i="12" s="1"/>
  <c r="BQ37" i="10"/>
  <c r="BQ39" i="10"/>
  <c r="BQ40" i="10"/>
  <c r="BQ36" i="10"/>
  <c r="BQ38" i="10"/>
  <c r="BN71" i="10"/>
  <c r="BN22" i="11" l="1"/>
  <c r="BO22" i="11" s="1"/>
  <c r="BK23" i="11"/>
  <c r="BQ22" i="24"/>
  <c r="BQ26" i="11" s="1"/>
  <c r="BQ27" i="11" s="1"/>
  <c r="BQ27" i="12"/>
  <c r="BQ31" i="12" s="1"/>
  <c r="BQ81" i="10"/>
  <c r="BM79" i="10"/>
  <c r="BO71" i="10"/>
  <c r="BN79" i="10"/>
  <c r="BP69" i="10"/>
  <c r="BP12" i="12" s="1"/>
  <c r="BP22" i="11" l="1"/>
  <c r="BQ13" i="12"/>
  <c r="J24" i="18"/>
  <c r="L24" i="18"/>
  <c r="M24" i="18"/>
  <c r="N24" i="18"/>
  <c r="W56" i="18"/>
  <c r="X56" i="18"/>
  <c r="J56" i="18"/>
  <c r="L56" i="18"/>
  <c r="M56" i="18"/>
  <c r="N56" i="18"/>
  <c r="BL23" i="11"/>
  <c r="BP71" i="10"/>
  <c r="BO79" i="10"/>
  <c r="BN83" i="10"/>
  <c r="BN85" i="10" s="1"/>
  <c r="BM83" i="10"/>
  <c r="BM85" i="10" s="1"/>
  <c r="BQ41" i="10"/>
  <c r="L14" i="18" l="1"/>
  <c r="M14" i="18"/>
  <c r="N14" i="18"/>
  <c r="BM23" i="11"/>
  <c r="BO83" i="10"/>
  <c r="BO85" i="10" s="1"/>
  <c r="BP79" i="10"/>
  <c r="BQ69" i="10"/>
  <c r="BQ12" i="12" s="1"/>
  <c r="BQ22" i="11" l="1"/>
  <c r="BN23" i="11"/>
  <c r="BQ71" i="10"/>
  <c r="BP83" i="10"/>
  <c r="BP85" i="10" s="1"/>
  <c r="BO23" i="11" l="1"/>
  <c r="BQ79" i="10"/>
  <c r="BP23" i="11" l="1"/>
  <c r="BQ23" i="11"/>
  <c r="BQ83" i="10"/>
  <c r="BQ85" i="10" s="1"/>
  <c r="L26" i="18" l="1"/>
  <c r="M26" i="18"/>
  <c r="N26" i="18"/>
  <c r="Q27" i="18"/>
  <c r="Q28" i="18" s="1"/>
  <c r="T27" i="18"/>
  <c r="T28" i="18" s="1"/>
  <c r="R27" i="18"/>
  <c r="R28" i="18" s="1"/>
  <c r="V27" i="18"/>
  <c r="V28" i="18" s="1"/>
  <c r="AA27" i="18"/>
  <c r="AA28" i="18" s="1"/>
  <c r="P27" i="18"/>
  <c r="P28" i="18" s="1"/>
  <c r="W27" i="18"/>
  <c r="W28" i="18" s="1"/>
  <c r="Z27" i="18"/>
  <c r="Z28" i="18" s="1"/>
  <c r="X27" i="18"/>
  <c r="X28" i="18" s="1"/>
  <c r="S27" i="18"/>
  <c r="S28" i="18" s="1"/>
  <c r="U27" i="18"/>
  <c r="U28" i="18" s="1"/>
  <c r="Y27" i="18"/>
  <c r="Y28" i="18" s="1"/>
  <c r="AN14" i="12" l="1"/>
  <c r="AN15" i="12" s="1"/>
  <c r="AN23" i="12" s="1"/>
  <c r="J14" i="12" l="1"/>
  <c r="J15" i="12" s="1"/>
  <c r="J87" i="10"/>
  <c r="J35" i="11" s="1"/>
  <c r="N14" i="12"/>
  <c r="N15" i="12" s="1"/>
  <c r="T54" i="18" s="1"/>
  <c r="T57" i="18" s="1"/>
  <c r="N87" i="10"/>
  <c r="BG87" i="10"/>
  <c r="BG14" i="12"/>
  <c r="BG15" i="12" s="1"/>
  <c r="BG23" i="12" s="1"/>
  <c r="AV87" i="10"/>
  <c r="AV14" i="12"/>
  <c r="AV15" i="12" s="1"/>
  <c r="AV23" i="12" s="1"/>
  <c r="AN87" i="10"/>
  <c r="AP87" i="10"/>
  <c r="AP14" i="12"/>
  <c r="AP15" i="12" s="1"/>
  <c r="AP23" i="12" s="1"/>
  <c r="BE87" i="10"/>
  <c r="BE14" i="12"/>
  <c r="BE15" i="12" s="1"/>
  <c r="BE23" i="12" s="1"/>
  <c r="BO87" i="10"/>
  <c r="BO14" i="12"/>
  <c r="BO15" i="12" s="1"/>
  <c r="BO23" i="12" s="1"/>
  <c r="BH87" i="10"/>
  <c r="BH14" i="12"/>
  <c r="BH15" i="12" s="1"/>
  <c r="BH23" i="12" s="1"/>
  <c r="BQ87" i="10"/>
  <c r="BQ14" i="12"/>
  <c r="BQ15" i="12" s="1"/>
  <c r="BQ23" i="12" s="1"/>
  <c r="AX87" i="10"/>
  <c r="AX14" i="12"/>
  <c r="AX15" i="12" s="1"/>
  <c r="AX23" i="12" s="1"/>
  <c r="BI87" i="10"/>
  <c r="BI14" i="12"/>
  <c r="BI15" i="12" s="1"/>
  <c r="BI23" i="12" s="1"/>
  <c r="BC87" i="10"/>
  <c r="BC14" i="12"/>
  <c r="BC15" i="12" s="1"/>
  <c r="BC23" i="12" s="1"/>
  <c r="AR87" i="10"/>
  <c r="AR14" i="12"/>
  <c r="AR15" i="12" s="1"/>
  <c r="AR23" i="12" s="1"/>
  <c r="AH14" i="12"/>
  <c r="AH15" i="12" s="1"/>
  <c r="AH87" i="10"/>
  <c r="U87" i="10"/>
  <c r="U14" i="12"/>
  <c r="U15" i="12" s="1"/>
  <c r="AA54" i="18" s="1"/>
  <c r="AA57" i="18" s="1"/>
  <c r="J36" i="11" l="1"/>
  <c r="AH23" i="12"/>
  <c r="P54" i="18"/>
  <c r="P57" i="18" s="1"/>
  <c r="H45" i="22"/>
  <c r="L45" i="22"/>
  <c r="I49" i="22"/>
  <c r="H46" i="22"/>
  <c r="H51" i="22"/>
  <c r="L46" i="22"/>
  <c r="I46" i="22"/>
  <c r="I51" i="22"/>
  <c r="L51" i="22"/>
  <c r="J45" i="22"/>
  <c r="K51" i="22"/>
  <c r="K46" i="22"/>
  <c r="I45" i="22"/>
  <c r="H49" i="22"/>
  <c r="K45" i="22"/>
  <c r="J46" i="22"/>
  <c r="J51" i="22"/>
  <c r="K44" i="22"/>
  <c r="I41" i="22"/>
  <c r="H44" i="22"/>
  <c r="K41" i="22"/>
  <c r="L41" i="22"/>
  <c r="L44" i="22"/>
  <c r="J44" i="22"/>
  <c r="U23" i="12"/>
  <c r="N23" i="12"/>
  <c r="J23" i="12"/>
  <c r="L49" i="22"/>
  <c r="K49" i="22"/>
  <c r="K87" i="10"/>
  <c r="K14" i="12"/>
  <c r="K15" i="12" s="1"/>
  <c r="Q54" i="18" s="1"/>
  <c r="Q57" i="18" s="1"/>
  <c r="BN87" i="10"/>
  <c r="BN14" i="12"/>
  <c r="BN15" i="12" s="1"/>
  <c r="BN23" i="12" s="1"/>
  <c r="AZ87" i="10"/>
  <c r="AZ14" i="12"/>
  <c r="AZ15" i="12" s="1"/>
  <c r="AZ23" i="12" s="1"/>
  <c r="S87" i="10"/>
  <c r="S14" i="12"/>
  <c r="S15" i="12" s="1"/>
  <c r="Y54" i="18" s="1"/>
  <c r="Y57" i="18" s="1"/>
  <c r="AK87" i="10"/>
  <c r="AK14" i="12"/>
  <c r="AK15" i="12" s="1"/>
  <c r="AK23" i="12" s="1"/>
  <c r="AO87" i="10"/>
  <c r="AO14" i="12"/>
  <c r="AO15" i="12" s="1"/>
  <c r="AO23" i="12" s="1"/>
  <c r="AF87" i="10"/>
  <c r="AF14" i="12"/>
  <c r="AF15" i="12" s="1"/>
  <c r="AF23" i="12" s="1"/>
  <c r="AE87" i="10"/>
  <c r="AE14" i="12"/>
  <c r="AE15" i="12" s="1"/>
  <c r="AE23" i="12" s="1"/>
  <c r="AD87" i="10"/>
  <c r="AD14" i="12"/>
  <c r="AD15" i="12" s="1"/>
  <c r="AD23" i="12" s="1"/>
  <c r="AT87" i="10"/>
  <c r="AT14" i="12"/>
  <c r="AT15" i="12" s="1"/>
  <c r="BL87" i="10"/>
  <c r="BL14" i="12"/>
  <c r="BL15" i="12" s="1"/>
  <c r="BL23" i="12" s="1"/>
  <c r="AS87" i="10"/>
  <c r="AS14" i="12"/>
  <c r="AS15" i="12" s="1"/>
  <c r="AS23" i="12" s="1"/>
  <c r="AB87" i="10"/>
  <c r="AB14" i="12"/>
  <c r="AB15" i="12" s="1"/>
  <c r="AB23" i="12" s="1"/>
  <c r="P14" i="12"/>
  <c r="P15" i="12" s="1"/>
  <c r="V54" i="18" s="1"/>
  <c r="V57" i="18" s="1"/>
  <c r="P87" i="10"/>
  <c r="X87" i="10"/>
  <c r="X14" i="12"/>
  <c r="X15" i="12" s="1"/>
  <c r="X23" i="12" s="1"/>
  <c r="AC87" i="10"/>
  <c r="AC14" i="12"/>
  <c r="AC15" i="12" s="1"/>
  <c r="AC23" i="12" s="1"/>
  <c r="BF87" i="10"/>
  <c r="BF14" i="12"/>
  <c r="BF15" i="12" s="1"/>
  <c r="AJ87" i="10"/>
  <c r="AJ14" i="12"/>
  <c r="AJ15" i="12" s="1"/>
  <c r="AJ23" i="12" s="1"/>
  <c r="BA87" i="10"/>
  <c r="BA14" i="12"/>
  <c r="BA15" i="12" s="1"/>
  <c r="BA23" i="12" s="1"/>
  <c r="AY87" i="10"/>
  <c r="AY14" i="12"/>
  <c r="AY15" i="12" s="1"/>
  <c r="AY23" i="12" s="1"/>
  <c r="BP87" i="10"/>
  <c r="BP14" i="12"/>
  <c r="BP15" i="12" s="1"/>
  <c r="BP23" i="12" s="1"/>
  <c r="AL87" i="10"/>
  <c r="AL14" i="12"/>
  <c r="AL15" i="12" s="1"/>
  <c r="AL23" i="12" s="1"/>
  <c r="O87" i="10"/>
  <c r="O14" i="12"/>
  <c r="O15" i="12" s="1"/>
  <c r="U54" i="18" s="1"/>
  <c r="U57" i="18" s="1"/>
  <c r="AW87" i="10"/>
  <c r="AW14" i="12"/>
  <c r="AW15" i="12" s="1"/>
  <c r="AW23" i="12" s="1"/>
  <c r="AG87" i="10"/>
  <c r="AG14" i="12"/>
  <c r="AG15" i="12" s="1"/>
  <c r="AG23" i="12" s="1"/>
  <c r="Z87" i="10"/>
  <c r="Z14" i="12"/>
  <c r="Z15" i="12" s="1"/>
  <c r="Z23" i="12" s="1"/>
  <c r="Y87" i="10"/>
  <c r="Y14" i="12"/>
  <c r="Y15" i="12" s="1"/>
  <c r="Y23" i="12" s="1"/>
  <c r="Q14" i="12"/>
  <c r="Q15" i="12" s="1"/>
  <c r="W54" i="18" s="1"/>
  <c r="W57" i="18" s="1"/>
  <c r="Q87" i="10"/>
  <c r="L87" i="10"/>
  <c r="L14" i="12"/>
  <c r="L15" i="12" s="1"/>
  <c r="R54" i="18" s="1"/>
  <c r="R57" i="18" s="1"/>
  <c r="AQ87" i="10"/>
  <c r="AQ14" i="12"/>
  <c r="AQ15" i="12" s="1"/>
  <c r="AQ23" i="12" s="1"/>
  <c r="BJ87" i="10"/>
  <c r="BJ14" i="12"/>
  <c r="BJ15" i="12" s="1"/>
  <c r="BJ23" i="12" s="1"/>
  <c r="BD87" i="10"/>
  <c r="BD14" i="12"/>
  <c r="BD15" i="12" s="1"/>
  <c r="BD23" i="12" s="1"/>
  <c r="AU87" i="10"/>
  <c r="AU14" i="12"/>
  <c r="AU15" i="12" s="1"/>
  <c r="AU23" i="12" s="1"/>
  <c r="BM87" i="10"/>
  <c r="BM14" i="12"/>
  <c r="BM15" i="12" s="1"/>
  <c r="BM23" i="12" s="1"/>
  <c r="M87" i="10"/>
  <c r="M14" i="12"/>
  <c r="M15" i="12" s="1"/>
  <c r="S54" i="18" s="1"/>
  <c r="S57" i="18" s="1"/>
  <c r="T87" i="10"/>
  <c r="T14" i="12"/>
  <c r="T15" i="12" s="1"/>
  <c r="Z54" i="18" s="1"/>
  <c r="Z57" i="18" s="1"/>
  <c r="AA87" i="10"/>
  <c r="AA14" i="12"/>
  <c r="AA15" i="12" s="1"/>
  <c r="AA23" i="12" s="1"/>
  <c r="V87" i="10"/>
  <c r="V14" i="12"/>
  <c r="V15" i="12" s="1"/>
  <c r="BK87" i="10"/>
  <c r="BK14" i="12"/>
  <c r="BK15" i="12" s="1"/>
  <c r="BK23" i="12" s="1"/>
  <c r="W87" i="10"/>
  <c r="W14" i="12"/>
  <c r="W15" i="12" s="1"/>
  <c r="W23" i="12" s="1"/>
  <c r="R87" i="10"/>
  <c r="R14" i="12"/>
  <c r="R15" i="12" s="1"/>
  <c r="X54" i="18" s="1"/>
  <c r="X57" i="18" s="1"/>
  <c r="AM14" i="12"/>
  <c r="AM15" i="12" s="1"/>
  <c r="AM23" i="12" s="1"/>
  <c r="AM87" i="10"/>
  <c r="BB87" i="10"/>
  <c r="BB14" i="12"/>
  <c r="BB15" i="12" s="1"/>
  <c r="BB23" i="12" s="1"/>
  <c r="AI87" i="10"/>
  <c r="AI14" i="12"/>
  <c r="AI15" i="12" s="1"/>
  <c r="AI23" i="12" s="1"/>
  <c r="K35" i="11" l="1"/>
  <c r="L35" i="11" s="1"/>
  <c r="M35" i="11" s="1"/>
  <c r="N35" i="11" s="1"/>
  <c r="O35" i="11" s="1"/>
  <c r="P35" i="11" s="1"/>
  <c r="Q35" i="11" s="1"/>
  <c r="R35" i="11" s="1"/>
  <c r="S35" i="11" s="1"/>
  <c r="T35" i="11" s="1"/>
  <c r="U35" i="11" s="1"/>
  <c r="V35" i="11" s="1"/>
  <c r="W35" i="11" s="1"/>
  <c r="X35" i="11" s="1"/>
  <c r="Y35" i="11" s="1"/>
  <c r="Z35" i="11" s="1"/>
  <c r="AA35" i="11" s="1"/>
  <c r="AB35" i="11" s="1"/>
  <c r="AC35" i="11" s="1"/>
  <c r="AD35" i="11" s="1"/>
  <c r="AE35" i="11" s="1"/>
  <c r="AF35" i="11" s="1"/>
  <c r="AG35" i="11" s="1"/>
  <c r="AH35" i="11" s="1"/>
  <c r="AI35" i="11" s="1"/>
  <c r="AJ35" i="11" s="1"/>
  <c r="AK35" i="11" s="1"/>
  <c r="AL35" i="11" s="1"/>
  <c r="AM35" i="11" s="1"/>
  <c r="AN35" i="11" s="1"/>
  <c r="AO35" i="11" s="1"/>
  <c r="AP35" i="11" s="1"/>
  <c r="AQ35" i="11" s="1"/>
  <c r="AR35" i="11" s="1"/>
  <c r="AS35" i="11" s="1"/>
  <c r="AT35" i="11" s="1"/>
  <c r="AU35" i="11" s="1"/>
  <c r="AV35" i="11" s="1"/>
  <c r="AW35" i="11" s="1"/>
  <c r="AX35" i="11" s="1"/>
  <c r="AY35" i="11" s="1"/>
  <c r="AZ35" i="11" s="1"/>
  <c r="BA35" i="11" s="1"/>
  <c r="BB35" i="11" s="1"/>
  <c r="BC35" i="11" s="1"/>
  <c r="BD35" i="11" s="1"/>
  <c r="BE35" i="11" s="1"/>
  <c r="BF35" i="11" s="1"/>
  <c r="BG35" i="11" s="1"/>
  <c r="BH35" i="11" s="1"/>
  <c r="BI35" i="11" s="1"/>
  <c r="BJ35" i="11" s="1"/>
  <c r="BK35" i="11" s="1"/>
  <c r="BL35" i="11" s="1"/>
  <c r="BM35" i="11" s="1"/>
  <c r="BN35" i="11" s="1"/>
  <c r="BO35" i="11" s="1"/>
  <c r="BP35" i="11" s="1"/>
  <c r="BQ35" i="11" s="1"/>
  <c r="BF23" i="12"/>
  <c r="N54" i="18"/>
  <c r="N57" i="18" s="1"/>
  <c r="J54" i="18"/>
  <c r="J57" i="18" s="1"/>
  <c r="L54" i="18"/>
  <c r="L57" i="18" s="1"/>
  <c r="V23" i="12"/>
  <c r="K54" i="18"/>
  <c r="K57" i="18" s="1"/>
  <c r="AT23" i="12"/>
  <c r="M54" i="18"/>
  <c r="M57" i="18" s="1"/>
  <c r="J17" i="18"/>
  <c r="I42" i="22"/>
  <c r="I43" i="22" s="1"/>
  <c r="K11" i="18"/>
  <c r="K9" i="18"/>
  <c r="M12" i="18"/>
  <c r="J19" i="18"/>
  <c r="L15" i="18"/>
  <c r="J15" i="18"/>
  <c r="M15" i="18"/>
  <c r="K12" i="18"/>
  <c r="L17" i="18"/>
  <c r="N11" i="18"/>
  <c r="N19" i="18"/>
  <c r="K17" i="18"/>
  <c r="J49" i="22"/>
  <c r="M19" i="18"/>
  <c r="L12" i="18"/>
  <c r="N12" i="18"/>
  <c r="L19" i="18"/>
  <c r="K15" i="18"/>
  <c r="K19" i="18"/>
  <c r="M17" i="18"/>
  <c r="J41" i="22"/>
  <c r="L11" i="18"/>
  <c r="L9" i="18"/>
  <c r="M11" i="18"/>
  <c r="J11" i="18"/>
  <c r="M9" i="18"/>
  <c r="K53" i="22"/>
  <c r="I44" i="22"/>
  <c r="J12" i="18"/>
  <c r="H41" i="22"/>
  <c r="H42" i="22" s="1"/>
  <c r="H47" i="22" s="1"/>
  <c r="H48" i="22" s="1"/>
  <c r="H53" i="22"/>
  <c r="N15" i="18"/>
  <c r="N9" i="18"/>
  <c r="N17" i="18"/>
  <c r="J53" i="22"/>
  <c r="P23" i="12"/>
  <c r="L23" i="12"/>
  <c r="Q23" i="12"/>
  <c r="M23" i="12"/>
  <c r="R23" i="12"/>
  <c r="O23" i="12"/>
  <c r="T23" i="12"/>
  <c r="S23" i="12"/>
  <c r="K23" i="12"/>
  <c r="I53" i="22"/>
  <c r="L53" i="22"/>
  <c r="J29" i="11"/>
  <c r="K29" i="11"/>
  <c r="AN33" i="12"/>
  <c r="BE33" i="12"/>
  <c r="BO33" i="12"/>
  <c r="N33" i="12"/>
  <c r="BH33" i="12"/>
  <c r="AV33" i="12"/>
  <c r="AH33" i="12"/>
  <c r="AP33" i="12"/>
  <c r="BC33" i="12"/>
  <c r="BG33" i="12"/>
  <c r="AX33" i="12"/>
  <c r="BI33" i="12"/>
  <c r="J33" i="12"/>
  <c r="AR33" i="12"/>
  <c r="BQ33" i="12"/>
  <c r="U33" i="12"/>
  <c r="Z6" i="22" l="1"/>
  <c r="J10" i="11"/>
  <c r="J40" i="24"/>
  <c r="K36" i="11"/>
  <c r="L36" i="11"/>
  <c r="J13" i="18"/>
  <c r="J20" i="18"/>
  <c r="N13" i="18"/>
  <c r="N20" i="18"/>
  <c r="L13" i="18"/>
  <c r="L20" i="18"/>
  <c r="K13" i="18"/>
  <c r="K20" i="18"/>
  <c r="M13" i="18"/>
  <c r="M20" i="18"/>
  <c r="H43" i="22"/>
  <c r="K42" i="22"/>
  <c r="K47" i="22" s="1"/>
  <c r="K48" i="22" s="1"/>
  <c r="L42" i="22"/>
  <c r="L43" i="22" s="1"/>
  <c r="I47" i="22"/>
  <c r="H50" i="22"/>
  <c r="H52" i="22" s="1"/>
  <c r="H54" i="22" s="1"/>
  <c r="J42" i="22"/>
  <c r="J47" i="22" s="1"/>
  <c r="J50" i="22" s="1"/>
  <c r="J52" i="22" s="1"/>
  <c r="J54" i="22" s="1"/>
  <c r="J55" i="22" s="1"/>
  <c r="W33" i="12"/>
  <c r="V33" i="12"/>
  <c r="K33" i="12"/>
  <c r="AM33" i="12"/>
  <c r="S33" i="12"/>
  <c r="T33" i="12"/>
  <c r="R33" i="12"/>
  <c r="BJ33" i="12"/>
  <c r="AF33" i="12"/>
  <c r="AB33" i="12"/>
  <c r="M33" i="12"/>
  <c r="Q33" i="12"/>
  <c r="BK33" i="12"/>
  <c r="AY33" i="12"/>
  <c r="BB33" i="12"/>
  <c r="AL33" i="12"/>
  <c r="BD33" i="12"/>
  <c r="AS33" i="12"/>
  <c r="BM33" i="12"/>
  <c r="L33" i="12"/>
  <c r="BA33" i="12"/>
  <c r="AW33" i="12"/>
  <c r="AJ33" i="12"/>
  <c r="AK33" i="12"/>
  <c r="AQ33" i="12"/>
  <c r="BL33" i="12"/>
  <c r="Y33" i="12"/>
  <c r="AT33" i="12"/>
  <c r="AD33" i="12"/>
  <c r="AC33" i="12"/>
  <c r="BP33" i="12"/>
  <c r="AZ33" i="12"/>
  <c r="X33" i="12"/>
  <c r="O33" i="12"/>
  <c r="AA33" i="12"/>
  <c r="AO33" i="12"/>
  <c r="P33" i="12"/>
  <c r="AI33" i="12"/>
  <c r="AG33" i="12"/>
  <c r="AE33" i="12"/>
  <c r="BF33" i="12"/>
  <c r="AU33" i="12"/>
  <c r="BN33" i="12"/>
  <c r="Z33" i="12"/>
  <c r="K10" i="11" l="1"/>
  <c r="L10" i="11" s="1"/>
  <c r="M40" i="24" s="1"/>
  <c r="P58" i="18"/>
  <c r="H55" i="22"/>
  <c r="K40" i="24"/>
  <c r="M36" i="11"/>
  <c r="K23" i="18"/>
  <c r="K25" i="18" s="1"/>
  <c r="K27" i="18" s="1"/>
  <c r="K28" i="18" s="1"/>
  <c r="K21" i="18"/>
  <c r="L23" i="18"/>
  <c r="L25" i="18" s="1"/>
  <c r="L27" i="18" s="1"/>
  <c r="L28" i="18" s="1"/>
  <c r="L21" i="18"/>
  <c r="N23" i="18"/>
  <c r="N25" i="18" s="1"/>
  <c r="N27" i="18" s="1"/>
  <c r="N28" i="18" s="1"/>
  <c r="N21" i="18"/>
  <c r="M23" i="18"/>
  <c r="M25" i="18" s="1"/>
  <c r="M27" i="18" s="1"/>
  <c r="M28" i="18" s="1"/>
  <c r="M21" i="18"/>
  <c r="J23" i="18"/>
  <c r="J25" i="18" s="1"/>
  <c r="J27" i="18" s="1"/>
  <c r="J28" i="18" s="1"/>
  <c r="J21" i="18"/>
  <c r="K50" i="22"/>
  <c r="K52" i="22" s="1"/>
  <c r="K54" i="22" s="1"/>
  <c r="K55" i="22" s="1"/>
  <c r="K43" i="22"/>
  <c r="L47" i="22"/>
  <c r="L48" i="22" s="1"/>
  <c r="J48" i="22"/>
  <c r="I50" i="22"/>
  <c r="I52" i="22" s="1"/>
  <c r="I54" i="22" s="1"/>
  <c r="I55" i="22" s="1"/>
  <c r="I48" i="22"/>
  <c r="J43" i="22"/>
  <c r="J13" i="11"/>
  <c r="L29" i="11"/>
  <c r="M29" i="11"/>
  <c r="L40" i="24" l="1"/>
  <c r="M10" i="11"/>
  <c r="N40" i="24" s="1"/>
  <c r="N36" i="11"/>
  <c r="L50" i="22"/>
  <c r="L52" i="22" s="1"/>
  <c r="L54" i="22" s="1"/>
  <c r="L55" i="22" s="1"/>
  <c r="Q58" i="18"/>
  <c r="J19" i="11"/>
  <c r="N29" i="11"/>
  <c r="Z7" i="22" l="1"/>
  <c r="N10" i="11"/>
  <c r="O10" i="11" s="1"/>
  <c r="Z5" i="22"/>
  <c r="O36" i="11"/>
  <c r="K13" i="11"/>
  <c r="K19" i="11" s="1"/>
  <c r="K31" i="11" s="1"/>
  <c r="R58" i="18"/>
  <c r="J31" i="11"/>
  <c r="O29" i="11"/>
  <c r="O40" i="24" l="1"/>
  <c r="P10" i="11"/>
  <c r="P40" i="24"/>
  <c r="P36" i="11"/>
  <c r="S58" i="18"/>
  <c r="L13" i="11"/>
  <c r="J38" i="11"/>
  <c r="K38" i="11"/>
  <c r="P29" i="11"/>
  <c r="Q10" i="11" l="1"/>
  <c r="Q40" i="24"/>
  <c r="Q36" i="11"/>
  <c r="L19" i="11"/>
  <c r="T58" i="18"/>
  <c r="M13" i="11"/>
  <c r="Q29" i="11"/>
  <c r="R10" i="11" l="1"/>
  <c r="R40" i="24"/>
  <c r="R36" i="11"/>
  <c r="M19" i="11"/>
  <c r="N13" i="11"/>
  <c r="U58" i="18"/>
  <c r="L31" i="11"/>
  <c r="R29" i="11"/>
  <c r="S10" i="11" l="1"/>
  <c r="S40" i="24"/>
  <c r="S36" i="11"/>
  <c r="L38" i="11"/>
  <c r="V58" i="18"/>
  <c r="O13" i="11"/>
  <c r="N19" i="11"/>
  <c r="M31" i="11"/>
  <c r="S29" i="11"/>
  <c r="T10" i="11" l="1"/>
  <c r="T40" i="24"/>
  <c r="T36" i="11"/>
  <c r="N31" i="11"/>
  <c r="O19" i="11"/>
  <c r="P13" i="11"/>
  <c r="W58" i="18"/>
  <c r="M38" i="11"/>
  <c r="T29" i="11"/>
  <c r="U10" i="11" l="1"/>
  <c r="J58" i="18" s="1"/>
  <c r="U40" i="24"/>
  <c r="U36" i="11"/>
  <c r="P19" i="11"/>
  <c r="O31" i="11"/>
  <c r="N38" i="11"/>
  <c r="X58" i="18"/>
  <c r="Q13" i="11"/>
  <c r="V10" i="11" l="1"/>
  <c r="V40" i="24"/>
  <c r="V36" i="11"/>
  <c r="O38" i="11"/>
  <c r="Q19" i="11"/>
  <c r="R13" i="11"/>
  <c r="Y58" i="18"/>
  <c r="P31" i="11"/>
  <c r="V29" i="11"/>
  <c r="U29" i="11"/>
  <c r="W10" i="11" l="1"/>
  <c r="W40" i="24"/>
  <c r="W36" i="11"/>
  <c r="Z58" i="18"/>
  <c r="S13" i="11"/>
  <c r="R19" i="11"/>
  <c r="Q31" i="11"/>
  <c r="P38" i="11"/>
  <c r="W29" i="11"/>
  <c r="X10" i="11" l="1"/>
  <c r="X40" i="24"/>
  <c r="X36" i="11"/>
  <c r="Q38" i="11"/>
  <c r="R31" i="11"/>
  <c r="S19" i="11"/>
  <c r="T13" i="11"/>
  <c r="X29" i="11"/>
  <c r="Y10" i="11" l="1"/>
  <c r="Y40" i="24"/>
  <c r="Y36" i="11"/>
  <c r="AA58" i="18"/>
  <c r="S31" i="11"/>
  <c r="U13" i="11"/>
  <c r="R38" i="11"/>
  <c r="T19" i="11"/>
  <c r="Y29" i="11"/>
  <c r="Z10" i="11" l="1"/>
  <c r="Z40" i="24"/>
  <c r="Z36" i="11"/>
  <c r="H56" i="22"/>
  <c r="V13" i="11"/>
  <c r="V19" i="11" s="1"/>
  <c r="V31" i="11" s="1"/>
  <c r="V38" i="11" s="1"/>
  <c r="U19" i="11"/>
  <c r="T31" i="11"/>
  <c r="S38" i="11"/>
  <c r="Z29" i="11"/>
  <c r="AA10" i="11" l="1"/>
  <c r="AA40" i="24"/>
  <c r="AA36" i="11"/>
  <c r="T38" i="11"/>
  <c r="U31" i="11"/>
  <c r="W13" i="11"/>
  <c r="W19" i="11" s="1"/>
  <c r="W31" i="11" s="1"/>
  <c r="W38" i="11" s="1"/>
  <c r="AA29" i="11"/>
  <c r="AB10" i="11" l="1"/>
  <c r="AB40" i="24"/>
  <c r="AB36" i="11"/>
  <c r="U38" i="11"/>
  <c r="X13" i="11"/>
  <c r="X19" i="11" s="1"/>
  <c r="X31" i="11" s="1"/>
  <c r="X38" i="11" s="1"/>
  <c r="AB29" i="11"/>
  <c r="AC10" i="11" l="1"/>
  <c r="AC40" i="24"/>
  <c r="AC36" i="11"/>
  <c r="Y13" i="11"/>
  <c r="Y19" i="11" s="1"/>
  <c r="Y31" i="11" s="1"/>
  <c r="Y38" i="11" s="1"/>
  <c r="AC29" i="11"/>
  <c r="AD10" i="11" l="1"/>
  <c r="AD40" i="24"/>
  <c r="AD36" i="11"/>
  <c r="Z13" i="11"/>
  <c r="Z19" i="11" s="1"/>
  <c r="Z31" i="11" s="1"/>
  <c r="Z38" i="11" s="1"/>
  <c r="AD29" i="11"/>
  <c r="AE10" i="11" l="1"/>
  <c r="AE40" i="24"/>
  <c r="AE36" i="11"/>
  <c r="AA13" i="11"/>
  <c r="AA19" i="11" s="1"/>
  <c r="AA31" i="11" s="1"/>
  <c r="AA38" i="11" s="1"/>
  <c r="AE29" i="11"/>
  <c r="AF10" i="11" l="1"/>
  <c r="AF40" i="24"/>
  <c r="AF36" i="11"/>
  <c r="AB13" i="11"/>
  <c r="AB19" i="11" s="1"/>
  <c r="AB31" i="11" s="1"/>
  <c r="AB38" i="11" s="1"/>
  <c r="AF29" i="11"/>
  <c r="AG10" i="11" l="1"/>
  <c r="K58" i="18" s="1"/>
  <c r="AG40" i="24"/>
  <c r="AG36" i="11"/>
  <c r="AC13" i="11"/>
  <c r="AC19" i="11" s="1"/>
  <c r="AC31" i="11" s="1"/>
  <c r="AC38" i="11" s="1"/>
  <c r="AH10" i="11" l="1"/>
  <c r="AH40" i="24"/>
  <c r="AH36" i="11"/>
  <c r="AD13" i="11"/>
  <c r="AD19" i="11" s="1"/>
  <c r="AD31" i="11" s="1"/>
  <c r="AD38" i="11" s="1"/>
  <c r="AH29" i="11"/>
  <c r="AG29" i="11"/>
  <c r="AI10" i="11" l="1"/>
  <c r="AI40" i="24"/>
  <c r="AI36" i="11"/>
  <c r="AE13" i="11"/>
  <c r="AE19" i="11" s="1"/>
  <c r="AE31" i="11" s="1"/>
  <c r="AE38" i="11" s="1"/>
  <c r="AI29" i="11"/>
  <c r="AJ10" i="11" l="1"/>
  <c r="AJ40" i="24"/>
  <c r="AJ36" i="11"/>
  <c r="AF13" i="11"/>
  <c r="AF19" i="11" s="1"/>
  <c r="AF31" i="11" s="1"/>
  <c r="AF38" i="11" s="1"/>
  <c r="AJ29" i="11"/>
  <c r="AK10" i="11" l="1"/>
  <c r="AK40" i="24"/>
  <c r="AK36" i="11"/>
  <c r="AG13" i="11"/>
  <c r="AK29" i="11"/>
  <c r="AL10" i="11" l="1"/>
  <c r="AL40" i="24"/>
  <c r="AL36" i="11"/>
  <c r="I56" i="22"/>
  <c r="AH13" i="11"/>
  <c r="AH19" i="11" s="1"/>
  <c r="AH31" i="11" s="1"/>
  <c r="AH38" i="11" s="1"/>
  <c r="AG19" i="11"/>
  <c r="AL29" i="11"/>
  <c r="AM10" i="11" l="1"/>
  <c r="AM40" i="24"/>
  <c r="AM36" i="11"/>
  <c r="AG31" i="11"/>
  <c r="AI13" i="11"/>
  <c r="AI19" i="11" s="1"/>
  <c r="AI31" i="11" s="1"/>
  <c r="AI38" i="11" s="1"/>
  <c r="AM29" i="11"/>
  <c r="AN10" i="11" l="1"/>
  <c r="AN40" i="24"/>
  <c r="AN36" i="11"/>
  <c r="AJ13" i="11"/>
  <c r="AJ19" i="11" s="1"/>
  <c r="AJ31" i="11" s="1"/>
  <c r="AJ38" i="11" s="1"/>
  <c r="AG38" i="11"/>
  <c r="AN29" i="11"/>
  <c r="AO10" i="11" l="1"/>
  <c r="AO40" i="24"/>
  <c r="AO36" i="11"/>
  <c r="AK13" i="11"/>
  <c r="AK19" i="11" s="1"/>
  <c r="AK31" i="11" s="1"/>
  <c r="AK38" i="11" s="1"/>
  <c r="AO29" i="11"/>
  <c r="AP10" i="11" l="1"/>
  <c r="AP40" i="24"/>
  <c r="AP36" i="11"/>
  <c r="AL13" i="11"/>
  <c r="AL19" i="11" s="1"/>
  <c r="AL31" i="11" s="1"/>
  <c r="AL38" i="11" s="1"/>
  <c r="AP29" i="11"/>
  <c r="AQ10" i="11" l="1"/>
  <c r="AQ40" i="24"/>
  <c r="AQ36" i="11"/>
  <c r="AM13" i="11"/>
  <c r="AM19" i="11" s="1"/>
  <c r="AM31" i="11" s="1"/>
  <c r="AM38" i="11" s="1"/>
  <c r="AQ29" i="11"/>
  <c r="AR10" i="11" l="1"/>
  <c r="AR40" i="24"/>
  <c r="AR36" i="11"/>
  <c r="AN13" i="11"/>
  <c r="AN19" i="11" s="1"/>
  <c r="AN31" i="11" s="1"/>
  <c r="AN38" i="11" s="1"/>
  <c r="AR29" i="11"/>
  <c r="AS10" i="11" l="1"/>
  <c r="L58" i="18" s="1"/>
  <c r="AS40" i="24"/>
  <c r="AS36" i="11"/>
  <c r="AO13" i="11"/>
  <c r="AO19" i="11" s="1"/>
  <c r="AO31" i="11" s="1"/>
  <c r="AO38" i="11" s="1"/>
  <c r="AT10" i="11" l="1"/>
  <c r="AT40" i="24"/>
  <c r="AT36" i="11"/>
  <c r="AP13" i="11"/>
  <c r="AP19" i="11" s="1"/>
  <c r="AP31" i="11" s="1"/>
  <c r="AP38" i="11" s="1"/>
  <c r="AT29" i="11"/>
  <c r="AS29" i="11"/>
  <c r="AU10" i="11" l="1"/>
  <c r="AU40" i="24"/>
  <c r="AU36" i="11"/>
  <c r="AQ13" i="11"/>
  <c r="AQ19" i="11" s="1"/>
  <c r="AQ31" i="11" s="1"/>
  <c r="AQ38" i="11" s="1"/>
  <c r="AU29" i="11"/>
  <c r="AV10" i="11" l="1"/>
  <c r="AV40" i="24"/>
  <c r="AV36" i="11"/>
  <c r="AR13" i="11"/>
  <c r="AR19" i="11" s="1"/>
  <c r="AR31" i="11" s="1"/>
  <c r="AR38" i="11" s="1"/>
  <c r="AV29" i="11"/>
  <c r="AW10" i="11" l="1"/>
  <c r="AW40" i="24"/>
  <c r="AW36" i="11"/>
  <c r="AS13" i="11"/>
  <c r="AW29" i="11"/>
  <c r="AX10" i="11" l="1"/>
  <c r="AX40" i="24"/>
  <c r="AX36" i="11"/>
  <c r="J56" i="22"/>
  <c r="AS19" i="11"/>
  <c r="AT13" i="11"/>
  <c r="AT19" i="11" s="1"/>
  <c r="AT31" i="11" s="1"/>
  <c r="AT38" i="11" s="1"/>
  <c r="AX29" i="11"/>
  <c r="AY10" i="11" l="1"/>
  <c r="AY40" i="24"/>
  <c r="AY36" i="11"/>
  <c r="AU13" i="11"/>
  <c r="AU19" i="11" s="1"/>
  <c r="AU31" i="11" s="1"/>
  <c r="AU38" i="11" s="1"/>
  <c r="AS31" i="11"/>
  <c r="AY29" i="11"/>
  <c r="AZ10" i="11" l="1"/>
  <c r="AZ40" i="24"/>
  <c r="AZ36" i="11"/>
  <c r="AV13" i="11"/>
  <c r="AV19" i="11" s="1"/>
  <c r="AV31" i="11" s="1"/>
  <c r="AV38" i="11" s="1"/>
  <c r="AS38" i="11"/>
  <c r="AZ29" i="11"/>
  <c r="BA10" i="11" l="1"/>
  <c r="BA40" i="24"/>
  <c r="BA36" i="11"/>
  <c r="AW13" i="11"/>
  <c r="AW19" i="11" s="1"/>
  <c r="AW31" i="11" s="1"/>
  <c r="AW38" i="11" s="1"/>
  <c r="BA29" i="11"/>
  <c r="BB10" i="11" l="1"/>
  <c r="BB40" i="24"/>
  <c r="BB36" i="11"/>
  <c r="AX13" i="11"/>
  <c r="AX19" i="11" s="1"/>
  <c r="AX31" i="11" s="1"/>
  <c r="AX38" i="11" s="1"/>
  <c r="BB29" i="11"/>
  <c r="BC10" i="11" l="1"/>
  <c r="BC40" i="24"/>
  <c r="BC36" i="11"/>
  <c r="AY13" i="11"/>
  <c r="AY19" i="11" s="1"/>
  <c r="AY31" i="11" s="1"/>
  <c r="AY38" i="11" s="1"/>
  <c r="BC29" i="11"/>
  <c r="BD10" i="11" l="1"/>
  <c r="BD40" i="24"/>
  <c r="BD36" i="11"/>
  <c r="AZ13" i="11"/>
  <c r="AZ19" i="11" s="1"/>
  <c r="AZ31" i="11" s="1"/>
  <c r="AZ38" i="11" s="1"/>
  <c r="BD29" i="11"/>
  <c r="BE10" i="11" l="1"/>
  <c r="M58" i="18" s="1"/>
  <c r="BE40" i="24"/>
  <c r="BE36" i="11"/>
  <c r="BA13" i="11"/>
  <c r="BA19" i="11" s="1"/>
  <c r="BA31" i="11" s="1"/>
  <c r="BA38" i="11" s="1"/>
  <c r="BF10" i="11" l="1"/>
  <c r="BF40" i="24"/>
  <c r="BF36" i="11"/>
  <c r="BB13" i="11"/>
  <c r="BB19" i="11" s="1"/>
  <c r="BB31" i="11" s="1"/>
  <c r="BB38" i="11" s="1"/>
  <c r="BF29" i="11"/>
  <c r="BE29" i="11"/>
  <c r="BG10" i="11" l="1"/>
  <c r="BG40" i="24"/>
  <c r="BG36" i="11"/>
  <c r="BC13" i="11"/>
  <c r="BC19" i="11" s="1"/>
  <c r="BC31" i="11" s="1"/>
  <c r="BC38" i="11" s="1"/>
  <c r="BG29" i="11"/>
  <c r="BH10" i="11" l="1"/>
  <c r="BH40" i="24"/>
  <c r="BH36" i="11"/>
  <c r="BD13" i="11"/>
  <c r="BD19" i="11" s="1"/>
  <c r="BD31" i="11" s="1"/>
  <c r="BD38" i="11" s="1"/>
  <c r="BH29" i="11"/>
  <c r="BI10" i="11" l="1"/>
  <c r="BI40" i="24"/>
  <c r="BI36" i="11"/>
  <c r="BE13" i="11"/>
  <c r="BI29" i="11"/>
  <c r="BJ10" i="11" l="1"/>
  <c r="BJ40" i="24"/>
  <c r="BJ36" i="11"/>
  <c r="K56" i="22"/>
  <c r="BF13" i="11"/>
  <c r="BF19" i="11" s="1"/>
  <c r="BF31" i="11" s="1"/>
  <c r="BF38" i="11" s="1"/>
  <c r="BE19" i="11"/>
  <c r="BJ29" i="11"/>
  <c r="BK10" i="11" l="1"/>
  <c r="BK40" i="24"/>
  <c r="BK36" i="11"/>
  <c r="BE31" i="11"/>
  <c r="BG13" i="11"/>
  <c r="BG19" i="11" s="1"/>
  <c r="BG31" i="11" s="1"/>
  <c r="BG38" i="11" s="1"/>
  <c r="BK29" i="11"/>
  <c r="BL10" i="11" l="1"/>
  <c r="BL40" i="24"/>
  <c r="BL36" i="11"/>
  <c r="BH13" i="11"/>
  <c r="BH19" i="11" s="1"/>
  <c r="BH31" i="11" s="1"/>
  <c r="BH38" i="11" s="1"/>
  <c r="BE38" i="11"/>
  <c r="BL29" i="11"/>
  <c r="BM10" i="11" l="1"/>
  <c r="BM40" i="24"/>
  <c r="BM36" i="11"/>
  <c r="BI13" i="11"/>
  <c r="BI19" i="11" s="1"/>
  <c r="BI31" i="11" s="1"/>
  <c r="BI38" i="11" s="1"/>
  <c r="BM29" i="11"/>
  <c r="BN10" i="11" l="1"/>
  <c r="BN40" i="24"/>
  <c r="BN36" i="11"/>
  <c r="BJ13" i="11"/>
  <c r="BJ19" i="11" s="1"/>
  <c r="BJ31" i="11" s="1"/>
  <c r="BJ38" i="11" s="1"/>
  <c r="BN29" i="11"/>
  <c r="BO10" i="11" l="1"/>
  <c r="BO40" i="24"/>
  <c r="BO36" i="11"/>
  <c r="BK13" i="11"/>
  <c r="BK19" i="11" s="1"/>
  <c r="BK31" i="11" s="1"/>
  <c r="BK38" i="11" s="1"/>
  <c r="BO29" i="11"/>
  <c r="BP10" i="11" l="1"/>
  <c r="BP40" i="24"/>
  <c r="BQ36" i="11"/>
  <c r="BP36" i="11"/>
  <c r="BL13" i="11"/>
  <c r="BL19" i="11" s="1"/>
  <c r="BL31" i="11" s="1"/>
  <c r="BL38" i="11" s="1"/>
  <c r="BP29" i="11"/>
  <c r="BQ10" i="11" l="1"/>
  <c r="BQ40" i="24"/>
  <c r="BM13" i="11"/>
  <c r="BM19" i="11" s="1"/>
  <c r="BM31" i="11" s="1"/>
  <c r="BM38" i="11" s="1"/>
  <c r="BQ29" i="11"/>
  <c r="N58" i="18" l="1"/>
  <c r="Z4" i="22"/>
  <c r="Z3" i="22"/>
  <c r="BN13" i="11"/>
  <c r="BN19" i="11" s="1"/>
  <c r="BN31" i="11" s="1"/>
  <c r="BN38" i="11" s="1"/>
  <c r="BO13" i="11" l="1"/>
  <c r="BO19" i="11" s="1"/>
  <c r="BO31" i="11" s="1"/>
  <c r="BO38" i="11" s="1"/>
  <c r="BP13" i="11" l="1"/>
  <c r="BP19" i="11" s="1"/>
  <c r="BP31" i="11" s="1"/>
  <c r="BP38" i="11" s="1"/>
  <c r="BQ13" i="11" l="1"/>
  <c r="L56" i="22" l="1"/>
  <c r="BQ19" i="11"/>
  <c r="BQ31" i="11" l="1"/>
  <c r="BQ38"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tc={10590DDF-5264-4D37-8524-42ADC302CC4B}</author>
    <author>tc={6990466D-871A-4922-B2E4-CE910CB4016B}</author>
    <author>tc={F878033C-EFC3-4769-9685-7A76D655C041}</author>
    <author>tc={6B58E45A-D701-49F0-8160-36A34F550A51}</author>
  </authors>
  <commentList>
    <comment ref="B1" authorId="0" shapeId="0" xr:uid="{10590DDF-5264-4D37-8524-42ADC302CC4B}">
      <text>
        <t xml:space="preserve">[Threaded comment]
Your version of Excel allows you to read this threaded comment; however, any edits to it will get removed if the file is opened in a newer version of Excel. Learn more: https://go.microsoft.com/fwlink/?linkid=870924
Comment:
    OPEX is the money a company spends on an ongoing, day-to-day basis in order to run a business,  depending upon the industry, these expenses can range from the ink used to print document to the wages paid to employees. 
Reply:
    Here you can find an example, it should be modified depending on the model of business 
Reply:
    The operating activities primarily cover the commercial activities of the company, for that reason the operational activities differ greatly among industries
</t>
      </text>
    </comment>
    <comment ref="E6" authorId="1" shapeId="0" xr:uid="{6990466D-871A-4922-B2E4-CE910CB4016B}">
      <text>
        <t>[Threaded comment]
Your version of Excel allows you to read this threaded comment; however, any edits to it will get removed if the file is opened in a newer version of Excel. Learn more: https://go.microsoft.com/fwlink/?linkid=870924
Comment:
    Is the sum of all direct cost associated with making a product or selling a service, it appears on an income statement
Reply:
    COGS differs from OPEX in that OPEX includes expenditures that are not directly tied to the production of goods or services
Reply:
    COGS is an important metric on financial statements as it is subtracted from a company's revenues to determinate its gross profit. 
Reply:
    COGS only applies to those costs directly related to producing goods intended for sale</t>
      </text>
    </comment>
    <comment ref="B17" authorId="2" shapeId="0" xr:uid="{F878033C-EFC3-4769-9685-7A76D655C041}">
      <text>
        <t xml:space="preserve">[Threaded comment]
Your version of Excel allows you to read this threaded comment; however, any edits to it will get removed if the file is opened in a newer version of Excel. Learn more: https://go.microsoft.com/fwlink/?linkid=870924
Comment:
    Are the expenses related to the production, are non-consistent, and depend on the amount of production or services offered.  </t>
      </text>
    </comment>
    <comment ref="B28" authorId="3" shapeId="0" xr:uid="{6B58E45A-D701-49F0-8160-36A34F550A51}">
      <text>
        <t>[Threaded comment]
Your version of Excel allows you to read this threaded comment; however, any edits to it will get removed if the file is opened in a newer version of Excel. Learn more: https://go.microsoft.com/fwlink/?linkid=870924
Comment:
    Are consistent monthly expenses, not depending directly on the amount of production.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tc={446E700A-CDA5-4840-8977-D0B8BABF3C43}</author>
  </authors>
  <commentList>
    <comment ref="B1" authorId="0" shapeId="0" xr:uid="{446E700A-CDA5-4840-8977-D0B8BABF3C43}">
      <text>
        <t>[Threaded comment]
Your version of Excel allows you to read this threaded comment; however, any edits to it will get removed if the file is opened in a newer version of Excel. Learn more: https://go.microsoft.com/fwlink/?linkid=870924
Comment:
    Refer to funds that are used by a company for the purchase, improvement, or maintenance of long-term assets to improve the efficiency or capacity of the company. Long-term assets are usually physical, fixed and non-consumable assets such as property, equipment, or infrastructure, and that have a useful life of more than one accounting period.
Reply:
    There are normally two forms of capital expenditures: (1) expenses to maintain levels of operation present within the company and (2) expenses that will enable an increase in future growth. A capital expense can either be tangible, such as a machine, or intangible, such as a patent. Both intangible and tangible capital expenditures are usually considered assets since they can be sold when there is a need.
Reply:
    On the cash flow statement, these investments are listed as negative numbers (outflows of cash),</t>
      </text>
    </comment>
  </commentList>
</comments>
</file>

<file path=xl/sharedStrings.xml><?xml version="1.0" encoding="utf-8"?>
<sst xmlns="http://schemas.openxmlformats.org/spreadsheetml/2006/main" count="251" uniqueCount="171">
  <si>
    <t>Revenue</t>
  </si>
  <si>
    <t>EBITDA</t>
  </si>
  <si>
    <t>Depreciation &amp; Amortization</t>
  </si>
  <si>
    <t>EBIT</t>
  </si>
  <si>
    <t>Net Profit Before Tax</t>
  </si>
  <si>
    <t>Tax Expense</t>
  </si>
  <si>
    <t>Net Profit After Tax</t>
  </si>
  <si>
    <t>Balance Sheet</t>
  </si>
  <si>
    <t>Current Assets</t>
  </si>
  <si>
    <t>Cash</t>
  </si>
  <si>
    <t>Non-Current Assets</t>
  </si>
  <si>
    <t>Fixed Assets</t>
  </si>
  <si>
    <t>Total Assets</t>
  </si>
  <si>
    <t>Current Liabilities</t>
  </si>
  <si>
    <t>Non-Current Liabilities</t>
  </si>
  <si>
    <t>Debt</t>
  </si>
  <si>
    <t>Total Liabilities</t>
  </si>
  <si>
    <t>Net Assets</t>
  </si>
  <si>
    <t>Opening Balance</t>
  </si>
  <si>
    <t>Retained Profits</t>
  </si>
  <si>
    <t>Total Equity</t>
  </si>
  <si>
    <t>Cash Flow Statement</t>
  </si>
  <si>
    <t>Salaries &amp; Wages</t>
  </si>
  <si>
    <t>Corporate Tax Paid</t>
  </si>
  <si>
    <t>Debt Drawdowns</t>
  </si>
  <si>
    <t>Debt Repayments</t>
  </si>
  <si>
    <t>Categories</t>
  </si>
  <si>
    <t>Total Revenue</t>
  </si>
  <si>
    <t>Opening Net Book Value</t>
  </si>
  <si>
    <t>Book Depreciation</t>
  </si>
  <si>
    <t>Closing Net Book Value</t>
  </si>
  <si>
    <t>Growth %</t>
  </si>
  <si>
    <t>% of Revenue</t>
  </si>
  <si>
    <t>Closing Cash</t>
  </si>
  <si>
    <t>Total Depreciation &amp; Amortization</t>
  </si>
  <si>
    <t>Capital</t>
  </si>
  <si>
    <t>Closing Debt Balance</t>
  </si>
  <si>
    <t>Interest Expense</t>
  </si>
  <si>
    <t>Interest Paid</t>
  </si>
  <si>
    <t>Closing Ordinary Equity</t>
  </si>
  <si>
    <t>Fixed Expenses</t>
  </si>
  <si>
    <t>Variable Expenses</t>
  </si>
  <si>
    <t>Accounts Receivable</t>
  </si>
  <si>
    <t xml:space="preserve">Depreciation &amp; Amortization </t>
  </si>
  <si>
    <t>Total Current Assets</t>
  </si>
  <si>
    <t>Month</t>
  </si>
  <si>
    <t>Term, M</t>
  </si>
  <si>
    <t>Interest, %</t>
  </si>
  <si>
    <t>Gross Margin</t>
  </si>
  <si>
    <t>FC_Placeholder10</t>
  </si>
  <si>
    <t>COGS</t>
  </si>
  <si>
    <t>Total COGS</t>
  </si>
  <si>
    <t>Accounts Payable</t>
  </si>
  <si>
    <t>OPEX</t>
  </si>
  <si>
    <t>$</t>
  </si>
  <si>
    <t>Core Inputs</t>
  </si>
  <si>
    <t>VC_Placeholder2</t>
  </si>
  <si>
    <t>VC_Placeholder3</t>
  </si>
  <si>
    <t>VC_Placeholder4</t>
  </si>
  <si>
    <t>AR (Revenue)</t>
  </si>
  <si>
    <t>AP (COGS)</t>
  </si>
  <si>
    <t>WORKING CAPITAL ASSUMPTIONS</t>
  </si>
  <si>
    <t>0 - 30 Days</t>
  </si>
  <si>
    <t>31 - 60 Days</t>
  </si>
  <si>
    <t>61 - 90 Days</t>
  </si>
  <si>
    <t>90 - 120 Days</t>
  </si>
  <si>
    <t>Timeframe</t>
  </si>
  <si>
    <t>Dashboard</t>
  </si>
  <si>
    <t>FUNDING ASSUMPTIONS</t>
  </si>
  <si>
    <t>Asset Name</t>
  </si>
  <si>
    <t>Inventory</t>
  </si>
  <si>
    <t>Total Gross Margin</t>
  </si>
  <si>
    <t>Financial Year</t>
  </si>
  <si>
    <t>FC_Placeholder7</t>
  </si>
  <si>
    <t>FC_Placeholder8</t>
  </si>
  <si>
    <t>FC_Placeholder9</t>
  </si>
  <si>
    <t>Shipping</t>
  </si>
  <si>
    <t>Total units</t>
  </si>
  <si>
    <t>Check</t>
  </si>
  <si>
    <t>AP (OPEX)</t>
  </si>
  <si>
    <t>DEBT ASSUMPTIONS</t>
  </si>
  <si>
    <t>Value</t>
  </si>
  <si>
    <t>Assumption</t>
  </si>
  <si>
    <t>Product 1</t>
  </si>
  <si>
    <t>Product 2</t>
  </si>
  <si>
    <t>Product 3</t>
  </si>
  <si>
    <t>Founders</t>
  </si>
  <si>
    <t>VC_Placeholder5</t>
  </si>
  <si>
    <t>Rent</t>
  </si>
  <si>
    <t>FC_Placeholder2</t>
  </si>
  <si>
    <t>FC_Placeholder3</t>
  </si>
  <si>
    <t>FC_Placeholder4</t>
  </si>
  <si>
    <t>FC_Placeholder5</t>
  </si>
  <si>
    <t>FC_Placeholder6</t>
  </si>
  <si>
    <t>Variable Expenses, % of Total Revenue</t>
  </si>
  <si>
    <t>Round</t>
  </si>
  <si>
    <t>Total OPEX</t>
  </si>
  <si>
    <t>Equity Raisings</t>
  </si>
  <si>
    <t>Equity Buybacks</t>
  </si>
  <si>
    <t>Equity</t>
  </si>
  <si>
    <t>Operating + Investing Activities</t>
  </si>
  <si>
    <t>Minimal Cash Month</t>
  </si>
  <si>
    <t>Inventory, %</t>
  </si>
  <si>
    <t>KEY ASSUMPTIONS</t>
  </si>
  <si>
    <t>Return on Equity (ROE)</t>
  </si>
  <si>
    <t>Internal Rate of Return (IRR), %</t>
  </si>
  <si>
    <t>5-Years Profit Margin, %</t>
  </si>
  <si>
    <t>CORE PROJECT KPIS</t>
  </si>
  <si>
    <t>First Year</t>
  </si>
  <si>
    <t>Currency Sign</t>
  </si>
  <si>
    <t>Operating Activities</t>
  </si>
  <si>
    <t>Investing Activities</t>
  </si>
  <si>
    <t>Financing Activities</t>
  </si>
  <si>
    <t>Corp Tax, %</t>
  </si>
  <si>
    <t>Operational Expenses (OPEX)</t>
  </si>
  <si>
    <t>Capital Expenditure (CAPEX)</t>
  </si>
  <si>
    <t>Date ⯆</t>
  </si>
  <si>
    <t>Launch ⯆</t>
  </si>
  <si>
    <t>Start Date ⯆</t>
  </si>
  <si>
    <t>End Date ⯆</t>
  </si>
  <si>
    <t>Select detailed year ⯆</t>
  </si>
  <si>
    <t>Net Cash Movement</t>
  </si>
  <si>
    <t>Useful Life, Months</t>
  </si>
  <si>
    <t>SW_Placeholder2</t>
  </si>
  <si>
    <t>SW_Placeholder3</t>
  </si>
  <si>
    <t>SW_Placeholder4</t>
  </si>
  <si>
    <t>SW_Placeholder5</t>
  </si>
  <si>
    <t>SW_Placeholder6</t>
  </si>
  <si>
    <t>SW_Placeholder7</t>
  </si>
  <si>
    <t>SW_Placeholder8</t>
  </si>
  <si>
    <t>SW_Placeholder9</t>
  </si>
  <si>
    <t>SW_Placeholder10</t>
  </si>
  <si>
    <t>Income Statement (P&amp;L)</t>
  </si>
  <si>
    <t>Seed</t>
  </si>
  <si>
    <t>Angel</t>
  </si>
  <si>
    <t>Series A</t>
  </si>
  <si>
    <t>Product Name</t>
  </si>
  <si>
    <t>Debt Payment month</t>
  </si>
  <si>
    <t>Monthly Debt Payment</t>
  </si>
  <si>
    <t>Opening Debt Balance</t>
  </si>
  <si>
    <t>Repayments</t>
  </si>
  <si>
    <t>Drawdown</t>
  </si>
  <si>
    <t>Operating</t>
  </si>
  <si>
    <t>Investing</t>
  </si>
  <si>
    <t>Financing</t>
  </si>
  <si>
    <t>Total</t>
  </si>
  <si>
    <t>Asset_2</t>
  </si>
  <si>
    <t>Asset_3</t>
  </si>
  <si>
    <t>Accountant</t>
  </si>
  <si>
    <t>Equipment</t>
  </si>
  <si>
    <t>Equity Buybacks (–)</t>
  </si>
  <si>
    <t>Cash Available for Dividends</t>
  </si>
  <si>
    <t>Dividends</t>
  </si>
  <si>
    <t>Dividends (–)</t>
  </si>
  <si>
    <t>Financial Summary</t>
  </si>
  <si>
    <t>Capital Expenditure (+)</t>
  </si>
  <si>
    <t>Year #</t>
  </si>
  <si>
    <t>Month #</t>
  </si>
  <si>
    <t>Sales Volume, units</t>
  </si>
  <si>
    <t>Inventory Purchased</t>
  </si>
  <si>
    <t>COGS + Inventory Purchased</t>
  </si>
  <si>
    <t>Inventory Level</t>
  </si>
  <si>
    <t>COGS per unit, %</t>
  </si>
  <si>
    <t>LeOn</t>
  </si>
  <si>
    <t>COGS = Cost of goods sold</t>
  </si>
  <si>
    <t>COGS = Starting Inventory + Purchases - Ending Inventory</t>
  </si>
  <si>
    <t>Operating Expense Ratio = Operating Expenses / Revenue</t>
  </si>
  <si>
    <t>Operating Expense = Revenue - Operating Income - COGS</t>
  </si>
  <si>
    <t>Operating costs formula = Cost of Goods Solds (COGS) + Operating Expenses (OPEX)</t>
  </si>
  <si>
    <t>Operating Expense = Salaries + Sales Commissions + Promotional &amp; Advertising Cost + Rental Expense + Utilities</t>
  </si>
  <si>
    <t xml:space="preserve">Hello!, thank you for your interest.  Here you can find a Statement Financial Model Calculator, the data are fictional but it was developed with the accountable laws. Here you can find the calculus of : 
1. OPEX (COGS)
2. CAPEX 
3. Income Statement (P&amp;L)
4. Cash Flow Statement 
5. Balance Sheet Statement
6. Financial Summary
7. Final Dashboard
All this work has to modify depending on the nature of the business.
Any comments, doubts, or concerns please contact me!
Gabriela Leon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</si>
</sst>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8" formatCode="&quot;$&quot;#,##0.00_);[Red]\(&quot;$&quot;#,##0.00\)"/>
    <numFmt numFmtId="41" formatCode="_(* #,##0_);_(* \(#,##0\);_(* &quot;-&quot;_);_(@_)"/>
    <numFmt numFmtId="44" formatCode="_(&quot;$&quot;* #,##0.00_);_(&quot;$&quot;* \(#,##0.00\);_(&quot;$&quot;* &quot;-&quot;??_);_(@_)"/>
    <numFmt numFmtId="164" formatCode="_-* #,##0.00_-;\-* #,##0.00_-;_-* &quot;-&quot;??_-;_-@_-"/>
    <numFmt numFmtId="165" formatCode="_(###0_);\(###0\);_(&quot;-&quot;_);_)@_)"/>
    <numFmt numFmtId="166" formatCode="_)d\-mmm\-yy_);_)d\-mmm\-yy_);_)&quot;-&quot;_);_)@_)"/>
    <numFmt numFmtId="167" formatCode="_(#,##0.0_);\(#,##0.0\);_(&quot;-&quot;_);_)@_)"/>
    <numFmt numFmtId="168" formatCode="_(#,##0.0%_);\(#,##0.0%\);_(&quot;-&quot;_);_)@_)"/>
    <numFmt numFmtId="169" formatCode="_(#,##0.0\x_);\(#,##0.0\x\);_(&quot;-&quot;_);_)@_)"/>
    <numFmt numFmtId="170" formatCode="_(\£#,##0.0_);\(\£#,##0.0\);_(&quot;-&quot;_);_)@_)"/>
    <numFmt numFmtId="171" formatCode="_(#,##0_);\(#,##0\);_(#,##0_);_)@_)"/>
    <numFmt numFmtId="172" formatCode="_(#,##0_);\(#,##0\);_(&quot;-&quot;_);_)@_)"/>
    <numFmt numFmtId="173" formatCode="_(#,##0%_);\(#,##0%\);_(&quot;-&quot;_);_)@_)"/>
    <numFmt numFmtId="174" formatCode="0.0%"/>
    <numFmt numFmtId="175" formatCode="_-* #,##0_-;\-* #,##0_-;_-* &quot;-&quot;??_-;_-@_-"/>
    <numFmt numFmtId="176" formatCode="[$-409]mmm\-yy;@"/>
    <numFmt numFmtId="177" formatCode="[$-409]mmm;@"/>
    <numFmt numFmtId="178" formatCode="_([$$-409]* #,##0_);_([$$-409]* \(#,##0\);_([$$-409]* &quot;-&quot;??_);_(@_)"/>
    <numFmt numFmtId="179" formatCode="#,##0_);\(#,##0\);&quot;- &quot;"/>
    <numFmt numFmtId="180" formatCode="_(* #,##0_);_(* \(#,##0\);_(* &quot;-&quot;??_);_(@_)"/>
    <numFmt numFmtId="181" formatCode="0.0"/>
    <numFmt numFmtId="182" formatCode="_-&quot;$&quot;* #,##0.00_-;\-&quot;$&quot;* #,##0.00_-;_-&quot;$&quot;* &quot;-&quot;??_-;_-@_-"/>
    <numFmt numFmtId="183" formatCode="_(* #,##0.00_);_(* \(#,##0.00\);_(* &quot;-&quot;_);_(@_)"/>
  </numFmts>
  <fonts count="70">
    <font>
      <sz val="8"/>
      <name val="Tahoma"/>
      <family val="2"/>
      <charset val="204"/>
      <scheme val="minor"/>
    </font>
    <font>
      <sz val="11"/>
      <color theme="1"/>
      <name val="Tahoma"/>
      <family val="2"/>
      <scheme val="minor"/>
    </font>
    <font>
      <sz val="11"/>
      <color theme="1"/>
      <name val="Tahoma"/>
      <family val="2"/>
      <scheme val="minor"/>
    </font>
    <font>
      <sz val="8"/>
      <name val="Tahoma"/>
      <family val="2"/>
      <charset val="204"/>
    </font>
    <font>
      <b/>
      <sz val="8"/>
      <name val="Tahoma"/>
      <family val="2"/>
      <charset val="204"/>
    </font>
    <font>
      <b/>
      <sz val="14"/>
      <name val="Tahoma"/>
      <family val="2"/>
      <charset val="204"/>
    </font>
    <font>
      <b/>
      <sz val="14"/>
      <name val="Tahoma"/>
      <family val="2"/>
      <charset val="204"/>
      <scheme val="major"/>
    </font>
    <font>
      <b/>
      <sz val="13"/>
      <name val="Tahoma"/>
      <family val="2"/>
      <charset val="204"/>
    </font>
    <font>
      <b/>
      <sz val="13"/>
      <name val="Tahoma"/>
      <family val="2"/>
      <charset val="204"/>
      <scheme val="major"/>
    </font>
    <font>
      <b/>
      <sz val="12"/>
      <name val="Tahoma"/>
      <family val="2"/>
      <charset val="204"/>
    </font>
    <font>
      <b/>
      <sz val="12"/>
      <name val="Tahoma"/>
      <family val="2"/>
      <charset val="204"/>
      <scheme val="major"/>
    </font>
    <font>
      <b/>
      <sz val="10"/>
      <name val="Tahoma"/>
      <family val="2"/>
      <charset val="204"/>
    </font>
    <font>
      <b/>
      <sz val="10"/>
      <name val="Tahoma"/>
      <family val="2"/>
      <charset val="204"/>
      <scheme val="major"/>
    </font>
    <font>
      <b/>
      <sz val="9"/>
      <name val="Tahoma"/>
      <family val="2"/>
      <charset val="204"/>
    </font>
    <font>
      <b/>
      <sz val="9"/>
      <name val="Tahoma"/>
      <family val="2"/>
      <charset val="204"/>
      <scheme val="major"/>
    </font>
    <font>
      <b/>
      <sz val="8"/>
      <name val="Tahoma"/>
      <family val="2"/>
      <charset val="204"/>
      <scheme val="major"/>
    </font>
    <font>
      <sz val="8"/>
      <name val="Tahoma"/>
      <family val="2"/>
      <charset val="204"/>
      <scheme val="major"/>
    </font>
    <font>
      <sz val="8"/>
      <name val="Tahoma"/>
      <family val="2"/>
      <charset val="204"/>
      <scheme val="minor"/>
    </font>
    <font>
      <b/>
      <sz val="8"/>
      <name val="Tahoma"/>
      <family val="2"/>
      <charset val="204"/>
      <scheme val="minor"/>
    </font>
    <font>
      <b/>
      <u/>
      <sz val="8"/>
      <color indexed="56"/>
      <name val="Tahoma"/>
      <family val="2"/>
      <charset val="204"/>
    </font>
    <font>
      <b/>
      <u/>
      <sz val="8"/>
      <color indexed="56"/>
      <name val="Tahoma"/>
      <family val="2"/>
      <charset val="204"/>
      <scheme val="minor"/>
    </font>
    <font>
      <b/>
      <sz val="10"/>
      <color indexed="56"/>
      <name val="Wingdings"/>
      <charset val="2"/>
    </font>
    <font>
      <b/>
      <u/>
      <sz val="10"/>
      <color indexed="56"/>
      <name val="Tahoma"/>
      <family val="2"/>
      <charset val="204"/>
    </font>
    <font>
      <b/>
      <u/>
      <sz val="10"/>
      <color indexed="56"/>
      <name val="Tahoma"/>
      <family val="2"/>
      <charset val="204"/>
      <scheme val="minor"/>
    </font>
    <font>
      <b/>
      <u/>
      <sz val="9"/>
      <color indexed="56"/>
      <name val="Tahoma"/>
      <family val="2"/>
      <charset val="204"/>
    </font>
    <font>
      <b/>
      <u/>
      <sz val="9"/>
      <color indexed="56"/>
      <name val="Tahoma"/>
      <family val="2"/>
      <charset val="204"/>
      <scheme val="minor"/>
    </font>
    <font>
      <sz val="8"/>
      <color indexed="56"/>
      <name val="Tahoma"/>
      <family val="2"/>
      <charset val="204"/>
    </font>
    <font>
      <sz val="8"/>
      <color indexed="56"/>
      <name val="Tahoma"/>
      <family val="2"/>
      <charset val="204"/>
      <scheme val="minor"/>
    </font>
    <font>
      <u/>
      <sz val="8"/>
      <color theme="10"/>
      <name val="Tahoma"/>
      <family val="2"/>
      <charset val="204"/>
      <scheme val="minor"/>
    </font>
    <font>
      <sz val="10"/>
      <name val="Geneva"/>
    </font>
    <font>
      <b/>
      <sz val="10"/>
      <color indexed="9"/>
      <name val="Arial"/>
      <family val="2"/>
    </font>
    <font>
      <b/>
      <sz val="11"/>
      <color theme="0"/>
      <name val="Tahoma"/>
      <family val="2"/>
      <scheme val="minor"/>
    </font>
    <font>
      <sz val="10"/>
      <name val="Arial"/>
      <family val="2"/>
      <charset val="204"/>
    </font>
    <font>
      <sz val="8"/>
      <name val="Tahoma"/>
      <family val="2"/>
      <scheme val="major"/>
    </font>
    <font>
      <b/>
      <sz val="10"/>
      <color indexed="56"/>
      <name val="Tahoma"/>
      <family val="2"/>
      <scheme val="major"/>
    </font>
    <font>
      <sz val="11"/>
      <color theme="1"/>
      <name val="Tahoma"/>
      <family val="2"/>
      <scheme val="minor"/>
    </font>
    <font>
      <sz val="11"/>
      <color theme="0"/>
      <name val="Tahoma"/>
      <family val="2"/>
      <scheme val="minor"/>
    </font>
    <font>
      <sz val="8"/>
      <color rgb="FF000000"/>
      <name val="Tahoma"/>
      <family val="2"/>
      <charset val="204"/>
    </font>
    <font>
      <u/>
      <sz val="11"/>
      <color theme="10"/>
      <name val="Tahoma"/>
      <family val="2"/>
      <scheme val="minor"/>
    </font>
    <font>
      <sz val="10"/>
      <color theme="4" tint="-0.499984740745262"/>
      <name val="Tahoma"/>
      <family val="2"/>
      <charset val="204"/>
      <scheme val="minor"/>
    </font>
    <font>
      <b/>
      <sz val="14"/>
      <color theme="4" tint="-0.499984740745262"/>
      <name val="Tahoma"/>
      <family val="2"/>
      <scheme val="major"/>
    </font>
    <font>
      <sz val="8"/>
      <color theme="4" tint="-0.499984740745262"/>
      <name val="Tahoma"/>
      <family val="2"/>
      <scheme val="minor"/>
    </font>
    <font>
      <sz val="8"/>
      <color theme="4" tint="-0.499984740745262"/>
      <name val="Tahoma"/>
      <family val="2"/>
      <scheme val="major"/>
    </font>
    <font>
      <b/>
      <sz val="12"/>
      <color theme="4" tint="-0.499984740745262"/>
      <name val="Tahoma"/>
      <family val="2"/>
      <scheme val="major"/>
    </font>
    <font>
      <b/>
      <sz val="8"/>
      <color theme="4" tint="-0.499984740745262"/>
      <name val="Tahoma"/>
      <family val="2"/>
      <scheme val="major"/>
    </font>
    <font>
      <b/>
      <u/>
      <sz val="8"/>
      <color theme="4" tint="-0.499984740745262"/>
      <name val="Tahoma"/>
      <family val="2"/>
      <scheme val="major"/>
    </font>
    <font>
      <b/>
      <u/>
      <sz val="8"/>
      <color theme="4" tint="-0.499984740745262"/>
      <name val="Tahoma"/>
      <family val="2"/>
      <scheme val="minor"/>
    </font>
    <font>
      <b/>
      <sz val="8"/>
      <color theme="4" tint="-0.499984740745262"/>
      <name val="Tahoma"/>
      <family val="2"/>
      <scheme val="minor"/>
    </font>
    <font>
      <b/>
      <u/>
      <sz val="8"/>
      <color theme="4" tint="-0.499984740745262"/>
      <name val="Tahoma"/>
      <family val="2"/>
    </font>
    <font>
      <b/>
      <sz val="11"/>
      <color theme="4" tint="-0.499984740745262"/>
      <name val="Tahoma"/>
      <family val="2"/>
      <scheme val="major"/>
    </font>
    <font>
      <sz val="9"/>
      <color indexed="81"/>
      <name val="Tahoma"/>
      <family val="2"/>
    </font>
    <font>
      <sz val="8"/>
      <color theme="1"/>
      <name val="Tahoma"/>
      <family val="2"/>
      <scheme val="minor"/>
    </font>
    <font>
      <b/>
      <sz val="14"/>
      <color theme="1"/>
      <name val="Tahoma"/>
      <family val="2"/>
      <scheme val="major"/>
    </font>
    <font>
      <b/>
      <sz val="12"/>
      <color theme="1"/>
      <name val="Tahoma"/>
      <family val="2"/>
      <scheme val="major"/>
    </font>
    <font>
      <b/>
      <u/>
      <sz val="8"/>
      <color theme="1"/>
      <name val="Tahoma"/>
      <family val="2"/>
      <scheme val="major"/>
    </font>
    <font>
      <b/>
      <u/>
      <sz val="8"/>
      <color theme="1"/>
      <name val="Tahoma"/>
      <family val="2"/>
      <scheme val="minor"/>
    </font>
    <font>
      <b/>
      <u/>
      <sz val="8"/>
      <color theme="1"/>
      <name val="Tahoma"/>
      <family val="2"/>
    </font>
    <font>
      <b/>
      <sz val="8"/>
      <color theme="1"/>
      <name val="Tahoma"/>
      <family val="2"/>
      <scheme val="minor"/>
    </font>
    <font>
      <b/>
      <sz val="8"/>
      <color theme="1"/>
      <name val="Tahoma"/>
      <family val="2"/>
      <scheme val="major"/>
    </font>
    <font>
      <b/>
      <sz val="11"/>
      <color theme="1"/>
      <name val="Tahoma"/>
      <family val="2"/>
      <scheme val="major"/>
    </font>
    <font>
      <sz val="8"/>
      <color theme="1"/>
      <name val="Tahoma"/>
      <family val="2"/>
    </font>
    <font>
      <b/>
      <sz val="12"/>
      <color theme="1"/>
      <name val="Tahoma"/>
      <family val="2"/>
    </font>
    <font>
      <sz val="8"/>
      <color theme="1"/>
      <name val="Tahoma"/>
      <family val="2"/>
      <scheme val="major"/>
    </font>
    <font>
      <b/>
      <sz val="9"/>
      <color theme="1"/>
      <name val="Tahoma"/>
      <family val="2"/>
      <scheme val="major"/>
    </font>
    <font>
      <sz val="7"/>
      <color theme="1"/>
      <name val="Tahoma"/>
      <family val="2"/>
      <scheme val="minor"/>
    </font>
    <font>
      <b/>
      <sz val="8"/>
      <color theme="1"/>
      <name val="Tahoma"/>
      <family val="2"/>
    </font>
    <font>
      <b/>
      <sz val="9"/>
      <color theme="1"/>
      <name val="Tahoma"/>
      <family val="2"/>
    </font>
    <font>
      <i/>
      <sz val="8"/>
      <color theme="1"/>
      <name val="Tahoma"/>
      <family val="2"/>
    </font>
    <font>
      <i/>
      <sz val="8"/>
      <color theme="1"/>
      <name val="Tahoma"/>
      <family val="2"/>
      <scheme val="major"/>
    </font>
    <font>
      <sz val="10"/>
      <color theme="1"/>
      <name val="Tahoma"/>
      <family val="2"/>
      <charset val="204"/>
      <scheme val="minor"/>
    </font>
  </fonts>
  <fills count="15">
    <fill>
      <patternFill patternType="none"/>
    </fill>
    <fill>
      <patternFill patternType="gray125"/>
    </fill>
    <fill>
      <patternFill patternType="solid">
        <fgColor indexed="18"/>
        <bgColor indexed="64"/>
      </patternFill>
    </fill>
    <fill>
      <patternFill patternType="solid">
        <fgColor theme="0"/>
        <bgColor indexed="64"/>
      </patternFill>
    </fill>
    <fill>
      <patternFill patternType="solid">
        <fgColor indexed="23"/>
        <bgColor indexed="64"/>
      </patternFill>
    </fill>
    <fill>
      <patternFill patternType="solid">
        <fgColor rgb="FFA5A5A5"/>
      </patternFill>
    </fill>
    <fill>
      <patternFill patternType="solid">
        <fgColor theme="4"/>
      </patternFill>
    </fill>
    <fill>
      <patternFill patternType="solid">
        <fgColor theme="5"/>
      </patternFill>
    </fill>
    <fill>
      <patternFill patternType="solid">
        <fgColor theme="7"/>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theme="0"/>
      </patternFill>
    </fill>
    <fill>
      <patternFill patternType="solid">
        <fgColor theme="4" tint="-0.249977111117893"/>
        <bgColor indexed="64"/>
      </patternFill>
    </fill>
  </fills>
  <borders count="67">
    <border>
      <left/>
      <right/>
      <top/>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63"/>
      </left>
      <right/>
      <top style="thin">
        <color indexed="63"/>
      </top>
      <bottom/>
      <diagonal/>
    </border>
    <border>
      <left style="thin">
        <color theme="0"/>
      </left>
      <right style="thin">
        <color theme="0"/>
      </right>
      <top style="thin">
        <color theme="0"/>
      </top>
      <bottom style="thin">
        <color theme="0"/>
      </bottom>
      <diagonal/>
    </border>
    <border>
      <left/>
      <right/>
      <top/>
      <bottom style="thin">
        <color theme="0"/>
      </bottom>
      <diagonal/>
    </border>
    <border>
      <left/>
      <right/>
      <top/>
      <bottom style="thin">
        <color auto="1"/>
      </bottom>
      <diagonal/>
    </border>
    <border>
      <left style="double">
        <color rgb="FF3F3F3F"/>
      </left>
      <right style="double">
        <color rgb="FF3F3F3F"/>
      </right>
      <top style="double">
        <color rgb="FF3F3F3F"/>
      </top>
      <bottom style="double">
        <color rgb="FF3F3F3F"/>
      </bottom>
      <diagonal/>
    </border>
    <border>
      <left style="thin">
        <color theme="0"/>
      </left>
      <right style="thin">
        <color theme="0"/>
      </right>
      <top style="thin">
        <color theme="0"/>
      </top>
      <bottom style="thin">
        <color indexed="64"/>
      </bottom>
      <diagonal/>
    </border>
    <border>
      <left style="thin">
        <color theme="0"/>
      </left>
      <right style="thin">
        <color theme="0"/>
      </right>
      <top/>
      <bottom style="thin">
        <color theme="0"/>
      </bottom>
      <diagonal/>
    </border>
    <border>
      <left/>
      <right/>
      <top/>
      <bottom style="double">
        <color indexed="64"/>
      </bottom>
      <diagonal/>
    </border>
    <border>
      <left style="thin">
        <color indexed="63"/>
      </left>
      <right/>
      <top style="thin">
        <color theme="0"/>
      </top>
      <bottom style="thin">
        <color indexed="64"/>
      </bottom>
      <diagonal/>
    </border>
    <border>
      <left/>
      <right/>
      <top style="thin">
        <color theme="0"/>
      </top>
      <bottom style="thin">
        <color indexed="64"/>
      </bottom>
      <diagonal/>
    </border>
    <border>
      <left/>
      <right style="thin">
        <color indexed="63"/>
      </right>
      <top style="thin">
        <color theme="0"/>
      </top>
      <bottom style="thin">
        <color indexed="64"/>
      </bottom>
      <diagonal/>
    </border>
    <border>
      <left style="thin">
        <color indexed="63"/>
      </left>
      <right/>
      <top style="thin">
        <color indexed="63"/>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style="thin">
        <color indexed="64"/>
      </left>
      <right/>
      <top style="thin">
        <color theme="0"/>
      </top>
      <bottom/>
      <diagonal/>
    </border>
    <border>
      <left/>
      <right style="thin">
        <color indexed="64"/>
      </right>
      <top style="thin">
        <color theme="0"/>
      </top>
      <bottom style="thin">
        <color theme="0"/>
      </bottom>
      <diagonal/>
    </border>
    <border>
      <left style="thin">
        <color indexed="64"/>
      </left>
      <right/>
      <top style="thin">
        <color theme="0"/>
      </top>
      <bottom style="thin">
        <color indexed="64"/>
      </bottom>
      <diagonal/>
    </border>
    <border>
      <left/>
      <right style="thin">
        <color indexed="64"/>
      </right>
      <top style="thin">
        <color theme="0"/>
      </top>
      <bottom style="thin">
        <color indexed="64"/>
      </bottom>
      <diagonal/>
    </border>
    <border>
      <left/>
      <right style="thin">
        <color indexed="64"/>
      </right>
      <top/>
      <bottom style="thin">
        <color theme="0"/>
      </bottom>
      <diagonal/>
    </border>
    <border>
      <left/>
      <right style="thin">
        <color indexed="64"/>
      </right>
      <top style="thin">
        <color indexed="64"/>
      </top>
      <bottom style="thin">
        <color indexed="64"/>
      </bottom>
      <diagonal/>
    </border>
    <border>
      <left style="thin">
        <color indexed="64"/>
      </left>
      <right/>
      <top/>
      <bottom style="thin">
        <color theme="0"/>
      </bottom>
      <diagonal/>
    </border>
    <border>
      <left style="thin">
        <color indexed="64"/>
      </left>
      <right/>
      <top style="thin">
        <color theme="0"/>
      </top>
      <bottom style="thin">
        <color theme="0"/>
      </bottom>
      <diagonal/>
    </border>
    <border>
      <left style="thin">
        <color indexed="64"/>
      </left>
      <right style="thin">
        <color indexed="64"/>
      </right>
      <top style="thin">
        <color indexed="64"/>
      </top>
      <bottom style="thin">
        <color theme="0"/>
      </bottom>
      <diagonal/>
    </border>
    <border>
      <left/>
      <right style="thin">
        <color theme="0"/>
      </right>
      <top style="thin">
        <color theme="0"/>
      </top>
      <bottom style="thin">
        <color theme="0"/>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style="thin">
        <color theme="0"/>
      </right>
      <top style="thin">
        <color theme="0"/>
      </top>
      <bottom style="thin">
        <color indexed="64"/>
      </bottom>
      <diagonal/>
    </border>
    <border>
      <left/>
      <right/>
      <top style="thin">
        <color indexed="63"/>
      </top>
      <bottom/>
      <diagonal/>
    </border>
    <border>
      <left/>
      <right/>
      <top style="thin">
        <color indexed="63"/>
      </top>
      <bottom style="thin">
        <color indexed="64"/>
      </bottom>
      <diagonal/>
    </border>
    <border>
      <left/>
      <right style="thin">
        <color theme="0"/>
      </right>
      <top style="thin">
        <color indexed="64"/>
      </top>
      <bottom style="thin">
        <color theme="0"/>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double">
        <color indexed="64"/>
      </bottom>
      <diagonal/>
    </border>
    <border>
      <left/>
      <right style="thin">
        <color indexed="64"/>
      </right>
      <top/>
      <bottom/>
      <diagonal/>
    </border>
    <border>
      <left style="thin">
        <color indexed="64"/>
      </left>
      <right/>
      <top/>
      <bottom style="double">
        <color indexed="64"/>
      </bottom>
      <diagonal/>
    </border>
    <border>
      <left style="medium">
        <color indexed="64"/>
      </left>
      <right/>
      <top style="thin">
        <color indexed="64"/>
      </top>
      <bottom style="thin">
        <color indexed="63"/>
      </bottom>
      <diagonal/>
    </border>
    <border>
      <left style="medium">
        <color indexed="64"/>
      </left>
      <right/>
      <top style="thin">
        <color indexed="63"/>
      </top>
      <bottom style="thin">
        <color indexed="63"/>
      </bottom>
      <diagonal/>
    </border>
    <border>
      <left style="medium">
        <color indexed="64"/>
      </left>
      <right/>
      <top style="thin">
        <color indexed="63"/>
      </top>
      <bottom style="thin">
        <color indexed="64"/>
      </bottom>
      <diagonal/>
    </border>
    <border>
      <left style="thin">
        <color indexed="63"/>
      </left>
      <right style="thin">
        <color indexed="63"/>
      </right>
      <top/>
      <bottom style="medium">
        <color indexed="64"/>
      </bottom>
      <diagonal/>
    </border>
    <border>
      <left style="thin">
        <color theme="0"/>
      </left>
      <right/>
      <top style="thin">
        <color theme="0"/>
      </top>
      <bottom/>
      <diagonal/>
    </border>
    <border>
      <left/>
      <right/>
      <top style="thin">
        <color theme="0"/>
      </top>
      <bottom/>
      <diagonal/>
    </border>
    <border>
      <left style="thin">
        <color theme="0"/>
      </left>
      <right/>
      <top/>
      <bottom/>
      <diagonal/>
    </border>
    <border>
      <left/>
      <right style="thin">
        <color theme="0"/>
      </right>
      <top/>
      <bottom/>
      <diagonal/>
    </border>
    <border>
      <left style="thin">
        <color theme="0"/>
      </left>
      <right/>
      <top/>
      <bottom style="double">
        <color theme="0"/>
      </bottom>
      <diagonal/>
    </border>
    <border>
      <left/>
      <right/>
      <top/>
      <bottom style="double">
        <color theme="0"/>
      </bottom>
      <diagonal/>
    </border>
    <border>
      <left/>
      <right style="thin">
        <color theme="0"/>
      </right>
      <top/>
      <bottom style="double">
        <color theme="0"/>
      </bottom>
      <diagonal/>
    </border>
  </borders>
  <cellStyleXfs count="91">
    <xf numFmtId="0" fontId="0" fillId="0" borderId="0" applyFill="0" applyBorder="0">
      <alignment vertical="center"/>
    </xf>
    <xf numFmtId="0" fontId="6" fillId="0" borderId="0" applyFill="0" applyBorder="0">
      <alignment vertical="center"/>
    </xf>
    <xf numFmtId="0" fontId="8" fillId="0" borderId="0" applyFill="0" applyBorder="0">
      <alignment vertical="center"/>
    </xf>
    <xf numFmtId="0" fontId="10" fillId="0" borderId="0" applyFill="0" applyBorder="0">
      <alignment vertical="center"/>
    </xf>
    <xf numFmtId="0" fontId="12" fillId="0" borderId="0" applyFill="0" applyBorder="0">
      <alignment vertical="center"/>
    </xf>
    <xf numFmtId="0" fontId="14" fillId="0" borderId="0" applyFill="0" applyBorder="0">
      <alignment vertical="center"/>
    </xf>
    <xf numFmtId="0" fontId="15" fillId="0" borderId="0" applyFill="0" applyBorder="0">
      <alignment vertical="center"/>
    </xf>
    <xf numFmtId="0" fontId="16" fillId="0" borderId="0" applyFill="0" applyBorder="0">
      <alignment vertical="center"/>
    </xf>
    <xf numFmtId="0" fontId="16" fillId="0" borderId="0" applyFill="0" applyBorder="0">
      <alignment vertical="center"/>
      <protection locked="0"/>
    </xf>
    <xf numFmtId="0" fontId="17" fillId="2" borderId="1">
      <alignment vertical="center"/>
      <protection locked="0"/>
    </xf>
    <xf numFmtId="165" fontId="17" fillId="2" borderId="1">
      <alignment vertical="center"/>
      <protection locked="0"/>
    </xf>
    <xf numFmtId="166" fontId="17" fillId="2" borderId="1">
      <alignment vertical="center"/>
      <protection locked="0"/>
    </xf>
    <xf numFmtId="167" fontId="17" fillId="2" borderId="1">
      <alignment vertical="center"/>
      <protection locked="0"/>
    </xf>
    <xf numFmtId="168" fontId="17" fillId="2" borderId="1">
      <alignment vertical="center"/>
      <protection locked="0"/>
    </xf>
    <xf numFmtId="169" fontId="17" fillId="2" borderId="1">
      <alignment vertical="center"/>
      <protection locked="0"/>
    </xf>
    <xf numFmtId="170" fontId="17" fillId="2" borderId="1">
      <alignment vertical="center"/>
      <protection locked="0"/>
    </xf>
    <xf numFmtId="0" fontId="3" fillId="0" borderId="0" applyNumberFormat="0" applyFont="0" applyFill="0" applyBorder="0">
      <alignment horizontal="center" vertical="center"/>
      <protection locked="0"/>
    </xf>
    <xf numFmtId="165" fontId="17" fillId="0" borderId="0" applyFill="0" applyBorder="0">
      <alignment vertical="center"/>
    </xf>
    <xf numFmtId="166" fontId="17" fillId="0" borderId="0" applyFill="0" applyBorder="0">
      <alignment vertical="center"/>
    </xf>
    <xf numFmtId="167" fontId="17" fillId="0" borderId="0" applyFill="0" applyBorder="0">
      <alignment vertical="center"/>
    </xf>
    <xf numFmtId="168" fontId="17" fillId="0" borderId="0" applyFill="0" applyBorder="0">
      <alignment vertical="center"/>
    </xf>
    <xf numFmtId="169" fontId="17" fillId="0" borderId="0" applyFill="0" applyBorder="0">
      <alignment vertical="center"/>
    </xf>
    <xf numFmtId="170" fontId="17" fillId="0" borderId="0" applyFill="0" applyBorder="0">
      <alignment vertical="center"/>
    </xf>
    <xf numFmtId="0" fontId="18" fillId="0" borderId="0" applyFill="0" applyBorder="0">
      <alignment vertical="center"/>
    </xf>
    <xf numFmtId="0" fontId="18" fillId="0" borderId="2" applyFill="0">
      <alignment horizontal="center" vertical="center"/>
    </xf>
    <xf numFmtId="171" fontId="17" fillId="0" borderId="2" applyFill="0">
      <alignment horizontal="center" vertical="center"/>
    </xf>
    <xf numFmtId="0" fontId="17" fillId="0" borderId="2" applyFill="0">
      <alignment horizontal="center" vertical="center"/>
    </xf>
    <xf numFmtId="0" fontId="20" fillId="0" borderId="0" applyFill="0" applyBorder="0">
      <alignment vertical="center"/>
    </xf>
    <xf numFmtId="0" fontId="21" fillId="0" borderId="0" applyFill="0" applyBorder="0">
      <alignment horizontal="center" vertical="center"/>
    </xf>
    <xf numFmtId="0" fontId="21" fillId="0" borderId="0" applyFill="0" applyBorder="0">
      <alignment horizontal="center" vertical="center"/>
    </xf>
    <xf numFmtId="0" fontId="23" fillId="0" borderId="0" applyFill="0" applyBorder="0">
      <alignment vertical="center"/>
    </xf>
    <xf numFmtId="0" fontId="25" fillId="0" borderId="0" applyFill="0" applyBorder="0">
      <alignment vertical="center"/>
    </xf>
    <xf numFmtId="0" fontId="27" fillId="0" borderId="0" applyFill="0" applyBorder="0">
      <alignment vertical="center"/>
    </xf>
    <xf numFmtId="0" fontId="27" fillId="0" borderId="0" applyFill="0" applyBorder="0">
      <alignment vertical="center"/>
    </xf>
    <xf numFmtId="0" fontId="5" fillId="0" borderId="0" applyFill="0" applyBorder="0">
      <alignment vertical="center"/>
    </xf>
    <xf numFmtId="0" fontId="7" fillId="0" borderId="0" applyFill="0" applyBorder="0">
      <alignment vertical="center"/>
    </xf>
    <xf numFmtId="0" fontId="9" fillId="0" borderId="0" applyFill="0" applyBorder="0">
      <alignment vertical="center"/>
    </xf>
    <xf numFmtId="0" fontId="11" fillId="0" borderId="0" applyFill="0" applyBorder="0">
      <alignment vertical="center"/>
    </xf>
    <xf numFmtId="0" fontId="13" fillId="0" borderId="0" applyFill="0" applyBorder="0">
      <alignment vertical="center"/>
    </xf>
    <xf numFmtId="0" fontId="4" fillId="0" borderId="0" applyFill="0" applyBorder="0">
      <alignment vertical="center"/>
    </xf>
    <xf numFmtId="0" fontId="3" fillId="0" borderId="0" applyFill="0" applyBorder="0">
      <alignment vertical="center"/>
    </xf>
    <xf numFmtId="0" fontId="3" fillId="0" borderId="0" applyFill="0" applyBorder="0">
      <alignment vertical="center"/>
      <protection locked="0"/>
    </xf>
    <xf numFmtId="167" fontId="3" fillId="0" borderId="0" applyFill="0" applyBorder="0">
      <alignment vertical="center"/>
    </xf>
    <xf numFmtId="168" fontId="3" fillId="0" borderId="0" applyFill="0" applyBorder="0">
      <alignment vertical="center"/>
    </xf>
    <xf numFmtId="169" fontId="3" fillId="0" borderId="0" applyFill="0" applyBorder="0">
      <alignment vertical="center"/>
    </xf>
    <xf numFmtId="170" fontId="3" fillId="0" borderId="0" applyFill="0" applyBorder="0">
      <alignment vertical="center"/>
    </xf>
    <xf numFmtId="165" fontId="3" fillId="0" borderId="0" applyFill="0" applyBorder="0">
      <alignment vertical="center"/>
    </xf>
    <xf numFmtId="166" fontId="3" fillId="0" borderId="0" applyFill="0" applyBorder="0">
      <alignment vertical="center"/>
    </xf>
    <xf numFmtId="0" fontId="4" fillId="0" borderId="0" applyFill="0" applyBorder="0">
      <alignment vertical="center"/>
    </xf>
    <xf numFmtId="0" fontId="19" fillId="0" borderId="0" applyFill="0" applyBorder="0">
      <alignment vertical="center"/>
    </xf>
    <xf numFmtId="0" fontId="21" fillId="0" borderId="0" applyFill="0" applyBorder="0">
      <alignment horizontal="center" vertical="center"/>
    </xf>
    <xf numFmtId="0" fontId="21" fillId="0" borderId="0" applyFill="0" applyBorder="0">
      <alignment horizontal="center" vertical="center"/>
    </xf>
    <xf numFmtId="0" fontId="22" fillId="0" borderId="0" applyFill="0" applyBorder="0">
      <alignment vertical="center"/>
    </xf>
    <xf numFmtId="0" fontId="24" fillId="0" borderId="0" applyFill="0" applyBorder="0">
      <alignment vertical="center"/>
    </xf>
    <xf numFmtId="0" fontId="26" fillId="0" borderId="0" applyFill="0" applyBorder="0">
      <alignment vertical="center"/>
    </xf>
    <xf numFmtId="0" fontId="26" fillId="0" borderId="0" applyFill="0" applyBorder="0">
      <alignment vertical="center"/>
    </xf>
    <xf numFmtId="0" fontId="3" fillId="0" borderId="0" applyFill="0" applyBorder="0">
      <alignment vertical="center"/>
    </xf>
    <xf numFmtId="0" fontId="28" fillId="0" borderId="0" applyNumberFormat="0" applyFill="0" applyBorder="0" applyAlignment="0" applyProtection="0">
      <alignment vertical="center"/>
    </xf>
    <xf numFmtId="9" fontId="17" fillId="0" borderId="0" applyFont="0" applyFill="0" applyBorder="0" applyAlignment="0" applyProtection="0"/>
    <xf numFmtId="164" fontId="17" fillId="0" borderId="0" applyFont="0" applyFill="0" applyBorder="0" applyAlignment="0" applyProtection="0"/>
    <xf numFmtId="44" fontId="17" fillId="0" borderId="0" applyFont="0" applyFill="0" applyBorder="0" applyAlignment="0" applyProtection="0"/>
    <xf numFmtId="0" fontId="29" fillId="0" borderId="0"/>
    <xf numFmtId="8" fontId="29" fillId="0" borderId="0" applyFont="0" applyFill="0" applyBorder="0" applyAlignment="0" applyProtection="0"/>
    <xf numFmtId="9" fontId="29" fillId="0" borderId="0" applyFont="0" applyFill="0" applyBorder="0" applyAlignment="0" applyProtection="0"/>
    <xf numFmtId="178" fontId="6" fillId="0" borderId="0" applyFill="0" applyBorder="0">
      <alignment vertical="center"/>
    </xf>
    <xf numFmtId="178" fontId="17" fillId="0" borderId="0" applyFill="0" applyBorder="0">
      <alignment vertical="center"/>
    </xf>
    <xf numFmtId="178" fontId="15" fillId="0" borderId="0" applyFill="0" applyBorder="0">
      <alignment vertical="center"/>
    </xf>
    <xf numFmtId="178" fontId="12" fillId="0" borderId="0" applyFill="0" applyBorder="0">
      <alignment vertical="center"/>
    </xf>
    <xf numFmtId="178" fontId="17" fillId="2" borderId="6">
      <alignment vertical="center"/>
      <protection locked="0"/>
    </xf>
    <xf numFmtId="178" fontId="3" fillId="0" borderId="0" applyFill="0" applyBorder="0">
      <alignment vertical="center"/>
    </xf>
    <xf numFmtId="179" fontId="30" fillId="4" borderId="5" applyNumberFormat="0" applyAlignment="0"/>
    <xf numFmtId="178" fontId="10" fillId="0" borderId="0" applyFill="0" applyBorder="0">
      <alignment vertical="center"/>
    </xf>
    <xf numFmtId="0" fontId="32" fillId="0" borderId="0"/>
    <xf numFmtId="167" fontId="17" fillId="2" borderId="6">
      <alignment vertical="center"/>
      <protection locked="0"/>
    </xf>
    <xf numFmtId="0" fontId="17" fillId="2" borderId="6">
      <alignment vertical="center"/>
      <protection locked="0"/>
    </xf>
    <xf numFmtId="168" fontId="17" fillId="2" borderId="6">
      <alignment vertical="center"/>
      <protection locked="0"/>
    </xf>
    <xf numFmtId="0" fontId="35" fillId="0" borderId="0"/>
    <xf numFmtId="164" fontId="35" fillId="0" borderId="0" applyFont="0" applyFill="0" applyBorder="0" applyAlignment="0" applyProtection="0"/>
    <xf numFmtId="182" fontId="35" fillId="0" borderId="0" applyFont="0" applyFill="0" applyBorder="0" applyAlignment="0" applyProtection="0"/>
    <xf numFmtId="9" fontId="35" fillId="0" borderId="0" applyFont="0" applyFill="0" applyBorder="0" applyAlignment="0" applyProtection="0"/>
    <xf numFmtId="0" fontId="31" fillId="5" borderId="11" applyNumberFormat="0" applyAlignment="0" applyProtection="0"/>
    <xf numFmtId="0" fontId="36" fillId="6" borderId="0" applyNumberFormat="0" applyBorder="0" applyAlignment="0" applyProtection="0"/>
    <xf numFmtId="0" fontId="36" fillId="7" borderId="0" applyNumberFormat="0" applyBorder="0" applyAlignment="0" applyProtection="0"/>
    <xf numFmtId="0" fontId="36" fillId="8" borderId="0" applyNumberFormat="0" applyBorder="0" applyAlignment="0" applyProtection="0"/>
    <xf numFmtId="0" fontId="37" fillId="0" borderId="0"/>
    <xf numFmtId="44" fontId="17" fillId="0" borderId="0" applyFont="0" applyFill="0" applyBorder="0" applyAlignment="0" applyProtection="0"/>
    <xf numFmtId="0" fontId="2" fillId="0" borderId="0"/>
    <xf numFmtId="0" fontId="38" fillId="0" borderId="0" applyNumberFormat="0" applyFill="0" applyBorder="0" applyAlignment="0" applyProtection="0"/>
    <xf numFmtId="0" fontId="1" fillId="0" borderId="0"/>
    <xf numFmtId="0" fontId="38" fillId="0" borderId="0" applyNumberFormat="0" applyFill="0" applyBorder="0" applyAlignment="0" applyProtection="0"/>
    <xf numFmtId="0" fontId="28" fillId="0" borderId="0" applyNumberFormat="0" applyFill="0" applyBorder="0" applyAlignment="0" applyProtection="0">
      <alignment vertical="center"/>
    </xf>
  </cellStyleXfs>
  <cellXfs count="341">
    <xf numFmtId="0" fontId="0" fillId="0" borderId="0" xfId="0">
      <alignment vertical="center"/>
    </xf>
    <xf numFmtId="0" fontId="41" fillId="0" borderId="0" xfId="0" applyFont="1">
      <alignment vertical="center"/>
    </xf>
    <xf numFmtId="0" fontId="40" fillId="0" borderId="0" xfId="1" applyFont="1">
      <alignment vertical="center"/>
    </xf>
    <xf numFmtId="0" fontId="43" fillId="0" borderId="0" xfId="36" applyFont="1">
      <alignment vertical="center"/>
    </xf>
    <xf numFmtId="0" fontId="45" fillId="0" borderId="0" xfId="49" applyFont="1">
      <alignment vertical="center"/>
    </xf>
    <xf numFmtId="0" fontId="46" fillId="0" borderId="0" xfId="57" applyFont="1">
      <alignment vertical="center"/>
    </xf>
    <xf numFmtId="0" fontId="48" fillId="0" borderId="0" xfId="49" applyFont="1">
      <alignment vertical="center"/>
    </xf>
    <xf numFmtId="0" fontId="47" fillId="0" borderId="0" xfId="0" applyFont="1">
      <alignment vertical="center"/>
    </xf>
    <xf numFmtId="0" fontId="44" fillId="0" borderId="0" xfId="7" applyFont="1">
      <alignment vertical="center"/>
    </xf>
    <xf numFmtId="1" fontId="47" fillId="0" borderId="0" xfId="0" applyNumberFormat="1" applyFont="1" applyAlignment="1">
      <alignment horizontal="center" vertical="center"/>
    </xf>
    <xf numFmtId="176" fontId="47" fillId="0" borderId="0" xfId="23" applyNumberFormat="1" applyFont="1" applyAlignment="1">
      <alignment horizontal="right" vertical="center"/>
    </xf>
    <xf numFmtId="176" fontId="47" fillId="0" borderId="0" xfId="0" applyNumberFormat="1" applyFont="1">
      <alignment vertical="center"/>
    </xf>
    <xf numFmtId="0" fontId="49" fillId="0" borderId="0" xfId="4" applyFont="1">
      <alignment vertical="center"/>
    </xf>
    <xf numFmtId="0" fontId="44" fillId="0" borderId="0" xfId="4" applyFont="1" applyBorder="1" applyAlignment="1">
      <alignment horizontal="center" vertical="center"/>
    </xf>
    <xf numFmtId="41" fontId="41" fillId="0" borderId="36" xfId="60" applyNumberFormat="1" applyFont="1" applyFill="1" applyBorder="1" applyAlignment="1">
      <alignment vertical="center"/>
    </xf>
    <xf numFmtId="41" fontId="41" fillId="0" borderId="8" xfId="60" applyNumberFormat="1" applyFont="1" applyFill="1" applyBorder="1" applyAlignment="1">
      <alignment vertical="center"/>
    </xf>
    <xf numFmtId="41" fontId="41" fillId="0" borderId="44" xfId="60" applyNumberFormat="1" applyFont="1" applyFill="1" applyBorder="1" applyAlignment="1">
      <alignment vertical="center"/>
    </xf>
    <xf numFmtId="41" fontId="41" fillId="0" borderId="12" xfId="60" applyNumberFormat="1" applyFont="1" applyFill="1" applyBorder="1" applyAlignment="1">
      <alignment vertical="center"/>
    </xf>
    <xf numFmtId="41" fontId="41" fillId="0" borderId="0" xfId="0" applyNumberFormat="1" applyFont="1">
      <alignment vertical="center"/>
    </xf>
    <xf numFmtId="41" fontId="41" fillId="0" borderId="45" xfId="73" applyNumberFormat="1" applyFont="1" applyFill="1" applyBorder="1" applyProtection="1">
      <alignment vertical="center"/>
    </xf>
    <xf numFmtId="41" fontId="41" fillId="0" borderId="7" xfId="73" applyNumberFormat="1" applyFont="1" applyFill="1" applyBorder="1" applyProtection="1">
      <alignment vertical="center"/>
    </xf>
    <xf numFmtId="41" fontId="41" fillId="0" borderId="46" xfId="73" applyNumberFormat="1" applyFont="1" applyFill="1" applyBorder="1" applyProtection="1">
      <alignment vertical="center"/>
    </xf>
    <xf numFmtId="41" fontId="41" fillId="0" borderId="18" xfId="73" applyNumberFormat="1" applyFont="1" applyFill="1" applyBorder="1" applyProtection="1">
      <alignment vertical="center"/>
    </xf>
    <xf numFmtId="0" fontId="49" fillId="0" borderId="48" xfId="4" applyFont="1" applyBorder="1">
      <alignment vertical="center"/>
    </xf>
    <xf numFmtId="0" fontId="41" fillId="0" borderId="49" xfId="0" applyFont="1" applyBorder="1">
      <alignment vertical="center"/>
    </xf>
    <xf numFmtId="172" fontId="41" fillId="0" borderId="49" xfId="0" applyNumberFormat="1" applyFont="1" applyBorder="1">
      <alignment vertical="center"/>
    </xf>
    <xf numFmtId="0" fontId="41" fillId="0" borderId="50" xfId="0" applyFont="1" applyBorder="1">
      <alignment vertical="center"/>
    </xf>
    <xf numFmtId="0" fontId="41" fillId="0" borderId="0" xfId="0" applyFont="1" applyBorder="1">
      <alignment vertical="center"/>
    </xf>
    <xf numFmtId="172" fontId="41" fillId="0" borderId="0" xfId="0" applyNumberFormat="1" applyFont="1" applyBorder="1">
      <alignment vertical="center"/>
    </xf>
    <xf numFmtId="0" fontId="44" fillId="0" borderId="50" xfId="6" applyFont="1" applyBorder="1">
      <alignment vertical="center"/>
    </xf>
    <xf numFmtId="0" fontId="44" fillId="0" borderId="0" xfId="6" applyFont="1" applyBorder="1" applyAlignment="1">
      <alignment horizontal="center" vertical="center" wrapText="1"/>
    </xf>
    <xf numFmtId="0" fontId="44" fillId="0" borderId="51" xfId="6" applyFont="1" applyBorder="1">
      <alignment vertical="center"/>
    </xf>
    <xf numFmtId="0" fontId="41" fillId="0" borderId="52" xfId="0" applyFont="1" applyBorder="1">
      <alignment vertical="center"/>
    </xf>
    <xf numFmtId="174" fontId="47" fillId="0" borderId="52" xfId="58" applyNumberFormat="1" applyFont="1" applyBorder="1" applyAlignment="1">
      <alignment vertical="center"/>
    </xf>
    <xf numFmtId="41" fontId="47" fillId="0" borderId="52" xfId="60" applyNumberFormat="1" applyFont="1" applyFill="1" applyBorder="1" applyAlignment="1">
      <alignment vertical="center"/>
    </xf>
    <xf numFmtId="41" fontId="41" fillId="0" borderId="49" xfId="0" applyNumberFormat="1" applyFont="1" applyBorder="1">
      <alignment vertical="center"/>
    </xf>
    <xf numFmtId="41" fontId="41" fillId="0" borderId="0" xfId="0" applyNumberFormat="1" applyFont="1" applyBorder="1">
      <alignment vertical="center"/>
    </xf>
    <xf numFmtId="41" fontId="47" fillId="0" borderId="59" xfId="60" applyNumberFormat="1" applyFont="1" applyFill="1" applyBorder="1" applyAlignment="1">
      <alignment vertical="center"/>
    </xf>
    <xf numFmtId="0" fontId="47" fillId="0" borderId="50" xfId="6" applyFont="1" applyBorder="1">
      <alignment vertical="center"/>
    </xf>
    <xf numFmtId="0" fontId="41" fillId="10" borderId="56" xfId="9" applyFont="1" applyFill="1" applyBorder="1">
      <alignment vertical="center"/>
      <protection locked="0"/>
    </xf>
    <xf numFmtId="176" fontId="41" fillId="10" borderId="35" xfId="0" applyNumberFormat="1" applyFont="1" applyFill="1" applyBorder="1" applyAlignment="1" applyProtection="1">
      <alignment horizontal="center" vertical="center"/>
      <protection locked="0"/>
    </xf>
    <xf numFmtId="174" fontId="41" fillId="10" borderId="47" xfId="0" applyNumberFormat="1" applyFont="1" applyFill="1" applyBorder="1" applyProtection="1">
      <alignment vertical="center"/>
      <protection locked="0"/>
    </xf>
    <xf numFmtId="174" fontId="41" fillId="10" borderId="38" xfId="0" applyNumberFormat="1" applyFont="1" applyFill="1" applyBorder="1" applyProtection="1">
      <alignment vertical="center"/>
      <protection locked="0"/>
    </xf>
    <xf numFmtId="174" fontId="41" fillId="10" borderId="39" xfId="0" applyNumberFormat="1" applyFont="1" applyFill="1" applyBorder="1" applyProtection="1">
      <alignment vertical="center"/>
      <protection locked="0"/>
    </xf>
    <xf numFmtId="0" fontId="41" fillId="10" borderId="57" xfId="9" applyFont="1" applyFill="1" applyBorder="1">
      <alignment vertical="center"/>
      <protection locked="0"/>
    </xf>
    <xf numFmtId="176" fontId="41" fillId="10" borderId="25" xfId="0" applyNumberFormat="1" applyFont="1" applyFill="1" applyBorder="1" applyAlignment="1" applyProtection="1">
      <alignment horizontal="center" vertical="center"/>
      <protection locked="0"/>
    </xf>
    <xf numFmtId="174" fontId="41" fillId="10" borderId="36" xfId="0" applyNumberFormat="1" applyFont="1" applyFill="1" applyBorder="1" applyProtection="1">
      <alignment vertical="center"/>
      <protection locked="0"/>
    </xf>
    <xf numFmtId="174" fontId="41" fillId="10" borderId="8" xfId="0" applyNumberFormat="1" applyFont="1" applyFill="1" applyBorder="1" applyProtection="1">
      <alignment vertical="center"/>
      <protection locked="0"/>
    </xf>
    <xf numFmtId="174" fontId="41" fillId="10" borderId="41" xfId="0" applyNumberFormat="1" applyFont="1" applyFill="1" applyBorder="1" applyProtection="1">
      <alignment vertical="center"/>
      <protection locked="0"/>
    </xf>
    <xf numFmtId="0" fontId="41" fillId="10" borderId="58" xfId="9" applyFont="1" applyFill="1" applyBorder="1">
      <alignment vertical="center"/>
      <protection locked="0"/>
    </xf>
    <xf numFmtId="176" fontId="41" fillId="10" borderId="26" xfId="0" applyNumberFormat="1" applyFont="1" applyFill="1" applyBorder="1" applyAlignment="1" applyProtection="1">
      <alignment horizontal="center" vertical="center"/>
      <protection locked="0"/>
    </xf>
    <xf numFmtId="174" fontId="41" fillId="10" borderId="44" xfId="0" applyNumberFormat="1" applyFont="1" applyFill="1" applyBorder="1" applyProtection="1">
      <alignment vertical="center"/>
      <protection locked="0"/>
    </xf>
    <xf numFmtId="174" fontId="41" fillId="10" borderId="12" xfId="0" applyNumberFormat="1" applyFont="1" applyFill="1" applyBorder="1" applyProtection="1">
      <alignment vertical="center"/>
      <protection locked="0"/>
    </xf>
    <xf numFmtId="174" fontId="41" fillId="10" borderId="43" xfId="0" applyNumberFormat="1" applyFont="1" applyFill="1" applyBorder="1" applyProtection="1">
      <alignment vertical="center"/>
      <protection locked="0"/>
    </xf>
    <xf numFmtId="176" fontId="41" fillId="10" borderId="35" xfId="0" applyNumberFormat="1" applyFont="1" applyFill="1" applyBorder="1" applyAlignment="1" applyProtection="1">
      <alignment horizontal="center" vertical="center"/>
    </xf>
    <xf numFmtId="41" fontId="41" fillId="10" borderId="47" xfId="0" applyNumberFormat="1" applyFont="1" applyFill="1" applyBorder="1" applyProtection="1">
      <alignment vertical="center"/>
      <protection locked="0"/>
    </xf>
    <xf numFmtId="41" fontId="41" fillId="10" borderId="38" xfId="0" applyNumberFormat="1" applyFont="1" applyFill="1" applyBorder="1" applyProtection="1">
      <alignment vertical="center"/>
      <protection locked="0"/>
    </xf>
    <xf numFmtId="41" fontId="41" fillId="10" borderId="39" xfId="0" applyNumberFormat="1" applyFont="1" applyFill="1" applyBorder="1" applyProtection="1">
      <alignment vertical="center"/>
      <protection locked="0"/>
    </xf>
    <xf numFmtId="41" fontId="41" fillId="10" borderId="36" xfId="0" applyNumberFormat="1" applyFont="1" applyFill="1" applyBorder="1" applyProtection="1">
      <alignment vertical="center"/>
      <protection locked="0"/>
    </xf>
    <xf numFmtId="41" fontId="41" fillId="10" borderId="8" xfId="0" applyNumberFormat="1" applyFont="1" applyFill="1" applyBorder="1" applyProtection="1">
      <alignment vertical="center"/>
      <protection locked="0"/>
    </xf>
    <xf numFmtId="41" fontId="41" fillId="10" borderId="41" xfId="0" applyNumberFormat="1" applyFont="1" applyFill="1" applyBorder="1" applyProtection="1">
      <alignment vertical="center"/>
      <protection locked="0"/>
    </xf>
    <xf numFmtId="41" fontId="41" fillId="10" borderId="44" xfId="0" applyNumberFormat="1" applyFont="1" applyFill="1" applyBorder="1" applyProtection="1">
      <alignment vertical="center"/>
      <protection locked="0"/>
    </xf>
    <xf numFmtId="41" fontId="41" fillId="10" borderId="12" xfId="0" applyNumberFormat="1" applyFont="1" applyFill="1" applyBorder="1" applyProtection="1">
      <alignment vertical="center"/>
      <protection locked="0"/>
    </xf>
    <xf numFmtId="41" fontId="41" fillId="10" borderId="43" xfId="0" applyNumberFormat="1" applyFont="1" applyFill="1" applyBorder="1" applyProtection="1">
      <alignment vertical="center"/>
      <protection locked="0"/>
    </xf>
    <xf numFmtId="0" fontId="43" fillId="0" borderId="0" xfId="3" applyFont="1">
      <alignment vertical="center"/>
    </xf>
    <xf numFmtId="164" fontId="41" fillId="3" borderId="0" xfId="59" applyFont="1" applyFill="1" applyAlignment="1">
      <alignment vertical="center"/>
    </xf>
    <xf numFmtId="164" fontId="41" fillId="0" borderId="0" xfId="59" applyFont="1" applyAlignment="1">
      <alignment vertical="center"/>
    </xf>
    <xf numFmtId="164" fontId="41" fillId="0" borderId="8" xfId="59" applyFont="1" applyBorder="1" applyAlignment="1">
      <alignment vertical="center"/>
    </xf>
    <xf numFmtId="164" fontId="44" fillId="0" borderId="0" xfId="59" applyFont="1" applyAlignment="1">
      <alignment vertical="center"/>
    </xf>
    <xf numFmtId="164" fontId="47" fillId="0" borderId="0" xfId="59" applyFont="1" applyAlignment="1">
      <alignment vertical="center"/>
    </xf>
    <xf numFmtId="175" fontId="41" fillId="0" borderId="8" xfId="59" applyNumberFormat="1" applyFont="1" applyFill="1" applyBorder="1" applyAlignment="1">
      <alignment vertical="center"/>
    </xf>
    <xf numFmtId="164" fontId="47" fillId="0" borderId="0" xfId="59" applyFont="1" applyFill="1" applyAlignment="1">
      <alignment vertical="center"/>
    </xf>
    <xf numFmtId="164" fontId="44" fillId="0" borderId="0" xfId="59" applyFont="1" applyFill="1" applyAlignment="1">
      <alignment vertical="center"/>
    </xf>
    <xf numFmtId="41" fontId="47" fillId="0" borderId="8" xfId="60" applyNumberFormat="1" applyFont="1" applyFill="1" applyBorder="1" applyAlignment="1">
      <alignment vertical="center"/>
    </xf>
    <xf numFmtId="164" fontId="42" fillId="0" borderId="0" xfId="59" applyFont="1" applyAlignment="1">
      <alignment horizontal="left" vertical="center" indent="1"/>
    </xf>
    <xf numFmtId="41" fontId="47" fillId="0" borderId="13" xfId="59" applyNumberFormat="1" applyFont="1" applyBorder="1" applyAlignment="1">
      <alignment vertical="center"/>
    </xf>
    <xf numFmtId="41" fontId="47" fillId="0" borderId="8" xfId="59" applyNumberFormat="1" applyFont="1" applyBorder="1" applyAlignment="1">
      <alignment vertical="center"/>
    </xf>
    <xf numFmtId="41" fontId="41" fillId="0" borderId="8" xfId="59" applyNumberFormat="1" applyFont="1" applyBorder="1" applyAlignment="1">
      <alignment vertical="center"/>
    </xf>
    <xf numFmtId="41" fontId="41" fillId="0" borderId="8" xfId="59" applyNumberFormat="1" applyFont="1" applyFill="1" applyBorder="1" applyAlignment="1">
      <alignment vertical="center"/>
    </xf>
    <xf numFmtId="164" fontId="41" fillId="10" borderId="23" xfId="59" applyFont="1" applyFill="1" applyBorder="1" applyAlignment="1">
      <alignment horizontal="center" vertical="center"/>
    </xf>
    <xf numFmtId="164" fontId="41" fillId="10" borderId="32" xfId="59" applyFont="1" applyFill="1" applyBorder="1" applyAlignment="1">
      <alignment horizontal="center" vertical="center"/>
    </xf>
    <xf numFmtId="1" fontId="41" fillId="10" borderId="23" xfId="59" applyNumberFormat="1" applyFont="1" applyFill="1" applyBorder="1" applyAlignment="1">
      <alignment horizontal="center" vertical="center"/>
    </xf>
    <xf numFmtId="1" fontId="41" fillId="10" borderId="32" xfId="59" applyNumberFormat="1" applyFont="1" applyFill="1" applyBorder="1" applyAlignment="1">
      <alignment horizontal="center" vertical="center"/>
    </xf>
    <xf numFmtId="41" fontId="41" fillId="10" borderId="8" xfId="59" applyNumberFormat="1" applyFont="1" applyFill="1" applyBorder="1" applyAlignment="1">
      <alignment vertical="center"/>
    </xf>
    <xf numFmtId="0" fontId="51" fillId="0" borderId="0" xfId="0" applyFont="1">
      <alignment vertical="center"/>
    </xf>
    <xf numFmtId="0" fontId="52" fillId="0" borderId="0" xfId="1" applyFont="1">
      <alignment vertical="center"/>
    </xf>
    <xf numFmtId="0" fontId="53" fillId="0" borderId="0" xfId="3" applyFont="1">
      <alignment vertical="center"/>
    </xf>
    <xf numFmtId="0" fontId="53" fillId="0" borderId="0" xfId="36" applyFont="1">
      <alignment vertical="center"/>
    </xf>
    <xf numFmtId="0" fontId="54" fillId="0" borderId="0" xfId="49" applyFont="1">
      <alignment vertical="center"/>
    </xf>
    <xf numFmtId="0" fontId="55" fillId="0" borderId="0" xfId="57" applyFont="1">
      <alignment vertical="center"/>
    </xf>
    <xf numFmtId="0" fontId="56" fillId="0" borderId="0" xfId="49" applyFont="1">
      <alignment vertical="center"/>
    </xf>
    <xf numFmtId="0" fontId="57" fillId="0" borderId="0" xfId="0" applyFont="1">
      <alignment vertical="center"/>
    </xf>
    <xf numFmtId="0" fontId="58" fillId="0" borderId="0" xfId="7" applyFont="1">
      <alignment vertical="center"/>
    </xf>
    <xf numFmtId="176" fontId="57" fillId="0" borderId="0" xfId="0" applyNumberFormat="1" applyFont="1">
      <alignment vertical="center"/>
    </xf>
    <xf numFmtId="0" fontId="59" fillId="0" borderId="0" xfId="4" applyFont="1">
      <alignment vertical="center"/>
    </xf>
    <xf numFmtId="41" fontId="51" fillId="0" borderId="0" xfId="0" applyNumberFormat="1" applyFont="1" applyAlignment="1">
      <alignment horizontal="left" vertical="center" indent="1"/>
    </xf>
    <xf numFmtId="180" fontId="51" fillId="0" borderId="8" xfId="60" applyNumberFormat="1" applyFont="1" applyFill="1" applyBorder="1" applyAlignment="1">
      <alignment vertical="center"/>
    </xf>
    <xf numFmtId="180" fontId="51" fillId="0" borderId="12" xfId="60" applyNumberFormat="1" applyFont="1" applyFill="1" applyBorder="1" applyAlignment="1">
      <alignment vertical="center"/>
    </xf>
    <xf numFmtId="0" fontId="57" fillId="0" borderId="0" xfId="0" applyFont="1" applyAlignment="1">
      <alignment horizontal="left" vertical="center"/>
    </xf>
    <xf numFmtId="180" fontId="57" fillId="0" borderId="13" xfId="60" applyNumberFormat="1" applyFont="1" applyFill="1" applyBorder="1" applyAlignment="1">
      <alignment vertical="center"/>
    </xf>
    <xf numFmtId="172" fontId="51" fillId="0" borderId="0" xfId="0" applyNumberFormat="1" applyFont="1">
      <alignment vertical="center"/>
    </xf>
    <xf numFmtId="172" fontId="57" fillId="0" borderId="0" xfId="0" applyNumberFormat="1" applyFont="1">
      <alignment vertical="center"/>
    </xf>
    <xf numFmtId="0" fontId="57" fillId="0" borderId="0" xfId="0" applyFont="1" applyFill="1">
      <alignment vertical="center"/>
    </xf>
    <xf numFmtId="180" fontId="57" fillId="0" borderId="8" xfId="60" applyNumberFormat="1" applyFont="1" applyFill="1" applyBorder="1" applyAlignment="1">
      <alignment vertical="center"/>
    </xf>
    <xf numFmtId="172" fontId="57" fillId="0" borderId="0" xfId="59" applyNumberFormat="1" applyFont="1" applyAlignment="1">
      <alignment vertical="center"/>
    </xf>
    <xf numFmtId="172" fontId="51" fillId="0" borderId="0" xfId="59" applyNumberFormat="1" applyFont="1" applyAlignment="1">
      <alignment vertical="center"/>
    </xf>
    <xf numFmtId="0" fontId="57" fillId="0" borderId="0" xfId="0" applyFont="1" applyBorder="1">
      <alignment vertical="center"/>
    </xf>
    <xf numFmtId="0" fontId="51" fillId="0" borderId="0" xfId="0" applyFont="1" applyBorder="1">
      <alignment vertical="center"/>
    </xf>
    <xf numFmtId="172" fontId="51" fillId="11" borderId="15" xfId="59" applyNumberFormat="1" applyFont="1" applyFill="1" applyBorder="1" applyAlignment="1" applyProtection="1">
      <alignment vertical="center"/>
      <protection locked="0"/>
    </xf>
    <xf numFmtId="172" fontId="51" fillId="11" borderId="16" xfId="59" applyNumberFormat="1" applyFont="1" applyFill="1" applyBorder="1" applyAlignment="1" applyProtection="1">
      <alignment vertical="center"/>
      <protection locked="0"/>
    </xf>
    <xf numFmtId="172" fontId="51" fillId="11" borderId="17" xfId="59" applyNumberFormat="1" applyFont="1" applyFill="1" applyBorder="1" applyAlignment="1" applyProtection="1">
      <alignment vertical="center"/>
      <protection locked="0"/>
    </xf>
    <xf numFmtId="172" fontId="51" fillId="11" borderId="0" xfId="59" applyNumberFormat="1" applyFont="1" applyFill="1" applyBorder="1" applyAlignment="1" applyProtection="1">
      <alignment vertical="center"/>
      <protection locked="0"/>
    </xf>
    <xf numFmtId="0" fontId="60" fillId="0" borderId="0" xfId="56" applyFont="1">
      <alignment vertical="center"/>
    </xf>
    <xf numFmtId="0" fontId="61" fillId="0" borderId="0" xfId="36" applyFont="1">
      <alignment vertical="center"/>
    </xf>
    <xf numFmtId="176" fontId="57" fillId="0" borderId="0" xfId="23" applyNumberFormat="1" applyFont="1" applyAlignment="1">
      <alignment horizontal="right" vertical="center"/>
    </xf>
    <xf numFmtId="0" fontId="51" fillId="0" borderId="0" xfId="0" applyFont="1" applyFill="1">
      <alignment vertical="center"/>
    </xf>
    <xf numFmtId="41" fontId="62" fillId="0" borderId="0" xfId="7" applyNumberFormat="1" applyFont="1" applyFill="1" applyAlignment="1">
      <alignment horizontal="left" vertical="center" indent="1"/>
    </xf>
    <xf numFmtId="0" fontId="57" fillId="0" borderId="9" xfId="0" applyFont="1" applyFill="1" applyBorder="1">
      <alignment vertical="center"/>
    </xf>
    <xf numFmtId="180" fontId="51" fillId="0" borderId="8" xfId="0" applyNumberFormat="1" applyFont="1" applyFill="1" applyBorder="1">
      <alignment vertical="center"/>
    </xf>
    <xf numFmtId="180" fontId="51" fillId="0" borderId="12" xfId="0" applyNumberFormat="1" applyFont="1" applyFill="1" applyBorder="1">
      <alignment vertical="center"/>
    </xf>
    <xf numFmtId="180" fontId="57" fillId="0" borderId="13" xfId="0" applyNumberFormat="1" applyFont="1" applyFill="1" applyBorder="1">
      <alignment vertical="center"/>
    </xf>
    <xf numFmtId="0" fontId="58" fillId="0" borderId="0" xfId="5" applyFont="1">
      <alignment vertical="center"/>
    </xf>
    <xf numFmtId="0" fontId="51" fillId="3" borderId="0" xfId="0" applyFont="1" applyFill="1">
      <alignment vertical="center"/>
    </xf>
    <xf numFmtId="41" fontId="62" fillId="0" borderId="0" xfId="7" applyNumberFormat="1" applyFont="1" applyAlignment="1">
      <alignment horizontal="left" vertical="center" indent="1"/>
    </xf>
    <xf numFmtId="172" fontId="51" fillId="0" borderId="0" xfId="19" applyNumberFormat="1" applyFont="1">
      <alignment vertical="center"/>
    </xf>
    <xf numFmtId="0" fontId="57" fillId="3" borderId="0" xfId="0" applyFont="1" applyFill="1">
      <alignment vertical="center"/>
    </xf>
    <xf numFmtId="172" fontId="57" fillId="0" borderId="3" xfId="19" applyNumberFormat="1" applyFont="1" applyBorder="1">
      <alignment vertical="center"/>
    </xf>
    <xf numFmtId="172" fontId="57" fillId="0" borderId="0" xfId="19" applyNumberFormat="1" applyFont="1">
      <alignment vertical="center"/>
    </xf>
    <xf numFmtId="0" fontId="63" fillId="0" borderId="0" xfId="5" applyFont="1">
      <alignment vertical="center"/>
    </xf>
    <xf numFmtId="0" fontId="62" fillId="0" borderId="0" xfId="7" applyFont="1">
      <alignment vertical="center"/>
    </xf>
    <xf numFmtId="172" fontId="51" fillId="0" borderId="0" xfId="0" applyNumberFormat="1" applyFont="1" applyBorder="1">
      <alignment vertical="center"/>
    </xf>
    <xf numFmtId="172" fontId="51" fillId="0" borderId="14" xfId="19" applyNumberFormat="1" applyFont="1" applyBorder="1">
      <alignment vertical="center"/>
    </xf>
    <xf numFmtId="172" fontId="51" fillId="0" borderId="0" xfId="58" applyNumberFormat="1" applyFont="1" applyAlignment="1">
      <alignment vertical="center"/>
    </xf>
    <xf numFmtId="172" fontId="51" fillId="0" borderId="10" xfId="19" applyNumberFormat="1" applyFont="1" applyBorder="1">
      <alignment vertical="center"/>
    </xf>
    <xf numFmtId="172" fontId="51" fillId="0" borderId="14" xfId="58" applyNumberFormat="1" applyFont="1" applyBorder="1" applyAlignment="1">
      <alignment vertical="center"/>
    </xf>
    <xf numFmtId="172" fontId="57" fillId="0" borderId="0" xfId="19" applyNumberFormat="1" applyFont="1" applyBorder="1">
      <alignment vertical="center"/>
    </xf>
    <xf numFmtId="172" fontId="51" fillId="3" borderId="0" xfId="59" applyNumberFormat="1" applyFont="1" applyFill="1" applyAlignment="1">
      <alignment vertical="center"/>
    </xf>
    <xf numFmtId="172" fontId="51" fillId="0" borderId="14" xfId="0" applyNumberFormat="1" applyFont="1" applyBorder="1">
      <alignment vertical="center"/>
    </xf>
    <xf numFmtId="0" fontId="63" fillId="0" borderId="0" xfId="5" applyFont="1" applyBorder="1">
      <alignment vertical="center"/>
    </xf>
    <xf numFmtId="41" fontId="62" fillId="3" borderId="0" xfId="7" applyNumberFormat="1" applyFont="1" applyFill="1" applyBorder="1" applyAlignment="1">
      <alignment horizontal="left" vertical="center" indent="1"/>
    </xf>
    <xf numFmtId="0" fontId="58" fillId="0" borderId="0" xfId="6" applyFont="1">
      <alignment vertical="center"/>
    </xf>
    <xf numFmtId="167" fontId="57" fillId="0" borderId="0" xfId="19" applyFont="1">
      <alignment vertical="center"/>
    </xf>
    <xf numFmtId="172" fontId="64" fillId="0" borderId="0" xfId="0" applyNumberFormat="1" applyFont="1">
      <alignment vertical="center"/>
    </xf>
    <xf numFmtId="0" fontId="51" fillId="3" borderId="0" xfId="0" applyFont="1" applyFill="1" applyBorder="1">
      <alignment vertical="center"/>
    </xf>
    <xf numFmtId="172" fontId="51" fillId="3" borderId="0" xfId="19" applyNumberFormat="1" applyFont="1" applyFill="1" applyBorder="1">
      <alignment vertical="center"/>
    </xf>
    <xf numFmtId="41" fontId="51" fillId="3" borderId="0" xfId="0" applyNumberFormat="1" applyFont="1" applyFill="1" applyBorder="1" applyAlignment="1">
      <alignment horizontal="left" vertical="center" indent="1"/>
    </xf>
    <xf numFmtId="172" fontId="51" fillId="3" borderId="0" xfId="0" applyNumberFormat="1" applyFont="1" applyFill="1" applyBorder="1">
      <alignment vertical="center"/>
    </xf>
    <xf numFmtId="41" fontId="62" fillId="3" borderId="0" xfId="7" applyNumberFormat="1" applyFont="1" applyFill="1" applyAlignment="1">
      <alignment horizontal="left" vertical="center" indent="1"/>
    </xf>
    <xf numFmtId="172" fontId="51" fillId="3" borderId="0" xfId="19" applyNumberFormat="1" applyFont="1" applyFill="1">
      <alignment vertical="center"/>
    </xf>
    <xf numFmtId="0" fontId="58" fillId="3" borderId="0" xfId="6" applyFont="1" applyFill="1">
      <alignment vertical="center"/>
    </xf>
    <xf numFmtId="172" fontId="57" fillId="3" borderId="3" xfId="19" applyNumberFormat="1" applyFont="1" applyFill="1" applyBorder="1">
      <alignment vertical="center"/>
    </xf>
    <xf numFmtId="172" fontId="51" fillId="3" borderId="0" xfId="0" applyNumberFormat="1" applyFont="1" applyFill="1">
      <alignment vertical="center"/>
    </xf>
    <xf numFmtId="0" fontId="66" fillId="9" borderId="2" xfId="56" applyFont="1" applyFill="1" applyBorder="1" applyAlignment="1" applyProtection="1">
      <alignment horizontal="center" vertical="center"/>
      <protection locked="0"/>
    </xf>
    <xf numFmtId="0" fontId="61" fillId="9" borderId="0" xfId="38" applyFont="1" applyFill="1" applyBorder="1" applyAlignment="1">
      <alignment horizontal="center" vertical="center"/>
    </xf>
    <xf numFmtId="0" fontId="60" fillId="9" borderId="0" xfId="56" applyFont="1" applyFill="1" applyBorder="1">
      <alignment vertical="center"/>
    </xf>
    <xf numFmtId="172" fontId="65" fillId="9" borderId="3" xfId="42" applyNumberFormat="1" applyFont="1" applyFill="1" applyBorder="1">
      <alignment vertical="center"/>
    </xf>
    <xf numFmtId="172" fontId="65" fillId="9" borderId="4" xfId="42" applyNumberFormat="1" applyFont="1" applyFill="1" applyBorder="1">
      <alignment vertical="center"/>
    </xf>
    <xf numFmtId="172" fontId="60" fillId="9" borderId="0" xfId="42" applyNumberFormat="1" applyFont="1" applyFill="1" applyBorder="1">
      <alignment vertical="center"/>
    </xf>
    <xf numFmtId="0" fontId="51" fillId="9" borderId="0" xfId="0" applyFont="1" applyFill="1" applyBorder="1">
      <alignment vertical="center"/>
    </xf>
    <xf numFmtId="172" fontId="60" fillId="9" borderId="10" xfId="42" applyNumberFormat="1" applyFont="1" applyFill="1" applyBorder="1">
      <alignment vertical="center"/>
    </xf>
    <xf numFmtId="0" fontId="65" fillId="9" borderId="0" xfId="56" applyFont="1" applyFill="1" applyBorder="1">
      <alignment vertical="center"/>
    </xf>
    <xf numFmtId="172" fontId="65" fillId="9" borderId="0" xfId="42" applyNumberFormat="1" applyFont="1" applyFill="1" applyBorder="1">
      <alignment vertical="center"/>
    </xf>
    <xf numFmtId="0" fontId="60" fillId="9" borderId="3" xfId="56" applyFont="1" applyFill="1" applyBorder="1">
      <alignment vertical="center"/>
    </xf>
    <xf numFmtId="0" fontId="51" fillId="9" borderId="3" xfId="0" applyFont="1" applyFill="1" applyBorder="1">
      <alignment vertical="center"/>
    </xf>
    <xf numFmtId="0" fontId="65" fillId="9" borderId="0" xfId="56" applyFont="1" applyFill="1" applyBorder="1" applyAlignment="1">
      <alignment horizontal="right" vertical="center" indent="1"/>
    </xf>
    <xf numFmtId="0" fontId="55" fillId="9" borderId="0" xfId="57" applyFont="1" applyFill="1" applyBorder="1">
      <alignment vertical="center"/>
    </xf>
    <xf numFmtId="0" fontId="56" fillId="9" borderId="0" xfId="49" applyFont="1" applyFill="1" applyBorder="1">
      <alignment vertical="center"/>
    </xf>
    <xf numFmtId="165" fontId="65" fillId="9" borderId="10" xfId="46" applyFont="1" applyFill="1" applyBorder="1" applyAlignment="1">
      <alignment horizontal="center" vertical="center"/>
    </xf>
    <xf numFmtId="177" fontId="65" fillId="9" borderId="10" xfId="46" applyNumberFormat="1" applyFont="1" applyFill="1" applyBorder="1" applyAlignment="1">
      <alignment horizontal="center" vertical="center"/>
    </xf>
    <xf numFmtId="173" fontId="67" fillId="9" borderId="0" xfId="43" applyNumberFormat="1" applyFont="1" applyFill="1" applyBorder="1">
      <alignment vertical="center"/>
    </xf>
    <xf numFmtId="172" fontId="60" fillId="9" borderId="0" xfId="56" applyNumberFormat="1" applyFont="1" applyFill="1" applyBorder="1">
      <alignment vertical="center"/>
    </xf>
    <xf numFmtId="0" fontId="60" fillId="9" borderId="0" xfId="56" applyFont="1" applyFill="1" applyBorder="1" applyAlignment="1">
      <alignment horizontal="center" vertical="center"/>
    </xf>
    <xf numFmtId="0" fontId="51" fillId="9" borderId="14" xfId="0" applyFont="1" applyFill="1" applyBorder="1">
      <alignment vertical="center"/>
    </xf>
    <xf numFmtId="0" fontId="51" fillId="9" borderId="22" xfId="0" applyFont="1" applyFill="1" applyBorder="1">
      <alignment vertical="center"/>
    </xf>
    <xf numFmtId="0" fontId="51" fillId="9" borderId="54" xfId="0" applyFont="1" applyFill="1" applyBorder="1">
      <alignment vertical="center"/>
    </xf>
    <xf numFmtId="0" fontId="57" fillId="9" borderId="54" xfId="0" applyFont="1" applyFill="1" applyBorder="1">
      <alignment vertical="center"/>
    </xf>
    <xf numFmtId="0" fontId="51" fillId="9" borderId="53" xfId="0" applyFont="1" applyFill="1" applyBorder="1">
      <alignment vertical="center"/>
    </xf>
    <xf numFmtId="0" fontId="52" fillId="9" borderId="21" xfId="1" applyFont="1" applyFill="1" applyBorder="1">
      <alignment vertical="center"/>
    </xf>
    <xf numFmtId="0" fontId="53" fillId="9" borderId="19" xfId="36" applyFont="1" applyFill="1" applyBorder="1">
      <alignment vertical="center"/>
    </xf>
    <xf numFmtId="0" fontId="54" fillId="9" borderId="19" xfId="49" applyFont="1" applyFill="1" applyBorder="1">
      <alignment vertical="center"/>
    </xf>
    <xf numFmtId="0" fontId="61" fillId="9" borderId="19" xfId="38" applyFont="1" applyFill="1" applyBorder="1" applyAlignment="1">
      <alignment horizontal="center" vertical="center"/>
    </xf>
    <xf numFmtId="0" fontId="60" fillId="9" borderId="19" xfId="56" applyFont="1" applyFill="1" applyBorder="1">
      <alignment vertical="center"/>
    </xf>
    <xf numFmtId="0" fontId="65" fillId="9" borderId="19" xfId="39" applyFont="1" applyFill="1" applyBorder="1">
      <alignment vertical="center"/>
    </xf>
    <xf numFmtId="0" fontId="60" fillId="9" borderId="19" xfId="40" applyFont="1" applyFill="1" applyBorder="1">
      <alignment vertical="center"/>
    </xf>
    <xf numFmtId="0" fontId="67" fillId="9" borderId="19" xfId="40" applyFont="1" applyFill="1" applyBorder="1" applyAlignment="1">
      <alignment horizontal="left" vertical="center" indent="1"/>
    </xf>
    <xf numFmtId="0" fontId="67" fillId="9" borderId="19" xfId="40" applyFont="1" applyFill="1" applyBorder="1">
      <alignment vertical="center"/>
    </xf>
    <xf numFmtId="0" fontId="60" fillId="9" borderId="19" xfId="39" applyFont="1" applyFill="1" applyBorder="1">
      <alignment vertical="center"/>
    </xf>
    <xf numFmtId="0" fontId="65" fillId="9" borderId="19" xfId="40" applyFont="1" applyFill="1" applyBorder="1">
      <alignment vertical="center"/>
    </xf>
    <xf numFmtId="0" fontId="51" fillId="9" borderId="55" xfId="0" applyFont="1" applyFill="1" applyBorder="1">
      <alignment vertical="center"/>
    </xf>
    <xf numFmtId="0" fontId="51" fillId="12" borderId="0" xfId="0" applyFont="1" applyFill="1">
      <alignment vertical="center"/>
    </xf>
    <xf numFmtId="0" fontId="51" fillId="12" borderId="0" xfId="0" applyFont="1" applyFill="1" applyBorder="1">
      <alignment vertical="center"/>
    </xf>
    <xf numFmtId="0" fontId="57" fillId="12" borderId="0" xfId="0" applyFont="1" applyFill="1" applyBorder="1">
      <alignment vertical="center"/>
    </xf>
    <xf numFmtId="0" fontId="60" fillId="12" borderId="0" xfId="56" applyFont="1" applyFill="1">
      <alignment vertical="center"/>
    </xf>
    <xf numFmtId="0" fontId="60" fillId="12" borderId="0" xfId="56" applyFont="1" applyFill="1" applyBorder="1">
      <alignment vertical="center"/>
    </xf>
    <xf numFmtId="0" fontId="65" fillId="12" borderId="0" xfId="56" applyFont="1" applyFill="1" applyBorder="1">
      <alignment vertical="center"/>
    </xf>
    <xf numFmtId="0" fontId="53" fillId="10" borderId="0" xfId="36" applyFont="1" applyFill="1" applyBorder="1">
      <alignment vertical="center"/>
    </xf>
    <xf numFmtId="0" fontId="51" fillId="10" borderId="0" xfId="0" applyFont="1" applyFill="1" applyBorder="1">
      <alignment vertical="center"/>
    </xf>
    <xf numFmtId="172" fontId="58" fillId="13" borderId="23" xfId="12" applyNumberFormat="1" applyFont="1" applyFill="1" applyBorder="1" applyAlignment="1" applyProtection="1">
      <alignment horizontal="center" vertical="center"/>
    </xf>
    <xf numFmtId="172" fontId="58" fillId="13" borderId="2" xfId="12" applyNumberFormat="1" applyFont="1" applyFill="1" applyBorder="1" applyAlignment="1" applyProtection="1">
      <alignment horizontal="center" vertical="center"/>
    </xf>
    <xf numFmtId="0" fontId="51" fillId="10" borderId="0" xfId="0" applyFont="1" applyFill="1" applyBorder="1" applyAlignment="1">
      <alignment horizontal="center" vertical="center"/>
    </xf>
    <xf numFmtId="0" fontId="58" fillId="10" borderId="23" xfId="56" applyFont="1" applyFill="1" applyBorder="1" applyAlignment="1">
      <alignment horizontal="center" vertical="center"/>
    </xf>
    <xf numFmtId="172" fontId="58" fillId="13" borderId="32" xfId="12" applyNumberFormat="1" applyFont="1" applyFill="1" applyBorder="1" applyAlignment="1" applyProtection="1">
      <alignment horizontal="center" vertical="center"/>
    </xf>
    <xf numFmtId="0" fontId="54" fillId="10" borderId="0" xfId="49" applyFont="1" applyFill="1" applyBorder="1" applyAlignment="1">
      <alignment horizontal="left" vertical="center"/>
    </xf>
    <xf numFmtId="0" fontId="51" fillId="10" borderId="19" xfId="0" applyFont="1" applyFill="1" applyBorder="1">
      <alignment vertical="center"/>
    </xf>
    <xf numFmtId="172" fontId="62" fillId="13" borderId="0" xfId="12" applyNumberFormat="1" applyFont="1" applyFill="1" applyBorder="1" applyAlignment="1" applyProtection="1">
      <alignment horizontal="right" vertical="center"/>
    </xf>
    <xf numFmtId="0" fontId="55" fillId="10" borderId="0" xfId="57" applyFont="1" applyFill="1" applyBorder="1" applyProtection="1">
      <alignment vertical="center"/>
    </xf>
    <xf numFmtId="172" fontId="62" fillId="13" borderId="19" xfId="12" applyNumberFormat="1" applyFont="1" applyFill="1" applyBorder="1" applyAlignment="1" applyProtection="1">
      <alignment horizontal="right" vertical="center"/>
    </xf>
    <xf numFmtId="0" fontId="62" fillId="10" borderId="24" xfId="56" applyFont="1" applyFill="1" applyBorder="1" applyAlignment="1" applyProtection="1">
      <alignment horizontal="center" vertical="center"/>
      <protection locked="0"/>
    </xf>
    <xf numFmtId="0" fontId="62" fillId="10" borderId="19" xfId="60" applyNumberFormat="1" applyFont="1" applyFill="1" applyBorder="1" applyAlignment="1" applyProtection="1">
      <alignment horizontal="left" vertical="center" indent="1"/>
      <protection locked="0"/>
    </xf>
    <xf numFmtId="176" fontId="51" fillId="10" borderId="24" xfId="0" applyNumberFormat="1" applyFont="1" applyFill="1" applyBorder="1" applyAlignment="1" applyProtection="1">
      <alignment horizontal="center" vertical="center"/>
      <protection locked="0"/>
    </xf>
    <xf numFmtId="37" fontId="51" fillId="10" borderId="31" xfId="60" applyNumberFormat="1" applyFont="1" applyFill="1" applyBorder="1" applyAlignment="1" applyProtection="1">
      <alignment horizontal="right" vertical="center"/>
      <protection locked="0"/>
    </xf>
    <xf numFmtId="0" fontId="62" fillId="10" borderId="0" xfId="0" applyFont="1" applyFill="1" applyBorder="1">
      <alignment vertical="center"/>
    </xf>
    <xf numFmtId="9" fontId="62" fillId="10" borderId="24" xfId="59" applyNumberFormat="1" applyFont="1" applyFill="1" applyBorder="1" applyAlignment="1" applyProtection="1">
      <alignment horizontal="center" vertical="center"/>
      <protection locked="0"/>
    </xf>
    <xf numFmtId="9" fontId="62" fillId="10" borderId="31" xfId="59" applyNumberFormat="1" applyFont="1" applyFill="1" applyBorder="1" applyAlignment="1" applyProtection="1">
      <alignment horizontal="center" vertical="center"/>
      <protection locked="0"/>
    </xf>
    <xf numFmtId="0" fontId="62" fillId="10" borderId="33" xfId="4" applyFont="1" applyFill="1" applyBorder="1" applyAlignment="1">
      <alignment horizontal="right" vertical="center" wrapText="1" indent="1"/>
    </xf>
    <xf numFmtId="37" fontId="62" fillId="10" borderId="24" xfId="59" applyNumberFormat="1" applyFont="1" applyFill="1" applyBorder="1" applyAlignment="1" applyProtection="1">
      <alignment horizontal="center" vertical="center"/>
      <protection locked="0"/>
    </xf>
    <xf numFmtId="165" fontId="51" fillId="10" borderId="25" xfId="10" applyFont="1" applyFill="1" applyBorder="1" applyAlignment="1">
      <alignment horizontal="center" vertical="center"/>
      <protection locked="0"/>
    </xf>
    <xf numFmtId="0" fontId="62" fillId="10" borderId="27" xfId="60" applyNumberFormat="1" applyFont="1" applyFill="1" applyBorder="1" applyAlignment="1" applyProtection="1">
      <alignment horizontal="left" vertical="center" indent="1"/>
      <protection locked="0"/>
    </xf>
    <xf numFmtId="176" fontId="51" fillId="10" borderId="25" xfId="0" applyNumberFormat="1" applyFont="1" applyFill="1" applyBorder="1" applyAlignment="1" applyProtection="1">
      <alignment horizontal="center" vertical="center"/>
      <protection locked="0"/>
    </xf>
    <xf numFmtId="37" fontId="51" fillId="10" borderId="28" xfId="60" applyNumberFormat="1" applyFont="1" applyFill="1" applyBorder="1" applyAlignment="1" applyProtection="1">
      <alignment horizontal="right" vertical="center"/>
      <protection locked="0"/>
    </xf>
    <xf numFmtId="9" fontId="62" fillId="10" borderId="25" xfId="59" applyNumberFormat="1" applyFont="1" applyFill="1" applyBorder="1" applyAlignment="1" applyProtection="1">
      <alignment horizontal="center" vertical="center"/>
      <protection locked="0"/>
    </xf>
    <xf numFmtId="9" fontId="62" fillId="10" borderId="28" xfId="59" applyNumberFormat="1" applyFont="1" applyFill="1" applyBorder="1" applyAlignment="1" applyProtection="1">
      <alignment horizontal="center" vertical="center"/>
      <protection locked="0"/>
    </xf>
    <xf numFmtId="0" fontId="62" fillId="10" borderId="34" xfId="4" applyFont="1" applyFill="1" applyBorder="1" applyAlignment="1">
      <alignment horizontal="right" vertical="center" wrapText="1" indent="1"/>
    </xf>
    <xf numFmtId="176" fontId="62" fillId="10" borderId="25" xfId="59" applyNumberFormat="1" applyFont="1" applyFill="1" applyBorder="1" applyAlignment="1" applyProtection="1">
      <alignment horizontal="center" vertical="center"/>
      <protection locked="0"/>
    </xf>
    <xf numFmtId="174" fontId="62" fillId="10" borderId="25" xfId="58" applyNumberFormat="1" applyFont="1" applyFill="1" applyBorder="1" applyAlignment="1" applyProtection="1">
      <alignment horizontal="center" vertical="center"/>
      <protection locked="0"/>
    </xf>
    <xf numFmtId="1" fontId="62" fillId="10" borderId="25" xfId="59" applyNumberFormat="1" applyFont="1" applyFill="1" applyBorder="1" applyAlignment="1" applyProtection="1">
      <alignment horizontal="center" vertical="center"/>
      <protection locked="0"/>
    </xf>
    <xf numFmtId="172" fontId="62" fillId="13" borderId="20" xfId="12" applyNumberFormat="1" applyFont="1" applyFill="1" applyBorder="1" applyAlignment="1" applyProtection="1">
      <alignment horizontal="right" vertical="center"/>
    </xf>
    <xf numFmtId="174" fontId="62" fillId="10" borderId="26" xfId="58" applyNumberFormat="1" applyFont="1" applyFill="1" applyBorder="1" applyAlignment="1" applyProtection="1">
      <alignment horizontal="center" vertical="center"/>
      <protection locked="0"/>
    </xf>
    <xf numFmtId="0" fontId="62" fillId="10" borderId="29" xfId="60" applyNumberFormat="1" applyFont="1" applyFill="1" applyBorder="1" applyAlignment="1" applyProtection="1">
      <alignment horizontal="left" vertical="center" indent="1"/>
      <protection locked="0"/>
    </xf>
    <xf numFmtId="176" fontId="51" fillId="10" borderId="26" xfId="0" applyNumberFormat="1" applyFont="1" applyFill="1" applyBorder="1" applyAlignment="1" applyProtection="1">
      <alignment horizontal="center" vertical="center"/>
      <protection locked="0"/>
    </xf>
    <xf numFmtId="37" fontId="51" fillId="10" borderId="30" xfId="60" applyNumberFormat="1" applyFont="1" applyFill="1" applyBorder="1" applyAlignment="1" applyProtection="1">
      <alignment horizontal="right" vertical="center"/>
      <protection locked="0"/>
    </xf>
    <xf numFmtId="9" fontId="62" fillId="10" borderId="26" xfId="59" applyNumberFormat="1" applyFont="1" applyFill="1" applyBorder="1" applyAlignment="1" applyProtection="1">
      <alignment horizontal="center" vertical="center"/>
    </xf>
    <xf numFmtId="9" fontId="62" fillId="10" borderId="30" xfId="59" applyNumberFormat="1" applyFont="1" applyFill="1" applyBorder="1" applyAlignment="1" applyProtection="1">
      <alignment horizontal="center" vertical="center"/>
    </xf>
    <xf numFmtId="0" fontId="62" fillId="10" borderId="29" xfId="4" applyFont="1" applyFill="1" applyBorder="1" applyAlignment="1">
      <alignment horizontal="right" vertical="center" wrapText="1" indent="1"/>
    </xf>
    <xf numFmtId="9" fontId="62" fillId="10" borderId="26" xfId="59" applyNumberFormat="1" applyFont="1" applyFill="1" applyBorder="1" applyAlignment="1" applyProtection="1">
      <alignment horizontal="center" vertical="center"/>
      <protection locked="0"/>
    </xf>
    <xf numFmtId="0" fontId="51" fillId="10" borderId="20" xfId="0" applyFont="1" applyFill="1" applyBorder="1">
      <alignment vertical="center"/>
    </xf>
    <xf numFmtId="172" fontId="62" fillId="13" borderId="10" xfId="12" applyNumberFormat="1" applyFont="1" applyFill="1" applyBorder="1" applyAlignment="1" applyProtection="1">
      <alignment horizontal="right" vertical="center"/>
    </xf>
    <xf numFmtId="0" fontId="62" fillId="10" borderId="0" xfId="56" applyFont="1" applyFill="1" applyBorder="1">
      <alignment vertical="center"/>
    </xf>
    <xf numFmtId="0" fontId="53" fillId="10" borderId="0" xfId="38" applyFont="1" applyFill="1" applyBorder="1" applyAlignment="1">
      <alignment horizontal="center" vertical="center"/>
    </xf>
    <xf numFmtId="0" fontId="62" fillId="10" borderId="0" xfId="56" applyFont="1" applyFill="1" applyBorder="1" applyAlignment="1">
      <alignment horizontal="center" vertical="center"/>
    </xf>
    <xf numFmtId="165" fontId="58" fillId="10" borderId="10" xfId="46" applyFont="1" applyFill="1" applyBorder="1" applyAlignment="1">
      <alignment horizontal="center" vertical="center"/>
    </xf>
    <xf numFmtId="0" fontId="63" fillId="10" borderId="0" xfId="0" applyFont="1" applyFill="1" applyBorder="1">
      <alignment vertical="center"/>
    </xf>
    <xf numFmtId="0" fontId="58" fillId="13" borderId="0" xfId="12" applyNumberFormat="1" applyFont="1" applyFill="1" applyBorder="1" applyAlignment="1" applyProtection="1">
      <alignment horizontal="center" vertical="center"/>
    </xf>
    <xf numFmtId="172" fontId="58" fillId="13" borderId="0" xfId="12" applyNumberFormat="1" applyFont="1" applyFill="1" applyBorder="1" applyAlignment="1" applyProtection="1">
      <alignment horizontal="center" vertical="center"/>
    </xf>
    <xf numFmtId="41" fontId="51" fillId="10" borderId="38" xfId="0" applyNumberFormat="1" applyFont="1" applyFill="1" applyBorder="1" applyAlignment="1">
      <alignment horizontal="left" vertical="center"/>
    </xf>
    <xf numFmtId="41" fontId="51" fillId="10" borderId="39" xfId="0" applyNumberFormat="1" applyFont="1" applyFill="1" applyBorder="1" applyAlignment="1">
      <alignment horizontal="left" vertical="center"/>
    </xf>
    <xf numFmtId="176" fontId="51" fillId="10" borderId="35" xfId="0" applyNumberFormat="1" applyFont="1" applyFill="1" applyBorder="1" applyAlignment="1" applyProtection="1">
      <alignment horizontal="center" vertical="center"/>
      <protection locked="0"/>
    </xf>
    <xf numFmtId="41" fontId="51" fillId="10" borderId="37" xfId="0" applyNumberFormat="1" applyFont="1" applyFill="1" applyBorder="1">
      <alignment vertical="center"/>
    </xf>
    <xf numFmtId="41" fontId="51" fillId="10" borderId="38" xfId="0" applyNumberFormat="1" applyFont="1" applyFill="1" applyBorder="1">
      <alignment vertical="center"/>
    </xf>
    <xf numFmtId="41" fontId="51" fillId="10" borderId="39" xfId="0" applyNumberFormat="1" applyFont="1" applyFill="1" applyBorder="1">
      <alignment vertical="center"/>
    </xf>
    <xf numFmtId="41" fontId="51" fillId="10" borderId="8" xfId="0" applyNumberFormat="1" applyFont="1" applyFill="1" applyBorder="1" applyAlignment="1">
      <alignment horizontal="left" vertical="center"/>
    </xf>
    <xf numFmtId="41" fontId="51" fillId="10" borderId="41" xfId="0" applyNumberFormat="1" applyFont="1" applyFill="1" applyBorder="1" applyAlignment="1">
      <alignment horizontal="left" vertical="center"/>
    </xf>
    <xf numFmtId="41" fontId="51" fillId="10" borderId="40" xfId="0" applyNumberFormat="1" applyFont="1" applyFill="1" applyBorder="1">
      <alignment vertical="center"/>
    </xf>
    <xf numFmtId="41" fontId="51" fillId="10" borderId="8" xfId="0" applyNumberFormat="1" applyFont="1" applyFill="1" applyBorder="1">
      <alignment vertical="center"/>
    </xf>
    <xf numFmtId="41" fontId="51" fillId="10" borderId="41" xfId="0" applyNumberFormat="1" applyFont="1" applyFill="1" applyBorder="1">
      <alignment vertical="center"/>
    </xf>
    <xf numFmtId="41" fontId="51" fillId="10" borderId="12" xfId="0" applyNumberFormat="1" applyFont="1" applyFill="1" applyBorder="1" applyAlignment="1">
      <alignment horizontal="left" vertical="center"/>
    </xf>
    <xf numFmtId="41" fontId="51" fillId="10" borderId="43" xfId="0" applyNumberFormat="1" applyFont="1" applyFill="1" applyBorder="1" applyAlignment="1">
      <alignment horizontal="left" vertical="center"/>
    </xf>
    <xf numFmtId="41" fontId="51" fillId="10" borderId="42" xfId="0" applyNumberFormat="1" applyFont="1" applyFill="1" applyBorder="1">
      <alignment vertical="center"/>
    </xf>
    <xf numFmtId="41" fontId="51" fillId="10" borderId="12" xfId="0" applyNumberFormat="1" applyFont="1" applyFill="1" applyBorder="1">
      <alignment vertical="center"/>
    </xf>
    <xf numFmtId="41" fontId="51" fillId="10" borderId="43" xfId="0" applyNumberFormat="1" applyFont="1" applyFill="1" applyBorder="1">
      <alignment vertical="center"/>
    </xf>
    <xf numFmtId="180" fontId="57" fillId="10" borderId="13" xfId="0" applyNumberFormat="1" applyFont="1" applyFill="1" applyBorder="1">
      <alignment vertical="center"/>
    </xf>
    <xf numFmtId="41" fontId="51" fillId="10" borderId="0" xfId="0" applyNumberFormat="1" applyFont="1" applyFill="1" applyBorder="1" applyAlignment="1">
      <alignment horizontal="left" vertical="center"/>
    </xf>
    <xf numFmtId="183" fontId="51" fillId="10" borderId="37" xfId="0" applyNumberFormat="1" applyFont="1" applyFill="1" applyBorder="1">
      <alignment vertical="center"/>
    </xf>
    <xf numFmtId="183" fontId="51" fillId="10" borderId="38" xfId="0" applyNumberFormat="1" applyFont="1" applyFill="1" applyBorder="1">
      <alignment vertical="center"/>
    </xf>
    <xf numFmtId="183" fontId="51" fillId="10" borderId="39" xfId="0" applyNumberFormat="1" applyFont="1" applyFill="1" applyBorder="1">
      <alignment vertical="center"/>
    </xf>
    <xf numFmtId="183" fontId="51" fillId="10" borderId="40" xfId="0" applyNumberFormat="1" applyFont="1" applyFill="1" applyBorder="1">
      <alignment vertical="center"/>
    </xf>
    <xf numFmtId="183" fontId="51" fillId="10" borderId="8" xfId="0" applyNumberFormat="1" applyFont="1" applyFill="1" applyBorder="1">
      <alignment vertical="center"/>
    </xf>
    <xf numFmtId="183" fontId="51" fillId="10" borderId="41" xfId="0" applyNumberFormat="1" applyFont="1" applyFill="1" applyBorder="1">
      <alignment vertical="center"/>
    </xf>
    <xf numFmtId="183" fontId="51" fillId="10" borderId="42" xfId="0" applyNumberFormat="1" applyFont="1" applyFill="1" applyBorder="1">
      <alignment vertical="center"/>
    </xf>
    <xf numFmtId="183" fontId="51" fillId="10" borderId="12" xfId="0" applyNumberFormat="1" applyFont="1" applyFill="1" applyBorder="1">
      <alignment vertical="center"/>
    </xf>
    <xf numFmtId="183" fontId="51" fillId="10" borderId="43" xfId="0" applyNumberFormat="1" applyFont="1" applyFill="1" applyBorder="1">
      <alignment vertical="center"/>
    </xf>
    <xf numFmtId="0" fontId="57" fillId="10" borderId="0" xfId="0" applyFont="1" applyFill="1" applyBorder="1">
      <alignment vertical="center"/>
    </xf>
    <xf numFmtId="174" fontId="51" fillId="10" borderId="37" xfId="58" applyNumberFormat="1" applyFont="1" applyFill="1" applyBorder="1" applyAlignment="1">
      <alignment vertical="center"/>
    </xf>
    <xf numFmtId="174" fontId="51" fillId="10" borderId="38" xfId="58" applyNumberFormat="1" applyFont="1" applyFill="1" applyBorder="1" applyAlignment="1">
      <alignment vertical="center"/>
    </xf>
    <xf numFmtId="174" fontId="51" fillId="10" borderId="39" xfId="58" applyNumberFormat="1" applyFont="1" applyFill="1" applyBorder="1" applyAlignment="1">
      <alignment vertical="center"/>
    </xf>
    <xf numFmtId="174" fontId="51" fillId="10" borderId="40" xfId="58" applyNumberFormat="1" applyFont="1" applyFill="1" applyBorder="1" applyAlignment="1">
      <alignment vertical="center"/>
    </xf>
    <xf numFmtId="174" fontId="51" fillId="10" borderId="8" xfId="58" applyNumberFormat="1" applyFont="1" applyFill="1" applyBorder="1" applyAlignment="1">
      <alignment vertical="center"/>
    </xf>
    <xf numFmtId="174" fontId="51" fillId="10" borderId="41" xfId="58" applyNumberFormat="1" applyFont="1" applyFill="1" applyBorder="1" applyAlignment="1">
      <alignment vertical="center"/>
    </xf>
    <xf numFmtId="174" fontId="51" fillId="10" borderId="42" xfId="58" applyNumberFormat="1" applyFont="1" applyFill="1" applyBorder="1" applyAlignment="1">
      <alignment vertical="center"/>
    </xf>
    <xf numFmtId="174" fontId="51" fillId="10" borderId="12" xfId="58" applyNumberFormat="1" applyFont="1" applyFill="1" applyBorder="1" applyAlignment="1">
      <alignment vertical="center"/>
    </xf>
    <xf numFmtId="174" fontId="51" fillId="10" borderId="43" xfId="58" applyNumberFormat="1" applyFont="1" applyFill="1" applyBorder="1" applyAlignment="1">
      <alignment vertical="center"/>
    </xf>
    <xf numFmtId="0" fontId="53" fillId="10" borderId="0" xfId="0" applyFont="1" applyFill="1" applyBorder="1" applyAlignment="1">
      <alignment horizontal="center" vertical="center"/>
    </xf>
    <xf numFmtId="0" fontId="58" fillId="10" borderId="0" xfId="56" applyFont="1" applyFill="1" applyBorder="1">
      <alignment vertical="center"/>
    </xf>
    <xf numFmtId="172" fontId="62" fillId="10" borderId="0" xfId="42" applyNumberFormat="1" applyFont="1" applyFill="1" applyBorder="1">
      <alignment vertical="center"/>
    </xf>
    <xf numFmtId="172" fontId="62" fillId="10" borderId="10" xfId="42" applyNumberFormat="1" applyFont="1" applyFill="1" applyBorder="1">
      <alignment vertical="center"/>
    </xf>
    <xf numFmtId="172" fontId="58" fillId="10" borderId="0" xfId="42" applyNumberFormat="1" applyFont="1" applyFill="1" applyBorder="1">
      <alignment vertical="center"/>
    </xf>
    <xf numFmtId="172" fontId="62" fillId="10" borderId="14" xfId="42" applyNumberFormat="1" applyFont="1" applyFill="1" applyBorder="1">
      <alignment vertical="center"/>
    </xf>
    <xf numFmtId="9" fontId="68" fillId="10" borderId="0" xfId="58" applyFont="1" applyFill="1" applyBorder="1" applyAlignment="1" applyProtection="1">
      <alignment vertical="center"/>
    </xf>
    <xf numFmtId="9" fontId="68" fillId="10" borderId="10" xfId="58" applyFont="1" applyFill="1" applyBorder="1" applyAlignment="1" applyProtection="1">
      <alignment vertical="center"/>
    </xf>
    <xf numFmtId="174" fontId="62" fillId="10" borderId="0" xfId="58" applyNumberFormat="1" applyFont="1" applyFill="1" applyBorder="1" applyAlignment="1" applyProtection="1">
      <alignment horizontal="center" vertical="center"/>
      <protection locked="0"/>
    </xf>
    <xf numFmtId="0" fontId="62" fillId="10" borderId="0" xfId="60" applyNumberFormat="1" applyFont="1" applyFill="1" applyBorder="1" applyAlignment="1" applyProtection="1">
      <alignment horizontal="left" vertical="center" indent="1"/>
      <protection locked="0"/>
    </xf>
    <xf numFmtId="176" fontId="51" fillId="10" borderId="0" xfId="0" applyNumberFormat="1" applyFont="1" applyFill="1" applyBorder="1" applyAlignment="1" applyProtection="1">
      <alignment horizontal="center" vertical="center"/>
      <protection locked="0"/>
    </xf>
    <xf numFmtId="37" fontId="51" fillId="10" borderId="0" xfId="60" applyNumberFormat="1" applyFont="1" applyFill="1" applyBorder="1" applyAlignment="1" applyProtection="1">
      <alignment horizontal="right" vertical="center"/>
      <protection locked="0"/>
    </xf>
    <xf numFmtId="9" fontId="62" fillId="10" borderId="0" xfId="59" applyNumberFormat="1" applyFont="1" applyFill="1" applyBorder="1" applyAlignment="1" applyProtection="1">
      <alignment horizontal="center" vertical="center"/>
    </xf>
    <xf numFmtId="0" fontId="62" fillId="10" borderId="0" xfId="4" applyFont="1" applyFill="1" applyBorder="1" applyAlignment="1">
      <alignment horizontal="right" vertical="center" wrapText="1" indent="1"/>
    </xf>
    <xf numFmtId="9" fontId="62" fillId="10" borderId="0" xfId="59" applyNumberFormat="1" applyFont="1" applyFill="1" applyBorder="1" applyAlignment="1" applyProtection="1">
      <alignment horizontal="center" vertical="center"/>
      <protection locked="0"/>
    </xf>
    <xf numFmtId="0" fontId="0" fillId="14" borderId="0" xfId="0" applyFill="1">
      <alignment vertical="center"/>
    </xf>
    <xf numFmtId="0" fontId="33" fillId="14" borderId="0" xfId="56" applyFont="1" applyFill="1">
      <alignment vertical="center"/>
    </xf>
    <xf numFmtId="0" fontId="34" fillId="14" borderId="0" xfId="50" applyFont="1" applyFill="1">
      <alignment horizontal="center" vertical="center"/>
    </xf>
    <xf numFmtId="0" fontId="33" fillId="14" borderId="0" xfId="0" applyFont="1" applyFill="1">
      <alignment vertical="center"/>
    </xf>
    <xf numFmtId="0" fontId="0" fillId="0" borderId="0" xfId="0" applyFill="1">
      <alignment vertical="center"/>
    </xf>
    <xf numFmtId="0" fontId="52" fillId="10" borderId="60" xfId="1" applyFont="1" applyFill="1" applyBorder="1">
      <alignment vertical="center"/>
    </xf>
    <xf numFmtId="0" fontId="52" fillId="10" borderId="61" xfId="1" applyFont="1" applyFill="1" applyBorder="1">
      <alignment vertical="center"/>
    </xf>
    <xf numFmtId="0" fontId="51" fillId="10" borderId="61" xfId="0" applyFont="1" applyFill="1" applyBorder="1">
      <alignment vertical="center"/>
    </xf>
    <xf numFmtId="172" fontId="63" fillId="13" borderId="29" xfId="12" applyNumberFormat="1" applyFont="1" applyFill="1" applyBorder="1" applyAlignment="1" applyProtection="1">
      <alignment horizontal="center" vertical="center"/>
    </xf>
    <xf numFmtId="172" fontId="63" fillId="13" borderId="30" xfId="12" applyNumberFormat="1" applyFont="1" applyFill="1" applyBorder="1" applyAlignment="1" applyProtection="1">
      <alignment horizontal="center" vertical="center"/>
    </xf>
    <xf numFmtId="172" fontId="63" fillId="13" borderId="16" xfId="12" applyNumberFormat="1" applyFont="1" applyFill="1" applyBorder="1" applyAlignment="1" applyProtection="1">
      <alignment horizontal="center" vertical="center"/>
    </xf>
    <xf numFmtId="0" fontId="62" fillId="10" borderId="61" xfId="0" applyFont="1" applyFill="1" applyBorder="1">
      <alignment vertical="center"/>
    </xf>
    <xf numFmtId="0" fontId="63" fillId="10" borderId="61" xfId="38" applyFont="1" applyFill="1" applyBorder="1">
      <alignment vertical="center"/>
    </xf>
    <xf numFmtId="172" fontId="63" fillId="13" borderId="44" xfId="12" applyNumberFormat="1" applyFont="1" applyFill="1" applyBorder="1" applyAlignment="1" applyProtection="1">
      <alignment horizontal="center" vertical="center"/>
    </xf>
    <xf numFmtId="0" fontId="53" fillId="10" borderId="62" xfId="36" applyFont="1" applyFill="1" applyBorder="1">
      <alignment vertical="center"/>
    </xf>
    <xf numFmtId="176" fontId="58" fillId="10" borderId="37" xfId="0" applyNumberFormat="1" applyFont="1" applyFill="1" applyBorder="1" applyAlignment="1">
      <alignment horizontal="center" vertical="center"/>
    </xf>
    <xf numFmtId="0" fontId="55" fillId="10" borderId="62" xfId="57" applyFont="1" applyFill="1" applyBorder="1" applyProtection="1">
      <alignment vertical="center"/>
    </xf>
    <xf numFmtId="3" fontId="58" fillId="10" borderId="40" xfId="60" applyNumberFormat="1" applyFont="1" applyFill="1" applyBorder="1" applyAlignment="1" applyProtection="1">
      <alignment horizontal="center" vertical="center"/>
    </xf>
    <xf numFmtId="0" fontId="51" fillId="10" borderId="62" xfId="0" applyFont="1" applyFill="1" applyBorder="1">
      <alignment vertical="center"/>
    </xf>
    <xf numFmtId="181" fontId="58" fillId="10" borderId="40" xfId="58" applyNumberFormat="1" applyFont="1" applyFill="1" applyBorder="1" applyAlignment="1">
      <alignment horizontal="center" vertical="center"/>
    </xf>
    <xf numFmtId="174" fontId="58" fillId="10" borderId="40" xfId="58" applyNumberFormat="1" applyFont="1" applyFill="1" applyBorder="1" applyAlignment="1">
      <alignment horizontal="center" vertical="center"/>
    </xf>
    <xf numFmtId="174" fontId="58" fillId="10" borderId="42" xfId="58" applyNumberFormat="1" applyFont="1" applyFill="1" applyBorder="1" applyAlignment="1">
      <alignment horizontal="center" vertical="center"/>
    </xf>
    <xf numFmtId="174" fontId="58" fillId="10" borderId="63" xfId="58" applyNumberFormat="1" applyFont="1" applyFill="1" applyBorder="1" applyAlignment="1">
      <alignment horizontal="center" vertical="center"/>
    </xf>
    <xf numFmtId="0" fontId="62" fillId="10" borderId="63" xfId="0" applyFont="1" applyFill="1" applyBorder="1">
      <alignment vertical="center"/>
    </xf>
    <xf numFmtId="0" fontId="53" fillId="10" borderId="62" xfId="38" applyFont="1" applyFill="1" applyBorder="1" applyAlignment="1">
      <alignment horizontal="center" vertical="center"/>
    </xf>
    <xf numFmtId="0" fontId="53" fillId="10" borderId="63" xfId="38" applyFont="1" applyFill="1" applyBorder="1" applyAlignment="1">
      <alignment horizontal="center" vertical="center"/>
    </xf>
    <xf numFmtId="0" fontId="62" fillId="10" borderId="63" xfId="56" applyFont="1" applyFill="1" applyBorder="1">
      <alignment vertical="center"/>
    </xf>
    <xf numFmtId="0" fontId="58" fillId="10" borderId="62" xfId="39" applyFont="1" applyFill="1" applyBorder="1" applyAlignment="1">
      <alignment horizontal="left" vertical="center"/>
    </xf>
    <xf numFmtId="0" fontId="58" fillId="13" borderId="62" xfId="12" applyNumberFormat="1" applyFont="1" applyFill="1" applyBorder="1" applyAlignment="1" applyProtection="1">
      <alignment horizontal="left" vertical="center"/>
    </xf>
    <xf numFmtId="0" fontId="51" fillId="10" borderId="63" xfId="0" applyFont="1" applyFill="1" applyBorder="1">
      <alignment vertical="center"/>
    </xf>
    <xf numFmtId="41" fontId="51" fillId="10" borderId="62" xfId="0" applyNumberFormat="1" applyFont="1" applyFill="1" applyBorder="1" applyAlignment="1">
      <alignment horizontal="left" vertical="center"/>
    </xf>
    <xf numFmtId="0" fontId="57" fillId="10" borderId="62" xfId="0" applyFont="1" applyFill="1" applyBorder="1">
      <alignment vertical="center"/>
    </xf>
    <xf numFmtId="0" fontId="53" fillId="10" borderId="62" xfId="0" applyFont="1" applyFill="1" applyBorder="1" applyAlignment="1">
      <alignment horizontal="center" vertical="center"/>
    </xf>
    <xf numFmtId="0" fontId="58" fillId="10" borderId="62" xfId="56" applyFont="1" applyFill="1" applyBorder="1">
      <alignment vertical="center"/>
    </xf>
    <xf numFmtId="0" fontId="62" fillId="10" borderId="62" xfId="56" applyFont="1" applyFill="1" applyBorder="1">
      <alignment vertical="center"/>
    </xf>
    <xf numFmtId="41" fontId="62" fillId="10" borderId="62" xfId="56" applyNumberFormat="1" applyFont="1" applyFill="1" applyBorder="1" applyAlignment="1">
      <alignment horizontal="left" vertical="center"/>
    </xf>
    <xf numFmtId="0" fontId="58" fillId="10" borderId="62" xfId="40" applyFont="1" applyFill="1" applyBorder="1" applyAlignment="1">
      <alignment horizontal="left" vertical="center"/>
    </xf>
    <xf numFmtId="0" fontId="62" fillId="10" borderId="62" xfId="40" applyFont="1" applyFill="1" applyBorder="1" applyAlignment="1">
      <alignment horizontal="left" vertical="center"/>
    </xf>
    <xf numFmtId="0" fontId="68" fillId="10" borderId="62" xfId="40" applyFont="1" applyFill="1" applyBorder="1" applyAlignment="1">
      <alignment horizontal="left" vertical="center" indent="1"/>
    </xf>
    <xf numFmtId="0" fontId="62" fillId="10" borderId="62" xfId="56" applyFont="1" applyFill="1" applyBorder="1" applyAlignment="1">
      <alignment horizontal="left" vertical="center"/>
    </xf>
    <xf numFmtId="0" fontId="51" fillId="10" borderId="64" xfId="0" applyFont="1" applyFill="1" applyBorder="1">
      <alignment vertical="center"/>
    </xf>
    <xf numFmtId="0" fontId="51" fillId="10" borderId="65" xfId="0" applyFont="1" applyFill="1" applyBorder="1">
      <alignment vertical="center"/>
    </xf>
    <xf numFmtId="0" fontId="51" fillId="10" borderId="66" xfId="0" applyFont="1" applyFill="1" applyBorder="1">
      <alignment vertical="center"/>
    </xf>
    <xf numFmtId="0" fontId="39" fillId="0" borderId="0" xfId="0" applyFont="1" applyBorder="1" applyAlignment="1">
      <alignment vertical="top" wrapText="1"/>
    </xf>
    <xf numFmtId="0" fontId="69" fillId="0" borderId="0" xfId="0" applyFont="1" applyBorder="1" applyAlignment="1">
      <alignment horizontal="center" vertical="top" wrapText="1"/>
    </xf>
  </cellXfs>
  <cellStyles count="91">
    <cellStyle name="Accent1 2" xfId="81" xr:uid="{00000000-0005-0000-0000-000000000000}"/>
    <cellStyle name="Accent2 2" xfId="82" xr:uid="{00000000-0005-0000-0000-000001000000}"/>
    <cellStyle name="Accent4 2" xfId="83" xr:uid="{00000000-0005-0000-0000-000002000000}"/>
    <cellStyle name="Assumption Currency." xfId="15" xr:uid="{00000000-0005-0000-0000-000003000000}"/>
    <cellStyle name="Assumption Date." xfId="11" xr:uid="{00000000-0005-0000-0000-000004000000}"/>
    <cellStyle name="Assumption Heading." xfId="9" xr:uid="{00000000-0005-0000-0000-000005000000}"/>
    <cellStyle name="Assumption Heading. 2" xfId="68" xr:uid="{00000000-0005-0000-0000-000006000000}"/>
    <cellStyle name="Assumption Heading. 3" xfId="74" xr:uid="{00000000-0005-0000-0000-000007000000}"/>
    <cellStyle name="Assumption Multiple." xfId="14" xr:uid="{00000000-0005-0000-0000-000008000000}"/>
    <cellStyle name="Assumption Number." xfId="12" xr:uid="{00000000-0005-0000-0000-000009000000}"/>
    <cellStyle name="Assumption Number. 2" xfId="73" xr:uid="{00000000-0005-0000-0000-00000A000000}"/>
    <cellStyle name="Assumption Percentage." xfId="13" xr:uid="{00000000-0005-0000-0000-00000B000000}"/>
    <cellStyle name="Assumption Percentage. 2" xfId="75" xr:uid="{00000000-0005-0000-0000-00000C000000}"/>
    <cellStyle name="Assumption Year." xfId="10" xr:uid="{00000000-0005-0000-0000-00000D000000}"/>
    <cellStyle name="Cell Link." xfId="16" xr:uid="{00000000-0005-0000-0000-00000E000000}"/>
    <cellStyle name="Check Cell 2" xfId="80" xr:uid="{00000000-0005-0000-0000-00000F000000}"/>
    <cellStyle name="Comma" xfId="59" builtinId="3"/>
    <cellStyle name="Comma 2" xfId="77" xr:uid="{00000000-0005-0000-0000-000011000000}"/>
    <cellStyle name="Currency" xfId="60" builtinId="4"/>
    <cellStyle name="Currency 2" xfId="62" xr:uid="{00000000-0005-0000-0000-000013000000}"/>
    <cellStyle name="Currency 3" xfId="78" xr:uid="{00000000-0005-0000-0000-000014000000}"/>
    <cellStyle name="Currency 4" xfId="85" xr:uid="{00000000-0005-0000-0000-000015000000}"/>
    <cellStyle name="Currency." xfId="22" xr:uid="{00000000-0005-0000-0000-000016000000}"/>
    <cellStyle name="Date." xfId="18" xr:uid="{00000000-0005-0000-0000-000017000000}"/>
    <cellStyle name="Header2" xfId="70" xr:uid="{00000000-0005-0000-0000-000018000000}"/>
    <cellStyle name="Heading 1." xfId="4" xr:uid="{00000000-0005-0000-0000-000019000000}"/>
    <cellStyle name="Heading 1. 3" xfId="67" xr:uid="{00000000-0005-0000-0000-00001A000000}"/>
    <cellStyle name="Heading 2." xfId="5" xr:uid="{00000000-0005-0000-0000-00001B000000}"/>
    <cellStyle name="Heading 3." xfId="6" xr:uid="{00000000-0005-0000-0000-00001C000000}"/>
    <cellStyle name="Heading 3. 3" xfId="66" xr:uid="{00000000-0005-0000-0000-00001D000000}"/>
    <cellStyle name="Heading 4." xfId="7" xr:uid="{00000000-0005-0000-0000-00001E000000}"/>
    <cellStyle name="Hyperlink" xfId="57" builtinId="8"/>
    <cellStyle name="Hyperlink 2" xfId="87" xr:uid="{CA4CF191-BED5-4C26-AD1C-4FEF371EA874}"/>
    <cellStyle name="Hyperlink 2 2" xfId="89" xr:uid="{707F021E-37AD-44FE-A637-295D257A11EA}"/>
    <cellStyle name="Hyperlink 2 3" xfId="90" xr:uid="{0988A5AD-AF96-43D8-A443-3659560B487E}"/>
    <cellStyle name="Hyperlink Arrow." xfId="28" xr:uid="{00000000-0005-0000-0000-000020000000}"/>
    <cellStyle name="Hyperlink Check." xfId="29" xr:uid="{00000000-0005-0000-0000-000021000000}"/>
    <cellStyle name="Hyperlink Text." xfId="27" xr:uid="{00000000-0005-0000-0000-000022000000}"/>
    <cellStyle name="Hyperlink TOC 1." xfId="30" xr:uid="{00000000-0005-0000-0000-000023000000}"/>
    <cellStyle name="Hyperlink TOC 2." xfId="31" xr:uid="{00000000-0005-0000-0000-000024000000}"/>
    <cellStyle name="Hyperlink TOC 3." xfId="32" xr:uid="{00000000-0005-0000-0000-000025000000}"/>
    <cellStyle name="Hyperlink TOC 4." xfId="33" xr:uid="{00000000-0005-0000-0000-000026000000}"/>
    <cellStyle name="Lookup Table Heading." xfId="24" xr:uid="{00000000-0005-0000-0000-000027000000}"/>
    <cellStyle name="Lookup Table Label." xfId="26" xr:uid="{00000000-0005-0000-0000-000028000000}"/>
    <cellStyle name="Lookup Table Number." xfId="25" xr:uid="{00000000-0005-0000-0000-000029000000}"/>
    <cellStyle name="Model Name." xfId="3" xr:uid="{00000000-0005-0000-0000-00002A000000}"/>
    <cellStyle name="Model Name. 3" xfId="71" xr:uid="{00000000-0005-0000-0000-00002B000000}"/>
    <cellStyle name="Multiple." xfId="21" xr:uid="{00000000-0005-0000-0000-00002C000000}"/>
    <cellStyle name="Normal" xfId="0" builtinId="0" customBuiltin="1"/>
    <cellStyle name="Normal 2" xfId="61" xr:uid="{00000000-0005-0000-0000-00002E000000}"/>
    <cellStyle name="Normal 3" xfId="72" xr:uid="{00000000-0005-0000-0000-00002F000000}"/>
    <cellStyle name="Normal 4" xfId="76" xr:uid="{00000000-0005-0000-0000-000030000000}"/>
    <cellStyle name="Normal 5" xfId="84" xr:uid="{00000000-0005-0000-0000-000031000000}"/>
    <cellStyle name="Normal 6" xfId="86" xr:uid="{4079FC18-CE65-4AF2-8C5A-7917F0CE5D32}"/>
    <cellStyle name="Normal 6 2" xfId="88" xr:uid="{052672C4-B637-44AB-A8DA-8ED5C408E612}"/>
    <cellStyle name="Number." xfId="19" xr:uid="{00000000-0005-0000-0000-000032000000}"/>
    <cellStyle name="Percent" xfId="58" builtinId="5"/>
    <cellStyle name="Percent 2" xfId="63" xr:uid="{00000000-0005-0000-0000-000034000000}"/>
    <cellStyle name="Percent 3" xfId="79" xr:uid="{00000000-0005-0000-0000-000035000000}"/>
    <cellStyle name="Percentage." xfId="20" xr:uid="{00000000-0005-0000-0000-000036000000}"/>
    <cellStyle name="Period Title." xfId="23" xr:uid="{00000000-0005-0000-0000-000037000000}"/>
    <cellStyle name="Presentation Currency." xfId="45" xr:uid="{00000000-0005-0000-0000-000038000000}"/>
    <cellStyle name="Presentation Date." xfId="47" xr:uid="{00000000-0005-0000-0000-000039000000}"/>
    <cellStyle name="Presentation Heading 1." xfId="37" xr:uid="{00000000-0005-0000-0000-00003A000000}"/>
    <cellStyle name="Presentation Heading 2." xfId="38" xr:uid="{00000000-0005-0000-0000-00003B000000}"/>
    <cellStyle name="Presentation Heading 3." xfId="39" xr:uid="{00000000-0005-0000-0000-00003C000000}"/>
    <cellStyle name="Presentation Heading 4." xfId="40" xr:uid="{00000000-0005-0000-0000-00003D000000}"/>
    <cellStyle name="Presentation Hyperlink Arrow." xfId="50" xr:uid="{00000000-0005-0000-0000-00003E000000}"/>
    <cellStyle name="Presentation Hyperlink Check." xfId="51" xr:uid="{00000000-0005-0000-0000-00003F000000}"/>
    <cellStyle name="Presentation Hyperlink Text." xfId="49" xr:uid="{00000000-0005-0000-0000-000040000000}"/>
    <cellStyle name="Presentation Model Name." xfId="36" xr:uid="{00000000-0005-0000-0000-000041000000}"/>
    <cellStyle name="Presentation Multiple." xfId="44" xr:uid="{00000000-0005-0000-0000-000042000000}"/>
    <cellStyle name="Presentation Normal." xfId="56" xr:uid="{00000000-0005-0000-0000-000043000000}"/>
    <cellStyle name="Presentation Normal. 2" xfId="69" xr:uid="{00000000-0005-0000-0000-000044000000}"/>
    <cellStyle name="Presentation Number." xfId="42" xr:uid="{00000000-0005-0000-0000-000045000000}"/>
    <cellStyle name="Presentation Percentage." xfId="43" xr:uid="{00000000-0005-0000-0000-000046000000}"/>
    <cellStyle name="Presentation Period Title." xfId="48" xr:uid="{00000000-0005-0000-0000-000047000000}"/>
    <cellStyle name="Presentation Section Number." xfId="35" xr:uid="{00000000-0005-0000-0000-000048000000}"/>
    <cellStyle name="Presentation Sheet Title." xfId="34" xr:uid="{00000000-0005-0000-0000-000049000000}"/>
    <cellStyle name="Presentation Sub Total." xfId="41" xr:uid="{00000000-0005-0000-0000-00004A000000}"/>
    <cellStyle name="Presentation TOC 1." xfId="52" xr:uid="{00000000-0005-0000-0000-00004B000000}"/>
    <cellStyle name="Presentation TOC 2." xfId="53" xr:uid="{00000000-0005-0000-0000-00004C000000}"/>
    <cellStyle name="Presentation TOC 3." xfId="54" xr:uid="{00000000-0005-0000-0000-00004D000000}"/>
    <cellStyle name="Presentation TOC 4." xfId="55" xr:uid="{00000000-0005-0000-0000-00004E000000}"/>
    <cellStyle name="Presentation Year." xfId="46" xr:uid="{00000000-0005-0000-0000-00004F000000}"/>
    <cellStyle name="Section Number." xfId="2" xr:uid="{00000000-0005-0000-0000-000050000000}"/>
    <cellStyle name="Sheet Title." xfId="1" xr:uid="{00000000-0005-0000-0000-000051000000}"/>
    <cellStyle name="Sheet Title. 3" xfId="64" xr:uid="{00000000-0005-0000-0000-000052000000}"/>
    <cellStyle name="Sub Total." xfId="8" xr:uid="{00000000-0005-0000-0000-000053000000}"/>
    <cellStyle name="Year." xfId="17" xr:uid="{00000000-0005-0000-0000-000054000000}"/>
    <cellStyle name="Обычный 2" xfId="65" xr:uid="{00000000-0005-0000-0000-000055000000}"/>
  </cellStyles>
  <dxfs count="8">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0000"/>
        </patternFill>
      </fill>
    </dxf>
    <dxf>
      <font>
        <color rgb="FFFF0000"/>
      </font>
      <fill>
        <patternFill>
          <bgColor theme="0" tint="-0.14996795556505021"/>
        </patternFill>
      </fill>
    </dxf>
    <dxf>
      <font>
        <color rgb="FFFF0000"/>
      </font>
      <fill>
        <patternFill>
          <bgColor theme="0" tint="-0.14996795556505021"/>
        </patternFill>
      </fill>
    </dxf>
    <dxf>
      <font>
        <color rgb="FFFF0000"/>
      </font>
      <fill>
        <patternFill>
          <bgColor theme="0" tint="-0.1499679555650502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FFFF99"/>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993366"/>
      <rgbColor rgb="00339966"/>
      <rgbColor rgb="00CB2840"/>
      <rgbColor rgb="00007767"/>
      <rgbColor rgb="000069B3"/>
      <rgbColor rgb="00993366"/>
      <rgbColor rgb="00FFFF78"/>
      <rgbColor rgb="00FFFFFF"/>
    </indexedColors>
    <mruColors>
      <color rgb="FFFC2025"/>
      <color rgb="FF0069B3"/>
      <color rgb="FFFFFF99"/>
      <color rgb="FF000000"/>
      <color rgb="FF898989"/>
      <color rgb="FF0099FF"/>
      <color rgb="FF70AD47"/>
      <color rgb="FF0070C0"/>
      <color rgb="FF993366"/>
      <color rgb="FFD8D8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0.1457704482218693"/>
          <c:w val="1"/>
          <c:h val="0.69118673470537217"/>
        </c:manualLayout>
      </c:layout>
      <c:barChart>
        <c:barDir val="col"/>
        <c:grouping val="clustered"/>
        <c:varyColors val="0"/>
        <c:ser>
          <c:idx val="1"/>
          <c:order val="0"/>
          <c:tx>
            <c:strRef>
              <c:f>Dashboard!$B$40</c:f>
              <c:strCache>
                <c:ptCount val="1"/>
                <c:pt idx="0">
                  <c:v>Revenue</c:v>
                </c:pt>
              </c:strCache>
              <c:extLst xmlns:c15="http://schemas.microsoft.com/office/drawing/2012/chart"/>
            </c:strRef>
          </c:tx>
          <c:invertIfNegative val="0"/>
          <c:dLbls>
            <c:numFmt formatCode="#,##0" sourceLinked="0"/>
            <c:spPr>
              <a:solidFill>
                <a:schemeClr val="accent2">
                  <a:lumMod val="20000"/>
                  <a:lumOff val="80000"/>
                </a:schemeClr>
              </a:solidFill>
              <a:ln>
                <a:noFill/>
              </a:ln>
              <a:effectLst/>
            </c:spPr>
            <c:txPr>
              <a:bodyPr wrap="square" lIns="38100" tIns="19050" rIns="38100" bIns="19050" anchor="ctr">
                <a:spAutoFit/>
              </a:bodyPr>
              <a:lstStyle/>
              <a:p>
                <a:pPr>
                  <a:defRPr sz="700" b="1">
                    <a:latin typeface="+mj-lt"/>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Dashboard!$H$35:$L$35</c:f>
              <c:numCache>
                <c:formatCode>_(###0_);\(###0\);_("-"_);_)@_)</c:formatCode>
                <c:ptCount val="5"/>
                <c:pt idx="0">
                  <c:v>2018</c:v>
                </c:pt>
                <c:pt idx="1">
                  <c:v>2019</c:v>
                </c:pt>
                <c:pt idx="2">
                  <c:v>2020</c:v>
                </c:pt>
                <c:pt idx="3">
                  <c:v>2021</c:v>
                </c:pt>
                <c:pt idx="4">
                  <c:v>2022</c:v>
                </c:pt>
              </c:numCache>
            </c:numRef>
          </c:cat>
          <c:val>
            <c:numRef>
              <c:f>Dashboard!$H$40:$L$40</c:f>
              <c:numCache>
                <c:formatCode>_(#,##0_);\(#,##0\);_("-"_);_)@_)</c:formatCode>
                <c:ptCount val="5"/>
                <c:pt idx="0">
                  <c:v>110000</c:v>
                </c:pt>
                <c:pt idx="1">
                  <c:v>145200</c:v>
                </c:pt>
                <c:pt idx="2">
                  <c:v>191664.00000000003</c:v>
                </c:pt>
                <c:pt idx="3">
                  <c:v>252996.48000000004</c:v>
                </c:pt>
                <c:pt idx="4">
                  <c:v>333955.35360000015</c:v>
                </c:pt>
              </c:numCache>
              <c:extLst xmlns:c15="http://schemas.microsoft.com/office/drawing/2012/chart"/>
            </c:numRef>
          </c:val>
          <c:extLst xmlns:c15="http://schemas.microsoft.com/office/drawing/2012/chart">
            <c:ext xmlns:c16="http://schemas.microsoft.com/office/drawing/2014/chart" uri="{C3380CC4-5D6E-409C-BE32-E72D297353CC}">
              <c16:uniqueId val="{00000000-7F80-421C-9338-91EB882489DD}"/>
            </c:ext>
          </c:extLst>
        </c:ser>
        <c:ser>
          <c:idx val="2"/>
          <c:order val="1"/>
          <c:tx>
            <c:strRef>
              <c:f>Dashboard!$B$47</c:f>
              <c:strCache>
                <c:ptCount val="1"/>
                <c:pt idx="0">
                  <c:v>EBITDA</c:v>
                </c:pt>
              </c:strCache>
              <c:extLst xmlns:c15="http://schemas.microsoft.com/office/drawing/2012/chart"/>
            </c:strRef>
          </c:tx>
          <c:invertIfNegative val="0"/>
          <c:dLbls>
            <c:numFmt formatCode="#,##0" sourceLinked="0"/>
            <c:spPr>
              <a:solidFill>
                <a:schemeClr val="bg1">
                  <a:lumMod val="85000"/>
                </a:schemeClr>
              </a:solidFill>
              <a:ln>
                <a:noFill/>
              </a:ln>
              <a:effectLst/>
            </c:spPr>
            <c:txPr>
              <a:bodyPr wrap="square" lIns="38100" tIns="19050" rIns="38100" bIns="19050" anchor="ctr">
                <a:spAutoFit/>
              </a:bodyPr>
              <a:lstStyle/>
              <a:p>
                <a:pPr>
                  <a:defRPr sz="700" b="1">
                    <a:latin typeface="+mj-lt"/>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Dashboard!$H$35:$L$35</c:f>
              <c:numCache>
                <c:formatCode>_(###0_);\(###0\);_("-"_);_)@_)</c:formatCode>
                <c:ptCount val="5"/>
                <c:pt idx="0">
                  <c:v>2018</c:v>
                </c:pt>
                <c:pt idx="1">
                  <c:v>2019</c:v>
                </c:pt>
                <c:pt idx="2">
                  <c:v>2020</c:v>
                </c:pt>
                <c:pt idx="3">
                  <c:v>2021</c:v>
                </c:pt>
                <c:pt idx="4">
                  <c:v>2022</c:v>
                </c:pt>
              </c:numCache>
            </c:numRef>
          </c:cat>
          <c:val>
            <c:numRef>
              <c:f>Dashboard!$H$47:$L$47</c:f>
              <c:numCache>
                <c:formatCode>_(#,##0_);\(#,##0\);_("-"_);_)@_)</c:formatCode>
                <c:ptCount val="5"/>
                <c:pt idx="0">
                  <c:v>39500</c:v>
                </c:pt>
                <c:pt idx="1">
                  <c:v>60780</c:v>
                </c:pt>
                <c:pt idx="2">
                  <c:v>89301.6</c:v>
                </c:pt>
                <c:pt idx="3">
                  <c:v>127403.71200000003</c:v>
                </c:pt>
                <c:pt idx="4">
                  <c:v>178174.77984000015</c:v>
                </c:pt>
              </c:numCache>
              <c:extLst xmlns:c15="http://schemas.microsoft.com/office/drawing/2012/chart"/>
            </c:numRef>
          </c:val>
          <c:extLst xmlns:c15="http://schemas.microsoft.com/office/drawing/2012/chart">
            <c:ext xmlns:c16="http://schemas.microsoft.com/office/drawing/2014/chart" uri="{C3380CC4-5D6E-409C-BE32-E72D297353CC}">
              <c16:uniqueId val="{00000001-7F80-421C-9338-91EB882489DD}"/>
            </c:ext>
          </c:extLst>
        </c:ser>
        <c:dLbls>
          <c:showLegendKey val="0"/>
          <c:showVal val="0"/>
          <c:showCatName val="0"/>
          <c:showSerName val="0"/>
          <c:showPercent val="0"/>
          <c:showBubbleSize val="0"/>
        </c:dLbls>
        <c:gapWidth val="25"/>
        <c:axId val="1256431920"/>
        <c:axId val="1256432464"/>
      </c:barChart>
      <c:lineChart>
        <c:grouping val="stacked"/>
        <c:varyColors val="0"/>
        <c:ser>
          <c:idx val="0"/>
          <c:order val="2"/>
          <c:tx>
            <c:strRef>
              <c:f>Dashboard!$B$48</c:f>
              <c:strCache>
                <c:ptCount val="1"/>
                <c:pt idx="0">
                  <c:v>EBITDA %</c:v>
                </c:pt>
              </c:strCache>
            </c:strRef>
          </c:tx>
          <c:marker>
            <c:symbol val="circle"/>
            <c:size val="28"/>
            <c:spPr>
              <a:solidFill>
                <a:schemeClr val="accent4"/>
              </a:solidFill>
              <a:ln>
                <a:miter lim="800000"/>
              </a:ln>
            </c:spPr>
          </c:marker>
          <c:dLbls>
            <c:numFmt formatCode="0.0%" sourceLinked="0"/>
            <c:spPr>
              <a:noFill/>
              <a:ln>
                <a:noFill/>
              </a:ln>
              <a:effectLst/>
            </c:spPr>
            <c:txPr>
              <a:bodyPr wrap="square" lIns="38100" tIns="19050" rIns="38100" bIns="19050" anchor="ctr">
                <a:spAutoFit/>
              </a:bodyPr>
              <a:lstStyle/>
              <a:p>
                <a:pPr>
                  <a:defRPr sz="700" b="1">
                    <a:solidFill>
                      <a:sysClr val="windowText" lastClr="000000"/>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Dashboard!$H$35:$L$35</c:f>
              <c:numCache>
                <c:formatCode>_(###0_);\(###0\);_("-"_);_)@_)</c:formatCode>
                <c:ptCount val="5"/>
                <c:pt idx="0">
                  <c:v>2018</c:v>
                </c:pt>
                <c:pt idx="1">
                  <c:v>2019</c:v>
                </c:pt>
                <c:pt idx="2">
                  <c:v>2020</c:v>
                </c:pt>
                <c:pt idx="3">
                  <c:v>2021</c:v>
                </c:pt>
                <c:pt idx="4">
                  <c:v>2022</c:v>
                </c:pt>
              </c:numCache>
            </c:numRef>
          </c:cat>
          <c:val>
            <c:numRef>
              <c:f>Dashboard!$H$48:$L$48</c:f>
              <c:numCache>
                <c:formatCode>0%</c:formatCode>
                <c:ptCount val="5"/>
                <c:pt idx="0">
                  <c:v>0.35909090909090907</c:v>
                </c:pt>
                <c:pt idx="1">
                  <c:v>0.41859504132231407</c:v>
                </c:pt>
                <c:pt idx="2">
                  <c:v>0.46592787377911343</c:v>
                </c:pt>
                <c:pt idx="3">
                  <c:v>0.50357899050611299</c:v>
                </c:pt>
                <c:pt idx="4">
                  <c:v>0.5335287424480446</c:v>
                </c:pt>
              </c:numCache>
            </c:numRef>
          </c:val>
          <c:smooth val="0"/>
          <c:extLst>
            <c:ext xmlns:c16="http://schemas.microsoft.com/office/drawing/2014/chart" uri="{C3380CC4-5D6E-409C-BE32-E72D297353CC}">
              <c16:uniqueId val="{00000000-DE73-4E69-8241-B3455042CBB6}"/>
            </c:ext>
          </c:extLst>
        </c:ser>
        <c:dLbls>
          <c:showLegendKey val="0"/>
          <c:showVal val="0"/>
          <c:showCatName val="0"/>
          <c:showSerName val="0"/>
          <c:showPercent val="0"/>
          <c:showBubbleSize val="0"/>
        </c:dLbls>
        <c:marker val="1"/>
        <c:smooth val="0"/>
        <c:axId val="1178353840"/>
        <c:axId val="1175514944"/>
      </c:lineChart>
      <c:catAx>
        <c:axId val="1256431920"/>
        <c:scaling>
          <c:orientation val="minMax"/>
        </c:scaling>
        <c:delete val="0"/>
        <c:axPos val="b"/>
        <c:numFmt formatCode="_(###0_);\(###0\);_(&quot;-&quot;_);_)@_)" sourceLinked="1"/>
        <c:majorTickMark val="out"/>
        <c:minorTickMark val="none"/>
        <c:tickLblPos val="low"/>
        <c:spPr>
          <a:ln>
            <a:noFill/>
          </a:ln>
        </c:spPr>
        <c:txPr>
          <a:bodyPr/>
          <a:lstStyle/>
          <a:p>
            <a:pPr>
              <a:defRPr b="1"/>
            </a:pPr>
            <a:endParaRPr lang="en-US"/>
          </a:p>
        </c:txPr>
        <c:crossAx val="1256432464"/>
        <c:crosses val="autoZero"/>
        <c:auto val="1"/>
        <c:lblAlgn val="ctr"/>
        <c:lblOffset val="500"/>
        <c:noMultiLvlLbl val="0"/>
      </c:catAx>
      <c:valAx>
        <c:axId val="1256432464"/>
        <c:scaling>
          <c:orientation val="minMax"/>
        </c:scaling>
        <c:delete val="0"/>
        <c:axPos val="l"/>
        <c:numFmt formatCode="#,##0.00" sourceLinked="0"/>
        <c:majorTickMark val="out"/>
        <c:minorTickMark val="none"/>
        <c:tickLblPos val="none"/>
        <c:spPr>
          <a:ln>
            <a:noFill/>
          </a:ln>
        </c:spPr>
        <c:crossAx val="1256431920"/>
        <c:crosses val="autoZero"/>
        <c:crossBetween val="between"/>
      </c:valAx>
      <c:valAx>
        <c:axId val="1175514944"/>
        <c:scaling>
          <c:orientation val="minMax"/>
          <c:min val="0"/>
        </c:scaling>
        <c:delete val="0"/>
        <c:axPos val="r"/>
        <c:numFmt formatCode="0%" sourceLinked="1"/>
        <c:majorTickMark val="out"/>
        <c:minorTickMark val="none"/>
        <c:tickLblPos val="none"/>
        <c:spPr>
          <a:ln>
            <a:noFill/>
          </a:ln>
        </c:spPr>
        <c:crossAx val="1178353840"/>
        <c:crosses val="max"/>
        <c:crossBetween val="between"/>
      </c:valAx>
      <c:catAx>
        <c:axId val="1178353840"/>
        <c:scaling>
          <c:orientation val="minMax"/>
        </c:scaling>
        <c:delete val="1"/>
        <c:axPos val="b"/>
        <c:numFmt formatCode="_(###0_);\(###0\);_(&quot;-&quot;_);_)@_)" sourceLinked="1"/>
        <c:majorTickMark val="out"/>
        <c:minorTickMark val="none"/>
        <c:tickLblPos val="nextTo"/>
        <c:crossAx val="1175514944"/>
        <c:crosses val="autoZero"/>
        <c:auto val="1"/>
        <c:lblAlgn val="ctr"/>
        <c:lblOffset val="100"/>
        <c:noMultiLvlLbl val="0"/>
      </c:catAx>
      <c:spPr>
        <a:noFill/>
      </c:spPr>
    </c:plotArea>
    <c:legend>
      <c:legendPos val="t"/>
      <c:layout>
        <c:manualLayout>
          <c:xMode val="edge"/>
          <c:yMode val="edge"/>
          <c:x val="5.3298405792661131E-2"/>
          <c:y val="0"/>
          <c:w val="0.89901753525945438"/>
          <c:h val="8.903247609070325E-2"/>
        </c:manualLayout>
      </c:layout>
      <c:overlay val="0"/>
      <c:txPr>
        <a:bodyPr/>
        <a:lstStyle/>
        <a:p>
          <a:pPr>
            <a:defRPr sz="800" b="1"/>
          </a:pPr>
          <a:endParaRPr lang="en-US"/>
        </a:p>
      </c:txPr>
    </c:legend>
    <c:plotVisOnly val="1"/>
    <c:dispBlanksAs val="gap"/>
    <c:showDLblsOverMax val="0"/>
  </c:chart>
  <c:spPr>
    <a:noFill/>
    <a:ln>
      <a:noFill/>
    </a:ln>
  </c:spPr>
  <c:txPr>
    <a:bodyPr/>
    <a:lstStyle/>
    <a:p>
      <a:pPr>
        <a:defRPr sz="800"/>
      </a:pPr>
      <a:endParaRPr lang="en-US"/>
    </a:p>
  </c:txPr>
  <c:printSettings>
    <c:headerFooter/>
    <c:pageMargins b="0.75000000000000144" l="0.70000000000000062" r="0.70000000000000062" t="0.750000000000001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0.13021177416614141"/>
          <c:w val="1"/>
          <c:h val="0.74770168025184536"/>
        </c:manualLayout>
      </c:layout>
      <c:barChart>
        <c:barDir val="col"/>
        <c:grouping val="stacked"/>
        <c:varyColors val="0"/>
        <c:ser>
          <c:idx val="0"/>
          <c:order val="1"/>
          <c:tx>
            <c:strRef>
              <c:f>'Financial Summary'!$B$54</c:f>
              <c:strCache>
                <c:ptCount val="1"/>
                <c:pt idx="0">
                  <c:v>Operating</c:v>
                </c:pt>
              </c:strCache>
            </c:strRef>
          </c:tx>
          <c:spPr>
            <a:solidFill>
              <a:schemeClr val="accent1"/>
            </a:solidFill>
          </c:spPr>
          <c:invertIfNegative val="0"/>
          <c:cat>
            <c:numRef>
              <c:f>'Financial Summary'!$J$53:$N$53</c:f>
              <c:numCache>
                <c:formatCode>_(###0_);\(###0\);_("-"_);_)@_)</c:formatCode>
                <c:ptCount val="5"/>
                <c:pt idx="0">
                  <c:v>2018</c:v>
                </c:pt>
                <c:pt idx="1">
                  <c:v>2019</c:v>
                </c:pt>
                <c:pt idx="2">
                  <c:v>2020</c:v>
                </c:pt>
                <c:pt idx="3">
                  <c:v>2021</c:v>
                </c:pt>
                <c:pt idx="4">
                  <c:v>2022</c:v>
                </c:pt>
              </c:numCache>
            </c:numRef>
          </c:cat>
          <c:val>
            <c:numRef>
              <c:f>'Financial Summary'!$J$54:$N$54</c:f>
              <c:numCache>
                <c:formatCode>_(#,##0_);\(#,##0\);_("-"_);_)@_)</c:formatCode>
                <c:ptCount val="5"/>
                <c:pt idx="0">
                  <c:v>35850.757575757569</c:v>
                </c:pt>
                <c:pt idx="1">
                  <c:v>55791.242424242431</c:v>
                </c:pt>
                <c:pt idx="2">
                  <c:v>79704.040000000052</c:v>
                </c:pt>
                <c:pt idx="3">
                  <c:v>111862.31280000007</c:v>
                </c:pt>
                <c:pt idx="4">
                  <c:v>149324.06208273821</c:v>
                </c:pt>
              </c:numCache>
            </c:numRef>
          </c:val>
          <c:extLst>
            <c:ext xmlns:c16="http://schemas.microsoft.com/office/drawing/2014/chart" uri="{C3380CC4-5D6E-409C-BE32-E72D297353CC}">
              <c16:uniqueId val="{00000000-D32E-4D57-B84C-82244AA0EC12}"/>
            </c:ext>
          </c:extLst>
        </c:ser>
        <c:ser>
          <c:idx val="1"/>
          <c:order val="2"/>
          <c:tx>
            <c:strRef>
              <c:f>'Financial Summary'!$B$55</c:f>
              <c:strCache>
                <c:ptCount val="1"/>
                <c:pt idx="0">
                  <c:v>Investing</c:v>
                </c:pt>
              </c:strCache>
            </c:strRef>
          </c:tx>
          <c:spPr>
            <a:solidFill>
              <a:srgbClr val="FC2025"/>
            </a:solidFill>
          </c:spPr>
          <c:invertIfNegative val="0"/>
          <c:cat>
            <c:numRef>
              <c:f>'Financial Summary'!$J$53:$N$53</c:f>
              <c:numCache>
                <c:formatCode>_(###0_);\(###0\);_("-"_);_)@_)</c:formatCode>
                <c:ptCount val="5"/>
                <c:pt idx="0">
                  <c:v>2018</c:v>
                </c:pt>
                <c:pt idx="1">
                  <c:v>2019</c:v>
                </c:pt>
                <c:pt idx="2">
                  <c:v>2020</c:v>
                </c:pt>
                <c:pt idx="3">
                  <c:v>2021</c:v>
                </c:pt>
                <c:pt idx="4">
                  <c:v>2022</c:v>
                </c:pt>
              </c:numCache>
            </c:numRef>
          </c:cat>
          <c:val>
            <c:numRef>
              <c:f>'Financial Summary'!$J$55:$N$55</c:f>
              <c:numCache>
                <c:formatCode>_(#,##0_);\(#,##0\);_("-"_);_)@_)</c:formatCode>
                <c:ptCount val="5"/>
                <c:pt idx="0">
                  <c:v>-150000</c:v>
                </c:pt>
                <c:pt idx="1">
                  <c:v>0</c:v>
                </c:pt>
                <c:pt idx="2">
                  <c:v>0</c:v>
                </c:pt>
                <c:pt idx="3">
                  <c:v>0</c:v>
                </c:pt>
                <c:pt idx="4">
                  <c:v>0</c:v>
                </c:pt>
              </c:numCache>
              <c:extLst xmlns:c15="http://schemas.microsoft.com/office/drawing/2012/chart"/>
            </c:numRef>
          </c:val>
          <c:extLst xmlns:c15="http://schemas.microsoft.com/office/drawing/2012/chart">
            <c:ext xmlns:c16="http://schemas.microsoft.com/office/drawing/2014/chart" uri="{C3380CC4-5D6E-409C-BE32-E72D297353CC}">
              <c16:uniqueId val="{00000001-D32E-4D57-B84C-82244AA0EC12}"/>
            </c:ext>
          </c:extLst>
        </c:ser>
        <c:ser>
          <c:idx val="2"/>
          <c:order val="3"/>
          <c:tx>
            <c:strRef>
              <c:f>'Financial Summary'!$B$56</c:f>
              <c:strCache>
                <c:ptCount val="1"/>
                <c:pt idx="0">
                  <c:v>Financing</c:v>
                </c:pt>
              </c:strCache>
            </c:strRef>
          </c:tx>
          <c:invertIfNegative val="0"/>
          <c:cat>
            <c:numRef>
              <c:f>'Financial Summary'!$J$53:$N$53</c:f>
              <c:numCache>
                <c:formatCode>_(###0_);\(###0\);_("-"_);_)@_)</c:formatCode>
                <c:ptCount val="5"/>
                <c:pt idx="0">
                  <c:v>2018</c:v>
                </c:pt>
                <c:pt idx="1">
                  <c:v>2019</c:v>
                </c:pt>
                <c:pt idx="2">
                  <c:v>2020</c:v>
                </c:pt>
                <c:pt idx="3">
                  <c:v>2021</c:v>
                </c:pt>
                <c:pt idx="4">
                  <c:v>2022</c:v>
                </c:pt>
              </c:numCache>
            </c:numRef>
          </c:cat>
          <c:val>
            <c:numRef>
              <c:f>'Financial Summary'!$J$56:$N$56</c:f>
              <c:numCache>
                <c:formatCode>_(#,##0_);\(#,##0\);_("-"_);_)@_)</c:formatCode>
                <c:ptCount val="5"/>
                <c:pt idx="0">
                  <c:v>240000</c:v>
                </c:pt>
                <c:pt idx="1">
                  <c:v>-50000</c:v>
                </c:pt>
                <c:pt idx="2">
                  <c:v>0</c:v>
                </c:pt>
                <c:pt idx="3">
                  <c:v>0</c:v>
                </c:pt>
                <c:pt idx="4">
                  <c:v>64812.883723602085</c:v>
                </c:pt>
              </c:numCache>
              <c:extLst xmlns:c15="http://schemas.microsoft.com/office/drawing/2012/chart"/>
            </c:numRef>
          </c:val>
          <c:extLst xmlns:c15="http://schemas.microsoft.com/office/drawing/2012/chart">
            <c:ext xmlns:c16="http://schemas.microsoft.com/office/drawing/2014/chart" uri="{C3380CC4-5D6E-409C-BE32-E72D297353CC}">
              <c16:uniqueId val="{00000002-D32E-4D57-B84C-82244AA0EC12}"/>
            </c:ext>
          </c:extLst>
        </c:ser>
        <c:dLbls>
          <c:showLegendKey val="0"/>
          <c:showVal val="0"/>
          <c:showCatName val="0"/>
          <c:showSerName val="0"/>
          <c:showPercent val="0"/>
          <c:showBubbleSize val="0"/>
        </c:dLbls>
        <c:gapWidth val="50"/>
        <c:overlap val="100"/>
        <c:axId val="1256423760"/>
        <c:axId val="1256430288"/>
        <c:extLst/>
      </c:barChart>
      <c:lineChart>
        <c:grouping val="standard"/>
        <c:varyColors val="0"/>
        <c:ser>
          <c:idx val="4"/>
          <c:order val="0"/>
          <c:tx>
            <c:strRef>
              <c:f>'Financial Summary'!$B$58</c:f>
              <c:strCache>
                <c:ptCount val="1"/>
                <c:pt idx="0">
                  <c:v>Closing Cash</c:v>
                </c:pt>
              </c:strCache>
              <c:extLst xmlns:c15="http://schemas.microsoft.com/office/drawing/2012/chart"/>
            </c:strRef>
          </c:tx>
          <c:spPr>
            <a:ln>
              <a:solidFill>
                <a:schemeClr val="accent6"/>
              </a:solidFill>
            </a:ln>
          </c:spPr>
          <c:marker>
            <c:symbol val="circle"/>
            <c:size val="36"/>
            <c:spPr>
              <a:solidFill>
                <a:schemeClr val="accent6"/>
              </a:solidFill>
              <a:ln>
                <a:solidFill>
                  <a:schemeClr val="accent6"/>
                </a:solidFill>
              </a:ln>
            </c:spPr>
          </c:marker>
          <c:dLbls>
            <c:numFmt formatCode="#,##0" sourceLinked="0"/>
            <c:spPr>
              <a:noFill/>
              <a:ln>
                <a:noFill/>
              </a:ln>
              <a:effectLst/>
            </c:spPr>
            <c:txPr>
              <a:bodyPr wrap="square" lIns="38100" tIns="19050" rIns="38100" bIns="19050" anchor="ctr">
                <a:spAutoFit/>
              </a:bodyPr>
              <a:lstStyle/>
              <a:p>
                <a:pPr>
                  <a:defRPr sz="700" b="1">
                    <a:latin typeface="+mj-lt"/>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'Financial Summary'!$J$53:$N$53</c:f>
              <c:numCache>
                <c:formatCode>_(###0_);\(###0\);_("-"_);_)@_)</c:formatCode>
                <c:ptCount val="5"/>
                <c:pt idx="0">
                  <c:v>2018</c:v>
                </c:pt>
                <c:pt idx="1">
                  <c:v>2019</c:v>
                </c:pt>
                <c:pt idx="2">
                  <c:v>2020</c:v>
                </c:pt>
                <c:pt idx="3">
                  <c:v>2021</c:v>
                </c:pt>
                <c:pt idx="4">
                  <c:v>2022</c:v>
                </c:pt>
              </c:numCache>
              <c:extLst xmlns:c15="http://schemas.microsoft.com/office/drawing/2012/chart"/>
            </c:numRef>
          </c:cat>
          <c:val>
            <c:numRef>
              <c:f>'Financial Summary'!$J$58:$N$58</c:f>
              <c:numCache>
                <c:formatCode>_(#,##0_);\(#,##0\);_("-"_);_)@_)</c:formatCode>
                <c:ptCount val="5"/>
                <c:pt idx="0">
                  <c:v>125850.75757575764</c:v>
                </c:pt>
                <c:pt idx="1">
                  <c:v>131642.00000000006</c:v>
                </c:pt>
                <c:pt idx="2">
                  <c:v>211346.04000000007</c:v>
                </c:pt>
                <c:pt idx="3">
                  <c:v>323208.35280000028</c:v>
                </c:pt>
                <c:pt idx="4">
                  <c:v>537345.29860634066</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4-D32E-4D57-B84C-82244AA0EC12}"/>
            </c:ext>
          </c:extLst>
        </c:ser>
        <c:dLbls>
          <c:showLegendKey val="0"/>
          <c:showVal val="0"/>
          <c:showCatName val="0"/>
          <c:showSerName val="0"/>
          <c:showPercent val="0"/>
          <c:showBubbleSize val="0"/>
        </c:dLbls>
        <c:marker val="1"/>
        <c:smooth val="0"/>
        <c:axId val="1256427024"/>
        <c:axId val="1256426480"/>
        <c:extLst/>
      </c:lineChart>
      <c:catAx>
        <c:axId val="1256423760"/>
        <c:scaling>
          <c:orientation val="minMax"/>
        </c:scaling>
        <c:delete val="0"/>
        <c:axPos val="b"/>
        <c:numFmt formatCode="_(###0_);\(###0\);_(&quot;-&quot;_);_)@_)" sourceLinked="1"/>
        <c:majorTickMark val="out"/>
        <c:minorTickMark val="none"/>
        <c:tickLblPos val="low"/>
        <c:txPr>
          <a:bodyPr/>
          <a:lstStyle/>
          <a:p>
            <a:pPr>
              <a:defRPr b="1"/>
            </a:pPr>
            <a:endParaRPr lang="en-US"/>
          </a:p>
        </c:txPr>
        <c:crossAx val="1256430288"/>
        <c:crosses val="autoZero"/>
        <c:auto val="1"/>
        <c:lblAlgn val="ctr"/>
        <c:lblOffset val="400"/>
        <c:noMultiLvlLbl val="0"/>
      </c:catAx>
      <c:valAx>
        <c:axId val="1256430288"/>
        <c:scaling>
          <c:orientation val="minMax"/>
        </c:scaling>
        <c:delete val="0"/>
        <c:axPos val="l"/>
        <c:numFmt formatCode="_(#,##0_);\(#,##0\);_(&quot;-&quot;_);_)@_)" sourceLinked="1"/>
        <c:majorTickMark val="out"/>
        <c:minorTickMark val="none"/>
        <c:tickLblPos val="nextTo"/>
        <c:spPr>
          <a:ln>
            <a:noFill/>
          </a:ln>
        </c:spPr>
        <c:txPr>
          <a:bodyPr/>
          <a:lstStyle/>
          <a:p>
            <a:pPr>
              <a:defRPr b="1"/>
            </a:pPr>
            <a:endParaRPr lang="en-US"/>
          </a:p>
        </c:txPr>
        <c:crossAx val="1256423760"/>
        <c:crosses val="autoZero"/>
        <c:crossBetween val="between"/>
      </c:valAx>
      <c:valAx>
        <c:axId val="1256426480"/>
        <c:scaling>
          <c:orientation val="minMax"/>
        </c:scaling>
        <c:delete val="1"/>
        <c:axPos val="r"/>
        <c:numFmt formatCode="_(#,##0_);\(#,##0\);_(&quot;-&quot;_);_)@_)" sourceLinked="1"/>
        <c:majorTickMark val="out"/>
        <c:minorTickMark val="none"/>
        <c:tickLblPos val="none"/>
        <c:crossAx val="1256427024"/>
        <c:crosses val="max"/>
        <c:crossBetween val="between"/>
      </c:valAx>
      <c:catAx>
        <c:axId val="1256427024"/>
        <c:scaling>
          <c:orientation val="minMax"/>
        </c:scaling>
        <c:delete val="1"/>
        <c:axPos val="t"/>
        <c:numFmt formatCode="_(###0_);\(###0\);_(&quot;-&quot;_);_)@_)" sourceLinked="1"/>
        <c:majorTickMark val="out"/>
        <c:minorTickMark val="none"/>
        <c:tickLblPos val="none"/>
        <c:crossAx val="1256426480"/>
        <c:crosses val="max"/>
        <c:auto val="1"/>
        <c:lblAlgn val="ctr"/>
        <c:lblOffset val="100"/>
        <c:noMultiLvlLbl val="0"/>
      </c:catAx>
      <c:spPr>
        <a:noFill/>
        <a:ln w="25400">
          <a:noFill/>
        </a:ln>
      </c:spPr>
    </c:plotArea>
    <c:legend>
      <c:legendPos val="t"/>
      <c:layout>
        <c:manualLayout>
          <c:xMode val="edge"/>
          <c:yMode val="edge"/>
          <c:x val="0"/>
          <c:y val="2.3187652114484742E-3"/>
          <c:w val="1"/>
          <c:h val="7.8584023699309558E-2"/>
        </c:manualLayout>
      </c:layout>
      <c:overlay val="0"/>
      <c:txPr>
        <a:bodyPr/>
        <a:lstStyle/>
        <a:p>
          <a:pPr>
            <a:defRPr sz="800" b="1"/>
          </a:pPr>
          <a:endParaRPr lang="en-US"/>
        </a:p>
      </c:txPr>
    </c:legend>
    <c:plotVisOnly val="1"/>
    <c:dispBlanksAs val="gap"/>
    <c:showDLblsOverMax val="0"/>
  </c:chart>
  <c:spPr>
    <a:noFill/>
    <a:ln>
      <a:noFill/>
    </a:ln>
  </c:spPr>
  <c:txPr>
    <a:bodyPr/>
    <a:lstStyle/>
    <a:p>
      <a:pPr>
        <a:defRPr sz="800"/>
      </a:pPr>
      <a:endParaRPr lang="en-US"/>
    </a:p>
  </c:txPr>
  <c:printSettings>
    <c:headerFooter/>
    <c:pageMargins b="0.75000000000000144" l="0.70000000000000062" r="0.70000000000000062" t="0.75000000000000144"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3322540114705473E-3"/>
          <c:y val="0.13711598816105433"/>
          <c:w val="0.99866778150562285"/>
          <c:h val="0.7012287932093596"/>
        </c:manualLayout>
      </c:layout>
      <c:barChart>
        <c:barDir val="col"/>
        <c:grouping val="stacked"/>
        <c:varyColors val="0"/>
        <c:ser>
          <c:idx val="2"/>
          <c:order val="0"/>
          <c:tx>
            <c:strRef>
              <c:f>Dashboard!$B$16</c:f>
              <c:strCache>
                <c:ptCount val="1"/>
                <c:pt idx="0">
                  <c:v> Product 1 </c:v>
                </c:pt>
              </c:strCache>
            </c:strRef>
          </c:tx>
          <c:spPr>
            <a:solidFill>
              <a:schemeClr val="accent2"/>
            </a:solidFill>
          </c:spPr>
          <c:invertIfNegative val="0"/>
          <c:cat>
            <c:numRef>
              <c:f>Dashboard!$H$35:$L$35</c:f>
              <c:numCache>
                <c:formatCode>_(###0_);\(###0\);_("-"_);_)@_)</c:formatCode>
                <c:ptCount val="5"/>
                <c:pt idx="0">
                  <c:v>2018</c:v>
                </c:pt>
                <c:pt idx="1">
                  <c:v>2019</c:v>
                </c:pt>
                <c:pt idx="2">
                  <c:v>2020</c:v>
                </c:pt>
                <c:pt idx="3">
                  <c:v>2021</c:v>
                </c:pt>
                <c:pt idx="4">
                  <c:v>2022</c:v>
                </c:pt>
              </c:numCache>
            </c:numRef>
          </c:cat>
          <c:val>
            <c:numRef>
              <c:f>Dashboard!$H$37:$L$37</c:f>
              <c:numCache>
                <c:formatCode>_(#,##0_);\(#,##0\);_("-"_);_)@_)</c:formatCode>
                <c:ptCount val="5"/>
                <c:pt idx="0">
                  <c:v>30000</c:v>
                </c:pt>
                <c:pt idx="1">
                  <c:v>39600</c:v>
                </c:pt>
                <c:pt idx="2">
                  <c:v>52272.000000000007</c:v>
                </c:pt>
                <c:pt idx="3">
                  <c:v>68999.039999999994</c:v>
                </c:pt>
                <c:pt idx="4">
                  <c:v>91078.732800000042</c:v>
                </c:pt>
              </c:numCache>
            </c:numRef>
          </c:val>
          <c:extLst xmlns:c15="http://schemas.microsoft.com/office/drawing/2012/chart">
            <c:ext xmlns:c16="http://schemas.microsoft.com/office/drawing/2014/chart" uri="{C3380CC4-5D6E-409C-BE32-E72D297353CC}">
              <c16:uniqueId val="{00000000-CF03-4F21-873F-482F63227123}"/>
            </c:ext>
          </c:extLst>
        </c:ser>
        <c:ser>
          <c:idx val="0"/>
          <c:order val="1"/>
          <c:tx>
            <c:strRef>
              <c:f>Dashboard!$B$17</c:f>
              <c:strCache>
                <c:ptCount val="1"/>
                <c:pt idx="0">
                  <c:v> Product 2 </c:v>
                </c:pt>
              </c:strCache>
            </c:strRef>
          </c:tx>
          <c:invertIfNegative val="0"/>
          <c:cat>
            <c:numRef>
              <c:f>Dashboard!$H$35:$L$35</c:f>
              <c:numCache>
                <c:formatCode>_(###0_);\(###0\);_("-"_);_)@_)</c:formatCode>
                <c:ptCount val="5"/>
                <c:pt idx="0">
                  <c:v>2018</c:v>
                </c:pt>
                <c:pt idx="1">
                  <c:v>2019</c:v>
                </c:pt>
                <c:pt idx="2">
                  <c:v>2020</c:v>
                </c:pt>
                <c:pt idx="3">
                  <c:v>2021</c:v>
                </c:pt>
                <c:pt idx="4">
                  <c:v>2022</c:v>
                </c:pt>
              </c:numCache>
            </c:numRef>
          </c:cat>
          <c:val>
            <c:numRef>
              <c:f>Dashboard!$H$38:$L$38</c:f>
              <c:numCache>
                <c:formatCode>_(#,##0_);\(#,##0\);_("-"_);_)@_)</c:formatCode>
                <c:ptCount val="5"/>
                <c:pt idx="0">
                  <c:v>49999.999999999993</c:v>
                </c:pt>
                <c:pt idx="1">
                  <c:v>66000.000000000015</c:v>
                </c:pt>
                <c:pt idx="2">
                  <c:v>87120.000000000015</c:v>
                </c:pt>
                <c:pt idx="3">
                  <c:v>114998.40000000008</c:v>
                </c:pt>
                <c:pt idx="4">
                  <c:v>151797.88800000006</c:v>
                </c:pt>
              </c:numCache>
            </c:numRef>
          </c:val>
          <c:extLst>
            <c:ext xmlns:c16="http://schemas.microsoft.com/office/drawing/2014/chart" uri="{C3380CC4-5D6E-409C-BE32-E72D297353CC}">
              <c16:uniqueId val="{00000001-CF03-4F21-873F-482F63227123}"/>
            </c:ext>
          </c:extLst>
        </c:ser>
        <c:ser>
          <c:idx val="8"/>
          <c:order val="2"/>
          <c:tx>
            <c:strRef>
              <c:f>Dashboard!$B$18</c:f>
              <c:strCache>
                <c:ptCount val="1"/>
                <c:pt idx="0">
                  <c:v> Product 3 </c:v>
                </c:pt>
              </c:strCache>
            </c:strRef>
          </c:tx>
          <c:spPr>
            <a:solidFill>
              <a:schemeClr val="accent3"/>
            </a:solidFill>
          </c:spPr>
          <c:invertIfNegative val="0"/>
          <c:cat>
            <c:numRef>
              <c:f>Dashboard!$H$35:$L$35</c:f>
              <c:numCache>
                <c:formatCode>_(###0_);\(###0\);_("-"_);_)@_)</c:formatCode>
                <c:ptCount val="5"/>
                <c:pt idx="0">
                  <c:v>2018</c:v>
                </c:pt>
                <c:pt idx="1">
                  <c:v>2019</c:v>
                </c:pt>
                <c:pt idx="2">
                  <c:v>2020</c:v>
                </c:pt>
                <c:pt idx="3">
                  <c:v>2021</c:v>
                </c:pt>
                <c:pt idx="4">
                  <c:v>2022</c:v>
                </c:pt>
              </c:numCache>
            </c:numRef>
          </c:cat>
          <c:val>
            <c:numRef>
              <c:f>Dashboard!$H$39:$L$39</c:f>
              <c:numCache>
                <c:formatCode>_(#,##0_);\(#,##0\);_("-"_);_)@_)</c:formatCode>
                <c:ptCount val="5"/>
                <c:pt idx="0">
                  <c:v>30000</c:v>
                </c:pt>
                <c:pt idx="1">
                  <c:v>39600</c:v>
                </c:pt>
                <c:pt idx="2">
                  <c:v>52272.000000000007</c:v>
                </c:pt>
                <c:pt idx="3">
                  <c:v>68999.039999999994</c:v>
                </c:pt>
                <c:pt idx="4">
                  <c:v>91078.732800000042</c:v>
                </c:pt>
              </c:numCache>
            </c:numRef>
          </c:val>
          <c:extLst>
            <c:ext xmlns:c16="http://schemas.microsoft.com/office/drawing/2014/chart" uri="{C3380CC4-5D6E-409C-BE32-E72D297353CC}">
              <c16:uniqueId val="{00000008-CF03-4F21-873F-482F63227123}"/>
            </c:ext>
          </c:extLst>
        </c:ser>
        <c:dLbls>
          <c:showLegendKey val="0"/>
          <c:showVal val="0"/>
          <c:showCatName val="0"/>
          <c:showSerName val="0"/>
          <c:showPercent val="0"/>
          <c:showBubbleSize val="0"/>
        </c:dLbls>
        <c:gapWidth val="71"/>
        <c:overlap val="100"/>
        <c:axId val="1256425392"/>
        <c:axId val="1256436816"/>
      </c:barChart>
      <c:catAx>
        <c:axId val="1256425392"/>
        <c:scaling>
          <c:orientation val="minMax"/>
        </c:scaling>
        <c:delete val="0"/>
        <c:axPos val="b"/>
        <c:numFmt formatCode="_(###0_);\(###0\);_(&quot;-&quot;_);_)@_)" sourceLinked="1"/>
        <c:majorTickMark val="out"/>
        <c:minorTickMark val="none"/>
        <c:tickLblPos val="low"/>
        <c:spPr>
          <a:ln>
            <a:noFill/>
          </a:ln>
        </c:spPr>
        <c:txPr>
          <a:bodyPr/>
          <a:lstStyle/>
          <a:p>
            <a:pPr>
              <a:defRPr b="1"/>
            </a:pPr>
            <a:endParaRPr lang="en-US"/>
          </a:p>
        </c:txPr>
        <c:crossAx val="1256436816"/>
        <c:crosses val="autoZero"/>
        <c:auto val="1"/>
        <c:lblAlgn val="ctr"/>
        <c:lblOffset val="500"/>
        <c:noMultiLvlLbl val="0"/>
      </c:catAx>
      <c:valAx>
        <c:axId val="1256436816"/>
        <c:scaling>
          <c:orientation val="minMax"/>
        </c:scaling>
        <c:delete val="0"/>
        <c:axPos val="l"/>
        <c:numFmt formatCode="_(* #,##0_);_(* \(#,##0\);_(* &quot;-&quot;_);_(@_)" sourceLinked="0"/>
        <c:majorTickMark val="out"/>
        <c:minorTickMark val="none"/>
        <c:tickLblPos val="nextTo"/>
        <c:spPr>
          <a:ln>
            <a:noFill/>
          </a:ln>
        </c:spPr>
        <c:txPr>
          <a:bodyPr/>
          <a:lstStyle/>
          <a:p>
            <a:pPr>
              <a:defRPr b="1"/>
            </a:pPr>
            <a:endParaRPr lang="en-US"/>
          </a:p>
        </c:txPr>
        <c:crossAx val="1256425392"/>
        <c:crosses val="autoZero"/>
        <c:crossBetween val="between"/>
      </c:valAx>
      <c:spPr>
        <a:noFill/>
      </c:spPr>
    </c:plotArea>
    <c:legend>
      <c:legendPos val="t"/>
      <c:layout>
        <c:manualLayout>
          <c:xMode val="edge"/>
          <c:yMode val="edge"/>
          <c:x val="2.2945563125365272E-2"/>
          <c:y val="1.4184397163120567E-2"/>
          <c:w val="0.95929578851110631"/>
          <c:h val="8.921293348969675E-2"/>
        </c:manualLayout>
      </c:layout>
      <c:overlay val="0"/>
      <c:txPr>
        <a:bodyPr/>
        <a:lstStyle/>
        <a:p>
          <a:pPr>
            <a:defRPr sz="800" b="1" i="0"/>
          </a:pPr>
          <a:endParaRPr lang="en-US"/>
        </a:p>
      </c:txPr>
    </c:legend>
    <c:plotVisOnly val="0"/>
    <c:dispBlanksAs val="gap"/>
    <c:showDLblsOverMax val="0"/>
  </c:chart>
  <c:spPr>
    <a:noFill/>
    <a:ln>
      <a:noFill/>
    </a:ln>
  </c:spPr>
  <c:txPr>
    <a:bodyPr/>
    <a:lstStyle/>
    <a:p>
      <a:pPr>
        <a:defRPr sz="800"/>
      </a:pPr>
      <a:endParaRPr lang="en-US"/>
    </a:p>
  </c:txPr>
  <c:printSettings>
    <c:headerFooter/>
    <c:pageMargins b="0.75000000000000144" l="0.70000000000000062" r="0.70000000000000062" t="0.75000000000000144" header="0.30000000000000032" footer="0.30000000000000032"/>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348641730320757"/>
          <c:y val="0.11504093445272984"/>
          <c:w val="0.81890654442060906"/>
          <c:h val="0.74468908028725145"/>
        </c:manualLayout>
      </c:layout>
      <c:areaChart>
        <c:grouping val="stacked"/>
        <c:varyColors val="0"/>
        <c:ser>
          <c:idx val="2"/>
          <c:order val="0"/>
          <c:tx>
            <c:strRef>
              <c:f>Dashboard!$B$16</c:f>
              <c:strCache>
                <c:ptCount val="1"/>
                <c:pt idx="0">
                  <c:v> Product 1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f>Dashboard!$H$13:$L$13</c:f>
              <c:numCache>
                <c:formatCode>_(###0_);\(###0\);_("-"_);_)@_)</c:formatCode>
                <c:ptCount val="5"/>
                <c:pt idx="0">
                  <c:v>2018</c:v>
                </c:pt>
                <c:pt idx="1">
                  <c:v>2019</c:v>
                </c:pt>
                <c:pt idx="2">
                  <c:v>2020</c:v>
                </c:pt>
                <c:pt idx="3">
                  <c:v>2021</c:v>
                </c:pt>
                <c:pt idx="4">
                  <c:v>2022</c:v>
                </c:pt>
              </c:numCache>
            </c:numRef>
          </c:cat>
          <c:val>
            <c:numRef>
              <c:f>Dashboard!$H$16:$L$16</c:f>
              <c:numCache>
                <c:formatCode>_(* #,##0_);_(* \(#,##0\);_(* "-"_);_(@_)</c:formatCode>
                <c:ptCount val="5"/>
                <c:pt idx="0">
                  <c:v>3000</c:v>
                </c:pt>
                <c:pt idx="1">
                  <c:v>3600</c:v>
                </c:pt>
                <c:pt idx="2">
                  <c:v>4320</c:v>
                </c:pt>
                <c:pt idx="3">
                  <c:v>5184</c:v>
                </c:pt>
                <c:pt idx="4">
                  <c:v>6220.8</c:v>
                </c:pt>
              </c:numCache>
            </c:numRef>
          </c:val>
          <c:extLst xmlns:c15="http://schemas.microsoft.com/office/drawing/2012/chart">
            <c:ext xmlns:c16="http://schemas.microsoft.com/office/drawing/2014/chart" uri="{C3380CC4-5D6E-409C-BE32-E72D297353CC}">
              <c16:uniqueId val="{00000000-0BCB-4DBD-8717-8E52DA3BE803}"/>
            </c:ext>
          </c:extLst>
        </c:ser>
        <c:ser>
          <c:idx val="0"/>
          <c:order val="1"/>
          <c:tx>
            <c:strRef>
              <c:f>Dashboard!$B$17</c:f>
              <c:strCache>
                <c:ptCount val="1"/>
                <c:pt idx="0">
                  <c:v> Product 2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f>Dashboard!$H$13:$L$13</c:f>
              <c:numCache>
                <c:formatCode>_(###0_);\(###0\);_("-"_);_)@_)</c:formatCode>
                <c:ptCount val="5"/>
                <c:pt idx="0">
                  <c:v>2018</c:v>
                </c:pt>
                <c:pt idx="1">
                  <c:v>2019</c:v>
                </c:pt>
                <c:pt idx="2">
                  <c:v>2020</c:v>
                </c:pt>
                <c:pt idx="3">
                  <c:v>2021</c:v>
                </c:pt>
                <c:pt idx="4">
                  <c:v>2022</c:v>
                </c:pt>
              </c:numCache>
            </c:numRef>
          </c:cat>
          <c:val>
            <c:numRef>
              <c:f>Dashboard!$H$17:$L$17</c:f>
              <c:numCache>
                <c:formatCode>_(* #,##0_);_(* \(#,##0\);_(* "-"_);_(@_)</c:formatCode>
                <c:ptCount val="5"/>
                <c:pt idx="0">
                  <c:v>2000</c:v>
                </c:pt>
                <c:pt idx="1">
                  <c:v>2400</c:v>
                </c:pt>
                <c:pt idx="2">
                  <c:v>2880</c:v>
                </c:pt>
                <c:pt idx="3">
                  <c:v>3456</c:v>
                </c:pt>
                <c:pt idx="4">
                  <c:v>4147.2</c:v>
                </c:pt>
              </c:numCache>
            </c:numRef>
          </c:val>
          <c:extLst>
            <c:ext xmlns:c16="http://schemas.microsoft.com/office/drawing/2014/chart" uri="{C3380CC4-5D6E-409C-BE32-E72D297353CC}">
              <c16:uniqueId val="{00000001-0BCB-4DBD-8717-8E52DA3BE803}"/>
            </c:ext>
          </c:extLst>
        </c:ser>
        <c:ser>
          <c:idx val="8"/>
          <c:order val="2"/>
          <c:tx>
            <c:strRef>
              <c:f>Dashboard!$B$18</c:f>
              <c:strCache>
                <c:ptCount val="1"/>
                <c:pt idx="0">
                  <c:v> Product 3 </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f>Dashboard!$H$13:$L$13</c:f>
              <c:numCache>
                <c:formatCode>_(###0_);\(###0\);_("-"_);_)@_)</c:formatCode>
                <c:ptCount val="5"/>
                <c:pt idx="0">
                  <c:v>2018</c:v>
                </c:pt>
                <c:pt idx="1">
                  <c:v>2019</c:v>
                </c:pt>
                <c:pt idx="2">
                  <c:v>2020</c:v>
                </c:pt>
                <c:pt idx="3">
                  <c:v>2021</c:v>
                </c:pt>
                <c:pt idx="4">
                  <c:v>2022</c:v>
                </c:pt>
              </c:numCache>
            </c:numRef>
          </c:cat>
          <c:val>
            <c:numRef>
              <c:f>Dashboard!$H$18:$L$18</c:f>
              <c:numCache>
                <c:formatCode>_(* #,##0_);_(* \(#,##0\);_(* "-"_);_(@_)</c:formatCode>
                <c:ptCount val="5"/>
                <c:pt idx="0">
                  <c:v>1000</c:v>
                </c:pt>
                <c:pt idx="1">
                  <c:v>1200</c:v>
                </c:pt>
                <c:pt idx="2">
                  <c:v>1440</c:v>
                </c:pt>
                <c:pt idx="3">
                  <c:v>1728</c:v>
                </c:pt>
                <c:pt idx="4">
                  <c:v>2073.6</c:v>
                </c:pt>
              </c:numCache>
            </c:numRef>
          </c:val>
          <c:extLst>
            <c:ext xmlns:c16="http://schemas.microsoft.com/office/drawing/2014/chart" uri="{C3380CC4-5D6E-409C-BE32-E72D297353CC}">
              <c16:uniqueId val="{00000002-0BCB-4DBD-8717-8E52DA3BE803}"/>
            </c:ext>
          </c:extLst>
        </c:ser>
        <c:dLbls>
          <c:showLegendKey val="0"/>
          <c:showVal val="0"/>
          <c:showCatName val="0"/>
          <c:showSerName val="0"/>
          <c:showPercent val="0"/>
          <c:showBubbleSize val="0"/>
        </c:dLbls>
        <c:axId val="1256425392"/>
        <c:axId val="1256436816"/>
      </c:areaChart>
      <c:catAx>
        <c:axId val="1256425392"/>
        <c:scaling>
          <c:orientation val="minMax"/>
        </c:scaling>
        <c:delete val="0"/>
        <c:axPos val="b"/>
        <c:numFmt formatCode="_(###0_);\(###0\);_(&quot;-&quot;_);_)@_)" sourceLinked="1"/>
        <c:majorTickMark val="out"/>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56436816"/>
        <c:crosses val="autoZero"/>
        <c:auto val="1"/>
        <c:lblAlgn val="ctr"/>
        <c:lblOffset val="500"/>
        <c:noMultiLvlLbl val="0"/>
      </c:catAx>
      <c:valAx>
        <c:axId val="1256436816"/>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56425392"/>
        <c:crosses val="autoZero"/>
        <c:crossBetween val="midCat"/>
      </c:valAx>
      <c:spPr>
        <a:noFill/>
        <a:ln>
          <a:noFill/>
        </a:ln>
        <a:effectLst/>
      </c:spPr>
    </c:plotArea>
    <c:legend>
      <c:legendPos val="b"/>
      <c:layout>
        <c:manualLayout>
          <c:xMode val="edge"/>
          <c:yMode val="edge"/>
          <c:x val="0.24246239966892105"/>
          <c:y val="6.4242704955998153E-2"/>
          <c:w val="0.58123918087412474"/>
          <c:h val="7.2482723596966003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0"/>
    <c:dispBlanksAs val="gap"/>
    <c:showDLblsOverMax val="0"/>
  </c:chart>
  <c:spPr>
    <a:noFill/>
    <a:ln>
      <a:noFill/>
    </a:ln>
    <a:effectLst/>
  </c:spPr>
  <c:txPr>
    <a:bodyPr/>
    <a:lstStyle/>
    <a:p>
      <a:pPr>
        <a:defRPr b="1">
          <a:solidFill>
            <a:schemeClr val="tx1"/>
          </a:solidFill>
        </a:defRPr>
      </a:pPr>
      <a:endParaRPr lang="en-US"/>
    </a:p>
  </c:txPr>
  <c:printSettings>
    <c:headerFooter/>
    <c:pageMargins b="0.75000000000000144" l="0.70000000000000062" r="0.70000000000000062" t="0.75000000000000144" header="0.30000000000000032" footer="0.30000000000000032"/>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0.14233516859047959"/>
          <c:w val="0.90660009452841384"/>
          <c:h val="0.77499277934701205"/>
        </c:manualLayout>
      </c:layout>
      <c:lineChart>
        <c:grouping val="standard"/>
        <c:varyColors val="0"/>
        <c:ser>
          <c:idx val="0"/>
          <c:order val="0"/>
          <c:tx>
            <c:strRef>
              <c:f>'Financial Summary'!$B$8</c:f>
              <c:strCache>
                <c:ptCount val="1"/>
                <c:pt idx="0">
                  <c:v>Revenue</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f>'Financial Summary'!$J$7:$N$7</c:f>
              <c:numCache>
                <c:formatCode>_(###0_);\(###0\);_("-"_);_)@_)</c:formatCode>
                <c:ptCount val="5"/>
                <c:pt idx="0">
                  <c:v>2018</c:v>
                </c:pt>
                <c:pt idx="1">
                  <c:v>2019</c:v>
                </c:pt>
                <c:pt idx="2">
                  <c:v>2020</c:v>
                </c:pt>
                <c:pt idx="3">
                  <c:v>2021</c:v>
                </c:pt>
                <c:pt idx="4">
                  <c:v>2022</c:v>
                </c:pt>
              </c:numCache>
            </c:numRef>
          </c:cat>
          <c:val>
            <c:numRef>
              <c:f>'Financial Summary'!$J$8:$N$8</c:f>
              <c:numCache>
                <c:formatCode>_(#,##0_);\(#,##0\);_("-"_);_)@_)</c:formatCode>
                <c:ptCount val="5"/>
                <c:pt idx="0">
                  <c:v>109999.99999999999</c:v>
                </c:pt>
                <c:pt idx="1">
                  <c:v>145200</c:v>
                </c:pt>
                <c:pt idx="2">
                  <c:v>191664.00000000003</c:v>
                </c:pt>
                <c:pt idx="3">
                  <c:v>252996.4800000001</c:v>
                </c:pt>
                <c:pt idx="4">
                  <c:v>333955.35360000009</c:v>
                </c:pt>
              </c:numCache>
            </c:numRef>
          </c:val>
          <c:smooth val="0"/>
          <c:extLst>
            <c:ext xmlns:c16="http://schemas.microsoft.com/office/drawing/2014/chart" uri="{C3380CC4-5D6E-409C-BE32-E72D297353CC}">
              <c16:uniqueId val="{00000000-8465-40E9-AA3E-02E74A5B7075}"/>
            </c:ext>
          </c:extLst>
        </c:ser>
        <c:ser>
          <c:idx val="5"/>
          <c:order val="1"/>
          <c:tx>
            <c:strRef>
              <c:f>'Financial Summary'!$B$20</c:f>
              <c:strCache>
                <c:ptCount val="1"/>
                <c:pt idx="0">
                  <c:v>EBITDA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numRef>
              <c:f>'Financial Summary'!$J$7:$N$7</c:f>
              <c:numCache>
                <c:formatCode>_(###0_);\(###0\);_("-"_);_)@_)</c:formatCode>
                <c:ptCount val="5"/>
                <c:pt idx="0">
                  <c:v>2018</c:v>
                </c:pt>
                <c:pt idx="1">
                  <c:v>2019</c:v>
                </c:pt>
                <c:pt idx="2">
                  <c:v>2020</c:v>
                </c:pt>
                <c:pt idx="3">
                  <c:v>2021</c:v>
                </c:pt>
                <c:pt idx="4">
                  <c:v>2022</c:v>
                </c:pt>
              </c:numCache>
            </c:numRef>
          </c:cat>
          <c:val>
            <c:numRef>
              <c:f>'Financial Summary'!$J$20:$N$20</c:f>
              <c:numCache>
                <c:formatCode>_(#,##0_);\(#,##0\);_("-"_);_)@_)</c:formatCode>
                <c:ptCount val="5"/>
                <c:pt idx="0">
                  <c:v>39499.999999999985</c:v>
                </c:pt>
                <c:pt idx="1">
                  <c:v>60780</c:v>
                </c:pt>
                <c:pt idx="2">
                  <c:v>89301.60000000002</c:v>
                </c:pt>
                <c:pt idx="3">
                  <c:v>127403.71200000009</c:v>
                </c:pt>
                <c:pt idx="4">
                  <c:v>178174.77984000006</c:v>
                </c:pt>
              </c:numCache>
            </c:numRef>
          </c:val>
          <c:smooth val="0"/>
          <c:extLst>
            <c:ext xmlns:c16="http://schemas.microsoft.com/office/drawing/2014/chart" uri="{C3380CC4-5D6E-409C-BE32-E72D297353CC}">
              <c16:uniqueId val="{00000000-83A6-439A-B392-2B6A927BDE25}"/>
            </c:ext>
          </c:extLst>
        </c:ser>
        <c:ser>
          <c:idx val="4"/>
          <c:order val="2"/>
          <c:tx>
            <c:strRef>
              <c:f>'Financial Summary'!$B$27</c:f>
              <c:strCache>
                <c:ptCount val="1"/>
                <c:pt idx="0">
                  <c:v>Net Profit After Tax</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cat>
            <c:numRef>
              <c:f>'Financial Summary'!$J$7:$N$7</c:f>
              <c:numCache>
                <c:formatCode>_(###0_);\(###0\);_("-"_);_)@_)</c:formatCode>
                <c:ptCount val="5"/>
                <c:pt idx="0">
                  <c:v>2018</c:v>
                </c:pt>
                <c:pt idx="1">
                  <c:v>2019</c:v>
                </c:pt>
                <c:pt idx="2">
                  <c:v>2020</c:v>
                </c:pt>
                <c:pt idx="3">
                  <c:v>2021</c:v>
                </c:pt>
                <c:pt idx="4">
                  <c:v>2022</c:v>
                </c:pt>
              </c:numCache>
            </c:numRef>
          </c:cat>
          <c:val>
            <c:numRef>
              <c:f>'Financial Summary'!$J$27:$N$27</c:f>
              <c:numCache>
                <c:formatCode>_(#,##0_);\(#,##0\);_("-"_);_)@_)</c:formatCode>
                <c:ptCount val="5"/>
                <c:pt idx="0">
                  <c:v>9937.4999999999854</c:v>
                </c:pt>
                <c:pt idx="1">
                  <c:v>26163</c:v>
                </c:pt>
                <c:pt idx="2">
                  <c:v>50406.360000000015</c:v>
                </c:pt>
                <c:pt idx="3">
                  <c:v>82793.155200000081</c:v>
                </c:pt>
                <c:pt idx="4">
                  <c:v>120556.74305073812</c:v>
                </c:pt>
              </c:numCache>
            </c:numRef>
          </c:val>
          <c:smooth val="0"/>
          <c:extLst>
            <c:ext xmlns:c16="http://schemas.microsoft.com/office/drawing/2014/chart" uri="{C3380CC4-5D6E-409C-BE32-E72D297353CC}">
              <c16:uniqueId val="{00000004-8465-40E9-AA3E-02E74A5B7075}"/>
            </c:ext>
          </c:extLst>
        </c:ser>
        <c:dLbls>
          <c:showLegendKey val="0"/>
          <c:showVal val="0"/>
          <c:showCatName val="0"/>
          <c:showSerName val="0"/>
          <c:showPercent val="0"/>
          <c:showBubbleSize val="0"/>
        </c:dLbls>
        <c:smooth val="0"/>
        <c:axId val="1453185152"/>
        <c:axId val="1453189504"/>
        <c:extLst/>
      </c:lineChart>
      <c:catAx>
        <c:axId val="1453185152"/>
        <c:scaling>
          <c:orientation val="minMax"/>
        </c:scaling>
        <c:delete val="0"/>
        <c:axPos val="b"/>
        <c:numFmt formatCode="_(###0_);\(###0\);_(&quot;-&quot;_);_)@_)" sourceLinked="1"/>
        <c:majorTickMark val="none"/>
        <c:minorTickMark val="none"/>
        <c:tickLblPos val="low"/>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189504"/>
        <c:crosses val="autoZero"/>
        <c:auto val="1"/>
        <c:lblAlgn val="ctr"/>
        <c:lblOffset val="100"/>
        <c:noMultiLvlLbl val="0"/>
      </c:catAx>
      <c:valAx>
        <c:axId val="1453189504"/>
        <c:scaling>
          <c:orientation val="minMax"/>
        </c:scaling>
        <c:delete val="0"/>
        <c:axPos val="l"/>
        <c:numFmt formatCode="_(#,##0_);\(#,##0\);_(&quot;-&quot;_);_)@_)"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185152"/>
        <c:crosses val="autoZero"/>
        <c:crossBetween val="between"/>
      </c:valAx>
      <c:spPr>
        <a:noFill/>
        <a:ln>
          <a:noFill/>
        </a:ln>
        <a:effectLst/>
      </c:spPr>
    </c:plotArea>
    <c:legend>
      <c:legendPos val="b"/>
      <c:layout>
        <c:manualLayout>
          <c:xMode val="edge"/>
          <c:yMode val="edge"/>
          <c:x val="0.15037902742472151"/>
          <c:y val="3.4493813273340786E-2"/>
          <c:w val="0.67223903175443001"/>
          <c:h val="7.81960506777872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44" l="0.70000000000000062" r="0.70000000000000062" t="0.7500000000000014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0.14233516859047959"/>
          <c:w val="0.95925313133326684"/>
          <c:h val="0.77499277934701205"/>
        </c:manualLayout>
      </c:layout>
      <c:lineChart>
        <c:grouping val="standard"/>
        <c:varyColors val="0"/>
        <c:ser>
          <c:idx val="0"/>
          <c:order val="0"/>
          <c:tx>
            <c:strRef>
              <c:f>'Financial Summary'!$B$8</c:f>
              <c:strCache>
                <c:ptCount val="1"/>
                <c:pt idx="0">
                  <c:v>Revenue</c:v>
                </c:pt>
              </c:strCache>
            </c:strRef>
          </c:tx>
          <c:spPr>
            <a:ln w="19050" cap="rnd" cmpd="sng" algn="ctr">
              <a:solidFill>
                <a:schemeClr val="accent6"/>
              </a:solidFill>
              <a:prstDash val="solid"/>
              <a:round/>
            </a:ln>
            <a:effectLst/>
          </c:spPr>
          <c:marker>
            <c:symbol val="circle"/>
            <c:size val="5"/>
            <c:spPr>
              <a:solidFill>
                <a:schemeClr val="accent6"/>
              </a:solidFill>
              <a:ln w="6350" cap="flat" cmpd="sng" algn="ctr">
                <a:solidFill>
                  <a:schemeClr val="accent6"/>
                </a:solidFill>
                <a:prstDash val="solid"/>
                <a:round/>
              </a:ln>
              <a:effectLst/>
            </c:spPr>
          </c:marker>
          <c:cat>
            <c:numRef>
              <c:f>'Financial Summary'!$P$7:$AA$7</c:f>
              <c:numCache>
                <c:formatCode>[$-409]mmm;@</c:formatCode>
                <c:ptCount val="12"/>
                <c:pt idx="0">
                  <c:v>43131</c:v>
                </c:pt>
                <c:pt idx="1">
                  <c:v>43159</c:v>
                </c:pt>
                <c:pt idx="2">
                  <c:v>43190</c:v>
                </c:pt>
                <c:pt idx="3">
                  <c:v>43220</c:v>
                </c:pt>
                <c:pt idx="4">
                  <c:v>43251</c:v>
                </c:pt>
                <c:pt idx="5">
                  <c:v>43281</c:v>
                </c:pt>
                <c:pt idx="6">
                  <c:v>43312</c:v>
                </c:pt>
                <c:pt idx="7">
                  <c:v>43343</c:v>
                </c:pt>
                <c:pt idx="8">
                  <c:v>43373</c:v>
                </c:pt>
                <c:pt idx="9">
                  <c:v>43404</c:v>
                </c:pt>
                <c:pt idx="10">
                  <c:v>43434</c:v>
                </c:pt>
                <c:pt idx="11">
                  <c:v>43465</c:v>
                </c:pt>
              </c:numCache>
            </c:numRef>
          </c:cat>
          <c:val>
            <c:numRef>
              <c:f>'Financial Summary'!$P$8:$AA$8</c:f>
              <c:numCache>
                <c:formatCode>_(#,##0_);\(#,##0\);_("-"_);_)@_)</c:formatCode>
                <c:ptCount val="12"/>
                <c:pt idx="0">
                  <c:v>2500</c:v>
                </c:pt>
                <c:pt idx="1">
                  <c:v>7045.454545454545</c:v>
                </c:pt>
                <c:pt idx="2">
                  <c:v>10045.454545454544</c:v>
                </c:pt>
                <c:pt idx="3">
                  <c:v>10045.454545454544</c:v>
                </c:pt>
                <c:pt idx="4">
                  <c:v>10045.454545454544</c:v>
                </c:pt>
                <c:pt idx="5">
                  <c:v>10045.454545454544</c:v>
                </c:pt>
                <c:pt idx="6">
                  <c:v>10045.454545454544</c:v>
                </c:pt>
                <c:pt idx="7">
                  <c:v>10045.454545454544</c:v>
                </c:pt>
                <c:pt idx="8">
                  <c:v>10045.454545454544</c:v>
                </c:pt>
                <c:pt idx="9">
                  <c:v>10045.454545454544</c:v>
                </c:pt>
                <c:pt idx="10">
                  <c:v>10045.454545454544</c:v>
                </c:pt>
                <c:pt idx="11">
                  <c:v>10045.454545454544</c:v>
                </c:pt>
              </c:numCache>
            </c:numRef>
          </c:val>
          <c:smooth val="0"/>
          <c:extLst>
            <c:ext xmlns:c16="http://schemas.microsoft.com/office/drawing/2014/chart" uri="{C3380CC4-5D6E-409C-BE32-E72D297353CC}">
              <c16:uniqueId val="{00000000-8465-40E9-AA3E-02E74A5B7075}"/>
            </c:ext>
          </c:extLst>
        </c:ser>
        <c:ser>
          <c:idx val="5"/>
          <c:order val="1"/>
          <c:tx>
            <c:strRef>
              <c:f>'Financial Summary'!$B$20</c:f>
              <c:strCache>
                <c:ptCount val="1"/>
                <c:pt idx="0">
                  <c:v>EBITDA</c:v>
                </c:pt>
              </c:strCache>
            </c:strRef>
          </c:tx>
          <c:spPr>
            <a:ln w="19050" cap="rnd" cmpd="sng" algn="ctr">
              <a:solidFill>
                <a:schemeClr val="accent4">
                  <a:lumMod val="60000"/>
                </a:schemeClr>
              </a:solidFill>
              <a:prstDash val="solid"/>
              <a:round/>
            </a:ln>
            <a:effectLst/>
          </c:spPr>
          <c:marker>
            <c:symbol val="circle"/>
            <c:size val="5"/>
            <c:spPr>
              <a:solidFill>
                <a:schemeClr val="accent4">
                  <a:lumMod val="60000"/>
                </a:schemeClr>
              </a:solidFill>
              <a:ln w="6350" cap="flat" cmpd="sng" algn="ctr">
                <a:solidFill>
                  <a:schemeClr val="accent4">
                    <a:lumMod val="60000"/>
                  </a:schemeClr>
                </a:solidFill>
                <a:prstDash val="solid"/>
                <a:round/>
              </a:ln>
              <a:effectLst/>
            </c:spPr>
          </c:marker>
          <c:cat>
            <c:numRef>
              <c:f>'Financial Summary'!$P$7:$AA$7</c:f>
              <c:numCache>
                <c:formatCode>[$-409]mmm;@</c:formatCode>
                <c:ptCount val="12"/>
                <c:pt idx="0">
                  <c:v>43131</c:v>
                </c:pt>
                <c:pt idx="1">
                  <c:v>43159</c:v>
                </c:pt>
                <c:pt idx="2">
                  <c:v>43190</c:v>
                </c:pt>
                <c:pt idx="3">
                  <c:v>43220</c:v>
                </c:pt>
                <c:pt idx="4">
                  <c:v>43251</c:v>
                </c:pt>
                <c:pt idx="5">
                  <c:v>43281</c:v>
                </c:pt>
                <c:pt idx="6">
                  <c:v>43312</c:v>
                </c:pt>
                <c:pt idx="7">
                  <c:v>43343</c:v>
                </c:pt>
                <c:pt idx="8">
                  <c:v>43373</c:v>
                </c:pt>
                <c:pt idx="9">
                  <c:v>43404</c:v>
                </c:pt>
                <c:pt idx="10">
                  <c:v>43434</c:v>
                </c:pt>
                <c:pt idx="11">
                  <c:v>43465</c:v>
                </c:pt>
              </c:numCache>
            </c:numRef>
          </c:cat>
          <c:val>
            <c:numRef>
              <c:f>'Financial Summary'!$P$20:$AA$20</c:f>
              <c:numCache>
                <c:formatCode>_(#,##0_);\(#,##0\);_("-"_);_)@_)</c:formatCode>
                <c:ptCount val="12"/>
                <c:pt idx="0">
                  <c:v>-916.66666666666674</c:v>
                </c:pt>
                <c:pt idx="1">
                  <c:v>2037.878787878788</c:v>
                </c:pt>
                <c:pt idx="2">
                  <c:v>3837.8787878787862</c:v>
                </c:pt>
                <c:pt idx="3">
                  <c:v>3837.8787878787862</c:v>
                </c:pt>
                <c:pt idx="4">
                  <c:v>3837.8787878787862</c:v>
                </c:pt>
                <c:pt idx="5">
                  <c:v>3837.8787878787862</c:v>
                </c:pt>
                <c:pt idx="6">
                  <c:v>3837.8787878787862</c:v>
                </c:pt>
                <c:pt idx="7">
                  <c:v>3837.8787878787862</c:v>
                </c:pt>
                <c:pt idx="8">
                  <c:v>3837.8787878787862</c:v>
                </c:pt>
                <c:pt idx="9">
                  <c:v>3837.8787878787862</c:v>
                </c:pt>
                <c:pt idx="10">
                  <c:v>3837.8787878787862</c:v>
                </c:pt>
                <c:pt idx="11">
                  <c:v>3837.8787878787862</c:v>
                </c:pt>
              </c:numCache>
            </c:numRef>
          </c:val>
          <c:smooth val="0"/>
          <c:extLst>
            <c:ext xmlns:c16="http://schemas.microsoft.com/office/drawing/2014/chart" uri="{C3380CC4-5D6E-409C-BE32-E72D297353CC}">
              <c16:uniqueId val="{00000000-83A6-439A-B392-2B6A927BDE25}"/>
            </c:ext>
          </c:extLst>
        </c:ser>
        <c:ser>
          <c:idx val="4"/>
          <c:order val="2"/>
          <c:tx>
            <c:strRef>
              <c:f>'Financial Summary'!$B$27</c:f>
              <c:strCache>
                <c:ptCount val="1"/>
                <c:pt idx="0">
                  <c:v>Net Profit After Tax</c:v>
                </c:pt>
              </c:strCache>
            </c:strRef>
          </c:tx>
          <c:spPr>
            <a:ln w="19050" cap="rnd" cmpd="sng" algn="ctr">
              <a:solidFill>
                <a:schemeClr val="accent5">
                  <a:lumMod val="60000"/>
                </a:schemeClr>
              </a:solidFill>
              <a:prstDash val="solid"/>
              <a:round/>
            </a:ln>
            <a:effectLst/>
          </c:spPr>
          <c:marker>
            <c:symbol val="circle"/>
            <c:size val="5"/>
            <c:spPr>
              <a:solidFill>
                <a:schemeClr val="accent5">
                  <a:lumMod val="60000"/>
                </a:schemeClr>
              </a:solidFill>
              <a:ln w="6350" cap="flat" cmpd="sng" algn="ctr">
                <a:solidFill>
                  <a:schemeClr val="accent5">
                    <a:lumMod val="60000"/>
                  </a:schemeClr>
                </a:solidFill>
                <a:prstDash val="solid"/>
                <a:round/>
              </a:ln>
              <a:effectLst/>
            </c:spPr>
          </c:marker>
          <c:cat>
            <c:numRef>
              <c:f>'Financial Summary'!$P$7:$AA$7</c:f>
              <c:numCache>
                <c:formatCode>[$-409]mmm;@</c:formatCode>
                <c:ptCount val="12"/>
                <c:pt idx="0">
                  <c:v>43131</c:v>
                </c:pt>
                <c:pt idx="1">
                  <c:v>43159</c:v>
                </c:pt>
                <c:pt idx="2">
                  <c:v>43190</c:v>
                </c:pt>
                <c:pt idx="3">
                  <c:v>43220</c:v>
                </c:pt>
                <c:pt idx="4">
                  <c:v>43251</c:v>
                </c:pt>
                <c:pt idx="5">
                  <c:v>43281</c:v>
                </c:pt>
                <c:pt idx="6">
                  <c:v>43312</c:v>
                </c:pt>
                <c:pt idx="7">
                  <c:v>43343</c:v>
                </c:pt>
                <c:pt idx="8">
                  <c:v>43373</c:v>
                </c:pt>
                <c:pt idx="9">
                  <c:v>43404</c:v>
                </c:pt>
                <c:pt idx="10">
                  <c:v>43434</c:v>
                </c:pt>
                <c:pt idx="11">
                  <c:v>43465</c:v>
                </c:pt>
              </c:numCache>
            </c:numRef>
          </c:cat>
          <c:val>
            <c:numRef>
              <c:f>'Financial Summary'!$P$27:$AA$27</c:f>
              <c:numCache>
                <c:formatCode>_(#,##0_);\(#,##0\);_("-"_);_)@_)</c:formatCode>
                <c:ptCount val="12"/>
                <c:pt idx="0">
                  <c:v>-1750</c:v>
                </c:pt>
                <c:pt idx="1">
                  <c:v>315.53030303030306</c:v>
                </c:pt>
                <c:pt idx="2">
                  <c:v>1137.1969696969679</c:v>
                </c:pt>
                <c:pt idx="3">
                  <c:v>1137.1969696969679</c:v>
                </c:pt>
                <c:pt idx="4">
                  <c:v>1137.1969696969679</c:v>
                </c:pt>
                <c:pt idx="5">
                  <c:v>1137.1969696969679</c:v>
                </c:pt>
                <c:pt idx="6">
                  <c:v>1137.1969696969679</c:v>
                </c:pt>
                <c:pt idx="7">
                  <c:v>1137.1969696969679</c:v>
                </c:pt>
                <c:pt idx="8">
                  <c:v>1137.1969696969679</c:v>
                </c:pt>
                <c:pt idx="9">
                  <c:v>1137.1969696969679</c:v>
                </c:pt>
                <c:pt idx="10">
                  <c:v>1137.1969696969679</c:v>
                </c:pt>
                <c:pt idx="11">
                  <c:v>1137.1969696969679</c:v>
                </c:pt>
              </c:numCache>
            </c:numRef>
          </c:val>
          <c:smooth val="0"/>
          <c:extLst>
            <c:ext xmlns:c16="http://schemas.microsoft.com/office/drawing/2014/chart" uri="{C3380CC4-5D6E-409C-BE32-E72D297353CC}">
              <c16:uniqueId val="{00000004-8465-40E9-AA3E-02E74A5B7075}"/>
            </c:ext>
          </c:extLst>
        </c:ser>
        <c:dLbls>
          <c:showLegendKey val="0"/>
          <c:showVal val="0"/>
          <c:showCatName val="0"/>
          <c:showSerName val="0"/>
          <c:showPercent val="0"/>
          <c:showBubbleSize val="0"/>
        </c:dLbls>
        <c:marker val="1"/>
        <c:smooth val="0"/>
        <c:axId val="1453185152"/>
        <c:axId val="1453189504"/>
        <c:extLst/>
      </c:lineChart>
      <c:dateAx>
        <c:axId val="1453185152"/>
        <c:scaling>
          <c:orientation val="minMax"/>
        </c:scaling>
        <c:delete val="0"/>
        <c:axPos val="b"/>
        <c:majorGridlines>
          <c:spPr>
            <a:ln w="6350" cap="flat" cmpd="sng" algn="ctr">
              <a:solidFill>
                <a:schemeClr val="tx1">
                  <a:tint val="75000"/>
                </a:schemeClr>
              </a:solidFill>
              <a:prstDash val="solid"/>
              <a:round/>
            </a:ln>
            <a:effectLst/>
          </c:spPr>
        </c:majorGridlines>
        <c:numFmt formatCode="[$-409]mmm;@" sourceLinked="1"/>
        <c:majorTickMark val="out"/>
        <c:minorTickMark val="none"/>
        <c:tickLblPos val="low"/>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1453189504"/>
        <c:crosses val="autoZero"/>
        <c:auto val="1"/>
        <c:lblOffset val="100"/>
        <c:baseTimeUnit val="months"/>
      </c:dateAx>
      <c:valAx>
        <c:axId val="1453189504"/>
        <c:scaling>
          <c:orientation val="minMax"/>
        </c:scaling>
        <c:delete val="0"/>
        <c:axPos val="l"/>
        <c:numFmt formatCode="_(#,##0_);\(#,##0\);_(&quot;-&quot;_);_)@_)" sourceLinked="1"/>
        <c:majorTickMark val="out"/>
        <c:minorTickMark val="none"/>
        <c:tickLblPos val="high"/>
        <c:spPr>
          <a:noFill/>
          <a:ln w="6350" cap="flat" cmpd="sng" algn="ctr">
            <a:noFill/>
            <a:prstDash val="solid"/>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14531851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6350" cap="flat" cmpd="sng" algn="ctr">
      <a:noFill/>
      <a:prstDash val="solid"/>
      <a:round/>
    </a:ln>
    <a:effectLst/>
  </c:spPr>
  <c:txPr>
    <a:bodyPr/>
    <a:lstStyle/>
    <a:p>
      <a:pPr>
        <a:defRPr sz="800"/>
      </a:pPr>
      <a:endParaRPr lang="en-US"/>
    </a:p>
  </c:txPr>
  <c:printSettings>
    <c:headerFooter/>
    <c:pageMargins b="0.75000000000000144" l="0.70000000000000062" r="0.70000000000000062" t="0.75000000000000144"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0.11778590176227974"/>
          <c:w val="0.91945296085720007"/>
          <c:h val="0.79200937382827141"/>
        </c:manualLayout>
      </c:layout>
      <c:barChart>
        <c:barDir val="col"/>
        <c:grouping val="clustered"/>
        <c:varyColors val="0"/>
        <c:ser>
          <c:idx val="0"/>
          <c:order val="0"/>
          <c:tx>
            <c:v>Operating</c:v>
          </c:tx>
          <c:spPr>
            <a:solidFill>
              <a:schemeClr val="accent1"/>
            </a:solidFill>
            <a:ln>
              <a:noFill/>
            </a:ln>
            <a:effectLst/>
          </c:spPr>
          <c:invertIfNegative val="0"/>
          <c:cat>
            <c:numRef>
              <c:f>'Financial Summary'!$J$53:$N$53</c:f>
              <c:numCache>
                <c:formatCode>_(###0_);\(###0\);_("-"_);_)@_)</c:formatCode>
                <c:ptCount val="5"/>
                <c:pt idx="0">
                  <c:v>2018</c:v>
                </c:pt>
                <c:pt idx="1">
                  <c:v>2019</c:v>
                </c:pt>
                <c:pt idx="2">
                  <c:v>2020</c:v>
                </c:pt>
                <c:pt idx="3">
                  <c:v>2021</c:v>
                </c:pt>
                <c:pt idx="4">
                  <c:v>2022</c:v>
                </c:pt>
              </c:numCache>
            </c:numRef>
          </c:cat>
          <c:val>
            <c:numRef>
              <c:f>'Financial Summary'!$J$54:$N$54</c:f>
              <c:numCache>
                <c:formatCode>_(#,##0_);\(#,##0\);_("-"_);_)@_)</c:formatCode>
                <c:ptCount val="5"/>
                <c:pt idx="0">
                  <c:v>35850.757575757569</c:v>
                </c:pt>
                <c:pt idx="1">
                  <c:v>55791.242424242431</c:v>
                </c:pt>
                <c:pt idx="2">
                  <c:v>79704.040000000052</c:v>
                </c:pt>
                <c:pt idx="3">
                  <c:v>111862.31280000007</c:v>
                </c:pt>
                <c:pt idx="4">
                  <c:v>149324.06208273821</c:v>
                </c:pt>
              </c:numCache>
            </c:numRef>
          </c:val>
          <c:extLst>
            <c:ext xmlns:c16="http://schemas.microsoft.com/office/drawing/2014/chart" uri="{C3380CC4-5D6E-409C-BE32-E72D297353CC}">
              <c16:uniqueId val="{00000000-F934-4818-82C5-77050AA62C80}"/>
            </c:ext>
          </c:extLst>
        </c:ser>
        <c:ser>
          <c:idx val="1"/>
          <c:order val="1"/>
          <c:tx>
            <c:v>Investing</c:v>
          </c:tx>
          <c:spPr>
            <a:solidFill>
              <a:schemeClr val="accent3"/>
            </a:solidFill>
            <a:ln>
              <a:noFill/>
            </a:ln>
            <a:effectLst/>
          </c:spPr>
          <c:invertIfNegative val="0"/>
          <c:cat>
            <c:numRef>
              <c:f>'Financial Summary'!$J$53:$N$53</c:f>
              <c:numCache>
                <c:formatCode>_(###0_);\(###0\);_("-"_);_)@_)</c:formatCode>
                <c:ptCount val="5"/>
                <c:pt idx="0">
                  <c:v>2018</c:v>
                </c:pt>
                <c:pt idx="1">
                  <c:v>2019</c:v>
                </c:pt>
                <c:pt idx="2">
                  <c:v>2020</c:v>
                </c:pt>
                <c:pt idx="3">
                  <c:v>2021</c:v>
                </c:pt>
                <c:pt idx="4">
                  <c:v>2022</c:v>
                </c:pt>
              </c:numCache>
            </c:numRef>
          </c:cat>
          <c:val>
            <c:numRef>
              <c:f>'Financial Summary'!$J$55:$N$55</c:f>
              <c:numCache>
                <c:formatCode>_(#,##0_);\(#,##0\);_("-"_);_)@_)</c:formatCode>
                <c:ptCount val="5"/>
                <c:pt idx="0">
                  <c:v>-150000</c:v>
                </c:pt>
                <c:pt idx="1">
                  <c:v>0</c:v>
                </c:pt>
                <c:pt idx="2">
                  <c:v>0</c:v>
                </c:pt>
                <c:pt idx="3">
                  <c:v>0</c:v>
                </c:pt>
                <c:pt idx="4">
                  <c:v>0</c:v>
                </c:pt>
              </c:numCache>
            </c:numRef>
          </c:val>
          <c:extLst>
            <c:ext xmlns:c16="http://schemas.microsoft.com/office/drawing/2014/chart" uri="{C3380CC4-5D6E-409C-BE32-E72D297353CC}">
              <c16:uniqueId val="{00000001-F934-4818-82C5-77050AA62C80}"/>
            </c:ext>
          </c:extLst>
        </c:ser>
        <c:ser>
          <c:idx val="2"/>
          <c:order val="2"/>
          <c:tx>
            <c:v>Financing</c:v>
          </c:tx>
          <c:spPr>
            <a:solidFill>
              <a:schemeClr val="accent5"/>
            </a:solidFill>
            <a:ln>
              <a:noFill/>
            </a:ln>
            <a:effectLst/>
          </c:spPr>
          <c:invertIfNegative val="0"/>
          <c:cat>
            <c:numRef>
              <c:f>'Financial Summary'!$J$53:$N$53</c:f>
              <c:numCache>
                <c:formatCode>_(###0_);\(###0\);_("-"_);_)@_)</c:formatCode>
                <c:ptCount val="5"/>
                <c:pt idx="0">
                  <c:v>2018</c:v>
                </c:pt>
                <c:pt idx="1">
                  <c:v>2019</c:v>
                </c:pt>
                <c:pt idx="2">
                  <c:v>2020</c:v>
                </c:pt>
                <c:pt idx="3">
                  <c:v>2021</c:v>
                </c:pt>
                <c:pt idx="4">
                  <c:v>2022</c:v>
                </c:pt>
              </c:numCache>
            </c:numRef>
          </c:cat>
          <c:val>
            <c:numRef>
              <c:f>'Financial Summary'!$J$56:$N$56</c:f>
              <c:numCache>
                <c:formatCode>_(#,##0_);\(#,##0\);_("-"_);_)@_)</c:formatCode>
                <c:ptCount val="5"/>
                <c:pt idx="0">
                  <c:v>240000</c:v>
                </c:pt>
                <c:pt idx="1">
                  <c:v>-50000</c:v>
                </c:pt>
                <c:pt idx="2">
                  <c:v>0</c:v>
                </c:pt>
                <c:pt idx="3">
                  <c:v>0</c:v>
                </c:pt>
                <c:pt idx="4">
                  <c:v>64812.883723602085</c:v>
                </c:pt>
              </c:numCache>
            </c:numRef>
          </c:val>
          <c:extLst>
            <c:ext xmlns:c16="http://schemas.microsoft.com/office/drawing/2014/chart" uri="{C3380CC4-5D6E-409C-BE32-E72D297353CC}">
              <c16:uniqueId val="{00000002-F934-4818-82C5-77050AA62C80}"/>
            </c:ext>
          </c:extLst>
        </c:ser>
        <c:dLbls>
          <c:showLegendKey val="0"/>
          <c:showVal val="0"/>
          <c:showCatName val="0"/>
          <c:showSerName val="0"/>
          <c:showPercent val="0"/>
          <c:showBubbleSize val="0"/>
        </c:dLbls>
        <c:gapWidth val="150"/>
        <c:axId val="128428288"/>
        <c:axId val="128438272"/>
      </c:barChart>
      <c:lineChart>
        <c:grouping val="standard"/>
        <c:varyColors val="0"/>
        <c:ser>
          <c:idx val="3"/>
          <c:order val="3"/>
          <c:tx>
            <c:v>Net Cash Flow</c:v>
          </c:tx>
          <c:spPr>
            <a:ln w="19050" cap="rnd" cmpd="sng" algn="ctr">
              <a:solidFill>
                <a:schemeClr val="accent1">
                  <a:lumMod val="60000"/>
                </a:schemeClr>
              </a:solidFill>
              <a:prstDash val="solid"/>
              <a:round/>
            </a:ln>
            <a:effectLst/>
          </c:spPr>
          <c:marker>
            <c:symbol val="circle"/>
            <c:size val="5"/>
            <c:spPr>
              <a:solidFill>
                <a:schemeClr val="accent1">
                  <a:lumMod val="60000"/>
                </a:schemeClr>
              </a:solidFill>
              <a:ln w="6350" cap="flat" cmpd="sng" algn="ctr">
                <a:solidFill>
                  <a:schemeClr val="accent1">
                    <a:lumMod val="60000"/>
                  </a:schemeClr>
                </a:solidFill>
                <a:prstDash val="solid"/>
                <a:round/>
              </a:ln>
              <a:effectLst/>
            </c:spPr>
          </c:marker>
          <c:cat>
            <c:numRef>
              <c:f>'Financial Summary'!$J$53:$N$53</c:f>
              <c:numCache>
                <c:formatCode>_(###0_);\(###0\);_("-"_);_)@_)</c:formatCode>
                <c:ptCount val="5"/>
                <c:pt idx="0">
                  <c:v>2018</c:v>
                </c:pt>
                <c:pt idx="1">
                  <c:v>2019</c:v>
                </c:pt>
                <c:pt idx="2">
                  <c:v>2020</c:v>
                </c:pt>
                <c:pt idx="3">
                  <c:v>2021</c:v>
                </c:pt>
                <c:pt idx="4">
                  <c:v>2022</c:v>
                </c:pt>
              </c:numCache>
            </c:numRef>
          </c:cat>
          <c:val>
            <c:numRef>
              <c:f>'Financial Summary'!$J$57:$N$57</c:f>
              <c:numCache>
                <c:formatCode>_(#,##0_);\(#,##0\);_("-"_);_)@_)</c:formatCode>
                <c:ptCount val="5"/>
                <c:pt idx="0">
                  <c:v>125850.75757575757</c:v>
                </c:pt>
                <c:pt idx="1">
                  <c:v>5791.2424242424313</c:v>
                </c:pt>
                <c:pt idx="2">
                  <c:v>79704.040000000052</c:v>
                </c:pt>
                <c:pt idx="3">
                  <c:v>111862.31280000007</c:v>
                </c:pt>
                <c:pt idx="4">
                  <c:v>214136.94580634029</c:v>
                </c:pt>
              </c:numCache>
            </c:numRef>
          </c:val>
          <c:smooth val="0"/>
          <c:extLst>
            <c:ext xmlns:c16="http://schemas.microsoft.com/office/drawing/2014/chart" uri="{C3380CC4-5D6E-409C-BE32-E72D297353CC}">
              <c16:uniqueId val="{00000003-F934-4818-82C5-77050AA62C80}"/>
            </c:ext>
          </c:extLst>
        </c:ser>
        <c:ser>
          <c:idx val="4"/>
          <c:order val="4"/>
          <c:tx>
            <c:strRef>
              <c:f>'Financial Summary'!$B$58</c:f>
              <c:strCache>
                <c:ptCount val="1"/>
                <c:pt idx="0">
                  <c:v>Closing Cash</c:v>
                </c:pt>
              </c:strCache>
            </c:strRef>
          </c:tx>
          <c:spPr>
            <a:ln w="19050" cap="rnd" cmpd="sng" algn="ctr">
              <a:solidFill>
                <a:schemeClr val="accent3">
                  <a:lumMod val="60000"/>
                </a:schemeClr>
              </a:solidFill>
              <a:prstDash val="solid"/>
              <a:round/>
            </a:ln>
            <a:effectLst/>
          </c:spPr>
          <c:marker>
            <c:symbol val="circle"/>
            <c:size val="5"/>
            <c:spPr>
              <a:solidFill>
                <a:schemeClr val="accent3">
                  <a:lumMod val="60000"/>
                </a:schemeClr>
              </a:solidFill>
              <a:ln w="6350" cap="flat" cmpd="sng" algn="ctr">
                <a:solidFill>
                  <a:schemeClr val="accent3">
                    <a:lumMod val="60000"/>
                  </a:schemeClr>
                </a:solidFill>
                <a:prstDash val="solid"/>
                <a:round/>
              </a:ln>
              <a:effectLst/>
            </c:spPr>
          </c:marker>
          <c:cat>
            <c:numRef>
              <c:f>'Financial Summary'!$J$53:$N$53</c:f>
              <c:numCache>
                <c:formatCode>_(###0_);\(###0\);_("-"_);_)@_)</c:formatCode>
                <c:ptCount val="5"/>
                <c:pt idx="0">
                  <c:v>2018</c:v>
                </c:pt>
                <c:pt idx="1">
                  <c:v>2019</c:v>
                </c:pt>
                <c:pt idx="2">
                  <c:v>2020</c:v>
                </c:pt>
                <c:pt idx="3">
                  <c:v>2021</c:v>
                </c:pt>
                <c:pt idx="4">
                  <c:v>2022</c:v>
                </c:pt>
              </c:numCache>
            </c:numRef>
          </c:cat>
          <c:val>
            <c:numRef>
              <c:f>'Financial Summary'!$J$58:$N$58</c:f>
              <c:numCache>
                <c:formatCode>_(#,##0_);\(#,##0\);_("-"_);_)@_)</c:formatCode>
                <c:ptCount val="5"/>
                <c:pt idx="0">
                  <c:v>125850.75757575764</c:v>
                </c:pt>
                <c:pt idx="1">
                  <c:v>131642.00000000006</c:v>
                </c:pt>
                <c:pt idx="2">
                  <c:v>211346.04000000007</c:v>
                </c:pt>
                <c:pt idx="3">
                  <c:v>323208.35280000028</c:v>
                </c:pt>
                <c:pt idx="4">
                  <c:v>537345.29860634066</c:v>
                </c:pt>
              </c:numCache>
            </c:numRef>
          </c:val>
          <c:smooth val="0"/>
          <c:extLst>
            <c:ext xmlns:c16="http://schemas.microsoft.com/office/drawing/2014/chart" uri="{C3380CC4-5D6E-409C-BE32-E72D297353CC}">
              <c16:uniqueId val="{00000004-F934-4818-82C5-77050AA62C80}"/>
            </c:ext>
          </c:extLst>
        </c:ser>
        <c:dLbls>
          <c:showLegendKey val="0"/>
          <c:showVal val="0"/>
          <c:showCatName val="0"/>
          <c:showSerName val="0"/>
          <c:showPercent val="0"/>
          <c:showBubbleSize val="0"/>
        </c:dLbls>
        <c:marker val="1"/>
        <c:smooth val="0"/>
        <c:axId val="128428288"/>
        <c:axId val="128438272"/>
      </c:lineChart>
      <c:catAx>
        <c:axId val="128428288"/>
        <c:scaling>
          <c:orientation val="minMax"/>
        </c:scaling>
        <c:delete val="0"/>
        <c:axPos val="b"/>
        <c:majorGridlines>
          <c:spPr>
            <a:ln w="6350" cap="flat" cmpd="sng" algn="ctr">
              <a:solidFill>
                <a:schemeClr val="tx1">
                  <a:tint val="75000"/>
                </a:schemeClr>
              </a:solidFill>
              <a:prstDash val="solid"/>
              <a:round/>
            </a:ln>
            <a:effectLst/>
          </c:spPr>
        </c:majorGridlines>
        <c:numFmt formatCode="_(###0_);\(###0\);_(&quot;-&quot;_);_)@_)" sourceLinked="1"/>
        <c:majorTickMark val="out"/>
        <c:minorTickMark val="none"/>
        <c:tickLblPos val="low"/>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128438272"/>
        <c:crosses val="autoZero"/>
        <c:auto val="1"/>
        <c:lblAlgn val="ctr"/>
        <c:lblOffset val="100"/>
        <c:noMultiLvlLbl val="0"/>
      </c:catAx>
      <c:valAx>
        <c:axId val="128438272"/>
        <c:scaling>
          <c:orientation val="minMax"/>
        </c:scaling>
        <c:delete val="0"/>
        <c:axPos val="l"/>
        <c:numFmt formatCode="_(#,##0_);\(#,##0\);_(&quot;-&quot;_);_)@_)" sourceLinked="1"/>
        <c:majorTickMark val="none"/>
        <c:minorTickMark val="none"/>
        <c:tickLblPos val="high"/>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128428288"/>
        <c:crosses val="autoZero"/>
        <c:crossBetween val="between"/>
      </c:valAx>
      <c:spPr>
        <a:noFill/>
        <a:ln>
          <a:noFill/>
        </a:ln>
        <a:effectLst/>
      </c:spPr>
    </c:plotArea>
    <c:legend>
      <c:legendPos val="t"/>
      <c:layout>
        <c:manualLayout>
          <c:xMode val="edge"/>
          <c:yMode val="edge"/>
          <c:x val="0"/>
          <c:y val="4.9019607843137254E-3"/>
          <c:w val="0.99955508864151565"/>
          <c:h val="6.7589426321709792E-2"/>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6350" cap="flat" cmpd="sng" algn="ctr">
      <a:noFill/>
      <a:prstDash val="solid"/>
      <a:round/>
    </a:ln>
    <a:effectLst/>
  </c:spPr>
  <c:txPr>
    <a:bodyPr/>
    <a:lstStyle/>
    <a:p>
      <a:pPr>
        <a:defRPr sz="800"/>
      </a:pPr>
      <a:endParaRPr lang="en-US"/>
    </a:p>
  </c:txPr>
  <c:printSettings>
    <c:headerFooter/>
    <c:pageMargins b="0.75000000000000122" l="0.70000000000000062" r="0.70000000000000062" t="0.75000000000000122"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0.11302399700037495"/>
          <c:w val="0.95562443935014452"/>
          <c:h val="0.79677127859017627"/>
        </c:manualLayout>
      </c:layout>
      <c:barChart>
        <c:barDir val="col"/>
        <c:grouping val="clustered"/>
        <c:varyColors val="0"/>
        <c:ser>
          <c:idx val="0"/>
          <c:order val="0"/>
          <c:tx>
            <c:v>Operating</c:v>
          </c:tx>
          <c:spPr>
            <a:solidFill>
              <a:schemeClr val="accent1"/>
            </a:solidFill>
            <a:ln>
              <a:noFill/>
            </a:ln>
            <a:effectLst/>
          </c:spPr>
          <c:invertIfNegative val="0"/>
          <c:cat>
            <c:numRef>
              <c:f>'Financial Summary'!$P$53:$AA$53</c:f>
              <c:numCache>
                <c:formatCode>[$-409]mmm;@</c:formatCode>
                <c:ptCount val="12"/>
                <c:pt idx="0">
                  <c:v>43131</c:v>
                </c:pt>
                <c:pt idx="1">
                  <c:v>43159</c:v>
                </c:pt>
                <c:pt idx="2">
                  <c:v>43190</c:v>
                </c:pt>
                <c:pt idx="3">
                  <c:v>43220</c:v>
                </c:pt>
                <c:pt idx="4">
                  <c:v>43251</c:v>
                </c:pt>
                <c:pt idx="5">
                  <c:v>43281</c:v>
                </c:pt>
                <c:pt idx="6">
                  <c:v>43312</c:v>
                </c:pt>
                <c:pt idx="7">
                  <c:v>43343</c:v>
                </c:pt>
                <c:pt idx="8">
                  <c:v>43373</c:v>
                </c:pt>
                <c:pt idx="9">
                  <c:v>43404</c:v>
                </c:pt>
                <c:pt idx="10">
                  <c:v>43434</c:v>
                </c:pt>
                <c:pt idx="11">
                  <c:v>43465</c:v>
                </c:pt>
              </c:numCache>
            </c:numRef>
          </c:cat>
          <c:val>
            <c:numRef>
              <c:f>'Financial Summary'!$P$54:$AA$54</c:f>
              <c:numCache>
                <c:formatCode>_(#,##0_);\(#,##0\);_("-"_);_)@_)</c:formatCode>
                <c:ptCount val="12"/>
                <c:pt idx="0">
                  <c:v>-962.50000000000045</c:v>
                </c:pt>
                <c:pt idx="1">
                  <c:v>1302.6515151515148</c:v>
                </c:pt>
                <c:pt idx="2">
                  <c:v>3009.8333333333339</c:v>
                </c:pt>
                <c:pt idx="3">
                  <c:v>3403.19696969697</c:v>
                </c:pt>
                <c:pt idx="4">
                  <c:v>3637.19696969697</c:v>
                </c:pt>
                <c:pt idx="5">
                  <c:v>3637.19696969697</c:v>
                </c:pt>
                <c:pt idx="6">
                  <c:v>3637.19696969697</c:v>
                </c:pt>
                <c:pt idx="7">
                  <c:v>3637.19696969697</c:v>
                </c:pt>
                <c:pt idx="8">
                  <c:v>3637.19696969697</c:v>
                </c:pt>
                <c:pt idx="9">
                  <c:v>3637.19696969697</c:v>
                </c:pt>
                <c:pt idx="10">
                  <c:v>3637.19696969697</c:v>
                </c:pt>
                <c:pt idx="11">
                  <c:v>3637.19696969697</c:v>
                </c:pt>
              </c:numCache>
            </c:numRef>
          </c:val>
          <c:extLst>
            <c:ext xmlns:c16="http://schemas.microsoft.com/office/drawing/2014/chart" uri="{C3380CC4-5D6E-409C-BE32-E72D297353CC}">
              <c16:uniqueId val="{00000000-F934-4818-82C5-77050AA62C80}"/>
            </c:ext>
          </c:extLst>
        </c:ser>
        <c:ser>
          <c:idx val="1"/>
          <c:order val="1"/>
          <c:tx>
            <c:v>Investing</c:v>
          </c:tx>
          <c:spPr>
            <a:solidFill>
              <a:schemeClr val="accent3"/>
            </a:solidFill>
            <a:ln>
              <a:noFill/>
            </a:ln>
            <a:effectLst/>
          </c:spPr>
          <c:invertIfNegative val="0"/>
          <c:cat>
            <c:numRef>
              <c:f>'Financial Summary'!$P$53:$AA$53</c:f>
              <c:numCache>
                <c:formatCode>[$-409]mmm;@</c:formatCode>
                <c:ptCount val="12"/>
                <c:pt idx="0">
                  <c:v>43131</c:v>
                </c:pt>
                <c:pt idx="1">
                  <c:v>43159</c:v>
                </c:pt>
                <c:pt idx="2">
                  <c:v>43190</c:v>
                </c:pt>
                <c:pt idx="3">
                  <c:v>43220</c:v>
                </c:pt>
                <c:pt idx="4">
                  <c:v>43251</c:v>
                </c:pt>
                <c:pt idx="5">
                  <c:v>43281</c:v>
                </c:pt>
                <c:pt idx="6">
                  <c:v>43312</c:v>
                </c:pt>
                <c:pt idx="7">
                  <c:v>43343</c:v>
                </c:pt>
                <c:pt idx="8">
                  <c:v>43373</c:v>
                </c:pt>
                <c:pt idx="9">
                  <c:v>43404</c:v>
                </c:pt>
                <c:pt idx="10">
                  <c:v>43434</c:v>
                </c:pt>
                <c:pt idx="11">
                  <c:v>43465</c:v>
                </c:pt>
              </c:numCache>
            </c:numRef>
          </c:cat>
          <c:val>
            <c:numRef>
              <c:f>'Financial Summary'!$P$55:$AA$55</c:f>
              <c:numCache>
                <c:formatCode>_(#,##0_);\(#,##0\);_("-"_);_)@_)</c:formatCode>
                <c:ptCount val="12"/>
                <c:pt idx="0">
                  <c:v>-50000</c:v>
                </c:pt>
                <c:pt idx="1">
                  <c:v>-50000</c:v>
                </c:pt>
                <c:pt idx="2">
                  <c:v>-50000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F934-4818-82C5-77050AA62C80}"/>
            </c:ext>
          </c:extLst>
        </c:ser>
        <c:ser>
          <c:idx val="2"/>
          <c:order val="2"/>
          <c:tx>
            <c:v>Financing</c:v>
          </c:tx>
          <c:spPr>
            <a:solidFill>
              <a:schemeClr val="accent5"/>
            </a:solidFill>
            <a:ln>
              <a:noFill/>
            </a:ln>
            <a:effectLst/>
          </c:spPr>
          <c:invertIfNegative val="0"/>
          <c:cat>
            <c:numRef>
              <c:f>'Financial Summary'!$P$53:$AA$53</c:f>
              <c:numCache>
                <c:formatCode>[$-409]mmm;@</c:formatCode>
                <c:ptCount val="12"/>
                <c:pt idx="0">
                  <c:v>43131</c:v>
                </c:pt>
                <c:pt idx="1">
                  <c:v>43159</c:v>
                </c:pt>
                <c:pt idx="2">
                  <c:v>43190</c:v>
                </c:pt>
                <c:pt idx="3">
                  <c:v>43220</c:v>
                </c:pt>
                <c:pt idx="4">
                  <c:v>43251</c:v>
                </c:pt>
                <c:pt idx="5">
                  <c:v>43281</c:v>
                </c:pt>
                <c:pt idx="6">
                  <c:v>43312</c:v>
                </c:pt>
                <c:pt idx="7">
                  <c:v>43343</c:v>
                </c:pt>
                <c:pt idx="8">
                  <c:v>43373</c:v>
                </c:pt>
                <c:pt idx="9">
                  <c:v>43404</c:v>
                </c:pt>
                <c:pt idx="10">
                  <c:v>43434</c:v>
                </c:pt>
                <c:pt idx="11">
                  <c:v>43465</c:v>
                </c:pt>
              </c:numCache>
            </c:numRef>
          </c:cat>
          <c:val>
            <c:numRef>
              <c:f>'Financial Summary'!$P$56:$AA$56</c:f>
              <c:numCache>
                <c:formatCode>_(#,##0_);\(#,##0\);_("-"_);_)@_)</c:formatCode>
                <c:ptCount val="12"/>
                <c:pt idx="0">
                  <c:v>250000</c:v>
                </c:pt>
                <c:pt idx="1">
                  <c:v>0</c:v>
                </c:pt>
                <c:pt idx="2">
                  <c:v>0</c:v>
                </c:pt>
                <c:pt idx="3">
                  <c:v>0</c:v>
                </c:pt>
                <c:pt idx="4">
                  <c:v>0</c:v>
                </c:pt>
                <c:pt idx="5">
                  <c:v>0</c:v>
                </c:pt>
                <c:pt idx="6">
                  <c:v>0</c:v>
                </c:pt>
                <c:pt idx="7">
                  <c:v>0</c:v>
                </c:pt>
                <c:pt idx="8">
                  <c:v>0</c:v>
                </c:pt>
                <c:pt idx="9">
                  <c:v>0</c:v>
                </c:pt>
                <c:pt idx="10">
                  <c:v>0</c:v>
                </c:pt>
                <c:pt idx="11">
                  <c:v>-10000</c:v>
                </c:pt>
              </c:numCache>
            </c:numRef>
          </c:val>
          <c:extLst>
            <c:ext xmlns:c16="http://schemas.microsoft.com/office/drawing/2014/chart" uri="{C3380CC4-5D6E-409C-BE32-E72D297353CC}">
              <c16:uniqueId val="{00000002-F934-4818-82C5-77050AA62C80}"/>
            </c:ext>
          </c:extLst>
        </c:ser>
        <c:dLbls>
          <c:showLegendKey val="0"/>
          <c:showVal val="0"/>
          <c:showCatName val="0"/>
          <c:showSerName val="0"/>
          <c:showPercent val="0"/>
          <c:showBubbleSize val="0"/>
        </c:dLbls>
        <c:gapWidth val="150"/>
        <c:axId val="128428288"/>
        <c:axId val="128438272"/>
      </c:barChart>
      <c:lineChart>
        <c:grouping val="standard"/>
        <c:varyColors val="0"/>
        <c:ser>
          <c:idx val="3"/>
          <c:order val="3"/>
          <c:tx>
            <c:v>Net Cash Flow</c:v>
          </c:tx>
          <c:spPr>
            <a:ln w="19050" cap="rnd" cmpd="sng" algn="ctr">
              <a:solidFill>
                <a:schemeClr val="accent1">
                  <a:lumMod val="60000"/>
                </a:schemeClr>
              </a:solidFill>
              <a:prstDash val="solid"/>
              <a:round/>
            </a:ln>
            <a:effectLst/>
          </c:spPr>
          <c:marker>
            <c:symbol val="circle"/>
            <c:size val="5"/>
            <c:spPr>
              <a:solidFill>
                <a:schemeClr val="accent1">
                  <a:lumMod val="60000"/>
                </a:schemeClr>
              </a:solidFill>
              <a:ln w="6350" cap="flat" cmpd="sng" algn="ctr">
                <a:solidFill>
                  <a:schemeClr val="accent1">
                    <a:lumMod val="60000"/>
                  </a:schemeClr>
                </a:solidFill>
                <a:prstDash val="solid"/>
                <a:round/>
              </a:ln>
              <a:effectLst/>
            </c:spPr>
          </c:marker>
          <c:cat>
            <c:numRef>
              <c:f>'Financial Summary'!$P$53:$AA$53</c:f>
              <c:numCache>
                <c:formatCode>[$-409]mmm;@</c:formatCode>
                <c:ptCount val="12"/>
                <c:pt idx="0">
                  <c:v>43131</c:v>
                </c:pt>
                <c:pt idx="1">
                  <c:v>43159</c:v>
                </c:pt>
                <c:pt idx="2">
                  <c:v>43190</c:v>
                </c:pt>
                <c:pt idx="3">
                  <c:v>43220</c:v>
                </c:pt>
                <c:pt idx="4">
                  <c:v>43251</c:v>
                </c:pt>
                <c:pt idx="5">
                  <c:v>43281</c:v>
                </c:pt>
                <c:pt idx="6">
                  <c:v>43312</c:v>
                </c:pt>
                <c:pt idx="7">
                  <c:v>43343</c:v>
                </c:pt>
                <c:pt idx="8">
                  <c:v>43373</c:v>
                </c:pt>
                <c:pt idx="9">
                  <c:v>43404</c:v>
                </c:pt>
                <c:pt idx="10">
                  <c:v>43434</c:v>
                </c:pt>
                <c:pt idx="11">
                  <c:v>43465</c:v>
                </c:pt>
              </c:numCache>
            </c:numRef>
          </c:cat>
          <c:val>
            <c:numRef>
              <c:f>'Financial Summary'!$P$57:$AA$57</c:f>
              <c:numCache>
                <c:formatCode>_(#,##0_);\(#,##0\);_("-"_);_)@_)</c:formatCode>
                <c:ptCount val="12"/>
                <c:pt idx="0">
                  <c:v>199037.5</c:v>
                </c:pt>
                <c:pt idx="1">
                  <c:v>-48697.348484848488</c:v>
                </c:pt>
                <c:pt idx="2">
                  <c:v>-46990.166666666664</c:v>
                </c:pt>
                <c:pt idx="3">
                  <c:v>3403.19696969697</c:v>
                </c:pt>
                <c:pt idx="4">
                  <c:v>3637.19696969697</c:v>
                </c:pt>
                <c:pt idx="5">
                  <c:v>3637.19696969697</c:v>
                </c:pt>
                <c:pt idx="6">
                  <c:v>3637.19696969697</c:v>
                </c:pt>
                <c:pt idx="7">
                  <c:v>3637.19696969697</c:v>
                </c:pt>
                <c:pt idx="8">
                  <c:v>3637.19696969697</c:v>
                </c:pt>
                <c:pt idx="9">
                  <c:v>3637.19696969697</c:v>
                </c:pt>
                <c:pt idx="10">
                  <c:v>3637.19696969697</c:v>
                </c:pt>
                <c:pt idx="11">
                  <c:v>-6362.80303030303</c:v>
                </c:pt>
              </c:numCache>
            </c:numRef>
          </c:val>
          <c:smooth val="0"/>
          <c:extLst>
            <c:ext xmlns:c16="http://schemas.microsoft.com/office/drawing/2014/chart" uri="{C3380CC4-5D6E-409C-BE32-E72D297353CC}">
              <c16:uniqueId val="{00000003-F934-4818-82C5-77050AA62C80}"/>
            </c:ext>
          </c:extLst>
        </c:ser>
        <c:ser>
          <c:idx val="4"/>
          <c:order val="4"/>
          <c:tx>
            <c:strRef>
              <c:f>'Financial Summary'!$B$58</c:f>
              <c:strCache>
                <c:ptCount val="1"/>
                <c:pt idx="0">
                  <c:v>Closing Cash</c:v>
                </c:pt>
              </c:strCache>
            </c:strRef>
          </c:tx>
          <c:spPr>
            <a:ln w="19050" cap="rnd" cmpd="sng" algn="ctr">
              <a:solidFill>
                <a:schemeClr val="accent3">
                  <a:lumMod val="60000"/>
                </a:schemeClr>
              </a:solidFill>
              <a:prstDash val="solid"/>
              <a:round/>
            </a:ln>
            <a:effectLst/>
          </c:spPr>
          <c:marker>
            <c:symbol val="circle"/>
            <c:size val="5"/>
            <c:spPr>
              <a:solidFill>
                <a:schemeClr val="accent3">
                  <a:lumMod val="60000"/>
                </a:schemeClr>
              </a:solidFill>
              <a:ln w="6350" cap="flat" cmpd="sng" algn="ctr">
                <a:solidFill>
                  <a:schemeClr val="accent3">
                    <a:lumMod val="60000"/>
                  </a:schemeClr>
                </a:solidFill>
                <a:prstDash val="solid"/>
                <a:round/>
              </a:ln>
              <a:effectLst/>
            </c:spPr>
          </c:marker>
          <c:cat>
            <c:numRef>
              <c:f>'Financial Summary'!$P$53:$AA$53</c:f>
              <c:numCache>
                <c:formatCode>[$-409]mmm;@</c:formatCode>
                <c:ptCount val="12"/>
                <c:pt idx="0">
                  <c:v>43131</c:v>
                </c:pt>
                <c:pt idx="1">
                  <c:v>43159</c:v>
                </c:pt>
                <c:pt idx="2">
                  <c:v>43190</c:v>
                </c:pt>
                <c:pt idx="3">
                  <c:v>43220</c:v>
                </c:pt>
                <c:pt idx="4">
                  <c:v>43251</c:v>
                </c:pt>
                <c:pt idx="5">
                  <c:v>43281</c:v>
                </c:pt>
                <c:pt idx="6">
                  <c:v>43312</c:v>
                </c:pt>
                <c:pt idx="7">
                  <c:v>43343</c:v>
                </c:pt>
                <c:pt idx="8">
                  <c:v>43373</c:v>
                </c:pt>
                <c:pt idx="9">
                  <c:v>43404</c:v>
                </c:pt>
                <c:pt idx="10">
                  <c:v>43434</c:v>
                </c:pt>
                <c:pt idx="11">
                  <c:v>43465</c:v>
                </c:pt>
              </c:numCache>
            </c:numRef>
          </c:cat>
          <c:val>
            <c:numRef>
              <c:f>'Financial Summary'!$P$58:$AA$58</c:f>
              <c:numCache>
                <c:formatCode>_(#,##0_);\(#,##0\);_("-"_);_)@_)</c:formatCode>
                <c:ptCount val="12"/>
                <c:pt idx="0">
                  <c:v>199037.5</c:v>
                </c:pt>
                <c:pt idx="1">
                  <c:v>150340.15151515152</c:v>
                </c:pt>
                <c:pt idx="2">
                  <c:v>103349.98484848486</c:v>
                </c:pt>
                <c:pt idx="3">
                  <c:v>106753.18181818184</c:v>
                </c:pt>
                <c:pt idx="4">
                  <c:v>110390.37878787881</c:v>
                </c:pt>
                <c:pt idx="5">
                  <c:v>114027.57575757579</c:v>
                </c:pt>
                <c:pt idx="6">
                  <c:v>117664.77272727276</c:v>
                </c:pt>
                <c:pt idx="7">
                  <c:v>121301.96969696974</c:v>
                </c:pt>
                <c:pt idx="8">
                  <c:v>124939.16666666672</c:v>
                </c:pt>
                <c:pt idx="9">
                  <c:v>128576.36363636369</c:v>
                </c:pt>
                <c:pt idx="10">
                  <c:v>132213.56060606067</c:v>
                </c:pt>
                <c:pt idx="11">
                  <c:v>125850.75757575764</c:v>
                </c:pt>
              </c:numCache>
            </c:numRef>
          </c:val>
          <c:smooth val="0"/>
          <c:extLst>
            <c:ext xmlns:c16="http://schemas.microsoft.com/office/drawing/2014/chart" uri="{C3380CC4-5D6E-409C-BE32-E72D297353CC}">
              <c16:uniqueId val="{00000004-F934-4818-82C5-77050AA62C80}"/>
            </c:ext>
          </c:extLst>
        </c:ser>
        <c:dLbls>
          <c:showLegendKey val="0"/>
          <c:showVal val="0"/>
          <c:showCatName val="0"/>
          <c:showSerName val="0"/>
          <c:showPercent val="0"/>
          <c:showBubbleSize val="0"/>
        </c:dLbls>
        <c:marker val="1"/>
        <c:smooth val="0"/>
        <c:axId val="128428288"/>
        <c:axId val="128438272"/>
      </c:lineChart>
      <c:dateAx>
        <c:axId val="128428288"/>
        <c:scaling>
          <c:orientation val="minMax"/>
        </c:scaling>
        <c:delete val="0"/>
        <c:axPos val="b"/>
        <c:majorGridlines>
          <c:spPr>
            <a:ln w="6350" cap="flat" cmpd="sng" algn="ctr">
              <a:solidFill>
                <a:schemeClr val="tx1">
                  <a:tint val="75000"/>
                </a:schemeClr>
              </a:solidFill>
              <a:prstDash val="solid"/>
              <a:round/>
            </a:ln>
            <a:effectLst/>
          </c:spPr>
        </c:majorGridlines>
        <c:numFmt formatCode="[$-409]mmm;@" sourceLinked="1"/>
        <c:majorTickMark val="out"/>
        <c:minorTickMark val="none"/>
        <c:tickLblPos val="low"/>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128438272"/>
        <c:crosses val="autoZero"/>
        <c:auto val="1"/>
        <c:lblOffset val="100"/>
        <c:baseTimeUnit val="months"/>
      </c:dateAx>
      <c:valAx>
        <c:axId val="128438272"/>
        <c:scaling>
          <c:orientation val="minMax"/>
        </c:scaling>
        <c:delete val="0"/>
        <c:axPos val="l"/>
        <c:numFmt formatCode="_(#,##0_);\(#,##0\);_(&quot;-&quot;_);_)@_)" sourceLinked="1"/>
        <c:majorTickMark val="none"/>
        <c:minorTickMark val="none"/>
        <c:tickLblPos val="high"/>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128428288"/>
        <c:crosses val="autoZero"/>
        <c:crossBetween val="between"/>
      </c:valAx>
      <c:spPr>
        <a:noFill/>
        <a:ln>
          <a:noFill/>
        </a:ln>
        <a:effectLst/>
      </c:spPr>
    </c:plotArea>
    <c:legend>
      <c:legendPos val="t"/>
      <c:layout>
        <c:manualLayout>
          <c:xMode val="edge"/>
          <c:yMode val="edge"/>
          <c:x val="0.16859962817147858"/>
          <c:y val="0"/>
          <c:w val="0.62656874072806112"/>
          <c:h val="7.6266790180639185E-2"/>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6350" cap="flat" cmpd="sng" algn="ctr">
      <a:noFill/>
      <a:prstDash val="solid"/>
      <a:round/>
    </a:ln>
    <a:effectLst/>
  </c:spPr>
  <c:txPr>
    <a:bodyPr/>
    <a:lstStyle/>
    <a:p>
      <a:pPr>
        <a:defRPr sz="800"/>
      </a:pPr>
      <a:endParaRPr lang="en-US"/>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0</xdr:row>
      <xdr:rowOff>2676525</xdr:rowOff>
    </xdr:from>
    <xdr:to>
      <xdr:col>7</xdr:col>
      <xdr:colOff>172405</xdr:colOff>
      <xdr:row>2</xdr:row>
      <xdr:rowOff>85725</xdr:rowOff>
    </xdr:to>
    <xdr:pic>
      <xdr:nvPicPr>
        <xdr:cNvPr id="4" name="Picture 3">
          <a:extLst>
            <a:ext uri="{FF2B5EF4-FFF2-40B4-BE49-F238E27FC236}">
              <a16:creationId xmlns:a16="http://schemas.microsoft.com/office/drawing/2014/main" id="{581DF323-7216-94F9-B0BD-797A50B1BFA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57375" y="2676525"/>
          <a:ext cx="2687005" cy="2743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20</xdr:col>
      <xdr:colOff>0</xdr:colOff>
      <xdr:row>11</xdr:row>
      <xdr:rowOff>0</xdr:rowOff>
    </xdr:from>
    <xdr:to>
      <xdr:col>26</xdr:col>
      <xdr:colOff>0</xdr:colOff>
      <xdr:row>29</xdr:row>
      <xdr:rowOff>0</xdr:rowOff>
    </xdr:to>
    <xdr:graphicFrame macro="">
      <xdr:nvGraphicFramePr>
        <xdr:cNvPr id="12" name="Chart">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33</xdr:row>
      <xdr:rowOff>0</xdr:rowOff>
    </xdr:from>
    <xdr:to>
      <xdr:col>26</xdr:col>
      <xdr:colOff>0</xdr:colOff>
      <xdr:row>55</xdr:row>
      <xdr:rowOff>133349</xdr:rowOff>
    </xdr:to>
    <xdr:graphicFrame macro="">
      <xdr:nvGraphicFramePr>
        <xdr:cNvPr id="16" name="Chart">
          <a:extLst>
            <a:ext uri="{FF2B5EF4-FFF2-40B4-BE49-F238E27FC236}">
              <a16:creationId xmlns:a16="http://schemas.microsoft.com/office/drawing/2014/main" id="{00000000-0008-0000-05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xdr:colOff>
      <xdr:row>11</xdr:row>
      <xdr:rowOff>0</xdr:rowOff>
    </xdr:from>
    <xdr:to>
      <xdr:col>19</xdr:col>
      <xdr:colOff>1</xdr:colOff>
      <xdr:row>29</xdr:row>
      <xdr:rowOff>0</xdr:rowOff>
    </xdr:to>
    <xdr:graphicFrame macro="">
      <xdr:nvGraphicFramePr>
        <xdr:cNvPr id="8" name="Chart">
          <a:extLst>
            <a:ext uri="{FF2B5EF4-FFF2-40B4-BE49-F238E27FC236}">
              <a16:creationId xmlns:a16="http://schemas.microsoft.com/office/drawing/2014/main" id="{664F363B-7ABD-44C5-A0F0-832053C8D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33</xdr:row>
      <xdr:rowOff>0</xdr:rowOff>
    </xdr:from>
    <xdr:to>
      <xdr:col>19</xdr:col>
      <xdr:colOff>0</xdr:colOff>
      <xdr:row>56</xdr:row>
      <xdr:rowOff>0</xdr:rowOff>
    </xdr:to>
    <xdr:graphicFrame macro="">
      <xdr:nvGraphicFramePr>
        <xdr:cNvPr id="6" name="Chart">
          <a:extLst>
            <a:ext uri="{FF2B5EF4-FFF2-40B4-BE49-F238E27FC236}">
              <a16:creationId xmlns:a16="http://schemas.microsoft.com/office/drawing/2014/main" id="{E69A68CC-DFE1-4C69-A9BA-938626BCC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30</xdr:row>
      <xdr:rowOff>0</xdr:rowOff>
    </xdr:from>
    <xdr:to>
      <xdr:col>14</xdr:col>
      <xdr:colOff>0</xdr:colOff>
      <xdr:row>50</xdr:row>
      <xdr:rowOff>0</xdr:rowOff>
    </xdr:to>
    <xdr:graphicFrame macro="">
      <xdr:nvGraphicFramePr>
        <xdr:cNvPr id="8" name="Chart">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30</xdr:row>
      <xdr:rowOff>0</xdr:rowOff>
    </xdr:from>
    <xdr:to>
      <xdr:col>27</xdr:col>
      <xdr:colOff>0</xdr:colOff>
      <xdr:row>50</xdr:row>
      <xdr:rowOff>0</xdr:rowOff>
    </xdr:to>
    <xdr:graphicFrame macro="">
      <xdr:nvGraphicFramePr>
        <xdr:cNvPr id="12" name="Chart">
          <a:extLst>
            <a:ext uri="{FF2B5EF4-FFF2-40B4-BE49-F238E27FC236}">
              <a16:creationId xmlns:a16="http://schemas.microsoft.com/office/drawing/2014/main" id="{00000000-0008-0000-06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60</xdr:row>
      <xdr:rowOff>0</xdr:rowOff>
    </xdr:from>
    <xdr:to>
      <xdr:col>14</xdr:col>
      <xdr:colOff>2683</xdr:colOff>
      <xdr:row>80</xdr:row>
      <xdr:rowOff>0</xdr:rowOff>
    </xdr:to>
    <xdr:graphicFrame macro="">
      <xdr:nvGraphicFramePr>
        <xdr:cNvPr id="16" name="Chart">
          <a:extLst>
            <a:ext uri="{FF2B5EF4-FFF2-40B4-BE49-F238E27FC236}">
              <a16:creationId xmlns:a16="http://schemas.microsoft.com/office/drawing/2014/main" id="{00000000-0008-0000-06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60</xdr:row>
      <xdr:rowOff>0</xdr:rowOff>
    </xdr:from>
    <xdr:to>
      <xdr:col>27</xdr:col>
      <xdr:colOff>0</xdr:colOff>
      <xdr:row>80</xdr:row>
      <xdr:rowOff>0</xdr:rowOff>
    </xdr:to>
    <xdr:graphicFrame macro="">
      <xdr:nvGraphicFramePr>
        <xdr:cNvPr id="17" name="Chart">
          <a:extLst>
            <a:ext uri="{FF2B5EF4-FFF2-40B4-BE49-F238E27FC236}">
              <a16:creationId xmlns:a16="http://schemas.microsoft.com/office/drawing/2014/main" id="{00000000-0008-0000-06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abriela Leon" id="{A66FFC11-43BE-4913-97E6-3CA3BCF8ECD1}" userId="8dd7699085793c7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Tahoma"/>
        <a:ea typeface="Tahoma"/>
        <a:cs typeface="Tahoma"/>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ahoma"/>
        <a:ea typeface="Tahoma"/>
        <a:cs typeface="Tahoma"/>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12-30T18:11:55.49" personId="{A66FFC11-43BE-4913-97E6-3CA3BCF8ECD1}" id="{10590DDF-5264-4D37-8524-42ADC302CC4B}">
    <text xml:space="preserve">OPEX is the money a company spends on an ongoing, day-to-day basis in order to run a business,  depending upon the industry, these expenses can range from the ink used to print document to the wages paid to employees. </text>
  </threadedComment>
  <threadedComment ref="B1" dT="2022-12-30T18:23:29.05" personId="{A66FFC11-43BE-4913-97E6-3CA3BCF8ECD1}" id="{7C3737BD-204D-4114-9C99-BCF48CB151E5}" parentId="{10590DDF-5264-4D37-8524-42ADC302CC4B}">
    <text xml:space="preserve">Here you can find an example, it should be modified depending on the model of business </text>
  </threadedComment>
  <threadedComment ref="B1" dT="2022-12-30T18:52:24.24" personId="{A66FFC11-43BE-4913-97E6-3CA3BCF8ECD1}" id="{A616BEA1-5E08-4795-80CC-45BDB66EF65A}" parentId="{10590DDF-5264-4D37-8524-42ADC302CC4B}">
    <text xml:space="preserve">The operating activities primarily cover the commercial activities of the company, for that reason the operational activities differ greatly among industries
</text>
  </threadedComment>
  <threadedComment ref="E6" dT="2022-12-30T18:43:51.63" personId="{A66FFC11-43BE-4913-97E6-3CA3BCF8ECD1}" id="{6990466D-871A-4922-B2E4-CE910CB4016B}">
    <text>Is the sum of all direct cost associated with making a product or selling a service, it appears on an income statement</text>
  </threadedComment>
  <threadedComment ref="E6" dT="2022-12-30T19:02:43.92" personId="{A66FFC11-43BE-4913-97E6-3CA3BCF8ECD1}" id="{1A833DE5-5DF8-426B-909E-4EDAA8765097}" parentId="{6990466D-871A-4922-B2E4-CE910CB4016B}">
    <text xml:space="preserve">COGS differs from OPEX in that OPEX includes expenditures that are not directly tied to the production of goods or services
</text>
  </threadedComment>
  <threadedComment ref="E6" dT="2022-12-30T19:04:38.95" personId="{A66FFC11-43BE-4913-97E6-3CA3BCF8ECD1}" id="{CC635324-64FB-44A0-A029-5F3081ABFFD6}" parentId="{6990466D-871A-4922-B2E4-CE910CB4016B}">
    <text xml:space="preserve">COGS is an important metric on financial statements as it is subtracted from a company's revenues to determinate its gross profit. </text>
  </threadedComment>
  <threadedComment ref="E6" dT="2022-12-30T19:06:08.48" personId="{A66FFC11-43BE-4913-97E6-3CA3BCF8ECD1}" id="{76133D8C-511C-4F95-93B3-12C5C6B8F156}" parentId="{6990466D-871A-4922-B2E4-CE910CB4016B}">
    <text>COGS only applies to those costs directly related to producing goods intended for sale</text>
  </threadedComment>
  <threadedComment ref="B17" dT="2022-12-30T18:35:00.10" personId="{A66FFC11-43BE-4913-97E6-3CA3BCF8ECD1}" id="{F878033C-EFC3-4769-9685-7A76D655C041}">
    <text xml:space="preserve">Are the expenses related to the production, are non-consistent, and depend on the amount of production or services offered.  </text>
  </threadedComment>
  <threadedComment ref="B28" dT="2022-12-30T18:37:01.00" personId="{A66FFC11-43BE-4913-97E6-3CA3BCF8ECD1}" id="{6B58E45A-D701-49F0-8160-36A34F550A51}">
    <text>Are consistent monthly expenses, not depending directly on the amount of production.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2-12-31T03:01:47.80" personId="{A66FFC11-43BE-4913-97E6-3CA3BCF8ECD1}" id="{446E700A-CDA5-4840-8977-D0B8BABF3C43}">
    <text>Refer to funds that are used by a company for the purchase, improvement, or maintenance of long-term assets to improve the efficiency or capacity of the company. Long-term assets are usually physical, fixed and non-consumable assets such as property, equipment, or infrastructure, and that have a useful life of more than one accounting period.</text>
  </threadedComment>
  <threadedComment ref="B1" dT="2022-12-31T03:02:53.69" personId="{A66FFC11-43BE-4913-97E6-3CA3BCF8ECD1}" id="{FE3DA08F-C212-4CAE-98FC-8A05E106325D}" parentId="{446E700A-CDA5-4840-8977-D0B8BABF3C43}">
    <text>There are normally two forms of capital expenditures: (1) expenses to maintain levels of operation present within the company and (2) expenses that will enable an increase in future growth. A capital expense can either be tangible, such as a machine, or intangible, such as a patent. Both intangible and tangible capital expenditures are usually considered assets since they can be sold when there is a need.</text>
  </threadedComment>
  <threadedComment ref="B1" dT="2022-12-31T03:45:07.99" personId="{A66FFC11-43BE-4913-97E6-3CA3BCF8ECD1}" id="{31B0FD5F-1F92-4309-8B18-38BCA0C7B84B}" parentId="{446E700A-CDA5-4840-8977-D0B8BABF3C43}">
    <text>On the cash flow statement, these investments are listed as negative numbers (outflows of cash),</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J52"/>
  <sheetViews>
    <sheetView showGridLines="0" tabSelected="1" zoomScaleNormal="100" workbookViewId="0">
      <selection activeCell="I5" sqref="I5"/>
    </sheetView>
  </sheetViews>
  <sheetFormatPr defaultColWidth="0" defaultRowHeight="10.5" customHeight="1" zeroHeight="1"/>
  <cols>
    <col min="1" max="1" width="11.28515625" customWidth="1"/>
    <col min="2" max="10" width="11.7109375" customWidth="1"/>
    <col min="11" max="16384" width="11.7109375" hidden="1"/>
  </cols>
  <sheetData>
    <row r="1" spans="1:10" ht="409.6" customHeight="1">
      <c r="A1" s="340" t="s">
        <v>170</v>
      </c>
      <c r="B1" s="340"/>
      <c r="C1" s="340"/>
      <c r="D1" s="340"/>
      <c r="E1" s="340"/>
      <c r="F1" s="340"/>
      <c r="G1" s="340"/>
      <c r="H1" s="340"/>
      <c r="I1" s="340"/>
      <c r="J1" s="340"/>
    </row>
    <row r="2" spans="1:10" ht="10.199999999999999" customHeight="1">
      <c r="A2" s="339"/>
      <c r="B2" s="339"/>
      <c r="C2" s="339"/>
      <c r="D2" s="339"/>
      <c r="E2" s="339"/>
      <c r="F2" s="339"/>
      <c r="G2" s="339"/>
      <c r="H2" s="339"/>
      <c r="I2" s="339"/>
      <c r="J2" s="339"/>
    </row>
    <row r="3" spans="1:10" ht="10.199999999999999" customHeight="1">
      <c r="A3" s="339"/>
      <c r="B3" s="339"/>
      <c r="C3" s="339"/>
      <c r="D3" s="339"/>
      <c r="E3" s="339"/>
      <c r="F3" s="339"/>
      <c r="G3" s="339"/>
      <c r="H3" s="339"/>
      <c r="I3" s="339"/>
      <c r="J3" s="339"/>
    </row>
    <row r="4" spans="1:10" ht="10.199999999999999" customHeight="1">
      <c r="A4" s="339"/>
      <c r="B4" s="339"/>
      <c r="C4" s="339"/>
      <c r="D4" s="339"/>
      <c r="E4" s="339"/>
      <c r="F4" s="339"/>
      <c r="G4" s="339"/>
      <c r="H4" s="339"/>
      <c r="I4" s="339"/>
      <c r="J4" s="339"/>
    </row>
    <row r="5" spans="1:10" ht="10.199999999999999" customHeight="1">
      <c r="A5" s="339"/>
      <c r="B5" s="339"/>
      <c r="C5" s="339"/>
      <c r="D5" s="339"/>
      <c r="E5" s="339"/>
      <c r="F5" s="339"/>
      <c r="G5" s="339"/>
      <c r="H5" s="339"/>
      <c r="I5" s="339"/>
      <c r="J5" s="339"/>
    </row>
    <row r="6" spans="1:10" ht="10.199999999999999" hidden="1" customHeight="1">
      <c r="A6" s="339"/>
      <c r="B6" s="339"/>
      <c r="C6" s="339"/>
      <c r="D6" s="339"/>
      <c r="E6" s="339"/>
      <c r="F6" s="339"/>
      <c r="G6" s="339"/>
      <c r="H6" s="339"/>
      <c r="I6" s="339"/>
      <c r="J6" s="339"/>
    </row>
    <row r="7" spans="1:10" ht="10.199999999999999" hidden="1" customHeight="1">
      <c r="A7" s="339"/>
      <c r="B7" s="339"/>
      <c r="C7" s="339"/>
      <c r="D7" s="339"/>
      <c r="E7" s="339"/>
      <c r="F7" s="339"/>
      <c r="G7" s="339"/>
      <c r="H7" s="339"/>
      <c r="I7" s="339"/>
      <c r="J7" s="339"/>
    </row>
    <row r="8" spans="1:10" ht="10.199999999999999" hidden="1" customHeight="1">
      <c r="A8" s="339"/>
      <c r="B8" s="339"/>
      <c r="C8" s="339"/>
      <c r="D8" s="339"/>
      <c r="E8" s="339"/>
      <c r="F8" s="339"/>
      <c r="G8" s="339"/>
      <c r="H8" s="339"/>
      <c r="I8" s="339"/>
      <c r="J8" s="339"/>
    </row>
    <row r="9" spans="1:10" ht="10.8" hidden="1" customHeight="1">
      <c r="A9" s="339"/>
      <c r="B9" s="339"/>
      <c r="C9" s="339"/>
      <c r="D9" s="339"/>
      <c r="E9" s="339"/>
      <c r="F9" s="339"/>
      <c r="G9" s="339"/>
      <c r="H9" s="339"/>
      <c r="I9" s="339"/>
      <c r="J9" s="339"/>
    </row>
    <row r="10" spans="1:10" ht="10.199999999999999" hidden="1" customHeight="1">
      <c r="A10" s="339"/>
      <c r="B10" s="339"/>
      <c r="C10" s="339"/>
      <c r="D10" s="339"/>
      <c r="E10" s="339"/>
      <c r="F10" s="339"/>
      <c r="G10" s="339"/>
      <c r="H10" s="339"/>
      <c r="I10" s="339"/>
      <c r="J10" s="339"/>
    </row>
    <row r="11" spans="1:10" ht="10.199999999999999" hidden="1" customHeight="1">
      <c r="A11" s="339"/>
      <c r="B11" s="339"/>
      <c r="C11" s="339"/>
      <c r="D11" s="339"/>
      <c r="E11" s="339"/>
      <c r="F11" s="339"/>
      <c r="G11" s="339"/>
      <c r="H11" s="339"/>
      <c r="I11" s="339"/>
      <c r="J11" s="339"/>
    </row>
    <row r="12" spans="1:10" ht="10.199999999999999" hidden="1" customHeight="1">
      <c r="A12" s="339"/>
      <c r="B12" s="339"/>
      <c r="C12" s="339"/>
      <c r="D12" s="339"/>
      <c r="E12" s="339"/>
      <c r="F12" s="339"/>
      <c r="G12" s="339"/>
      <c r="H12" s="339"/>
      <c r="I12" s="339"/>
      <c r="J12" s="339"/>
    </row>
    <row r="13" spans="1:10" ht="10.199999999999999" hidden="1" customHeight="1">
      <c r="A13" s="339"/>
      <c r="B13" s="339"/>
      <c r="C13" s="339"/>
      <c r="D13" s="339"/>
      <c r="E13" s="339"/>
      <c r="F13" s="339"/>
      <c r="G13" s="339"/>
      <c r="H13" s="339"/>
      <c r="I13" s="339"/>
      <c r="J13" s="339"/>
    </row>
    <row r="14" spans="1:10" ht="10.199999999999999" hidden="1" customHeight="1">
      <c r="A14" s="339"/>
      <c r="B14" s="339"/>
      <c r="C14" s="339"/>
      <c r="D14" s="339"/>
      <c r="E14" s="339"/>
      <c r="F14" s="339"/>
      <c r="G14" s="339"/>
      <c r="H14" s="339"/>
      <c r="I14" s="339"/>
      <c r="J14" s="339"/>
    </row>
    <row r="15" spans="1:10" ht="10.199999999999999" hidden="1" customHeight="1">
      <c r="A15" s="339"/>
      <c r="B15" s="339"/>
      <c r="C15" s="339"/>
      <c r="D15" s="339"/>
      <c r="E15" s="339"/>
      <c r="F15" s="339"/>
      <c r="G15" s="339"/>
      <c r="H15" s="339"/>
      <c r="I15" s="339"/>
      <c r="J15" s="339"/>
    </row>
    <row r="16" spans="1:10" ht="10.199999999999999" hidden="1" customHeight="1">
      <c r="A16" s="339"/>
      <c r="B16" s="339"/>
      <c r="C16" s="339"/>
      <c r="D16" s="339"/>
      <c r="E16" s="339"/>
      <c r="F16" s="339"/>
      <c r="G16" s="339"/>
      <c r="H16" s="339"/>
      <c r="I16" s="339"/>
      <c r="J16" s="339"/>
    </row>
    <row r="17" ht="10.199999999999999" hidden="1"/>
    <row r="18" ht="10.199999999999999" hidden="1"/>
    <row r="19" ht="10.199999999999999" hidden="1"/>
    <row r="20" ht="10.199999999999999" hidden="1"/>
    <row r="21" ht="10.199999999999999" hidden="1"/>
    <row r="33" customFormat="1" ht="10.5" hidden="1" customHeight="1"/>
    <row r="34" customFormat="1" ht="10.5" hidden="1" customHeight="1"/>
    <row r="35" customFormat="1" ht="10.5" hidden="1" customHeight="1"/>
    <row r="36" customFormat="1" ht="10.5" hidden="1" customHeight="1"/>
    <row r="37" customFormat="1" ht="10.5" hidden="1" customHeight="1"/>
    <row r="38" customFormat="1" ht="10.5" hidden="1" customHeight="1"/>
    <row r="39" customFormat="1" ht="10.5" hidden="1" customHeight="1"/>
    <row r="40" customFormat="1" ht="10.5" hidden="1" customHeight="1"/>
    <row r="41" customFormat="1" ht="10.5" hidden="1" customHeight="1"/>
    <row r="42" customFormat="1" ht="10.5" hidden="1" customHeight="1"/>
    <row r="43" customFormat="1" ht="10.5" hidden="1" customHeight="1"/>
    <row r="44" customFormat="1" ht="10.5" hidden="1" customHeight="1"/>
    <row r="45" customFormat="1" ht="10.5" hidden="1" customHeight="1"/>
    <row r="46" customFormat="1" ht="10.5" hidden="1" customHeight="1"/>
    <row r="47" customFormat="1" ht="10.5" hidden="1" customHeight="1"/>
    <row r="48" customFormat="1" ht="10.5" hidden="1" customHeight="1"/>
    <row r="49" customFormat="1" ht="10.5" hidden="1" customHeight="1"/>
    <row r="50" customFormat="1" ht="10.5" hidden="1" customHeight="1"/>
    <row r="51" customFormat="1" ht="10.5" hidden="1" customHeight="1"/>
    <row r="52" customFormat="1" ht="10.5" hidden="1" customHeight="1"/>
  </sheetData>
  <mergeCells count="1">
    <mergeCell ref="A1:J1"/>
  </mergeCells>
  <printOptions horizontalCentered="1" verticalCentered="1"/>
  <pageMargins left="0.25" right="0.25" top="0.25" bottom="0.25" header="0" footer="0.25"/>
  <pageSetup paperSize="9" orientation="portrait" r:id="rId1"/>
  <headerFooter>
    <oddFooter>&amp;L&amp;12Built with finmodelslab.com template&amp;C&amp;12Cover&amp;R&amp;D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rgb="FFFF0000"/>
    <pageSetUpPr autoPageBreaks="0" fitToPage="1"/>
  </sheetPr>
  <dimension ref="A1:AB60"/>
  <sheetViews>
    <sheetView showGridLines="0" zoomScale="85" zoomScaleNormal="85" zoomScaleSheetLayoutView="74" workbookViewId="0">
      <selection activeCell="E7" sqref="E7"/>
    </sheetView>
  </sheetViews>
  <sheetFormatPr defaultColWidth="0" defaultRowHeight="10.5" customHeight="1"/>
  <cols>
    <col min="1" max="1" width="2.140625" style="300" customWidth="1"/>
    <col min="2" max="4" width="7.42578125" style="300" customWidth="1"/>
    <col min="5" max="5" width="6.28515625" style="300" customWidth="1"/>
    <col min="6" max="6" width="1.42578125" style="300" customWidth="1"/>
    <col min="7" max="7" width="15" style="300" customWidth="1"/>
    <col min="8" max="11" width="12.140625" style="300" customWidth="1"/>
    <col min="12" max="12" width="13.42578125" style="300" customWidth="1"/>
    <col min="13" max="13" width="4" style="300" customWidth="1"/>
    <col min="14" max="14" width="11.28515625" style="300" customWidth="1"/>
    <col min="15" max="15" width="15.28515625" style="300" customWidth="1"/>
    <col min="16" max="18" width="16.140625" style="300" customWidth="1"/>
    <col min="19" max="19" width="11.28515625" style="300" customWidth="1"/>
    <col min="20" max="20" width="1.42578125" style="300" customWidth="1"/>
    <col min="21" max="21" width="14.7109375" style="300" customWidth="1"/>
    <col min="22" max="22" width="14.28515625" style="300" customWidth="1"/>
    <col min="23" max="23" width="12.7109375" style="300" customWidth="1"/>
    <col min="24" max="25" width="15.28515625" style="300" customWidth="1"/>
    <col min="26" max="26" width="14.28515625" style="300" customWidth="1"/>
    <col min="27" max="28" width="2.42578125" style="300" customWidth="1"/>
    <col min="29" max="16384" width="2.42578125" hidden="1"/>
  </cols>
  <sheetData>
    <row r="1" spans="1:28" s="296" customFormat="1" ht="10.5" customHeight="1"/>
    <row r="2" spans="1:28" ht="17.25" customHeight="1">
      <c r="A2" s="297"/>
      <c r="B2" s="301" t="s">
        <v>67</v>
      </c>
      <c r="C2" s="302"/>
      <c r="D2" s="302"/>
      <c r="E2" s="302"/>
      <c r="F2" s="303"/>
      <c r="G2" s="304" t="s">
        <v>103</v>
      </c>
      <c r="H2" s="305"/>
      <c r="I2" s="303"/>
      <c r="J2" s="304" t="s">
        <v>68</v>
      </c>
      <c r="K2" s="306"/>
      <c r="L2" s="305"/>
      <c r="M2" s="307"/>
      <c r="N2" s="303"/>
      <c r="O2" s="304" t="s">
        <v>61</v>
      </c>
      <c r="P2" s="306"/>
      <c r="Q2" s="306"/>
      <c r="R2" s="305"/>
      <c r="S2" s="308"/>
      <c r="T2" s="307"/>
      <c r="U2" s="304" t="s">
        <v>80</v>
      </c>
      <c r="V2" s="305"/>
      <c r="W2" s="303"/>
      <c r="X2" s="304" t="s">
        <v>107</v>
      </c>
      <c r="Y2" s="306"/>
      <c r="Z2" s="309"/>
      <c r="AA2" s="296"/>
      <c r="AB2" s="296"/>
    </row>
    <row r="3" spans="1:28" ht="14.25" customHeight="1">
      <c r="A3" s="297"/>
      <c r="B3" s="310" t="s">
        <v>163</v>
      </c>
      <c r="C3" s="195"/>
      <c r="D3" s="195"/>
      <c r="E3" s="195"/>
      <c r="F3" s="196"/>
      <c r="G3" s="197" t="s">
        <v>82</v>
      </c>
      <c r="H3" s="198" t="s">
        <v>81</v>
      </c>
      <c r="I3" s="199"/>
      <c r="J3" s="200" t="s">
        <v>95</v>
      </c>
      <c r="K3" s="198" t="s">
        <v>116</v>
      </c>
      <c r="L3" s="201" t="str">
        <f>"Amount, "&amp;Currency</f>
        <v>Amount, $</v>
      </c>
      <c r="M3" s="199"/>
      <c r="N3" s="199"/>
      <c r="O3" s="200" t="s">
        <v>66</v>
      </c>
      <c r="P3" s="198" t="s">
        <v>59</v>
      </c>
      <c r="Q3" s="198" t="s">
        <v>60</v>
      </c>
      <c r="R3" s="201" t="s">
        <v>79</v>
      </c>
      <c r="S3" s="196"/>
      <c r="T3" s="202"/>
      <c r="U3" s="197" t="s">
        <v>82</v>
      </c>
      <c r="V3" s="198" t="s">
        <v>81</v>
      </c>
      <c r="W3" s="196"/>
      <c r="X3" s="203"/>
      <c r="Y3" s="204" t="s">
        <v>101</v>
      </c>
      <c r="Z3" s="311">
        <f>INDEX(BS!J5:BQ5,0,MATCH(MIN(BS!J10:BQ10),BS!J10:BQ10,0))</f>
        <v>43496</v>
      </c>
      <c r="AA3" s="296"/>
      <c r="AB3" s="296"/>
    </row>
    <row r="4" spans="1:28" ht="14.25" customHeight="1">
      <c r="A4" s="297"/>
      <c r="B4" s="312"/>
      <c r="C4" s="205"/>
      <c r="D4" s="205"/>
      <c r="E4" s="205"/>
      <c r="F4" s="196"/>
      <c r="G4" s="206" t="s">
        <v>109</v>
      </c>
      <c r="H4" s="207" t="s">
        <v>54</v>
      </c>
      <c r="I4" s="196"/>
      <c r="J4" s="208" t="s">
        <v>86</v>
      </c>
      <c r="K4" s="209">
        <f>IS!J6</f>
        <v>43131</v>
      </c>
      <c r="L4" s="210">
        <v>250000</v>
      </c>
      <c r="M4" s="211"/>
      <c r="N4" s="196"/>
      <c r="O4" s="206" t="s">
        <v>62</v>
      </c>
      <c r="P4" s="212">
        <v>0.8</v>
      </c>
      <c r="Q4" s="212">
        <v>0.6</v>
      </c>
      <c r="R4" s="213">
        <v>0.9</v>
      </c>
      <c r="S4" s="196"/>
      <c r="T4" s="196"/>
      <c r="U4" s="214" t="str">
        <f>"Amount, "&amp;Currency</f>
        <v>Amount, $</v>
      </c>
      <c r="V4" s="215">
        <v>100000</v>
      </c>
      <c r="W4" s="196"/>
      <c r="X4" s="203"/>
      <c r="Y4" s="204" t="str">
        <f>"Minimal Cash, "&amp;Currency</f>
        <v>Minimal Cash, $</v>
      </c>
      <c r="Z4" s="313">
        <f>MIN(BS!J10:BQ10)</f>
        <v>80309.286363636435</v>
      </c>
      <c r="AA4" s="296"/>
      <c r="AB4" s="296"/>
    </row>
    <row r="5" spans="1:28" ht="14.25" customHeight="1">
      <c r="A5" s="297"/>
      <c r="B5" s="314"/>
      <c r="C5" s="196"/>
      <c r="D5" s="196"/>
      <c r="E5" s="196"/>
      <c r="F5" s="196"/>
      <c r="G5" s="206" t="s">
        <v>108</v>
      </c>
      <c r="H5" s="216">
        <v>2018</v>
      </c>
      <c r="I5" s="196"/>
      <c r="J5" s="217" t="s">
        <v>134</v>
      </c>
      <c r="K5" s="218"/>
      <c r="L5" s="219"/>
      <c r="M5" s="211"/>
      <c r="N5" s="196"/>
      <c r="O5" s="206" t="s">
        <v>63</v>
      </c>
      <c r="P5" s="220">
        <v>0.15</v>
      </c>
      <c r="Q5" s="220">
        <v>0.4</v>
      </c>
      <c r="R5" s="221">
        <v>0.1</v>
      </c>
      <c r="S5" s="196"/>
      <c r="T5" s="196"/>
      <c r="U5" s="222" t="s">
        <v>116</v>
      </c>
      <c r="V5" s="223">
        <v>44681</v>
      </c>
      <c r="W5" s="196"/>
      <c r="X5" s="203"/>
      <c r="Y5" s="204" t="s">
        <v>104</v>
      </c>
      <c r="Z5" s="315">
        <f>IFERROR(SUM(H54:L54)/SUM(Funding_Amounts),0)</f>
        <v>1.159427033002953</v>
      </c>
      <c r="AA5" s="296"/>
      <c r="AB5" s="296"/>
    </row>
    <row r="6" spans="1:28" ht="14.25" customHeight="1">
      <c r="A6" s="297"/>
      <c r="B6" s="314"/>
      <c r="C6" s="196"/>
      <c r="D6" s="196"/>
      <c r="E6" s="196"/>
      <c r="F6" s="196"/>
      <c r="G6" s="206" t="s">
        <v>113</v>
      </c>
      <c r="H6" s="224">
        <v>0.15</v>
      </c>
      <c r="I6" s="196"/>
      <c r="J6" s="217" t="s">
        <v>133</v>
      </c>
      <c r="K6" s="218"/>
      <c r="L6" s="219"/>
      <c r="M6" s="211"/>
      <c r="N6" s="196"/>
      <c r="O6" s="206" t="s">
        <v>64</v>
      </c>
      <c r="P6" s="220">
        <v>0.05</v>
      </c>
      <c r="Q6" s="220">
        <v>0</v>
      </c>
      <c r="R6" s="221">
        <v>0</v>
      </c>
      <c r="S6" s="196"/>
      <c r="T6" s="211"/>
      <c r="U6" s="222" t="s">
        <v>46</v>
      </c>
      <c r="V6" s="225">
        <v>24</v>
      </c>
      <c r="W6" s="196"/>
      <c r="X6" s="203"/>
      <c r="Y6" s="204" t="s">
        <v>105</v>
      </c>
      <c r="Z6" s="316">
        <f>IFERROR(IRR(CF!23:23),0)</f>
        <v>3.3508382981504825E-2</v>
      </c>
      <c r="AA6" s="296"/>
      <c r="AB6" s="296"/>
    </row>
    <row r="7" spans="1:28" ht="14.25" customHeight="1">
      <c r="A7" s="297"/>
      <c r="B7" s="314"/>
      <c r="C7" s="196"/>
      <c r="D7" s="196"/>
      <c r="E7" s="196"/>
      <c r="F7" s="196"/>
      <c r="G7" s="226" t="s">
        <v>102</v>
      </c>
      <c r="H7" s="227">
        <v>0.2</v>
      </c>
      <c r="I7" s="196"/>
      <c r="J7" s="228" t="s">
        <v>135</v>
      </c>
      <c r="K7" s="229"/>
      <c r="L7" s="230"/>
      <c r="M7" s="211"/>
      <c r="N7" s="196"/>
      <c r="O7" s="226" t="s">
        <v>65</v>
      </c>
      <c r="P7" s="231">
        <f>1-SUM(P4:P6)</f>
        <v>0</v>
      </c>
      <c r="Q7" s="231">
        <f>1-SUM(Q4:Q6)</f>
        <v>0</v>
      </c>
      <c r="R7" s="232">
        <f>1-SUM(R4:R6)</f>
        <v>0</v>
      </c>
      <c r="S7" s="196"/>
      <c r="T7" s="211"/>
      <c r="U7" s="233" t="s">
        <v>47</v>
      </c>
      <c r="V7" s="234">
        <v>0.1</v>
      </c>
      <c r="W7" s="196"/>
      <c r="X7" s="235"/>
      <c r="Y7" s="236" t="s">
        <v>106</v>
      </c>
      <c r="Z7" s="317">
        <f>IFERROR(SUM(H54:L54)/SUM(H40:L40),0)</f>
        <v>0.28037562284317702</v>
      </c>
      <c r="AA7" s="296"/>
      <c r="AB7" s="296"/>
    </row>
    <row r="8" spans="1:28" ht="14.25" customHeight="1">
      <c r="A8" s="297"/>
      <c r="B8" s="314"/>
      <c r="C8" s="196"/>
      <c r="D8" s="196"/>
      <c r="E8" s="196"/>
      <c r="F8" s="196"/>
      <c r="G8" s="204"/>
      <c r="H8" s="289"/>
      <c r="I8" s="196"/>
      <c r="J8" s="290"/>
      <c r="K8" s="291"/>
      <c r="L8" s="292"/>
      <c r="M8" s="211"/>
      <c r="N8" s="196"/>
      <c r="O8" s="204"/>
      <c r="P8" s="293"/>
      <c r="Q8" s="293"/>
      <c r="R8" s="293"/>
      <c r="S8" s="196"/>
      <c r="T8" s="211"/>
      <c r="U8" s="294"/>
      <c r="V8" s="295"/>
      <c r="W8" s="196"/>
      <c r="X8" s="196"/>
      <c r="Y8" s="204"/>
      <c r="Z8" s="318"/>
      <c r="AA8" s="296"/>
      <c r="AB8" s="296"/>
    </row>
    <row r="9" spans="1:28" ht="14.25" customHeight="1">
      <c r="A9" s="297"/>
      <c r="B9" s="314"/>
      <c r="C9" s="196"/>
      <c r="D9" s="196"/>
      <c r="E9" s="196"/>
      <c r="F9" s="196"/>
      <c r="G9" s="204"/>
      <c r="H9" s="289"/>
      <c r="I9" s="196"/>
      <c r="J9" s="290"/>
      <c r="K9" s="291"/>
      <c r="L9" s="292"/>
      <c r="M9" s="211"/>
      <c r="N9" s="196"/>
      <c r="O9" s="204"/>
      <c r="P9" s="293"/>
      <c r="Q9" s="293"/>
      <c r="R9" s="293"/>
      <c r="S9" s="196"/>
      <c r="T9" s="211"/>
      <c r="U9" s="294"/>
      <c r="V9" s="295"/>
      <c r="W9" s="196"/>
      <c r="X9" s="196"/>
      <c r="Y9" s="204"/>
      <c r="Z9" s="318"/>
      <c r="AA9" s="296"/>
      <c r="AB9" s="296"/>
    </row>
    <row r="10" spans="1:28" ht="24.6" customHeight="1">
      <c r="A10" s="298"/>
      <c r="B10" s="314"/>
      <c r="C10" s="196"/>
      <c r="D10" s="196"/>
      <c r="E10" s="196"/>
      <c r="F10" s="196"/>
      <c r="G10" s="196"/>
      <c r="H10" s="196"/>
      <c r="I10" s="237"/>
      <c r="J10" s="211"/>
      <c r="K10" s="211"/>
      <c r="L10" s="211"/>
      <c r="M10" s="237"/>
      <c r="N10" s="211"/>
      <c r="O10" s="211"/>
      <c r="P10" s="211"/>
      <c r="Q10" s="211"/>
      <c r="R10" s="211"/>
      <c r="S10" s="211"/>
      <c r="T10" s="211"/>
      <c r="U10" s="211"/>
      <c r="V10" s="211"/>
      <c r="W10" s="211"/>
      <c r="X10" s="211"/>
      <c r="Y10" s="211"/>
      <c r="Z10" s="319"/>
      <c r="AA10" s="296"/>
      <c r="AB10" s="296"/>
    </row>
    <row r="11" spans="1:28" ht="15">
      <c r="A11" s="297"/>
      <c r="B11" s="320" t="s">
        <v>55</v>
      </c>
      <c r="C11" s="238"/>
      <c r="D11" s="238"/>
      <c r="E11" s="238"/>
      <c r="F11" s="238"/>
      <c r="G11" s="238"/>
      <c r="H11" s="238"/>
      <c r="I11" s="238"/>
      <c r="J11" s="238"/>
      <c r="K11" s="238"/>
      <c r="L11" s="238"/>
      <c r="M11" s="196"/>
      <c r="N11" s="238" t="str">
        <f>"Revenue Breakdown ("&amp;Currency&amp;") - 5 Years to Dec-"&amp;Last_Fin_Year</f>
        <v>Revenue Breakdown ($) - 5 Years to Dec-2022</v>
      </c>
      <c r="O11" s="238"/>
      <c r="P11" s="238"/>
      <c r="Q11" s="238"/>
      <c r="R11" s="238"/>
      <c r="S11" s="238"/>
      <c r="T11" s="211"/>
      <c r="U11" s="238" t="str">
        <f>"Profitability ("&amp;Currency&amp;") - 5 Years to Dec-"&amp;Last_Fin_Year</f>
        <v>Profitability ($) - 5 Years to Dec-2022</v>
      </c>
      <c r="V11" s="238"/>
      <c r="W11" s="238"/>
      <c r="X11" s="238"/>
      <c r="Y11" s="238"/>
      <c r="Z11" s="321"/>
      <c r="AA11" s="296"/>
      <c r="AB11" s="296"/>
    </row>
    <row r="12" spans="1:28" ht="3.75" customHeight="1">
      <c r="A12" s="299"/>
      <c r="B12" s="314"/>
      <c r="C12" s="196"/>
      <c r="D12" s="196"/>
      <c r="E12" s="196"/>
      <c r="F12" s="196"/>
      <c r="G12" s="196"/>
      <c r="H12" s="196"/>
      <c r="I12" s="196"/>
      <c r="J12" s="196"/>
      <c r="K12" s="196"/>
      <c r="L12" s="196"/>
      <c r="M12" s="196"/>
      <c r="N12" s="196"/>
      <c r="O12" s="211"/>
      <c r="P12" s="237"/>
      <c r="Q12" s="239"/>
      <c r="R12" s="239"/>
      <c r="S12" s="237"/>
      <c r="T12" s="237"/>
      <c r="U12" s="237"/>
      <c r="V12" s="237"/>
      <c r="W12" s="237"/>
      <c r="X12" s="237"/>
      <c r="Y12" s="237"/>
      <c r="Z12" s="322"/>
      <c r="AA12" s="296"/>
      <c r="AB12" s="296"/>
    </row>
    <row r="13" spans="1:28" ht="9.75" customHeight="1">
      <c r="A13" s="299"/>
      <c r="B13" s="323" t="s">
        <v>72</v>
      </c>
      <c r="C13" s="196"/>
      <c r="D13" s="196"/>
      <c r="E13" s="196"/>
      <c r="F13" s="196"/>
      <c r="G13" s="196"/>
      <c r="H13" s="240">
        <f>First_Fin_Year</f>
        <v>2018</v>
      </c>
      <c r="I13" s="240">
        <f>H13+1</f>
        <v>2019</v>
      </c>
      <c r="J13" s="240">
        <f t="shared" ref="J13:L13" si="0">I13+1</f>
        <v>2020</v>
      </c>
      <c r="K13" s="240">
        <f t="shared" si="0"/>
        <v>2021</v>
      </c>
      <c r="L13" s="240">
        <f t="shared" si="0"/>
        <v>2022</v>
      </c>
      <c r="M13" s="241"/>
      <c r="N13" s="196"/>
      <c r="O13" s="211"/>
      <c r="P13" s="237"/>
      <c r="Q13" s="239"/>
      <c r="R13" s="239"/>
      <c r="S13" s="237"/>
      <c r="T13" s="237"/>
      <c r="U13" s="237"/>
      <c r="V13" s="237"/>
      <c r="W13" s="237"/>
      <c r="X13" s="237"/>
      <c r="Y13" s="237"/>
      <c r="Z13" s="322"/>
      <c r="AA13" s="296"/>
      <c r="AB13" s="296"/>
    </row>
    <row r="14" spans="1:28" ht="3.75" customHeight="1">
      <c r="A14" s="299"/>
      <c r="B14" s="314"/>
      <c r="C14" s="196"/>
      <c r="D14" s="196"/>
      <c r="E14" s="196"/>
      <c r="F14" s="196"/>
      <c r="G14" s="196"/>
      <c r="H14" s="196"/>
      <c r="I14" s="196"/>
      <c r="J14" s="196"/>
      <c r="K14" s="196"/>
      <c r="L14" s="196"/>
      <c r="M14" s="196"/>
      <c r="N14" s="196"/>
      <c r="O14" s="211"/>
      <c r="P14" s="237"/>
      <c r="Q14" s="239"/>
      <c r="R14" s="239"/>
      <c r="S14" s="237"/>
      <c r="T14" s="237"/>
      <c r="U14" s="237"/>
      <c r="V14" s="237"/>
      <c r="W14" s="237"/>
      <c r="X14" s="237"/>
      <c r="Y14" s="237"/>
      <c r="Z14" s="322"/>
      <c r="AA14" s="296"/>
      <c r="AB14" s="296"/>
    </row>
    <row r="15" spans="1:28" ht="10.199999999999999">
      <c r="A15" s="296"/>
      <c r="B15" s="324" t="s">
        <v>136</v>
      </c>
      <c r="C15" s="196"/>
      <c r="D15" s="196"/>
      <c r="E15" s="196"/>
      <c r="F15" s="196"/>
      <c r="G15" s="242" t="s">
        <v>117</v>
      </c>
      <c r="H15" s="243" t="s">
        <v>158</v>
      </c>
      <c r="I15" s="243"/>
      <c r="J15" s="243"/>
      <c r="K15" s="243"/>
      <c r="L15" s="243"/>
      <c r="M15" s="196"/>
      <c r="N15" s="196"/>
      <c r="O15" s="196"/>
      <c r="P15" s="196"/>
      <c r="Q15" s="196"/>
      <c r="R15" s="196"/>
      <c r="S15" s="196"/>
      <c r="T15" s="196"/>
      <c r="U15" s="196"/>
      <c r="V15" s="196"/>
      <c r="W15" s="196"/>
      <c r="X15" s="196"/>
      <c r="Y15" s="196"/>
      <c r="Z15" s="325"/>
      <c r="AA15" s="296"/>
      <c r="AB15" s="296"/>
    </row>
    <row r="16" spans="1:28" ht="10.5" customHeight="1">
      <c r="A16" s="296"/>
      <c r="B16" s="244" t="s">
        <v>83</v>
      </c>
      <c r="C16" s="244"/>
      <c r="D16" s="244"/>
      <c r="E16" s="245"/>
      <c r="F16" s="196"/>
      <c r="G16" s="246">
        <f>IS!J6</f>
        <v>43131</v>
      </c>
      <c r="H16" s="247">
        <v>3000</v>
      </c>
      <c r="I16" s="248">
        <f>H16*1.2</f>
        <v>3600</v>
      </c>
      <c r="J16" s="248">
        <f t="shared" ref="J16:L16" si="1">I16*1.2</f>
        <v>4320</v>
      </c>
      <c r="K16" s="248">
        <f t="shared" si="1"/>
        <v>5184</v>
      </c>
      <c r="L16" s="249">
        <f t="shared" si="1"/>
        <v>6220.8</v>
      </c>
      <c r="M16" s="196"/>
      <c r="N16" s="196"/>
      <c r="O16" s="196"/>
      <c r="P16" s="196"/>
      <c r="Q16" s="196"/>
      <c r="R16" s="196"/>
      <c r="S16" s="196"/>
      <c r="T16" s="196"/>
      <c r="U16" s="196"/>
      <c r="V16" s="196"/>
      <c r="W16" s="196"/>
      <c r="X16" s="196"/>
      <c r="Y16" s="196"/>
      <c r="Z16" s="325"/>
      <c r="AA16" s="296"/>
      <c r="AB16" s="296"/>
    </row>
    <row r="17" spans="1:28" ht="10.5" customHeight="1">
      <c r="A17" s="296"/>
      <c r="B17" s="250" t="s">
        <v>84</v>
      </c>
      <c r="C17" s="250"/>
      <c r="D17" s="250"/>
      <c r="E17" s="251"/>
      <c r="F17" s="196"/>
      <c r="G17" s="218">
        <f>EOMONTH(IS!J6,1)</f>
        <v>43159</v>
      </c>
      <c r="H17" s="252">
        <v>2000</v>
      </c>
      <c r="I17" s="253">
        <f t="shared" ref="I17:L17" si="2">H17*1.2</f>
        <v>2400</v>
      </c>
      <c r="J17" s="253">
        <f t="shared" si="2"/>
        <v>2880</v>
      </c>
      <c r="K17" s="253">
        <f t="shared" si="2"/>
        <v>3456</v>
      </c>
      <c r="L17" s="254">
        <f t="shared" si="2"/>
        <v>4147.2</v>
      </c>
      <c r="M17" s="196"/>
      <c r="N17" s="196"/>
      <c r="O17" s="196"/>
      <c r="P17" s="196"/>
      <c r="Q17" s="196"/>
      <c r="R17" s="196"/>
      <c r="S17" s="196"/>
      <c r="T17" s="196"/>
      <c r="U17" s="196"/>
      <c r="V17" s="196"/>
      <c r="W17" s="196"/>
      <c r="X17" s="196"/>
      <c r="Y17" s="196"/>
      <c r="Z17" s="325"/>
      <c r="AA17" s="296"/>
      <c r="AB17" s="296"/>
    </row>
    <row r="18" spans="1:28" ht="10.5" customHeight="1">
      <c r="A18" s="299"/>
      <c r="B18" s="255" t="s">
        <v>85</v>
      </c>
      <c r="C18" s="255"/>
      <c r="D18" s="255"/>
      <c r="E18" s="256"/>
      <c r="F18" s="196"/>
      <c r="G18" s="229">
        <f>EOMONTH(IS!J6,2)</f>
        <v>43190</v>
      </c>
      <c r="H18" s="257">
        <v>1000</v>
      </c>
      <c r="I18" s="258">
        <f t="shared" ref="I18:L18" si="3">H18*1.2</f>
        <v>1200</v>
      </c>
      <c r="J18" s="258">
        <f t="shared" si="3"/>
        <v>1440</v>
      </c>
      <c r="K18" s="258">
        <f t="shared" si="3"/>
        <v>1728</v>
      </c>
      <c r="L18" s="259">
        <f t="shared" si="3"/>
        <v>2073.6</v>
      </c>
      <c r="M18" s="211"/>
      <c r="N18" s="237"/>
      <c r="O18" s="211"/>
      <c r="P18" s="237"/>
      <c r="Q18" s="239"/>
      <c r="R18" s="239"/>
      <c r="S18" s="237"/>
      <c r="T18" s="237"/>
      <c r="U18" s="237"/>
      <c r="V18" s="237"/>
      <c r="W18" s="237"/>
      <c r="X18" s="237"/>
      <c r="Y18" s="237"/>
      <c r="Z18" s="322"/>
      <c r="AA18" s="296"/>
      <c r="AB18" s="296"/>
    </row>
    <row r="19" spans="1:28" ht="10.199999999999999">
      <c r="A19" s="299"/>
      <c r="B19" s="324" t="s">
        <v>77</v>
      </c>
      <c r="C19" s="196"/>
      <c r="D19" s="196"/>
      <c r="E19" s="196"/>
      <c r="F19" s="196"/>
      <c r="G19" s="196"/>
      <c r="H19" s="260">
        <f>SUM(H16:H18)</f>
        <v>6000</v>
      </c>
      <c r="I19" s="260">
        <f t="shared" ref="I19:L19" si="4">SUM(I16:I18)</f>
        <v>7200</v>
      </c>
      <c r="J19" s="260">
        <f t="shared" si="4"/>
        <v>8640</v>
      </c>
      <c r="K19" s="260">
        <f t="shared" si="4"/>
        <v>10368</v>
      </c>
      <c r="L19" s="260">
        <f t="shared" si="4"/>
        <v>12441.6</v>
      </c>
      <c r="M19" s="211"/>
      <c r="N19" s="237"/>
      <c r="O19" s="211"/>
      <c r="P19" s="237"/>
      <c r="Q19" s="239"/>
      <c r="R19" s="239"/>
      <c r="S19" s="237"/>
      <c r="T19" s="237"/>
      <c r="U19" s="237"/>
      <c r="V19" s="237"/>
      <c r="W19" s="237"/>
      <c r="X19" s="237"/>
      <c r="Y19" s="237"/>
      <c r="Z19" s="322"/>
      <c r="AA19" s="296"/>
      <c r="AB19" s="296"/>
    </row>
    <row r="20" spans="1:28" ht="10.199999999999999">
      <c r="A20" s="299"/>
      <c r="B20" s="314"/>
      <c r="C20" s="196"/>
      <c r="D20" s="196"/>
      <c r="E20" s="196"/>
      <c r="F20" s="196"/>
      <c r="G20" s="196"/>
      <c r="H20" s="196"/>
      <c r="I20" s="196"/>
      <c r="J20" s="196"/>
      <c r="K20" s="196"/>
      <c r="L20" s="196"/>
      <c r="M20" s="211"/>
      <c r="N20" s="237"/>
      <c r="O20" s="211"/>
      <c r="P20" s="237"/>
      <c r="Q20" s="239"/>
      <c r="R20" s="239"/>
      <c r="S20" s="237"/>
      <c r="T20" s="237"/>
      <c r="U20" s="237"/>
      <c r="V20" s="237"/>
      <c r="W20" s="237"/>
      <c r="X20" s="237"/>
      <c r="Y20" s="237"/>
      <c r="Z20" s="322"/>
      <c r="AA20" s="296"/>
      <c r="AB20" s="296"/>
    </row>
    <row r="21" spans="1:28" ht="10.199999999999999">
      <c r="A21" s="299"/>
      <c r="B21" s="314"/>
      <c r="C21" s="196"/>
      <c r="D21" s="196"/>
      <c r="E21" s="196"/>
      <c r="F21" s="196"/>
      <c r="G21" s="196"/>
      <c r="H21" s="243" t="str">
        <f>"Sales Price per unit, "&amp;Currency</f>
        <v>Sales Price per unit, $</v>
      </c>
      <c r="I21" s="243"/>
      <c r="J21" s="243"/>
      <c r="K21" s="243"/>
      <c r="L21" s="243"/>
      <c r="M21" s="211"/>
      <c r="N21" s="237"/>
      <c r="O21" s="211"/>
      <c r="P21" s="237"/>
      <c r="Q21" s="239"/>
      <c r="R21" s="239"/>
      <c r="S21" s="237"/>
      <c r="T21" s="237"/>
      <c r="U21" s="237"/>
      <c r="V21" s="237"/>
      <c r="W21" s="237"/>
      <c r="X21" s="237"/>
      <c r="Y21" s="237"/>
      <c r="Z21" s="322"/>
      <c r="AA21" s="296"/>
      <c r="AB21" s="296"/>
    </row>
    <row r="22" spans="1:28" ht="10.5" customHeight="1">
      <c r="A22" s="299"/>
      <c r="B22" s="326" t="str">
        <f>B16</f>
        <v>Product 1</v>
      </c>
      <c r="C22" s="261"/>
      <c r="D22" s="261"/>
      <c r="E22" s="261"/>
      <c r="F22" s="196"/>
      <c r="G22" s="196"/>
      <c r="H22" s="262">
        <v>10</v>
      </c>
      <c r="I22" s="263">
        <f>H22*1.1</f>
        <v>11</v>
      </c>
      <c r="J22" s="263">
        <f t="shared" ref="J22:L22" si="5">I22*1.1</f>
        <v>12.100000000000001</v>
      </c>
      <c r="K22" s="263">
        <f t="shared" si="5"/>
        <v>13.310000000000002</v>
      </c>
      <c r="L22" s="264">
        <f t="shared" si="5"/>
        <v>14.641000000000004</v>
      </c>
      <c r="M22" s="211"/>
      <c r="N22" s="237"/>
      <c r="O22" s="211"/>
      <c r="P22" s="237"/>
      <c r="Q22" s="239"/>
      <c r="R22" s="239"/>
      <c r="S22" s="237"/>
      <c r="T22" s="237"/>
      <c r="U22" s="237"/>
      <c r="V22" s="237"/>
      <c r="W22" s="237"/>
      <c r="X22" s="237"/>
      <c r="Y22" s="237"/>
      <c r="Z22" s="322"/>
      <c r="AA22" s="296"/>
      <c r="AB22" s="296"/>
    </row>
    <row r="23" spans="1:28" ht="10.5" customHeight="1">
      <c r="A23" s="299"/>
      <c r="B23" s="326" t="str">
        <f t="shared" ref="B23:B24" si="6">B17</f>
        <v>Product 2</v>
      </c>
      <c r="C23" s="261"/>
      <c r="D23" s="261"/>
      <c r="E23" s="261"/>
      <c r="F23" s="196"/>
      <c r="G23" s="196"/>
      <c r="H23" s="265">
        <v>25</v>
      </c>
      <c r="I23" s="266">
        <f t="shared" ref="I23:L23" si="7">H23*1.1</f>
        <v>27.500000000000004</v>
      </c>
      <c r="J23" s="266">
        <f t="shared" si="7"/>
        <v>30.250000000000007</v>
      </c>
      <c r="K23" s="266">
        <f t="shared" si="7"/>
        <v>33.275000000000013</v>
      </c>
      <c r="L23" s="267">
        <f t="shared" si="7"/>
        <v>36.60250000000002</v>
      </c>
      <c r="M23" s="211"/>
      <c r="N23" s="237"/>
      <c r="O23" s="211"/>
      <c r="P23" s="237"/>
      <c r="Q23" s="239"/>
      <c r="R23" s="239"/>
      <c r="S23" s="237"/>
      <c r="T23" s="237"/>
      <c r="U23" s="237"/>
      <c r="V23" s="237"/>
      <c r="W23" s="237"/>
      <c r="X23" s="237"/>
      <c r="Y23" s="237"/>
      <c r="Z23" s="322"/>
      <c r="AA23" s="296"/>
      <c r="AB23" s="296"/>
    </row>
    <row r="24" spans="1:28" ht="10.5" customHeight="1">
      <c r="A24" s="299"/>
      <c r="B24" s="326" t="str">
        <f t="shared" si="6"/>
        <v>Product 3</v>
      </c>
      <c r="C24" s="261"/>
      <c r="D24" s="261"/>
      <c r="E24" s="261"/>
      <c r="F24" s="196"/>
      <c r="G24" s="196"/>
      <c r="H24" s="268">
        <v>30</v>
      </c>
      <c r="I24" s="269">
        <f t="shared" ref="I24:L24" si="8">H24*1.1</f>
        <v>33</v>
      </c>
      <c r="J24" s="269">
        <f t="shared" si="8"/>
        <v>36.300000000000004</v>
      </c>
      <c r="K24" s="269">
        <f t="shared" si="8"/>
        <v>39.930000000000007</v>
      </c>
      <c r="L24" s="270">
        <f t="shared" si="8"/>
        <v>43.923000000000009</v>
      </c>
      <c r="M24" s="211"/>
      <c r="N24" s="237"/>
      <c r="O24" s="211"/>
      <c r="P24" s="237"/>
      <c r="Q24" s="239"/>
      <c r="R24" s="239"/>
      <c r="S24" s="237"/>
      <c r="T24" s="237"/>
      <c r="U24" s="237"/>
      <c r="V24" s="237"/>
      <c r="W24" s="237"/>
      <c r="X24" s="237"/>
      <c r="Y24" s="237"/>
      <c r="Z24" s="322"/>
      <c r="AA24" s="296"/>
      <c r="AB24" s="296"/>
    </row>
    <row r="25" spans="1:28" ht="10.199999999999999">
      <c r="A25" s="299"/>
      <c r="B25" s="327"/>
      <c r="C25" s="271"/>
      <c r="D25" s="271"/>
      <c r="E25" s="271"/>
      <c r="F25" s="196"/>
      <c r="G25" s="196"/>
      <c r="H25" s="196"/>
      <c r="I25" s="196"/>
      <c r="J25" s="196"/>
      <c r="K25" s="196"/>
      <c r="L25" s="196"/>
      <c r="M25" s="211"/>
      <c r="N25" s="237"/>
      <c r="O25" s="211"/>
      <c r="P25" s="237"/>
      <c r="Q25" s="239"/>
      <c r="R25" s="239"/>
      <c r="S25" s="237"/>
      <c r="T25" s="237"/>
      <c r="U25" s="237"/>
      <c r="V25" s="237"/>
      <c r="W25" s="237"/>
      <c r="X25" s="237"/>
      <c r="Y25" s="237"/>
      <c r="Z25" s="322"/>
      <c r="AA25" s="296"/>
      <c r="AB25" s="296"/>
    </row>
    <row r="26" spans="1:28" ht="10.199999999999999">
      <c r="A26" s="299"/>
      <c r="B26" s="327"/>
      <c r="C26" s="271"/>
      <c r="D26" s="271"/>
      <c r="E26" s="271"/>
      <c r="F26" s="196"/>
      <c r="G26" s="196"/>
      <c r="H26" s="243" t="s">
        <v>162</v>
      </c>
      <c r="I26" s="243"/>
      <c r="J26" s="243"/>
      <c r="K26" s="243"/>
      <c r="L26" s="243"/>
      <c r="M26" s="211"/>
      <c r="N26" s="237"/>
      <c r="O26" s="211"/>
      <c r="P26" s="237"/>
      <c r="Q26" s="239"/>
      <c r="R26" s="239"/>
      <c r="S26" s="237"/>
      <c r="T26" s="237"/>
      <c r="U26" s="237"/>
      <c r="V26" s="237"/>
      <c r="W26" s="237"/>
      <c r="X26" s="237"/>
      <c r="Y26" s="237"/>
      <c r="Z26" s="322"/>
      <c r="AA26" s="296"/>
      <c r="AB26" s="296"/>
    </row>
    <row r="27" spans="1:28" ht="10.5" customHeight="1">
      <c r="A27" s="299"/>
      <c r="B27" s="326" t="str">
        <f>B22</f>
        <v>Product 1</v>
      </c>
      <c r="C27" s="261"/>
      <c r="D27" s="261"/>
      <c r="E27" s="261"/>
      <c r="F27" s="196"/>
      <c r="G27" s="196"/>
      <c r="H27" s="272">
        <v>0.25</v>
      </c>
      <c r="I27" s="273">
        <v>0.25</v>
      </c>
      <c r="J27" s="273">
        <v>0.25</v>
      </c>
      <c r="K27" s="273">
        <v>0.25</v>
      </c>
      <c r="L27" s="274">
        <v>0.25</v>
      </c>
      <c r="M27" s="211"/>
      <c r="N27" s="237"/>
      <c r="O27" s="211"/>
      <c r="P27" s="237"/>
      <c r="Q27" s="239"/>
      <c r="R27" s="239"/>
      <c r="S27" s="237"/>
      <c r="T27" s="237"/>
      <c r="U27" s="237"/>
      <c r="V27" s="237"/>
      <c r="W27" s="237"/>
      <c r="X27" s="237"/>
      <c r="Y27" s="237"/>
      <c r="Z27" s="322"/>
      <c r="AA27" s="296"/>
      <c r="AB27" s="296"/>
    </row>
    <row r="28" spans="1:28" ht="10.5" customHeight="1">
      <c r="A28" s="299"/>
      <c r="B28" s="326" t="str">
        <f>B23</f>
        <v>Product 2</v>
      </c>
      <c r="C28" s="261"/>
      <c r="D28" s="261"/>
      <c r="E28" s="261"/>
      <c r="F28" s="196"/>
      <c r="G28" s="196"/>
      <c r="H28" s="275">
        <v>0.3</v>
      </c>
      <c r="I28" s="276">
        <v>0.3</v>
      </c>
      <c r="J28" s="276">
        <v>0.3</v>
      </c>
      <c r="K28" s="276">
        <v>0.3</v>
      </c>
      <c r="L28" s="277">
        <v>0.3</v>
      </c>
      <c r="M28" s="211"/>
      <c r="N28" s="237"/>
      <c r="O28" s="211"/>
      <c r="P28" s="237"/>
      <c r="Q28" s="239"/>
      <c r="R28" s="239"/>
      <c r="S28" s="237"/>
      <c r="T28" s="237"/>
      <c r="U28" s="237"/>
      <c r="V28" s="237"/>
      <c r="W28" s="237"/>
      <c r="X28" s="237"/>
      <c r="Y28" s="237"/>
      <c r="Z28" s="322"/>
      <c r="AA28" s="296"/>
      <c r="AB28" s="296"/>
    </row>
    <row r="29" spans="1:28" ht="10.5" customHeight="1">
      <c r="A29" s="299"/>
      <c r="B29" s="326" t="str">
        <f>B24</f>
        <v>Product 3</v>
      </c>
      <c r="C29" s="261"/>
      <c r="D29" s="261"/>
      <c r="E29" s="261"/>
      <c r="F29" s="196"/>
      <c r="G29" s="196"/>
      <c r="H29" s="278">
        <v>0.35</v>
      </c>
      <c r="I29" s="279">
        <v>0.35</v>
      </c>
      <c r="J29" s="279">
        <v>0.35</v>
      </c>
      <c r="K29" s="279">
        <v>0.35</v>
      </c>
      <c r="L29" s="280">
        <v>0.35</v>
      </c>
      <c r="M29" s="211"/>
      <c r="N29" s="237"/>
      <c r="O29" s="211"/>
      <c r="P29" s="237"/>
      <c r="Q29" s="239"/>
      <c r="R29" s="239"/>
      <c r="S29" s="237"/>
      <c r="T29" s="237"/>
      <c r="U29" s="237"/>
      <c r="V29" s="237"/>
      <c r="W29" s="237"/>
      <c r="X29" s="237"/>
      <c r="Y29" s="237"/>
      <c r="Z29" s="322"/>
      <c r="AA29" s="296"/>
      <c r="AB29" s="296"/>
    </row>
    <row r="30" spans="1:28" ht="3.75" customHeight="1">
      <c r="A30" s="299"/>
      <c r="B30" s="314"/>
      <c r="C30" s="196"/>
      <c r="D30" s="196"/>
      <c r="E30" s="196"/>
      <c r="F30" s="196"/>
      <c r="G30" s="196"/>
      <c r="H30" s="196"/>
      <c r="I30" s="196"/>
      <c r="J30" s="196"/>
      <c r="K30" s="196"/>
      <c r="L30" s="196"/>
      <c r="M30" s="211"/>
      <c r="N30" s="237"/>
      <c r="O30" s="211"/>
      <c r="P30" s="237"/>
      <c r="Q30" s="239"/>
      <c r="R30" s="239"/>
      <c r="S30" s="237"/>
      <c r="T30" s="237"/>
      <c r="U30" s="237"/>
      <c r="V30" s="237"/>
      <c r="W30" s="237"/>
      <c r="X30" s="237"/>
      <c r="Y30" s="237"/>
      <c r="Z30" s="322"/>
      <c r="AA30" s="296"/>
      <c r="AB30" s="296"/>
    </row>
    <row r="31" spans="1:28" ht="3.75" customHeight="1">
      <c r="A31" s="299"/>
      <c r="B31" s="314"/>
      <c r="C31" s="196"/>
      <c r="D31" s="196"/>
      <c r="E31" s="196"/>
      <c r="F31" s="196"/>
      <c r="G31" s="196"/>
      <c r="H31" s="196"/>
      <c r="I31" s="196"/>
      <c r="J31" s="196"/>
      <c r="K31" s="196"/>
      <c r="L31" s="196"/>
      <c r="M31" s="211"/>
      <c r="N31" s="237"/>
      <c r="O31" s="211"/>
      <c r="P31" s="237"/>
      <c r="Q31" s="239"/>
      <c r="R31" s="239"/>
      <c r="S31" s="237"/>
      <c r="T31" s="237"/>
      <c r="U31" s="237"/>
      <c r="V31" s="237"/>
      <c r="W31" s="237"/>
      <c r="X31" s="237"/>
      <c r="Y31" s="237"/>
      <c r="Z31" s="322"/>
      <c r="AA31" s="296"/>
      <c r="AB31" s="296"/>
    </row>
    <row r="32" spans="1:28" ht="3.75" customHeight="1">
      <c r="A32" s="299"/>
      <c r="B32" s="314"/>
      <c r="C32" s="196"/>
      <c r="D32" s="196"/>
      <c r="E32" s="196"/>
      <c r="F32" s="196"/>
      <c r="G32" s="196"/>
      <c r="H32" s="196"/>
      <c r="I32" s="196"/>
      <c r="J32" s="196"/>
      <c r="K32" s="196"/>
      <c r="L32" s="196"/>
      <c r="M32" s="211"/>
      <c r="N32" s="237"/>
      <c r="O32" s="211"/>
      <c r="P32" s="237"/>
      <c r="Q32" s="239"/>
      <c r="R32" s="239"/>
      <c r="S32" s="237"/>
      <c r="T32" s="237"/>
      <c r="U32" s="237"/>
      <c r="V32" s="237"/>
      <c r="W32" s="237"/>
      <c r="X32" s="237"/>
      <c r="Y32" s="237"/>
      <c r="Z32" s="322"/>
      <c r="AA32" s="296"/>
      <c r="AB32" s="296"/>
    </row>
    <row r="33" spans="1:28" ht="15">
      <c r="A33" s="297"/>
      <c r="B33" s="328" t="str">
        <f>"Core Financials ("&amp;Currency&amp;")"</f>
        <v>Core Financials ($)</v>
      </c>
      <c r="C33" s="281"/>
      <c r="D33" s="281"/>
      <c r="E33" s="281"/>
      <c r="F33" s="281"/>
      <c r="G33" s="281"/>
      <c r="H33" s="281"/>
      <c r="I33" s="281"/>
      <c r="J33" s="281"/>
      <c r="K33" s="281"/>
      <c r="L33" s="281"/>
      <c r="M33" s="211"/>
      <c r="N33" s="238" t="str">
        <f>"Sales volume, units - 5 Years to Dec-"&amp;Last_Fin_Year</f>
        <v>Sales volume, units - 5 Years to Dec-2022</v>
      </c>
      <c r="O33" s="238"/>
      <c r="P33" s="238"/>
      <c r="Q33" s="238"/>
      <c r="R33" s="238"/>
      <c r="S33" s="238"/>
      <c r="T33" s="211"/>
      <c r="U33" s="238" t="str">
        <f>"Cash Flow ("&amp;Currency&amp;") - 5 Years to Dec-"&amp;Last_Fin_Year</f>
        <v>Cash Flow ($) - 5 Years to Dec-2022</v>
      </c>
      <c r="V33" s="238"/>
      <c r="W33" s="238"/>
      <c r="X33" s="238"/>
      <c r="Y33" s="238"/>
      <c r="Z33" s="321"/>
      <c r="AA33" s="296"/>
      <c r="AB33" s="296"/>
    </row>
    <row r="34" spans="1:28" ht="3.75" customHeight="1">
      <c r="A34" s="297"/>
      <c r="B34" s="329"/>
      <c r="C34" s="282"/>
      <c r="D34" s="282"/>
      <c r="E34" s="282"/>
      <c r="F34" s="282"/>
      <c r="G34" s="282"/>
      <c r="H34" s="282"/>
      <c r="I34" s="282"/>
      <c r="J34" s="282"/>
      <c r="K34" s="282"/>
      <c r="L34" s="282"/>
      <c r="M34" s="282"/>
      <c r="N34" s="237"/>
      <c r="O34" s="237"/>
      <c r="P34" s="237"/>
      <c r="Q34" s="239"/>
      <c r="R34" s="239"/>
      <c r="S34" s="237"/>
      <c r="T34" s="237"/>
      <c r="U34" s="237"/>
      <c r="V34" s="237"/>
      <c r="W34" s="237"/>
      <c r="X34" s="237"/>
      <c r="Y34" s="237"/>
      <c r="Z34" s="322"/>
      <c r="AA34" s="296"/>
      <c r="AB34" s="296"/>
    </row>
    <row r="35" spans="1:28" ht="12" customHeight="1">
      <c r="A35" s="299"/>
      <c r="B35" s="323" t="s">
        <v>72</v>
      </c>
      <c r="C35" s="282"/>
      <c r="D35" s="282"/>
      <c r="E35" s="282"/>
      <c r="F35" s="282"/>
      <c r="G35" s="282"/>
      <c r="H35" s="240">
        <f>H13</f>
        <v>2018</v>
      </c>
      <c r="I35" s="240">
        <f>I13</f>
        <v>2019</v>
      </c>
      <c r="J35" s="240">
        <f>J13</f>
        <v>2020</v>
      </c>
      <c r="K35" s="240">
        <f>K13</f>
        <v>2021</v>
      </c>
      <c r="L35" s="240">
        <f>L13</f>
        <v>2022</v>
      </c>
      <c r="M35" s="211"/>
      <c r="N35" s="237"/>
      <c r="O35" s="237"/>
      <c r="P35" s="237"/>
      <c r="Q35" s="239"/>
      <c r="R35" s="239"/>
      <c r="S35" s="237"/>
      <c r="T35" s="237"/>
      <c r="U35" s="237"/>
      <c r="V35" s="237"/>
      <c r="W35" s="237"/>
      <c r="X35" s="237"/>
      <c r="Y35" s="237"/>
      <c r="Z35" s="322"/>
      <c r="AA35" s="296"/>
      <c r="AB35" s="296"/>
    </row>
    <row r="36" spans="1:28" ht="3.75" customHeight="1">
      <c r="A36" s="299"/>
      <c r="B36" s="330"/>
      <c r="C36" s="237"/>
      <c r="D36" s="237"/>
      <c r="E36" s="237"/>
      <c r="F36" s="237"/>
      <c r="G36" s="237"/>
      <c r="H36" s="237"/>
      <c r="I36" s="237"/>
      <c r="J36" s="237"/>
      <c r="K36" s="237"/>
      <c r="L36" s="237"/>
      <c r="M36" s="211"/>
      <c r="N36" s="237"/>
      <c r="O36" s="237"/>
      <c r="P36" s="237"/>
      <c r="Q36" s="239"/>
      <c r="R36" s="239"/>
      <c r="S36" s="237"/>
      <c r="T36" s="237"/>
      <c r="U36" s="237"/>
      <c r="V36" s="237"/>
      <c r="W36" s="237"/>
      <c r="X36" s="237"/>
      <c r="Y36" s="237"/>
      <c r="Z36" s="322"/>
      <c r="AA36" s="296"/>
      <c r="AB36" s="296"/>
    </row>
    <row r="37" spans="1:28" ht="10.199999999999999">
      <c r="A37" s="299"/>
      <c r="B37" s="331" t="str">
        <f>"Revenue "&amp;B16</f>
        <v>Revenue Product 1</v>
      </c>
      <c r="C37" s="237"/>
      <c r="D37" s="237"/>
      <c r="E37" s="237"/>
      <c r="F37" s="237"/>
      <c r="G37" s="237"/>
      <c r="H37" s="283">
        <f>SUMIF(IS!$4:$4,Dashboard!H$35,IS!18:18)</f>
        <v>30000</v>
      </c>
      <c r="I37" s="283">
        <f>SUMIF(IS!$4:$4,Dashboard!I$35,IS!18:18)</f>
        <v>39600</v>
      </c>
      <c r="J37" s="283">
        <f>SUMIF(IS!$4:$4,Dashboard!J$35,IS!18:18)</f>
        <v>52272.000000000007</v>
      </c>
      <c r="K37" s="283">
        <f>SUMIF(IS!$4:$4,Dashboard!K$35,IS!18:18)</f>
        <v>68999.039999999994</v>
      </c>
      <c r="L37" s="283">
        <f>SUMIF(IS!$4:$4,Dashboard!L$35,IS!18:18)</f>
        <v>91078.732800000042</v>
      </c>
      <c r="M37" s="211"/>
      <c r="N37" s="237"/>
      <c r="O37" s="237"/>
      <c r="P37" s="237"/>
      <c r="Q37" s="239"/>
      <c r="R37" s="239"/>
      <c r="S37" s="237"/>
      <c r="T37" s="237"/>
      <c r="U37" s="237"/>
      <c r="V37" s="237"/>
      <c r="W37" s="237"/>
      <c r="X37" s="237"/>
      <c r="Y37" s="237"/>
      <c r="Z37" s="322"/>
      <c r="AA37" s="296"/>
      <c r="AB37" s="296"/>
    </row>
    <row r="38" spans="1:28" ht="10.199999999999999">
      <c r="A38" s="299"/>
      <c r="B38" s="331" t="str">
        <f>"Revenue "&amp;B17</f>
        <v>Revenue Product 2</v>
      </c>
      <c r="C38" s="237"/>
      <c r="D38" s="237"/>
      <c r="E38" s="237"/>
      <c r="F38" s="237"/>
      <c r="G38" s="237"/>
      <c r="H38" s="283">
        <f>SUMIF(IS!$4:$4,Dashboard!H$35,IS!19:19)</f>
        <v>49999.999999999993</v>
      </c>
      <c r="I38" s="283">
        <f>SUMIF(IS!$4:$4,Dashboard!I$35,IS!19:19)</f>
        <v>66000.000000000015</v>
      </c>
      <c r="J38" s="283">
        <f>SUMIF(IS!$4:$4,Dashboard!J$35,IS!19:19)</f>
        <v>87120.000000000015</v>
      </c>
      <c r="K38" s="283">
        <f>SUMIF(IS!$4:$4,Dashboard!K$35,IS!19:19)</f>
        <v>114998.40000000008</v>
      </c>
      <c r="L38" s="283">
        <f>SUMIF(IS!$4:$4,Dashboard!L$35,IS!19:19)</f>
        <v>151797.88800000006</v>
      </c>
      <c r="M38" s="211"/>
      <c r="N38" s="237"/>
      <c r="O38" s="237"/>
      <c r="P38" s="237"/>
      <c r="Q38" s="239"/>
      <c r="R38" s="239"/>
      <c r="S38" s="237"/>
      <c r="T38" s="237"/>
      <c r="U38" s="237"/>
      <c r="V38" s="237"/>
      <c r="W38" s="237"/>
      <c r="X38" s="237"/>
      <c r="Y38" s="237"/>
      <c r="Z38" s="322"/>
      <c r="AA38" s="296"/>
      <c r="AB38" s="296"/>
    </row>
    <row r="39" spans="1:28" ht="10.199999999999999">
      <c r="A39" s="299"/>
      <c r="B39" s="331" t="str">
        <f>"Revenue "&amp;B18</f>
        <v>Revenue Product 3</v>
      </c>
      <c r="C39" s="237"/>
      <c r="D39" s="237"/>
      <c r="E39" s="237"/>
      <c r="F39" s="237"/>
      <c r="G39" s="237"/>
      <c r="H39" s="284">
        <f>SUMIF(IS!$4:$4,Dashboard!H$35,IS!20:20)</f>
        <v>30000</v>
      </c>
      <c r="I39" s="284">
        <f>SUMIF(IS!$4:$4,Dashboard!I$35,IS!20:20)</f>
        <v>39600</v>
      </c>
      <c r="J39" s="284">
        <f>SUMIF(IS!$4:$4,Dashboard!J$35,IS!20:20)</f>
        <v>52272.000000000007</v>
      </c>
      <c r="K39" s="284">
        <f>SUMIF(IS!$4:$4,Dashboard!K$35,IS!20:20)</f>
        <v>68999.039999999994</v>
      </c>
      <c r="L39" s="284">
        <f>SUMIF(IS!$4:$4,Dashboard!L$35,IS!20:20)</f>
        <v>91078.732800000042</v>
      </c>
      <c r="M39" s="211"/>
      <c r="N39" s="237"/>
      <c r="O39" s="237"/>
      <c r="P39" s="237"/>
      <c r="Q39" s="239"/>
      <c r="R39" s="239"/>
      <c r="S39" s="237"/>
      <c r="T39" s="237"/>
      <c r="U39" s="237"/>
      <c r="V39" s="237"/>
      <c r="W39" s="237"/>
      <c r="X39" s="237"/>
      <c r="Y39" s="237"/>
      <c r="Z39" s="322"/>
      <c r="AA39" s="296"/>
      <c r="AB39" s="296"/>
    </row>
    <row r="40" spans="1:28" ht="10.199999999999999">
      <c r="A40" s="299"/>
      <c r="B40" s="332" t="s">
        <v>0</v>
      </c>
      <c r="C40" s="282"/>
      <c r="D40" s="282"/>
      <c r="E40" s="282"/>
      <c r="F40" s="282"/>
      <c r="G40" s="282"/>
      <c r="H40" s="285">
        <f>SUM(H37:H39)</f>
        <v>110000</v>
      </c>
      <c r="I40" s="285">
        <f t="shared" ref="I40:L40" si="9">SUM(I37:I39)</f>
        <v>145200</v>
      </c>
      <c r="J40" s="285">
        <f t="shared" si="9"/>
        <v>191664.00000000003</v>
      </c>
      <c r="K40" s="285">
        <f t="shared" si="9"/>
        <v>252996.48000000004</v>
      </c>
      <c r="L40" s="285">
        <f t="shared" si="9"/>
        <v>333955.35360000015</v>
      </c>
      <c r="M40" s="211"/>
      <c r="N40" s="211"/>
      <c r="O40" s="237"/>
      <c r="P40" s="237"/>
      <c r="Q40" s="239"/>
      <c r="R40" s="239"/>
      <c r="S40" s="237"/>
      <c r="T40" s="237"/>
      <c r="U40" s="237"/>
      <c r="V40" s="237"/>
      <c r="W40" s="237"/>
      <c r="X40" s="237"/>
      <c r="Y40" s="237"/>
      <c r="Z40" s="322"/>
      <c r="AA40" s="296"/>
      <c r="AB40" s="296"/>
    </row>
    <row r="41" spans="1:28" ht="10.8" thickBot="1">
      <c r="A41" s="299"/>
      <c r="B41" s="333" t="s">
        <v>50</v>
      </c>
      <c r="C41" s="237"/>
      <c r="D41" s="237"/>
      <c r="E41" s="237"/>
      <c r="F41" s="237"/>
      <c r="G41" s="237"/>
      <c r="H41" s="286">
        <f>'Financial Summary'!J10</f>
        <v>-33000</v>
      </c>
      <c r="I41" s="286">
        <f>'Financial Summary'!K10</f>
        <v>-43560</v>
      </c>
      <c r="J41" s="286">
        <f>'Financial Summary'!L10</f>
        <v>-57499.200000000004</v>
      </c>
      <c r="K41" s="286">
        <f>'Financial Summary'!M10</f>
        <v>-75898.944000000032</v>
      </c>
      <c r="L41" s="286">
        <f>'Financial Summary'!N10</f>
        <v>-100186.60608</v>
      </c>
      <c r="M41" s="211"/>
      <c r="N41" s="211"/>
      <c r="O41" s="237"/>
      <c r="P41" s="237"/>
      <c r="Q41" s="239"/>
      <c r="R41" s="239"/>
      <c r="S41" s="237"/>
      <c r="T41" s="237"/>
      <c r="U41" s="237"/>
      <c r="V41" s="237"/>
      <c r="W41" s="237"/>
      <c r="X41" s="237"/>
      <c r="Y41" s="237"/>
      <c r="Z41" s="322"/>
      <c r="AA41" s="296"/>
      <c r="AB41" s="296"/>
    </row>
    <row r="42" spans="1:28" ht="10.8" thickTop="1">
      <c r="A42" s="297"/>
      <c r="B42" s="323" t="s">
        <v>48</v>
      </c>
      <c r="C42" s="237"/>
      <c r="D42" s="237"/>
      <c r="E42" s="237"/>
      <c r="F42" s="237"/>
      <c r="G42" s="237"/>
      <c r="H42" s="285">
        <f>H41+H40</f>
        <v>77000</v>
      </c>
      <c r="I42" s="285">
        <f t="shared" ref="I42:L42" si="10">I41+I40</f>
        <v>101640</v>
      </c>
      <c r="J42" s="285">
        <f t="shared" si="10"/>
        <v>134164.80000000002</v>
      </c>
      <c r="K42" s="285">
        <f t="shared" si="10"/>
        <v>177097.53600000002</v>
      </c>
      <c r="L42" s="285">
        <f t="shared" si="10"/>
        <v>233768.74752000015</v>
      </c>
      <c r="M42" s="211"/>
      <c r="N42" s="211"/>
      <c r="O42" s="237"/>
      <c r="P42" s="237"/>
      <c r="Q42" s="239"/>
      <c r="R42" s="239"/>
      <c r="S42" s="237"/>
      <c r="T42" s="237"/>
      <c r="U42" s="237"/>
      <c r="V42" s="237"/>
      <c r="W42" s="237"/>
      <c r="X42" s="237"/>
      <c r="Y42" s="237"/>
      <c r="Z42" s="322"/>
      <c r="AA42" s="296"/>
      <c r="AB42" s="296"/>
    </row>
    <row r="43" spans="1:28" ht="10.199999999999999">
      <c r="A43" s="297"/>
      <c r="B43" s="334" t="str">
        <f>B42&amp;" %"</f>
        <v>Gross Margin %</v>
      </c>
      <c r="C43" s="237"/>
      <c r="D43" s="237"/>
      <c r="E43" s="237"/>
      <c r="F43" s="237"/>
      <c r="G43" s="237"/>
      <c r="H43" s="287">
        <f>IF(H$40=0,0,H42/H$40)</f>
        <v>0.7</v>
      </c>
      <c r="I43" s="287">
        <f t="shared" ref="I43:L43" si="11">IF(I$40=0,0,I42/I$40)</f>
        <v>0.7</v>
      </c>
      <c r="J43" s="287">
        <f t="shared" si="11"/>
        <v>0.7</v>
      </c>
      <c r="K43" s="287">
        <f t="shared" si="11"/>
        <v>0.7</v>
      </c>
      <c r="L43" s="287">
        <f t="shared" si="11"/>
        <v>0.70000000000000018</v>
      </c>
      <c r="M43" s="211"/>
      <c r="N43" s="211"/>
      <c r="O43" s="237"/>
      <c r="P43" s="237"/>
      <c r="Q43" s="239"/>
      <c r="R43" s="239"/>
      <c r="S43" s="237"/>
      <c r="T43" s="237"/>
      <c r="U43" s="237"/>
      <c r="V43" s="237"/>
      <c r="W43" s="237"/>
      <c r="X43" s="237"/>
      <c r="Y43" s="237"/>
      <c r="Z43" s="322"/>
      <c r="AA43" s="296"/>
      <c r="AB43" s="296"/>
    </row>
    <row r="44" spans="1:28" ht="10.199999999999999">
      <c r="A44" s="299"/>
      <c r="B44" s="333" t="s">
        <v>41</v>
      </c>
      <c r="C44" s="237"/>
      <c r="D44" s="237"/>
      <c r="E44" s="237"/>
      <c r="F44" s="237"/>
      <c r="G44" s="237"/>
      <c r="H44" s="283">
        <f>'Financial Summary'!J14</f>
        <v>-5499.9999999999982</v>
      </c>
      <c r="I44" s="283">
        <f>'Financial Summary'!K14</f>
        <v>-7260</v>
      </c>
      <c r="J44" s="283">
        <f>'Financial Summary'!L14</f>
        <v>-9583.2000000000025</v>
      </c>
      <c r="K44" s="283">
        <f>'Financial Summary'!M14</f>
        <v>-12649.824000000002</v>
      </c>
      <c r="L44" s="283">
        <f>'Financial Summary'!N14</f>
        <v>-16697.767680000012</v>
      </c>
      <c r="M44" s="211"/>
      <c r="N44" s="211"/>
      <c r="O44" s="237"/>
      <c r="P44" s="237"/>
      <c r="Q44" s="239"/>
      <c r="R44" s="239"/>
      <c r="S44" s="237"/>
      <c r="T44" s="237"/>
      <c r="U44" s="237"/>
      <c r="V44" s="237"/>
      <c r="W44" s="237"/>
      <c r="X44" s="237"/>
      <c r="Y44" s="237"/>
      <c r="Z44" s="322"/>
      <c r="AA44" s="296"/>
      <c r="AB44" s="296"/>
    </row>
    <row r="45" spans="1:28" ht="10.199999999999999">
      <c r="A45" s="299"/>
      <c r="B45" s="335" t="s">
        <v>22</v>
      </c>
      <c r="C45" s="237"/>
      <c r="D45" s="237"/>
      <c r="E45" s="237"/>
      <c r="F45" s="237"/>
      <c r="G45" s="237"/>
      <c r="H45" s="283">
        <f>'Financial Summary'!J16</f>
        <v>-20000</v>
      </c>
      <c r="I45" s="283">
        <f>'Financial Summary'!K16</f>
        <v>-21000</v>
      </c>
      <c r="J45" s="283">
        <f>'Financial Summary'!L16</f>
        <v>-22050</v>
      </c>
      <c r="K45" s="283">
        <f>'Financial Summary'!M16</f>
        <v>-23152.5</v>
      </c>
      <c r="L45" s="283">
        <f>'Financial Summary'!N16</f>
        <v>-24310.125</v>
      </c>
      <c r="M45" s="211"/>
      <c r="N45" s="211"/>
      <c r="O45" s="237"/>
      <c r="P45" s="237"/>
      <c r="Q45" s="239"/>
      <c r="R45" s="239"/>
      <c r="S45" s="237"/>
      <c r="T45" s="237"/>
      <c r="U45" s="237"/>
      <c r="V45" s="237"/>
      <c r="W45" s="237"/>
      <c r="X45" s="237"/>
      <c r="Y45" s="237"/>
      <c r="Z45" s="322"/>
      <c r="AA45" s="296"/>
      <c r="AB45" s="296"/>
    </row>
    <row r="46" spans="1:28" ht="10.8" thickBot="1">
      <c r="A46" s="297"/>
      <c r="B46" s="335" t="s">
        <v>40</v>
      </c>
      <c r="C46" s="237"/>
      <c r="D46" s="237"/>
      <c r="E46" s="237"/>
      <c r="F46" s="237"/>
      <c r="G46" s="237"/>
      <c r="H46" s="286">
        <f>'Financial Summary'!J18</f>
        <v>-12000</v>
      </c>
      <c r="I46" s="286">
        <f>'Financial Summary'!K18</f>
        <v>-12600</v>
      </c>
      <c r="J46" s="286">
        <f>'Financial Summary'!L18</f>
        <v>-13230</v>
      </c>
      <c r="K46" s="286">
        <f>'Financial Summary'!M18</f>
        <v>-13891.5</v>
      </c>
      <c r="L46" s="286">
        <f>'Financial Summary'!N18</f>
        <v>-14586.075000000003</v>
      </c>
      <c r="M46" s="211"/>
      <c r="N46" s="211"/>
      <c r="O46" s="237"/>
      <c r="P46" s="237"/>
      <c r="Q46" s="239"/>
      <c r="R46" s="239"/>
      <c r="S46" s="237"/>
      <c r="T46" s="237"/>
      <c r="U46" s="237"/>
      <c r="V46" s="237"/>
      <c r="W46" s="237"/>
      <c r="X46" s="237"/>
      <c r="Y46" s="237"/>
      <c r="Z46" s="322"/>
      <c r="AA46" s="296"/>
      <c r="AB46" s="296"/>
    </row>
    <row r="47" spans="1:28" ht="10.8" thickTop="1">
      <c r="A47" s="297"/>
      <c r="B47" s="323" t="s">
        <v>1</v>
      </c>
      <c r="C47" s="237"/>
      <c r="D47" s="237"/>
      <c r="E47" s="237"/>
      <c r="F47" s="237"/>
      <c r="G47" s="237"/>
      <c r="H47" s="285">
        <f>H42+SUM(H44:H46)</f>
        <v>39500</v>
      </c>
      <c r="I47" s="285">
        <f t="shared" ref="I47:L47" si="12">I42+SUM(I44:I46)</f>
        <v>60780</v>
      </c>
      <c r="J47" s="285">
        <f t="shared" si="12"/>
        <v>89301.6</v>
      </c>
      <c r="K47" s="285">
        <f t="shared" si="12"/>
        <v>127403.71200000003</v>
      </c>
      <c r="L47" s="285">
        <f t="shared" si="12"/>
        <v>178174.77984000015</v>
      </c>
      <c r="M47" s="211"/>
      <c r="N47" s="211"/>
      <c r="O47" s="237"/>
      <c r="P47" s="237"/>
      <c r="Q47" s="239"/>
      <c r="R47" s="239"/>
      <c r="S47" s="237"/>
      <c r="T47" s="237"/>
      <c r="U47" s="237"/>
      <c r="V47" s="237"/>
      <c r="W47" s="237"/>
      <c r="X47" s="237"/>
      <c r="Y47" s="237"/>
      <c r="Z47" s="322"/>
      <c r="AA47" s="296"/>
      <c r="AB47" s="296"/>
    </row>
    <row r="48" spans="1:28" ht="10.199999999999999">
      <c r="A48" s="297"/>
      <c r="B48" s="334" t="str">
        <f>B47&amp;" %"</f>
        <v>EBITDA %</v>
      </c>
      <c r="C48" s="237"/>
      <c r="D48" s="237"/>
      <c r="E48" s="237"/>
      <c r="F48" s="237"/>
      <c r="G48" s="237"/>
      <c r="H48" s="287">
        <f>IF(H$40=0,0,H47/H$40)</f>
        <v>0.35909090909090907</v>
      </c>
      <c r="I48" s="287">
        <f t="shared" ref="I48" si="13">IF(I$40=0,0,I47/I$40)</f>
        <v>0.41859504132231407</v>
      </c>
      <c r="J48" s="287">
        <f t="shared" ref="J48" si="14">IF(J$40=0,0,J47/J$40)</f>
        <v>0.46592787377911343</v>
      </c>
      <c r="K48" s="287">
        <f t="shared" ref="K48" si="15">IF(K$40=0,0,K47/K$40)</f>
        <v>0.50357899050611299</v>
      </c>
      <c r="L48" s="287">
        <f t="shared" ref="L48" si="16">IF(L$40=0,0,L47/L$40)</f>
        <v>0.5335287424480446</v>
      </c>
      <c r="M48" s="211"/>
      <c r="N48" s="211"/>
      <c r="O48" s="237"/>
      <c r="P48" s="237"/>
      <c r="Q48" s="239"/>
      <c r="R48" s="239"/>
      <c r="S48" s="237"/>
      <c r="T48" s="237"/>
      <c r="U48" s="237"/>
      <c r="V48" s="237"/>
      <c r="W48" s="237"/>
      <c r="X48" s="237"/>
      <c r="Y48" s="237"/>
      <c r="Z48" s="322"/>
      <c r="AA48" s="296"/>
      <c r="AB48" s="296"/>
    </row>
    <row r="49" spans="1:28" ht="10.199999999999999">
      <c r="A49" s="297"/>
      <c r="B49" s="333" t="s">
        <v>2</v>
      </c>
      <c r="C49" s="237"/>
      <c r="D49" s="237"/>
      <c r="E49" s="237"/>
      <c r="F49" s="237"/>
      <c r="G49" s="237"/>
      <c r="H49" s="284">
        <f>'Financial Summary'!J22</f>
        <v>-27500</v>
      </c>
      <c r="I49" s="284">
        <f>'Financial Summary'!K22</f>
        <v>-30000</v>
      </c>
      <c r="J49" s="284">
        <f>'Financial Summary'!L22</f>
        <v>-30000</v>
      </c>
      <c r="K49" s="284">
        <f>'Financial Summary'!M22</f>
        <v>-30000</v>
      </c>
      <c r="L49" s="284">
        <f>'Financial Summary'!N22</f>
        <v>-30000</v>
      </c>
      <c r="M49" s="211"/>
      <c r="N49" s="211"/>
      <c r="O49" s="237"/>
      <c r="P49" s="237"/>
      <c r="Q49" s="239"/>
      <c r="R49" s="239"/>
      <c r="S49" s="237"/>
      <c r="T49" s="237"/>
      <c r="U49" s="237"/>
      <c r="V49" s="237"/>
      <c r="W49" s="237"/>
      <c r="X49" s="237"/>
      <c r="Y49" s="237"/>
      <c r="Z49" s="322"/>
      <c r="AA49" s="296"/>
      <c r="AB49" s="296"/>
    </row>
    <row r="50" spans="1:28" ht="10.199999999999999">
      <c r="A50" s="297"/>
      <c r="B50" s="323" t="s">
        <v>3</v>
      </c>
      <c r="C50" s="237"/>
      <c r="D50" s="237"/>
      <c r="E50" s="237"/>
      <c r="F50" s="237"/>
      <c r="G50" s="237"/>
      <c r="H50" s="285">
        <f>SUM(H47,H49)</f>
        <v>12000</v>
      </c>
      <c r="I50" s="285">
        <f>SUM(I47,I49)</f>
        <v>30780</v>
      </c>
      <c r="J50" s="285">
        <f>SUM(J47,J49)</f>
        <v>59301.600000000006</v>
      </c>
      <c r="K50" s="285">
        <f>SUM(K47,K49)</f>
        <v>97403.712000000029</v>
      </c>
      <c r="L50" s="285">
        <f>SUM(L47,L49)</f>
        <v>148174.77984000015</v>
      </c>
      <c r="M50" s="211"/>
      <c r="N50" s="211"/>
      <c r="O50" s="237"/>
      <c r="P50" s="237"/>
      <c r="Q50" s="237"/>
      <c r="R50" s="237"/>
      <c r="S50" s="237"/>
      <c r="T50" s="237"/>
      <c r="U50" s="237"/>
      <c r="V50" s="237"/>
      <c r="W50" s="237"/>
      <c r="X50" s="237"/>
      <c r="Y50" s="237"/>
      <c r="Z50" s="322"/>
      <c r="AA50" s="296"/>
      <c r="AB50" s="296"/>
    </row>
    <row r="51" spans="1:28" ht="10.199999999999999">
      <c r="A51" s="297"/>
      <c r="B51" s="333" t="s">
        <v>37</v>
      </c>
      <c r="C51" s="237"/>
      <c r="D51" s="237"/>
      <c r="E51" s="237"/>
      <c r="F51" s="237"/>
      <c r="G51" s="237"/>
      <c r="H51" s="284">
        <f>'Financial Summary'!J24</f>
        <v>0</v>
      </c>
      <c r="I51" s="284">
        <f>'Financial Summary'!K24</f>
        <v>0</v>
      </c>
      <c r="J51" s="284">
        <f>'Financial Summary'!L24</f>
        <v>0</v>
      </c>
      <c r="K51" s="284">
        <f>'Financial Summary'!M24</f>
        <v>0</v>
      </c>
      <c r="L51" s="284">
        <f>'Financial Summary'!N24</f>
        <v>-6343.317427366962</v>
      </c>
      <c r="M51" s="211"/>
      <c r="N51" s="211"/>
      <c r="O51" s="237"/>
      <c r="P51" s="237"/>
      <c r="Q51" s="237"/>
      <c r="R51" s="237"/>
      <c r="S51" s="237"/>
      <c r="T51" s="237"/>
      <c r="U51" s="237"/>
      <c r="V51" s="237"/>
      <c r="W51" s="237"/>
      <c r="X51" s="237"/>
      <c r="Y51" s="237"/>
      <c r="Z51" s="322"/>
      <c r="AA51" s="296"/>
      <c r="AB51" s="296"/>
    </row>
    <row r="52" spans="1:28" ht="10.199999999999999">
      <c r="A52" s="297"/>
      <c r="B52" s="323" t="s">
        <v>4</v>
      </c>
      <c r="C52" s="237"/>
      <c r="D52" s="237"/>
      <c r="E52" s="237"/>
      <c r="F52" s="237"/>
      <c r="G52" s="237"/>
      <c r="H52" s="285">
        <f>SUM(H50,H51)</f>
        <v>12000</v>
      </c>
      <c r="I52" s="285">
        <f>SUM(I50,I51)</f>
        <v>30780</v>
      </c>
      <c r="J52" s="285">
        <f>SUM(J50,J51)</f>
        <v>59301.600000000006</v>
      </c>
      <c r="K52" s="285">
        <f>SUM(K50,K51)</f>
        <v>97403.712000000029</v>
      </c>
      <c r="L52" s="285">
        <f>SUM(L50,L51)</f>
        <v>141831.46241263318</v>
      </c>
      <c r="M52" s="211"/>
      <c r="N52" s="211"/>
      <c r="O52" s="237"/>
      <c r="P52" s="237"/>
      <c r="Q52" s="237"/>
      <c r="R52" s="237"/>
      <c r="S52" s="237"/>
      <c r="T52" s="237"/>
      <c r="U52" s="237"/>
      <c r="V52" s="237"/>
      <c r="W52" s="237"/>
      <c r="X52" s="237"/>
      <c r="Y52" s="237"/>
      <c r="Z52" s="322"/>
      <c r="AA52" s="296"/>
      <c r="AB52" s="296"/>
    </row>
    <row r="53" spans="1:28" ht="10.8" thickBot="1">
      <c r="A53" s="297"/>
      <c r="B53" s="333" t="s">
        <v>5</v>
      </c>
      <c r="C53" s="237"/>
      <c r="D53" s="237"/>
      <c r="E53" s="237"/>
      <c r="F53" s="237"/>
      <c r="G53" s="237"/>
      <c r="H53" s="286">
        <f>'Financial Summary'!J26</f>
        <v>-2062.5000000000005</v>
      </c>
      <c r="I53" s="286">
        <f>'Financial Summary'!K26</f>
        <v>-4617</v>
      </c>
      <c r="J53" s="286">
        <f>'Financial Summary'!L26</f>
        <v>-8895.2400000000071</v>
      </c>
      <c r="K53" s="286">
        <f>'Financial Summary'!M26</f>
        <v>-14610.556800000011</v>
      </c>
      <c r="L53" s="286">
        <f>'Financial Summary'!N26</f>
        <v>-21274.719361894968</v>
      </c>
      <c r="M53" s="211"/>
      <c r="N53" s="211"/>
      <c r="O53" s="237"/>
      <c r="P53" s="237"/>
      <c r="Q53" s="237"/>
      <c r="R53" s="237"/>
      <c r="S53" s="237"/>
      <c r="T53" s="237"/>
      <c r="U53" s="237"/>
      <c r="V53" s="237"/>
      <c r="W53" s="237"/>
      <c r="X53" s="237"/>
      <c r="Y53" s="237"/>
      <c r="Z53" s="322"/>
      <c r="AA53" s="296"/>
      <c r="AB53" s="296"/>
    </row>
    <row r="54" spans="1:28" ht="10.8" thickTop="1">
      <c r="A54" s="297"/>
      <c r="B54" s="323" t="s">
        <v>6</v>
      </c>
      <c r="C54" s="237"/>
      <c r="D54" s="237"/>
      <c r="E54" s="237"/>
      <c r="F54" s="237"/>
      <c r="G54" s="237"/>
      <c r="H54" s="285">
        <f>SUM(H52:H53)</f>
        <v>9937.5</v>
      </c>
      <c r="I54" s="285">
        <f>SUM(I52:I53)</f>
        <v>26163</v>
      </c>
      <c r="J54" s="285">
        <f>SUM(J52:J53)</f>
        <v>50406.36</v>
      </c>
      <c r="K54" s="285">
        <f>SUM(K52:K53)</f>
        <v>82793.155200000023</v>
      </c>
      <c r="L54" s="285">
        <f>SUM(L52:L53)</f>
        <v>120556.74305073821</v>
      </c>
      <c r="M54" s="211"/>
      <c r="N54" s="211"/>
      <c r="O54" s="237"/>
      <c r="P54" s="237"/>
      <c r="Q54" s="239"/>
      <c r="R54" s="239"/>
      <c r="S54" s="237"/>
      <c r="T54" s="237"/>
      <c r="U54" s="237"/>
      <c r="V54" s="237"/>
      <c r="W54" s="237"/>
      <c r="X54" s="237"/>
      <c r="Y54" s="237"/>
      <c r="Z54" s="322"/>
      <c r="AA54" s="296"/>
      <c r="AB54" s="296"/>
    </row>
    <row r="55" spans="1:28" ht="10.199999999999999">
      <c r="A55" s="297"/>
      <c r="B55" s="334" t="str">
        <f>B54&amp;" %"</f>
        <v>Net Profit After Tax %</v>
      </c>
      <c r="C55" s="237"/>
      <c r="D55" s="237"/>
      <c r="E55" s="237"/>
      <c r="F55" s="237"/>
      <c r="G55" s="237"/>
      <c r="H55" s="288">
        <f>IF(H$40=0,0,H54/H$40)</f>
        <v>9.0340909090909097E-2</v>
      </c>
      <c r="I55" s="288">
        <f t="shared" ref="I55" si="17">IF(I$40=0,0,I54/I$40)</f>
        <v>0.18018595041322313</v>
      </c>
      <c r="J55" s="288">
        <f t="shared" ref="J55" si="18">IF(J$40=0,0,J54/J$40)</f>
        <v>0.26299336338592533</v>
      </c>
      <c r="K55" s="288">
        <f t="shared" ref="K55" si="19">IF(K$40=0,0,K54/K$40)</f>
        <v>0.32725022577389223</v>
      </c>
      <c r="L55" s="288">
        <f t="shared" ref="L55" si="20">IF(L$40=0,0,L54/L$40)</f>
        <v>0.36099658757121406</v>
      </c>
      <c r="M55" s="211"/>
      <c r="N55" s="211"/>
      <c r="O55" s="237"/>
      <c r="P55" s="237"/>
      <c r="Q55" s="239"/>
      <c r="R55" s="239"/>
      <c r="S55" s="237"/>
      <c r="T55" s="237"/>
      <c r="U55" s="237"/>
      <c r="V55" s="237"/>
      <c r="W55" s="237"/>
      <c r="X55" s="237"/>
      <c r="Y55" s="237"/>
      <c r="Z55" s="322"/>
      <c r="AA55" s="296"/>
      <c r="AB55" s="296"/>
    </row>
    <row r="56" spans="1:28" ht="10.199999999999999">
      <c r="A56" s="297"/>
      <c r="B56" s="323" t="s">
        <v>33</v>
      </c>
      <c r="C56" s="237"/>
      <c r="D56" s="237"/>
      <c r="E56" s="237"/>
      <c r="F56" s="237"/>
      <c r="G56" s="237"/>
      <c r="H56" s="285">
        <f>'Financial Summary'!J58</f>
        <v>125850.75757575764</v>
      </c>
      <c r="I56" s="285">
        <f>'Financial Summary'!K58</f>
        <v>131642.00000000006</v>
      </c>
      <c r="J56" s="285">
        <f>'Financial Summary'!L58</f>
        <v>211346.04000000007</v>
      </c>
      <c r="K56" s="285">
        <f>'Financial Summary'!M58</f>
        <v>323208.35280000028</v>
      </c>
      <c r="L56" s="285">
        <f>'Financial Summary'!N58</f>
        <v>537345.29860634066</v>
      </c>
      <c r="M56" s="211"/>
      <c r="N56" s="211"/>
      <c r="O56" s="237"/>
      <c r="P56" s="237"/>
      <c r="Q56" s="239"/>
      <c r="R56" s="239"/>
      <c r="S56" s="237"/>
      <c r="T56" s="237"/>
      <c r="U56" s="237"/>
      <c r="V56" s="237"/>
      <c r="W56" s="237"/>
      <c r="X56" s="237"/>
      <c r="Y56" s="237"/>
      <c r="Z56" s="322"/>
      <c r="AA56" s="296"/>
      <c r="AB56" s="296"/>
    </row>
    <row r="57" spans="1:28" ht="10.5" customHeight="1" thickBot="1">
      <c r="A57" s="296"/>
      <c r="B57" s="336"/>
      <c r="C57" s="337"/>
      <c r="D57" s="337"/>
      <c r="E57" s="337"/>
      <c r="F57" s="337"/>
      <c r="G57" s="337"/>
      <c r="H57" s="337"/>
      <c r="I57" s="337"/>
      <c r="J57" s="337"/>
      <c r="K57" s="337"/>
      <c r="L57" s="337"/>
      <c r="M57" s="337"/>
      <c r="N57" s="337"/>
      <c r="O57" s="337"/>
      <c r="P57" s="337"/>
      <c r="Q57" s="337"/>
      <c r="R57" s="337"/>
      <c r="S57" s="337"/>
      <c r="T57" s="337"/>
      <c r="U57" s="337"/>
      <c r="V57" s="337"/>
      <c r="W57" s="337"/>
      <c r="X57" s="337"/>
      <c r="Y57" s="337"/>
      <c r="Z57" s="338"/>
      <c r="AA57" s="296"/>
      <c r="AB57" s="296"/>
    </row>
    <row r="58" spans="1:28" s="296" customFormat="1" ht="10.5" customHeight="1" thickTop="1"/>
    <row r="59" spans="1:28" s="296" customFormat="1" ht="10.5" customHeight="1"/>
    <row r="60" spans="1:28" s="296" customFormat="1" ht="10.5" customHeight="1">
      <c r="A60" s="300"/>
      <c r="B60" s="300"/>
      <c r="C60" s="300"/>
      <c r="D60" s="300"/>
      <c r="E60" s="300"/>
      <c r="F60" s="300"/>
      <c r="G60" s="300"/>
      <c r="H60" s="300"/>
      <c r="I60" s="300"/>
      <c r="J60" s="300"/>
      <c r="K60" s="300"/>
      <c r="L60" s="300"/>
      <c r="M60" s="300"/>
      <c r="N60" s="300"/>
      <c r="O60" s="300"/>
      <c r="P60" s="300"/>
      <c r="Q60" s="300"/>
      <c r="R60" s="300"/>
      <c r="S60" s="300"/>
      <c r="T60" s="300"/>
      <c r="U60" s="300"/>
      <c r="V60" s="300"/>
      <c r="W60" s="300"/>
      <c r="X60" s="300"/>
      <c r="Y60" s="300"/>
      <c r="Z60" s="300"/>
      <c r="AA60" s="300"/>
      <c r="AB60" s="300"/>
    </row>
  </sheetData>
  <dataConsolidate/>
  <mergeCells count="23">
    <mergeCell ref="O2:R2"/>
    <mergeCell ref="J2:L2"/>
    <mergeCell ref="G2:H2"/>
    <mergeCell ref="U2:V2"/>
    <mergeCell ref="X2:Z2"/>
    <mergeCell ref="U33:Z33"/>
    <mergeCell ref="B11:L11"/>
    <mergeCell ref="B33:L33"/>
    <mergeCell ref="N11:S11"/>
    <mergeCell ref="N33:S33"/>
    <mergeCell ref="B18:E18"/>
    <mergeCell ref="H15:L15"/>
    <mergeCell ref="B16:E16"/>
    <mergeCell ref="B17:E17"/>
    <mergeCell ref="U11:Z11"/>
    <mergeCell ref="H26:L26"/>
    <mergeCell ref="B27:E27"/>
    <mergeCell ref="B28:E28"/>
    <mergeCell ref="B29:E29"/>
    <mergeCell ref="B24:E24"/>
    <mergeCell ref="H21:L21"/>
    <mergeCell ref="B22:E22"/>
    <mergeCell ref="B23:E23"/>
  </mergeCells>
  <conditionalFormatting sqref="H16:L18">
    <cfRule type="expression" dxfId="7" priority="13">
      <formula>YEAR($G16)&gt;H$13</formula>
    </cfRule>
  </conditionalFormatting>
  <conditionalFormatting sqref="H22:L24">
    <cfRule type="expression" dxfId="6" priority="3">
      <formula>YEAR($G16)&gt;H$13</formula>
    </cfRule>
  </conditionalFormatting>
  <conditionalFormatting sqref="H27:L29">
    <cfRule type="expression" dxfId="5" priority="2">
      <formula>YEAR($G16)&gt;H$13</formula>
    </cfRule>
  </conditionalFormatting>
  <conditionalFormatting sqref="P7:R9">
    <cfRule type="cellIs" dxfId="4" priority="1" operator="lessThan">
      <formula>0</formula>
    </cfRule>
  </conditionalFormatting>
  <dataValidations xWindow="543" yWindow="547" count="8">
    <dataValidation type="whole" operator="greaterThan" allowBlank="1" showInputMessage="1" showErrorMessage="1" sqref="V6" xr:uid="{00000000-0002-0000-0500-000001000000}">
      <formula1>0</formula1>
    </dataValidation>
    <dataValidation type="decimal" operator="greaterThan" allowBlank="1" showInputMessage="1" showErrorMessage="1" errorTitle="NOT ALLOWED" error="Only whole numbers and decimals are allowed to enter. Negative figures not allowed as well." sqref="V7:V9" xr:uid="{00000000-0002-0000-0500-000006000000}">
      <formula1>0</formula1>
    </dataValidation>
    <dataValidation type="whole" operator="greaterThan" allowBlank="1" showInputMessage="1" showErrorMessage="1" errorTitle="NOT ALLOWED" error="Only whole numbers are allowed to enter. Negative figures not allowed as well." sqref="V4" xr:uid="{00000000-0002-0000-0500-000011000000}">
      <formula1>0</formula1>
    </dataValidation>
    <dataValidation type="decimal" allowBlank="1" showInputMessage="1" sqref="P4:R6" xr:uid="{C1D9DD2D-46BC-4AC9-920E-4808480D1379}">
      <formula1>0</formula1>
      <formula2>1</formula2>
    </dataValidation>
    <dataValidation allowBlank="1" showInputMessage="1" sqref="H4" xr:uid="{00000000-0002-0000-0500-000010000000}"/>
    <dataValidation type="whole" operator="greaterThanOrEqual" showDropDown="1" showInputMessage="1" showErrorMessage="1" errorTitle="First Financial Year" error="The first financial year must be a whole number greater than or equal to 1904." sqref="H5" xr:uid="{5D412CA6-175B-4533-A6E9-36A27FC8E36A}">
      <formula1>1904</formula1>
    </dataValidation>
    <dataValidation type="decimal" allowBlank="1" showInputMessage="1" showErrorMessage="1" errorTitle="NOT ALLOWED" error="Should be between 0 and 100%." sqref="H6" xr:uid="{00000000-0002-0000-0500-000012000000}">
      <formula1>0</formula1>
      <formula2>1</formula2>
    </dataValidation>
    <dataValidation type="decimal" operator="greaterThan" allowBlank="1" showInputMessage="1" showErrorMessage="1" errorTitle="NOT ALLOWED" error="Should be between 0 and 100%." sqref="H7:H9" xr:uid="{BB56EBDA-C800-47CB-85E8-0BCD5B5D143A}">
      <formula1>0</formula1>
    </dataValidation>
  </dataValidations>
  <printOptions horizontalCentered="1"/>
  <pageMargins left="0.196850393700787" right="0.196850393700787" top="0.44685039399999998" bottom="0.196850393700787" header="0" footer="0.118110236220472"/>
  <pageSetup paperSize="9" scale="64" orientation="landscape" r:id="rId1"/>
  <headerFooter>
    <oddFooter>&amp;L&amp;12Built with finmodelslab.com template&amp;C&amp;12Dashboard&amp;R&amp;D</oddFooter>
  </headerFooter>
  <drawing r:id="rId2"/>
  <extLst>
    <ext xmlns:x14="http://schemas.microsoft.com/office/spreadsheetml/2009/9/main" uri="{CCE6A557-97BC-4b89-ADB6-D9C93CAAB3DF}">
      <x14:dataValidations xmlns:xm="http://schemas.microsoft.com/office/excel/2006/main" xWindow="543" yWindow="547" count="1">
        <x14:dataValidation type="list" allowBlank="1" showInputMessage="1" showErrorMessage="1" errorTitle="NOT ALLOWED" error="You may pick one from the list only." xr:uid="{00000000-0002-0000-0500-000015000000}">
          <x14:formula1>
            <xm:f>IS!$J$6:$BQ$6</xm:f>
          </x14:formula1>
          <xm:sqref>V5 G16:G18 K4:K9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3">
    <tabColor rgb="FF0069B3"/>
    <pageSetUpPr autoPageBreaks="0"/>
  </sheetPr>
  <dimension ref="A1:BQ59"/>
  <sheetViews>
    <sheetView showGridLines="0" zoomScaleNormal="100" workbookViewId="0">
      <pane xSplit="9" ySplit="15" topLeftCell="J16" activePane="bottomRight" state="frozen"/>
      <selection sqref="A1:A1048576"/>
      <selection pane="topRight" sqref="A1:A1048576"/>
      <selection pane="bottomLeft" sqref="A1:A1048576"/>
      <selection pane="bottomRight" activeCell="J20" sqref="J20"/>
    </sheetView>
  </sheetViews>
  <sheetFormatPr defaultColWidth="11.7109375" defaultRowHeight="10.5" customHeight="1"/>
  <cols>
    <col min="1" max="1" width="3" style="1" customWidth="1"/>
    <col min="2" max="2" width="16.42578125" style="1" customWidth="1"/>
    <col min="3" max="4" width="13.7109375" style="1" customWidth="1"/>
    <col min="5" max="9" width="9.7109375" style="1" customWidth="1"/>
    <col min="10" max="69" width="11.42578125" style="1" customWidth="1"/>
    <col min="70" max="16384" width="11.7109375" style="1"/>
  </cols>
  <sheetData>
    <row r="1" spans="1:69" ht="17.399999999999999">
      <c r="B1" s="2" t="s">
        <v>114</v>
      </c>
    </row>
    <row r="2" spans="1:69" ht="15">
      <c r="B2" s="3" t="s">
        <v>163</v>
      </c>
    </row>
    <row r="3" spans="1:69" ht="10.199999999999999">
      <c r="B3" s="4"/>
      <c r="C3" s="5"/>
      <c r="D3" s="5"/>
      <c r="E3" s="5"/>
      <c r="F3" s="5"/>
    </row>
    <row r="4" spans="1:69" ht="10.199999999999999">
      <c r="B4" s="1" t="s">
        <v>169</v>
      </c>
      <c r="I4" s="5"/>
    </row>
    <row r="5" spans="1:69" ht="10.199999999999999">
      <c r="B5" s="1" t="s">
        <v>167</v>
      </c>
      <c r="I5" s="5"/>
    </row>
    <row r="6" spans="1:69" ht="10.199999999999999">
      <c r="B6" s="6"/>
      <c r="C6" s="6"/>
      <c r="E6" s="1" t="s">
        <v>164</v>
      </c>
      <c r="I6" s="5"/>
    </row>
    <row r="7" spans="1:69" ht="10.199999999999999">
      <c r="B7" s="6"/>
      <c r="C7" s="6"/>
      <c r="E7" s="1" t="s">
        <v>165</v>
      </c>
      <c r="I7" s="5"/>
    </row>
    <row r="8" spans="1:69" ht="10.199999999999999">
      <c r="B8" s="1" t="s">
        <v>166</v>
      </c>
      <c r="C8" s="6"/>
      <c r="E8" s="5"/>
      <c r="I8" s="5"/>
    </row>
    <row r="9" spans="1:69" ht="10.199999999999999">
      <c r="B9" s="1" t="s">
        <v>168</v>
      </c>
      <c r="C9" s="6"/>
      <c r="E9" s="5"/>
      <c r="I9" s="5"/>
    </row>
    <row r="10" spans="1:69" ht="10.199999999999999">
      <c r="C10" s="6"/>
      <c r="E10" s="5"/>
      <c r="I10" s="5"/>
    </row>
    <row r="11" spans="1:69" ht="10.199999999999999">
      <c r="B11" s="4"/>
      <c r="C11" s="5"/>
      <c r="D11" s="5"/>
      <c r="E11" s="5"/>
      <c r="F11" s="5"/>
      <c r="G11" s="6"/>
      <c r="H11" s="6"/>
      <c r="I11" s="5"/>
    </row>
    <row r="12" spans="1:69" ht="10.199999999999999">
      <c r="B12" s="4"/>
      <c r="C12" s="5"/>
      <c r="D12" s="5"/>
      <c r="E12" s="5"/>
      <c r="F12" s="5"/>
      <c r="G12" s="6"/>
      <c r="H12" s="6"/>
      <c r="I12" s="5"/>
    </row>
    <row r="13" spans="1:69" ht="10.199999999999999">
      <c r="A13" s="7"/>
      <c r="B13" s="8" t="s">
        <v>72</v>
      </c>
      <c r="C13" s="7"/>
      <c r="D13" s="7"/>
      <c r="E13" s="9">
        <f>First_Fin_Year</f>
        <v>2018</v>
      </c>
      <c r="F13" s="9">
        <f>E13+1</f>
        <v>2019</v>
      </c>
      <c r="G13" s="9">
        <f>F13+1</f>
        <v>2020</v>
      </c>
      <c r="H13" s="9">
        <f>G13+1</f>
        <v>2021</v>
      </c>
      <c r="I13" s="9">
        <f>H13+1</f>
        <v>2022</v>
      </c>
      <c r="J13" s="7">
        <f>YEAR(J15)</f>
        <v>2018</v>
      </c>
      <c r="K13" s="7">
        <f t="shared" ref="K13:BQ13" si="0">YEAR(K15)</f>
        <v>2018</v>
      </c>
      <c r="L13" s="7">
        <f t="shared" si="0"/>
        <v>2018</v>
      </c>
      <c r="M13" s="7">
        <f t="shared" si="0"/>
        <v>2018</v>
      </c>
      <c r="N13" s="7">
        <f t="shared" si="0"/>
        <v>2018</v>
      </c>
      <c r="O13" s="7">
        <f t="shared" si="0"/>
        <v>2018</v>
      </c>
      <c r="P13" s="7">
        <f t="shared" si="0"/>
        <v>2018</v>
      </c>
      <c r="Q13" s="7">
        <f t="shared" si="0"/>
        <v>2018</v>
      </c>
      <c r="R13" s="7">
        <f t="shared" si="0"/>
        <v>2018</v>
      </c>
      <c r="S13" s="7">
        <f t="shared" si="0"/>
        <v>2018</v>
      </c>
      <c r="T13" s="7">
        <f t="shared" si="0"/>
        <v>2018</v>
      </c>
      <c r="U13" s="7">
        <f t="shared" si="0"/>
        <v>2018</v>
      </c>
      <c r="V13" s="7">
        <f t="shared" si="0"/>
        <v>2019</v>
      </c>
      <c r="W13" s="7">
        <f t="shared" si="0"/>
        <v>2019</v>
      </c>
      <c r="X13" s="7">
        <f t="shared" si="0"/>
        <v>2019</v>
      </c>
      <c r="Y13" s="7">
        <f t="shared" si="0"/>
        <v>2019</v>
      </c>
      <c r="Z13" s="7">
        <f t="shared" si="0"/>
        <v>2019</v>
      </c>
      <c r="AA13" s="7">
        <f t="shared" si="0"/>
        <v>2019</v>
      </c>
      <c r="AB13" s="7">
        <f t="shared" si="0"/>
        <v>2019</v>
      </c>
      <c r="AC13" s="7">
        <f t="shared" si="0"/>
        <v>2019</v>
      </c>
      <c r="AD13" s="7">
        <f t="shared" si="0"/>
        <v>2019</v>
      </c>
      <c r="AE13" s="7">
        <f t="shared" si="0"/>
        <v>2019</v>
      </c>
      <c r="AF13" s="7">
        <f t="shared" si="0"/>
        <v>2019</v>
      </c>
      <c r="AG13" s="7">
        <f t="shared" si="0"/>
        <v>2019</v>
      </c>
      <c r="AH13" s="7">
        <f t="shared" si="0"/>
        <v>2020</v>
      </c>
      <c r="AI13" s="7">
        <f t="shared" si="0"/>
        <v>2020</v>
      </c>
      <c r="AJ13" s="7">
        <f t="shared" si="0"/>
        <v>2020</v>
      </c>
      <c r="AK13" s="7">
        <f t="shared" si="0"/>
        <v>2020</v>
      </c>
      <c r="AL13" s="7">
        <f t="shared" si="0"/>
        <v>2020</v>
      </c>
      <c r="AM13" s="7">
        <f t="shared" si="0"/>
        <v>2020</v>
      </c>
      <c r="AN13" s="7">
        <f t="shared" si="0"/>
        <v>2020</v>
      </c>
      <c r="AO13" s="7">
        <f t="shared" si="0"/>
        <v>2020</v>
      </c>
      <c r="AP13" s="7">
        <f t="shared" si="0"/>
        <v>2020</v>
      </c>
      <c r="AQ13" s="7">
        <f t="shared" si="0"/>
        <v>2020</v>
      </c>
      <c r="AR13" s="7">
        <f t="shared" si="0"/>
        <v>2020</v>
      </c>
      <c r="AS13" s="7">
        <f t="shared" si="0"/>
        <v>2020</v>
      </c>
      <c r="AT13" s="7">
        <f t="shared" si="0"/>
        <v>2021</v>
      </c>
      <c r="AU13" s="7">
        <f t="shared" si="0"/>
        <v>2021</v>
      </c>
      <c r="AV13" s="7">
        <f t="shared" si="0"/>
        <v>2021</v>
      </c>
      <c r="AW13" s="7">
        <f t="shared" si="0"/>
        <v>2021</v>
      </c>
      <c r="AX13" s="7">
        <f t="shared" si="0"/>
        <v>2021</v>
      </c>
      <c r="AY13" s="7">
        <f t="shared" si="0"/>
        <v>2021</v>
      </c>
      <c r="AZ13" s="7">
        <f t="shared" si="0"/>
        <v>2021</v>
      </c>
      <c r="BA13" s="7">
        <f t="shared" si="0"/>
        <v>2021</v>
      </c>
      <c r="BB13" s="7">
        <f t="shared" si="0"/>
        <v>2021</v>
      </c>
      <c r="BC13" s="7">
        <f t="shared" si="0"/>
        <v>2021</v>
      </c>
      <c r="BD13" s="7">
        <f t="shared" si="0"/>
        <v>2021</v>
      </c>
      <c r="BE13" s="7">
        <f t="shared" si="0"/>
        <v>2021</v>
      </c>
      <c r="BF13" s="7">
        <f t="shared" si="0"/>
        <v>2022</v>
      </c>
      <c r="BG13" s="7">
        <f t="shared" si="0"/>
        <v>2022</v>
      </c>
      <c r="BH13" s="7">
        <f t="shared" si="0"/>
        <v>2022</v>
      </c>
      <c r="BI13" s="7">
        <f t="shared" si="0"/>
        <v>2022</v>
      </c>
      <c r="BJ13" s="7">
        <f t="shared" si="0"/>
        <v>2022</v>
      </c>
      <c r="BK13" s="7">
        <f t="shared" si="0"/>
        <v>2022</v>
      </c>
      <c r="BL13" s="7">
        <f t="shared" si="0"/>
        <v>2022</v>
      </c>
      <c r="BM13" s="7">
        <f t="shared" si="0"/>
        <v>2022</v>
      </c>
      <c r="BN13" s="7">
        <f t="shared" si="0"/>
        <v>2022</v>
      </c>
      <c r="BO13" s="7">
        <f t="shared" si="0"/>
        <v>2022</v>
      </c>
      <c r="BP13" s="7">
        <f t="shared" si="0"/>
        <v>2022</v>
      </c>
      <c r="BQ13" s="7">
        <f t="shared" si="0"/>
        <v>2022</v>
      </c>
    </row>
    <row r="14" spans="1:69" ht="10.199999999999999">
      <c r="A14" s="7"/>
      <c r="B14" s="8" t="s">
        <v>156</v>
      </c>
      <c r="C14" s="7"/>
      <c r="D14" s="7"/>
      <c r="E14" s="9"/>
      <c r="F14" s="9"/>
      <c r="G14" s="9"/>
      <c r="H14" s="9"/>
      <c r="I14" s="9"/>
      <c r="J14" s="7">
        <f t="shared" ref="J14:AO14" si="1">J13-First_Fin_Year+1</f>
        <v>1</v>
      </c>
      <c r="K14" s="7">
        <f t="shared" si="1"/>
        <v>1</v>
      </c>
      <c r="L14" s="7">
        <f t="shared" si="1"/>
        <v>1</v>
      </c>
      <c r="M14" s="7">
        <f t="shared" si="1"/>
        <v>1</v>
      </c>
      <c r="N14" s="7">
        <f t="shared" si="1"/>
        <v>1</v>
      </c>
      <c r="O14" s="7">
        <f t="shared" si="1"/>
        <v>1</v>
      </c>
      <c r="P14" s="7">
        <f t="shared" si="1"/>
        <v>1</v>
      </c>
      <c r="Q14" s="7">
        <f t="shared" si="1"/>
        <v>1</v>
      </c>
      <c r="R14" s="7">
        <f t="shared" si="1"/>
        <v>1</v>
      </c>
      <c r="S14" s="7">
        <f t="shared" si="1"/>
        <v>1</v>
      </c>
      <c r="T14" s="7">
        <f t="shared" si="1"/>
        <v>1</v>
      </c>
      <c r="U14" s="7">
        <f t="shared" si="1"/>
        <v>1</v>
      </c>
      <c r="V14" s="7">
        <f t="shared" si="1"/>
        <v>2</v>
      </c>
      <c r="W14" s="7">
        <f t="shared" si="1"/>
        <v>2</v>
      </c>
      <c r="X14" s="7">
        <f t="shared" si="1"/>
        <v>2</v>
      </c>
      <c r="Y14" s="7">
        <f t="shared" si="1"/>
        <v>2</v>
      </c>
      <c r="Z14" s="7">
        <f t="shared" si="1"/>
        <v>2</v>
      </c>
      <c r="AA14" s="7">
        <f t="shared" si="1"/>
        <v>2</v>
      </c>
      <c r="AB14" s="7">
        <f t="shared" si="1"/>
        <v>2</v>
      </c>
      <c r="AC14" s="7">
        <f t="shared" si="1"/>
        <v>2</v>
      </c>
      <c r="AD14" s="7">
        <f t="shared" si="1"/>
        <v>2</v>
      </c>
      <c r="AE14" s="7">
        <f t="shared" si="1"/>
        <v>2</v>
      </c>
      <c r="AF14" s="7">
        <f t="shared" si="1"/>
        <v>2</v>
      </c>
      <c r="AG14" s="7">
        <f t="shared" si="1"/>
        <v>2</v>
      </c>
      <c r="AH14" s="7">
        <f t="shared" si="1"/>
        <v>3</v>
      </c>
      <c r="AI14" s="7">
        <f t="shared" si="1"/>
        <v>3</v>
      </c>
      <c r="AJ14" s="7">
        <f t="shared" si="1"/>
        <v>3</v>
      </c>
      <c r="AK14" s="7">
        <f t="shared" si="1"/>
        <v>3</v>
      </c>
      <c r="AL14" s="7">
        <f t="shared" si="1"/>
        <v>3</v>
      </c>
      <c r="AM14" s="7">
        <f t="shared" si="1"/>
        <v>3</v>
      </c>
      <c r="AN14" s="7">
        <f t="shared" si="1"/>
        <v>3</v>
      </c>
      <c r="AO14" s="7">
        <f t="shared" si="1"/>
        <v>3</v>
      </c>
      <c r="AP14" s="7">
        <f t="shared" ref="AP14:BQ14" si="2">AP13-First_Fin_Year+1</f>
        <v>3</v>
      </c>
      <c r="AQ14" s="7">
        <f t="shared" si="2"/>
        <v>3</v>
      </c>
      <c r="AR14" s="7">
        <f t="shared" si="2"/>
        <v>3</v>
      </c>
      <c r="AS14" s="7">
        <f t="shared" si="2"/>
        <v>3</v>
      </c>
      <c r="AT14" s="7">
        <f t="shared" si="2"/>
        <v>4</v>
      </c>
      <c r="AU14" s="7">
        <f t="shared" si="2"/>
        <v>4</v>
      </c>
      <c r="AV14" s="7">
        <f t="shared" si="2"/>
        <v>4</v>
      </c>
      <c r="AW14" s="7">
        <f t="shared" si="2"/>
        <v>4</v>
      </c>
      <c r="AX14" s="7">
        <f t="shared" si="2"/>
        <v>4</v>
      </c>
      <c r="AY14" s="7">
        <f t="shared" si="2"/>
        <v>4</v>
      </c>
      <c r="AZ14" s="7">
        <f t="shared" si="2"/>
        <v>4</v>
      </c>
      <c r="BA14" s="7">
        <f t="shared" si="2"/>
        <v>4</v>
      </c>
      <c r="BB14" s="7">
        <f t="shared" si="2"/>
        <v>4</v>
      </c>
      <c r="BC14" s="7">
        <f t="shared" si="2"/>
        <v>4</v>
      </c>
      <c r="BD14" s="7">
        <f t="shared" si="2"/>
        <v>4</v>
      </c>
      <c r="BE14" s="7">
        <f t="shared" si="2"/>
        <v>4</v>
      </c>
      <c r="BF14" s="7">
        <f t="shared" si="2"/>
        <v>5</v>
      </c>
      <c r="BG14" s="7">
        <f t="shared" si="2"/>
        <v>5</v>
      </c>
      <c r="BH14" s="7">
        <f t="shared" si="2"/>
        <v>5</v>
      </c>
      <c r="BI14" s="7">
        <f t="shared" si="2"/>
        <v>5</v>
      </c>
      <c r="BJ14" s="7">
        <f t="shared" si="2"/>
        <v>5</v>
      </c>
      <c r="BK14" s="7">
        <f t="shared" si="2"/>
        <v>5</v>
      </c>
      <c r="BL14" s="7">
        <f t="shared" si="2"/>
        <v>5</v>
      </c>
      <c r="BM14" s="7">
        <f t="shared" si="2"/>
        <v>5</v>
      </c>
      <c r="BN14" s="7">
        <f t="shared" si="2"/>
        <v>5</v>
      </c>
      <c r="BO14" s="7">
        <f t="shared" si="2"/>
        <v>5</v>
      </c>
      <c r="BP14" s="7">
        <f t="shared" si="2"/>
        <v>5</v>
      </c>
      <c r="BQ14" s="7">
        <f t="shared" si="2"/>
        <v>5</v>
      </c>
    </row>
    <row r="15" spans="1:69" ht="10.199999999999999">
      <c r="B15" s="8" t="s">
        <v>45</v>
      </c>
      <c r="I15" s="10">
        <f>EOMONTH(J15,-1)</f>
        <v>43100</v>
      </c>
      <c r="J15" s="11">
        <f>DATE(First_Fin_Year,1,31)</f>
        <v>43131</v>
      </c>
      <c r="K15" s="11">
        <f>EOMONTH(J15,1)</f>
        <v>43159</v>
      </c>
      <c r="L15" s="11">
        <f t="shared" ref="L15:BQ15" si="3">EOMONTH(K15,1)</f>
        <v>43190</v>
      </c>
      <c r="M15" s="11">
        <f t="shared" si="3"/>
        <v>43220</v>
      </c>
      <c r="N15" s="11">
        <f t="shared" si="3"/>
        <v>43251</v>
      </c>
      <c r="O15" s="11">
        <f t="shared" si="3"/>
        <v>43281</v>
      </c>
      <c r="P15" s="11">
        <f t="shared" si="3"/>
        <v>43312</v>
      </c>
      <c r="Q15" s="11">
        <f t="shared" si="3"/>
        <v>43343</v>
      </c>
      <c r="R15" s="11">
        <f t="shared" si="3"/>
        <v>43373</v>
      </c>
      <c r="S15" s="11">
        <f t="shared" si="3"/>
        <v>43404</v>
      </c>
      <c r="T15" s="11">
        <f t="shared" si="3"/>
        <v>43434</v>
      </c>
      <c r="U15" s="11">
        <f t="shared" si="3"/>
        <v>43465</v>
      </c>
      <c r="V15" s="11">
        <f t="shared" si="3"/>
        <v>43496</v>
      </c>
      <c r="W15" s="11">
        <f t="shared" si="3"/>
        <v>43524</v>
      </c>
      <c r="X15" s="11">
        <f t="shared" si="3"/>
        <v>43555</v>
      </c>
      <c r="Y15" s="11">
        <f t="shared" si="3"/>
        <v>43585</v>
      </c>
      <c r="Z15" s="11">
        <f t="shared" si="3"/>
        <v>43616</v>
      </c>
      <c r="AA15" s="11">
        <f t="shared" si="3"/>
        <v>43646</v>
      </c>
      <c r="AB15" s="11">
        <f t="shared" si="3"/>
        <v>43677</v>
      </c>
      <c r="AC15" s="11">
        <f t="shared" si="3"/>
        <v>43708</v>
      </c>
      <c r="AD15" s="11">
        <f t="shared" si="3"/>
        <v>43738</v>
      </c>
      <c r="AE15" s="11">
        <f t="shared" si="3"/>
        <v>43769</v>
      </c>
      <c r="AF15" s="11">
        <f t="shared" si="3"/>
        <v>43799</v>
      </c>
      <c r="AG15" s="11">
        <f t="shared" si="3"/>
        <v>43830</v>
      </c>
      <c r="AH15" s="11">
        <f t="shared" si="3"/>
        <v>43861</v>
      </c>
      <c r="AI15" s="11">
        <f t="shared" si="3"/>
        <v>43890</v>
      </c>
      <c r="AJ15" s="11">
        <f t="shared" si="3"/>
        <v>43921</v>
      </c>
      <c r="AK15" s="11">
        <f t="shared" si="3"/>
        <v>43951</v>
      </c>
      <c r="AL15" s="11">
        <f t="shared" si="3"/>
        <v>43982</v>
      </c>
      <c r="AM15" s="11">
        <f t="shared" si="3"/>
        <v>44012</v>
      </c>
      <c r="AN15" s="11">
        <f t="shared" si="3"/>
        <v>44043</v>
      </c>
      <c r="AO15" s="11">
        <f t="shared" si="3"/>
        <v>44074</v>
      </c>
      <c r="AP15" s="11">
        <f t="shared" si="3"/>
        <v>44104</v>
      </c>
      <c r="AQ15" s="11">
        <f t="shared" si="3"/>
        <v>44135</v>
      </c>
      <c r="AR15" s="11">
        <f t="shared" si="3"/>
        <v>44165</v>
      </c>
      <c r="AS15" s="11">
        <f t="shared" si="3"/>
        <v>44196</v>
      </c>
      <c r="AT15" s="11">
        <f t="shared" si="3"/>
        <v>44227</v>
      </c>
      <c r="AU15" s="11">
        <f t="shared" si="3"/>
        <v>44255</v>
      </c>
      <c r="AV15" s="11">
        <f t="shared" si="3"/>
        <v>44286</v>
      </c>
      <c r="AW15" s="11">
        <f t="shared" si="3"/>
        <v>44316</v>
      </c>
      <c r="AX15" s="11">
        <f t="shared" si="3"/>
        <v>44347</v>
      </c>
      <c r="AY15" s="11">
        <f t="shared" si="3"/>
        <v>44377</v>
      </c>
      <c r="AZ15" s="11">
        <f t="shared" si="3"/>
        <v>44408</v>
      </c>
      <c r="BA15" s="11">
        <f t="shared" si="3"/>
        <v>44439</v>
      </c>
      <c r="BB15" s="11">
        <f t="shared" si="3"/>
        <v>44469</v>
      </c>
      <c r="BC15" s="11">
        <f t="shared" si="3"/>
        <v>44500</v>
      </c>
      <c r="BD15" s="11">
        <f t="shared" si="3"/>
        <v>44530</v>
      </c>
      <c r="BE15" s="11">
        <f t="shared" si="3"/>
        <v>44561</v>
      </c>
      <c r="BF15" s="11">
        <f t="shared" si="3"/>
        <v>44592</v>
      </c>
      <c r="BG15" s="11">
        <f t="shared" si="3"/>
        <v>44620</v>
      </c>
      <c r="BH15" s="11">
        <f t="shared" si="3"/>
        <v>44651</v>
      </c>
      <c r="BI15" s="11">
        <f t="shared" si="3"/>
        <v>44681</v>
      </c>
      <c r="BJ15" s="11">
        <f t="shared" si="3"/>
        <v>44712</v>
      </c>
      <c r="BK15" s="11">
        <f t="shared" si="3"/>
        <v>44742</v>
      </c>
      <c r="BL15" s="11">
        <f t="shared" si="3"/>
        <v>44773</v>
      </c>
      <c r="BM15" s="11">
        <f t="shared" si="3"/>
        <v>44804</v>
      </c>
      <c r="BN15" s="11">
        <f t="shared" si="3"/>
        <v>44834</v>
      </c>
      <c r="BO15" s="11">
        <f t="shared" si="3"/>
        <v>44865</v>
      </c>
      <c r="BP15" s="11">
        <f t="shared" si="3"/>
        <v>44895</v>
      </c>
      <c r="BQ15" s="11">
        <f t="shared" si="3"/>
        <v>44926</v>
      </c>
    </row>
    <row r="16" spans="1:69" ht="10.5" customHeight="1" thickBot="1"/>
    <row r="17" spans="1:69" s="24" customFormat="1" ht="13.8">
      <c r="A17" s="1"/>
      <c r="B17" s="23" t="str">
        <f>"Variable Expenses, "&amp;Currency</f>
        <v>Variable Expenses, $</v>
      </c>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row>
    <row r="18" spans="1:69" s="27" customFormat="1" ht="10.199999999999999">
      <c r="A18" s="1"/>
      <c r="B18" s="26"/>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row>
    <row r="19" spans="1:69" s="27" customFormat="1" ht="10.199999999999999">
      <c r="A19" s="1"/>
      <c r="B19" s="29" t="s">
        <v>26</v>
      </c>
      <c r="C19" s="30" t="s">
        <v>118</v>
      </c>
      <c r="D19" s="30" t="s">
        <v>119</v>
      </c>
      <c r="E19" s="13" t="s">
        <v>94</v>
      </c>
      <c r="F19" s="13"/>
      <c r="G19" s="13"/>
      <c r="H19" s="13"/>
      <c r="I19" s="13"/>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row>
    <row r="20" spans="1:69" s="27" customFormat="1" ht="10.199999999999999">
      <c r="A20" s="1"/>
      <c r="B20" s="39" t="s">
        <v>76</v>
      </c>
      <c r="C20" s="40">
        <f t="shared" ref="C20:C24" si="4">$J$15</f>
        <v>43131</v>
      </c>
      <c r="D20" s="40">
        <f t="shared" ref="D20:D24" si="5">$BQ$15</f>
        <v>44926</v>
      </c>
      <c r="E20" s="41">
        <v>0.05</v>
      </c>
      <c r="F20" s="42">
        <v>0.05</v>
      </c>
      <c r="G20" s="42">
        <f t="shared" ref="G20:G24" si="6">F20</f>
        <v>0.05</v>
      </c>
      <c r="H20" s="42">
        <f t="shared" ref="H20:H24" si="7">G20</f>
        <v>0.05</v>
      </c>
      <c r="I20" s="43">
        <f t="shared" ref="I20:I24" si="8">H20</f>
        <v>0.05</v>
      </c>
      <c r="J20" s="14">
        <f>IF(AND($C20&lt;=J$15,$D20&gt;=J$15),INDEX($E20:$I20,1,J$14),0)*IS!J$21</f>
        <v>125</v>
      </c>
      <c r="K20" s="15">
        <f>IF(AND($C20&lt;=K$15,$D20&gt;=K$15),INDEX($E20:$I20,1,K$14),0)*IS!K$21</f>
        <v>352.27272727272725</v>
      </c>
      <c r="L20" s="15">
        <f>IF(AND($C20&lt;=L$15,$D20&gt;=L$15),INDEX($E20:$I20,1,L$14),0)*IS!L$21</f>
        <v>502.27272727272725</v>
      </c>
      <c r="M20" s="15">
        <f>IF(AND($C20&lt;=M$15,$D20&gt;=M$15),INDEX($E20:$I20,1,M$14),0)*IS!M$21</f>
        <v>502.27272727272725</v>
      </c>
      <c r="N20" s="15">
        <f>IF(AND($C20&lt;=N$15,$D20&gt;=N$15),INDEX($E20:$I20,1,N$14),0)*IS!N$21</f>
        <v>502.27272727272725</v>
      </c>
      <c r="O20" s="15">
        <f>IF(AND($C20&lt;=O$15,$D20&gt;=O$15),INDEX($E20:$I20,1,O$14),0)*IS!O$21</f>
        <v>502.27272727272725</v>
      </c>
      <c r="P20" s="15">
        <f>IF(AND($C20&lt;=P$15,$D20&gt;=P$15),INDEX($E20:$I20,1,P$14),0)*IS!P$21</f>
        <v>502.27272727272725</v>
      </c>
      <c r="Q20" s="15">
        <f>IF(AND($C20&lt;=Q$15,$D20&gt;=Q$15),INDEX($E20:$I20,1,Q$14),0)*IS!Q$21</f>
        <v>502.27272727272725</v>
      </c>
      <c r="R20" s="15">
        <f>IF(AND($C20&lt;=R$15,$D20&gt;=R$15),INDEX($E20:$I20,1,R$14),0)*IS!R$21</f>
        <v>502.27272727272725</v>
      </c>
      <c r="S20" s="15">
        <f>IF(AND($C20&lt;=S$15,$D20&gt;=S$15),INDEX($E20:$I20,1,S$14),0)*IS!S$21</f>
        <v>502.27272727272725</v>
      </c>
      <c r="T20" s="15">
        <f>IF(AND($C20&lt;=T$15,$D20&gt;=T$15),INDEX($E20:$I20,1,T$14),0)*IS!T$21</f>
        <v>502.27272727272725</v>
      </c>
      <c r="U20" s="15">
        <f>IF(AND($C20&lt;=U$15,$D20&gt;=U$15),INDEX($E20:$I20,1,U$14),0)*IS!U$21</f>
        <v>502.27272727272725</v>
      </c>
      <c r="V20" s="15">
        <f>IF(AND($C20&lt;=V$15,$D20&gt;=V$15),INDEX($E20:$I20,1,V$14),0)*IS!V$21</f>
        <v>605</v>
      </c>
      <c r="W20" s="15">
        <f>IF(AND($C20&lt;=W$15,$D20&gt;=W$15),INDEX($E20:$I20,1,W$14),0)*IS!W$21</f>
        <v>605</v>
      </c>
      <c r="X20" s="15">
        <f>IF(AND($C20&lt;=X$15,$D20&gt;=X$15),INDEX($E20:$I20,1,X$14),0)*IS!X$21</f>
        <v>605</v>
      </c>
      <c r="Y20" s="15">
        <f>IF(AND($C20&lt;=Y$15,$D20&gt;=Y$15),INDEX($E20:$I20,1,Y$14),0)*IS!Y$21</f>
        <v>605</v>
      </c>
      <c r="Z20" s="15">
        <f>IF(AND($C20&lt;=Z$15,$D20&gt;=Z$15),INDEX($E20:$I20,1,Z$14),0)*IS!Z$21</f>
        <v>605</v>
      </c>
      <c r="AA20" s="15">
        <f>IF(AND($C20&lt;=AA$15,$D20&gt;=AA$15),INDEX($E20:$I20,1,AA$14),0)*IS!AA$21</f>
        <v>605</v>
      </c>
      <c r="AB20" s="15">
        <f>IF(AND($C20&lt;=AB$15,$D20&gt;=AB$15),INDEX($E20:$I20,1,AB$14),0)*IS!AB$21</f>
        <v>605</v>
      </c>
      <c r="AC20" s="15">
        <f>IF(AND($C20&lt;=AC$15,$D20&gt;=AC$15),INDEX($E20:$I20,1,AC$14),0)*IS!AC$21</f>
        <v>605</v>
      </c>
      <c r="AD20" s="15">
        <f>IF(AND($C20&lt;=AD$15,$D20&gt;=AD$15),INDEX($E20:$I20,1,AD$14),0)*IS!AD$21</f>
        <v>605</v>
      </c>
      <c r="AE20" s="15">
        <f>IF(AND($C20&lt;=AE$15,$D20&gt;=AE$15),INDEX($E20:$I20,1,AE$14),0)*IS!AE$21</f>
        <v>605</v>
      </c>
      <c r="AF20" s="15">
        <f>IF(AND($C20&lt;=AF$15,$D20&gt;=AF$15),INDEX($E20:$I20,1,AF$14),0)*IS!AF$21</f>
        <v>605</v>
      </c>
      <c r="AG20" s="15">
        <f>IF(AND($C20&lt;=AG$15,$D20&gt;=AG$15),INDEX($E20:$I20,1,AG$14),0)*IS!AG$21</f>
        <v>605</v>
      </c>
      <c r="AH20" s="15">
        <f>IF(AND($C20&lt;=AH$15,$D20&gt;=AH$15),INDEX($E20:$I20,1,AH$14),0)*IS!AH$21</f>
        <v>798.60000000000025</v>
      </c>
      <c r="AI20" s="15">
        <f>IF(AND($C20&lt;=AI$15,$D20&gt;=AI$15),INDEX($E20:$I20,1,AI$14),0)*IS!AI$21</f>
        <v>798.60000000000025</v>
      </c>
      <c r="AJ20" s="15">
        <f>IF(AND($C20&lt;=AJ$15,$D20&gt;=AJ$15),INDEX($E20:$I20,1,AJ$14),0)*IS!AJ$21</f>
        <v>798.60000000000025</v>
      </c>
      <c r="AK20" s="15">
        <f>IF(AND($C20&lt;=AK$15,$D20&gt;=AK$15),INDEX($E20:$I20,1,AK$14),0)*IS!AK$21</f>
        <v>798.60000000000025</v>
      </c>
      <c r="AL20" s="15">
        <f>IF(AND($C20&lt;=AL$15,$D20&gt;=AL$15),INDEX($E20:$I20,1,AL$14),0)*IS!AL$21</f>
        <v>798.60000000000025</v>
      </c>
      <c r="AM20" s="15">
        <f>IF(AND($C20&lt;=AM$15,$D20&gt;=AM$15),INDEX($E20:$I20,1,AM$14),0)*IS!AM$21</f>
        <v>798.60000000000025</v>
      </c>
      <c r="AN20" s="15">
        <f>IF(AND($C20&lt;=AN$15,$D20&gt;=AN$15),INDEX($E20:$I20,1,AN$14),0)*IS!AN$21</f>
        <v>798.60000000000025</v>
      </c>
      <c r="AO20" s="15">
        <f>IF(AND($C20&lt;=AO$15,$D20&gt;=AO$15),INDEX($E20:$I20,1,AO$14),0)*IS!AO$21</f>
        <v>798.60000000000025</v>
      </c>
      <c r="AP20" s="15">
        <f>IF(AND($C20&lt;=AP$15,$D20&gt;=AP$15),INDEX($E20:$I20,1,AP$14),0)*IS!AP$21</f>
        <v>798.60000000000025</v>
      </c>
      <c r="AQ20" s="15">
        <f>IF(AND($C20&lt;=AQ$15,$D20&gt;=AQ$15),INDEX($E20:$I20,1,AQ$14),0)*IS!AQ$21</f>
        <v>798.60000000000025</v>
      </c>
      <c r="AR20" s="15">
        <f>IF(AND($C20&lt;=AR$15,$D20&gt;=AR$15),INDEX($E20:$I20,1,AR$14),0)*IS!AR$21</f>
        <v>798.60000000000025</v>
      </c>
      <c r="AS20" s="15">
        <f>IF(AND($C20&lt;=AS$15,$D20&gt;=AS$15),INDEX($E20:$I20,1,AS$14),0)*IS!AS$21</f>
        <v>798.60000000000025</v>
      </c>
      <c r="AT20" s="15">
        <f>IF(AND($C20&lt;=AT$15,$D20&gt;=AT$15),INDEX($E20:$I20,1,AT$14),0)*IS!AT$21</f>
        <v>1054.1520000000005</v>
      </c>
      <c r="AU20" s="15">
        <f>IF(AND($C20&lt;=AU$15,$D20&gt;=AU$15),INDEX($E20:$I20,1,AU$14),0)*IS!AU$21</f>
        <v>1054.1520000000005</v>
      </c>
      <c r="AV20" s="15">
        <f>IF(AND($C20&lt;=AV$15,$D20&gt;=AV$15),INDEX($E20:$I20,1,AV$14),0)*IS!AV$21</f>
        <v>1054.1520000000005</v>
      </c>
      <c r="AW20" s="15">
        <f>IF(AND($C20&lt;=AW$15,$D20&gt;=AW$15),INDEX($E20:$I20,1,AW$14),0)*IS!AW$21</f>
        <v>1054.1520000000005</v>
      </c>
      <c r="AX20" s="15">
        <f>IF(AND($C20&lt;=AX$15,$D20&gt;=AX$15),INDEX($E20:$I20,1,AX$14),0)*IS!AX$21</f>
        <v>1054.1520000000005</v>
      </c>
      <c r="AY20" s="15">
        <f>IF(AND($C20&lt;=AY$15,$D20&gt;=AY$15),INDEX($E20:$I20,1,AY$14),0)*IS!AY$21</f>
        <v>1054.1520000000005</v>
      </c>
      <c r="AZ20" s="15">
        <f>IF(AND($C20&lt;=AZ$15,$D20&gt;=AZ$15),INDEX($E20:$I20,1,AZ$14),0)*IS!AZ$21</f>
        <v>1054.1520000000005</v>
      </c>
      <c r="BA20" s="15">
        <f>IF(AND($C20&lt;=BA$15,$D20&gt;=BA$15),INDEX($E20:$I20,1,BA$14),0)*IS!BA$21</f>
        <v>1054.1520000000005</v>
      </c>
      <c r="BB20" s="15">
        <f>IF(AND($C20&lt;=BB$15,$D20&gt;=BB$15),INDEX($E20:$I20,1,BB$14),0)*IS!BB$21</f>
        <v>1054.1520000000005</v>
      </c>
      <c r="BC20" s="15">
        <f>IF(AND($C20&lt;=BC$15,$D20&gt;=BC$15),INDEX($E20:$I20,1,BC$14),0)*IS!BC$21</f>
        <v>1054.1520000000005</v>
      </c>
      <c r="BD20" s="15">
        <f>IF(AND($C20&lt;=BD$15,$D20&gt;=BD$15),INDEX($E20:$I20,1,BD$14),0)*IS!BD$21</f>
        <v>1054.1520000000005</v>
      </c>
      <c r="BE20" s="15">
        <f>IF(AND($C20&lt;=BE$15,$D20&gt;=BE$15),INDEX($E20:$I20,1,BE$14),0)*IS!BE$21</f>
        <v>1054.1520000000005</v>
      </c>
      <c r="BF20" s="15">
        <f>IF(AND($C20&lt;=BF$15,$D20&gt;=BF$15),INDEX($E20:$I20,1,BF$14),0)*IS!BF$21</f>
        <v>1391.4806400000007</v>
      </c>
      <c r="BG20" s="15">
        <f>IF(AND($C20&lt;=BG$15,$D20&gt;=BG$15),INDEX($E20:$I20,1,BG$14),0)*IS!BG$21</f>
        <v>1391.4806400000007</v>
      </c>
      <c r="BH20" s="15">
        <f>IF(AND($C20&lt;=BH$15,$D20&gt;=BH$15),INDEX($E20:$I20,1,BH$14),0)*IS!BH$21</f>
        <v>1391.4806400000007</v>
      </c>
      <c r="BI20" s="15">
        <f>IF(AND($C20&lt;=BI$15,$D20&gt;=BI$15),INDEX($E20:$I20,1,BI$14),0)*IS!BI$21</f>
        <v>1391.4806400000007</v>
      </c>
      <c r="BJ20" s="15">
        <f>IF(AND($C20&lt;=BJ$15,$D20&gt;=BJ$15),INDEX($E20:$I20,1,BJ$14),0)*IS!BJ$21</f>
        <v>1391.4806400000007</v>
      </c>
      <c r="BK20" s="15">
        <f>IF(AND($C20&lt;=BK$15,$D20&gt;=BK$15),INDEX($E20:$I20,1,BK$14),0)*IS!BK$21</f>
        <v>1391.4806400000007</v>
      </c>
      <c r="BL20" s="15">
        <f>IF(AND($C20&lt;=BL$15,$D20&gt;=BL$15),INDEX($E20:$I20,1,BL$14),0)*IS!BL$21</f>
        <v>1391.4806400000007</v>
      </c>
      <c r="BM20" s="15">
        <f>IF(AND($C20&lt;=BM$15,$D20&gt;=BM$15),INDEX($E20:$I20,1,BM$14),0)*IS!BM$21</f>
        <v>1391.4806400000007</v>
      </c>
      <c r="BN20" s="15">
        <f>IF(AND($C20&lt;=BN$15,$D20&gt;=BN$15),INDEX($E20:$I20,1,BN$14),0)*IS!BN$21</f>
        <v>1391.4806400000007</v>
      </c>
      <c r="BO20" s="15">
        <f>IF(AND($C20&lt;=BO$15,$D20&gt;=BO$15),INDEX($E20:$I20,1,BO$14),0)*IS!BO$21</f>
        <v>1391.4806400000007</v>
      </c>
      <c r="BP20" s="15">
        <f>IF(AND($C20&lt;=BP$15,$D20&gt;=BP$15),INDEX($E20:$I20,1,BP$14),0)*IS!BP$21</f>
        <v>1391.4806400000007</v>
      </c>
      <c r="BQ20" s="15">
        <f>IF(AND($C20&lt;=BQ$15,$D20&gt;=BQ$15),INDEX($E20:$I20,1,BQ$14),0)*IS!BQ$21</f>
        <v>1391.4806400000007</v>
      </c>
    </row>
    <row r="21" spans="1:69" s="27" customFormat="1" ht="10.199999999999999">
      <c r="A21" s="1"/>
      <c r="B21" s="44" t="s">
        <v>56</v>
      </c>
      <c r="C21" s="45">
        <f t="shared" si="4"/>
        <v>43131</v>
      </c>
      <c r="D21" s="45">
        <f t="shared" si="5"/>
        <v>44926</v>
      </c>
      <c r="E21" s="46">
        <v>0</v>
      </c>
      <c r="F21" s="47">
        <f t="shared" ref="F21:F24" si="9">E21</f>
        <v>0</v>
      </c>
      <c r="G21" s="47">
        <f t="shared" si="6"/>
        <v>0</v>
      </c>
      <c r="H21" s="47">
        <f t="shared" si="7"/>
        <v>0</v>
      </c>
      <c r="I21" s="48">
        <f t="shared" si="8"/>
        <v>0</v>
      </c>
      <c r="J21" s="14">
        <f>IF(AND($C21&lt;=J$15,$D21&gt;=J$15),INDEX($E21:$I21,1,J$14),0)*IS!J$21</f>
        <v>0</v>
      </c>
      <c r="K21" s="15">
        <f>IF(AND($C21&lt;=K$15,$D21&gt;=K$15),INDEX($E21:$I21,1,K$14),0)*IS!K$21</f>
        <v>0</v>
      </c>
      <c r="L21" s="15">
        <f>IF(AND($C21&lt;=L$15,$D21&gt;=L$15),INDEX($E21:$I21,1,L$14),0)*IS!L$21</f>
        <v>0</v>
      </c>
      <c r="M21" s="15">
        <f>IF(AND($C21&lt;=M$15,$D21&gt;=M$15),INDEX($E21:$I21,1,M$14),0)*IS!M$21</f>
        <v>0</v>
      </c>
      <c r="N21" s="15">
        <f>IF(AND($C21&lt;=N$15,$D21&gt;=N$15),INDEX($E21:$I21,1,N$14),0)*IS!N$21</f>
        <v>0</v>
      </c>
      <c r="O21" s="15">
        <f>IF(AND($C21&lt;=O$15,$D21&gt;=O$15),INDEX($E21:$I21,1,O$14),0)*IS!O$21</f>
        <v>0</v>
      </c>
      <c r="P21" s="15">
        <f>IF(AND($C21&lt;=P$15,$D21&gt;=P$15),INDEX($E21:$I21,1,P$14),0)*IS!P$21</f>
        <v>0</v>
      </c>
      <c r="Q21" s="15">
        <f>IF(AND($C21&lt;=Q$15,$D21&gt;=Q$15),INDEX($E21:$I21,1,Q$14),0)*IS!Q$21</f>
        <v>0</v>
      </c>
      <c r="R21" s="15">
        <f>IF(AND($C21&lt;=R$15,$D21&gt;=R$15),INDEX($E21:$I21,1,R$14),0)*IS!R$21</f>
        <v>0</v>
      </c>
      <c r="S21" s="15">
        <f>IF(AND($C21&lt;=S$15,$D21&gt;=S$15),INDEX($E21:$I21,1,S$14),0)*IS!S$21</f>
        <v>0</v>
      </c>
      <c r="T21" s="15">
        <f>IF(AND($C21&lt;=T$15,$D21&gt;=T$15),INDEX($E21:$I21,1,T$14),0)*IS!T$21</f>
        <v>0</v>
      </c>
      <c r="U21" s="15">
        <f>IF(AND($C21&lt;=U$15,$D21&gt;=U$15),INDEX($E21:$I21,1,U$14),0)*IS!U$21</f>
        <v>0</v>
      </c>
      <c r="V21" s="15">
        <f>IF(AND($C21&lt;=V$15,$D21&gt;=V$15),INDEX($E21:$I21,1,V$14),0)*IS!V$21</f>
        <v>0</v>
      </c>
      <c r="W21" s="15">
        <f>IF(AND($C21&lt;=W$15,$D21&gt;=W$15),INDEX($E21:$I21,1,W$14),0)*IS!W$21</f>
        <v>0</v>
      </c>
      <c r="X21" s="15">
        <f>IF(AND($C21&lt;=X$15,$D21&gt;=X$15),INDEX($E21:$I21,1,X$14),0)*IS!X$21</f>
        <v>0</v>
      </c>
      <c r="Y21" s="15">
        <f>IF(AND($C21&lt;=Y$15,$D21&gt;=Y$15),INDEX($E21:$I21,1,Y$14),0)*IS!Y$21</f>
        <v>0</v>
      </c>
      <c r="Z21" s="15">
        <f>IF(AND($C21&lt;=Z$15,$D21&gt;=Z$15),INDEX($E21:$I21,1,Z$14),0)*IS!Z$21</f>
        <v>0</v>
      </c>
      <c r="AA21" s="15">
        <f>IF(AND($C21&lt;=AA$15,$D21&gt;=AA$15),INDEX($E21:$I21,1,AA$14),0)*IS!AA$21</f>
        <v>0</v>
      </c>
      <c r="AB21" s="15">
        <f>IF(AND($C21&lt;=AB$15,$D21&gt;=AB$15),INDEX($E21:$I21,1,AB$14),0)*IS!AB$21</f>
        <v>0</v>
      </c>
      <c r="AC21" s="15">
        <f>IF(AND($C21&lt;=AC$15,$D21&gt;=AC$15),INDEX($E21:$I21,1,AC$14),0)*IS!AC$21</f>
        <v>0</v>
      </c>
      <c r="AD21" s="15">
        <f>IF(AND($C21&lt;=AD$15,$D21&gt;=AD$15),INDEX($E21:$I21,1,AD$14),0)*IS!AD$21</f>
        <v>0</v>
      </c>
      <c r="AE21" s="15">
        <f>IF(AND($C21&lt;=AE$15,$D21&gt;=AE$15),INDEX($E21:$I21,1,AE$14),0)*IS!AE$21</f>
        <v>0</v>
      </c>
      <c r="AF21" s="15">
        <f>IF(AND($C21&lt;=AF$15,$D21&gt;=AF$15),INDEX($E21:$I21,1,AF$14),0)*IS!AF$21</f>
        <v>0</v>
      </c>
      <c r="AG21" s="15">
        <f>IF(AND($C21&lt;=AG$15,$D21&gt;=AG$15),INDEX($E21:$I21,1,AG$14),0)*IS!AG$21</f>
        <v>0</v>
      </c>
      <c r="AH21" s="15">
        <f>IF(AND($C21&lt;=AH$15,$D21&gt;=AH$15),INDEX($E21:$I21,1,AH$14),0)*IS!AH$21</f>
        <v>0</v>
      </c>
      <c r="AI21" s="15">
        <f>IF(AND($C21&lt;=AI$15,$D21&gt;=AI$15),INDEX($E21:$I21,1,AI$14),0)*IS!AI$21</f>
        <v>0</v>
      </c>
      <c r="AJ21" s="15">
        <f>IF(AND($C21&lt;=AJ$15,$D21&gt;=AJ$15),INDEX($E21:$I21,1,AJ$14),0)*IS!AJ$21</f>
        <v>0</v>
      </c>
      <c r="AK21" s="15">
        <f>IF(AND($C21&lt;=AK$15,$D21&gt;=AK$15),INDEX($E21:$I21,1,AK$14),0)*IS!AK$21</f>
        <v>0</v>
      </c>
      <c r="AL21" s="15">
        <f>IF(AND($C21&lt;=AL$15,$D21&gt;=AL$15),INDEX($E21:$I21,1,AL$14),0)*IS!AL$21</f>
        <v>0</v>
      </c>
      <c r="AM21" s="15">
        <f>IF(AND($C21&lt;=AM$15,$D21&gt;=AM$15),INDEX($E21:$I21,1,AM$14),0)*IS!AM$21</f>
        <v>0</v>
      </c>
      <c r="AN21" s="15">
        <f>IF(AND($C21&lt;=AN$15,$D21&gt;=AN$15),INDEX($E21:$I21,1,AN$14),0)*IS!AN$21</f>
        <v>0</v>
      </c>
      <c r="AO21" s="15">
        <f>IF(AND($C21&lt;=AO$15,$D21&gt;=AO$15),INDEX($E21:$I21,1,AO$14),0)*IS!AO$21</f>
        <v>0</v>
      </c>
      <c r="AP21" s="15">
        <f>IF(AND($C21&lt;=AP$15,$D21&gt;=AP$15),INDEX($E21:$I21,1,AP$14),0)*IS!AP$21</f>
        <v>0</v>
      </c>
      <c r="AQ21" s="15">
        <f>IF(AND($C21&lt;=AQ$15,$D21&gt;=AQ$15),INDEX($E21:$I21,1,AQ$14),0)*IS!AQ$21</f>
        <v>0</v>
      </c>
      <c r="AR21" s="15">
        <f>IF(AND($C21&lt;=AR$15,$D21&gt;=AR$15),INDEX($E21:$I21,1,AR$14),0)*IS!AR$21</f>
        <v>0</v>
      </c>
      <c r="AS21" s="15">
        <f>IF(AND($C21&lt;=AS$15,$D21&gt;=AS$15),INDEX($E21:$I21,1,AS$14),0)*IS!AS$21</f>
        <v>0</v>
      </c>
      <c r="AT21" s="15">
        <f>IF(AND($C21&lt;=AT$15,$D21&gt;=AT$15),INDEX($E21:$I21,1,AT$14),0)*IS!AT$21</f>
        <v>0</v>
      </c>
      <c r="AU21" s="15">
        <f>IF(AND($C21&lt;=AU$15,$D21&gt;=AU$15),INDEX($E21:$I21,1,AU$14),0)*IS!AU$21</f>
        <v>0</v>
      </c>
      <c r="AV21" s="15">
        <f>IF(AND($C21&lt;=AV$15,$D21&gt;=AV$15),INDEX($E21:$I21,1,AV$14),0)*IS!AV$21</f>
        <v>0</v>
      </c>
      <c r="AW21" s="15">
        <f>IF(AND($C21&lt;=AW$15,$D21&gt;=AW$15),INDEX($E21:$I21,1,AW$14),0)*IS!AW$21</f>
        <v>0</v>
      </c>
      <c r="AX21" s="15">
        <f>IF(AND($C21&lt;=AX$15,$D21&gt;=AX$15),INDEX($E21:$I21,1,AX$14),0)*IS!AX$21</f>
        <v>0</v>
      </c>
      <c r="AY21" s="15">
        <f>IF(AND($C21&lt;=AY$15,$D21&gt;=AY$15),INDEX($E21:$I21,1,AY$14),0)*IS!AY$21</f>
        <v>0</v>
      </c>
      <c r="AZ21" s="15">
        <f>IF(AND($C21&lt;=AZ$15,$D21&gt;=AZ$15),INDEX($E21:$I21,1,AZ$14),0)*IS!AZ$21</f>
        <v>0</v>
      </c>
      <c r="BA21" s="15">
        <f>IF(AND($C21&lt;=BA$15,$D21&gt;=BA$15),INDEX($E21:$I21,1,BA$14),0)*IS!BA$21</f>
        <v>0</v>
      </c>
      <c r="BB21" s="15">
        <f>IF(AND($C21&lt;=BB$15,$D21&gt;=BB$15),INDEX($E21:$I21,1,BB$14),0)*IS!BB$21</f>
        <v>0</v>
      </c>
      <c r="BC21" s="15">
        <f>IF(AND($C21&lt;=BC$15,$D21&gt;=BC$15),INDEX($E21:$I21,1,BC$14),0)*IS!BC$21</f>
        <v>0</v>
      </c>
      <c r="BD21" s="15">
        <f>IF(AND($C21&lt;=BD$15,$D21&gt;=BD$15),INDEX($E21:$I21,1,BD$14),0)*IS!BD$21</f>
        <v>0</v>
      </c>
      <c r="BE21" s="15">
        <f>IF(AND($C21&lt;=BE$15,$D21&gt;=BE$15),INDEX($E21:$I21,1,BE$14),0)*IS!BE$21</f>
        <v>0</v>
      </c>
      <c r="BF21" s="15">
        <f>IF(AND($C21&lt;=BF$15,$D21&gt;=BF$15),INDEX($E21:$I21,1,BF$14),0)*IS!BF$21</f>
        <v>0</v>
      </c>
      <c r="BG21" s="15">
        <f>IF(AND($C21&lt;=BG$15,$D21&gt;=BG$15),INDEX($E21:$I21,1,BG$14),0)*IS!BG$21</f>
        <v>0</v>
      </c>
      <c r="BH21" s="15">
        <f>IF(AND($C21&lt;=BH$15,$D21&gt;=BH$15),INDEX($E21:$I21,1,BH$14),0)*IS!BH$21</f>
        <v>0</v>
      </c>
      <c r="BI21" s="15">
        <f>IF(AND($C21&lt;=BI$15,$D21&gt;=BI$15),INDEX($E21:$I21,1,BI$14),0)*IS!BI$21</f>
        <v>0</v>
      </c>
      <c r="BJ21" s="15">
        <f>IF(AND($C21&lt;=BJ$15,$D21&gt;=BJ$15),INDEX($E21:$I21,1,BJ$14),0)*IS!BJ$21</f>
        <v>0</v>
      </c>
      <c r="BK21" s="15">
        <f>IF(AND($C21&lt;=BK$15,$D21&gt;=BK$15),INDEX($E21:$I21,1,BK$14),0)*IS!BK$21</f>
        <v>0</v>
      </c>
      <c r="BL21" s="15">
        <f>IF(AND($C21&lt;=BL$15,$D21&gt;=BL$15),INDEX($E21:$I21,1,BL$14),0)*IS!BL$21</f>
        <v>0</v>
      </c>
      <c r="BM21" s="15">
        <f>IF(AND($C21&lt;=BM$15,$D21&gt;=BM$15),INDEX($E21:$I21,1,BM$14),0)*IS!BM$21</f>
        <v>0</v>
      </c>
      <c r="BN21" s="15">
        <f>IF(AND($C21&lt;=BN$15,$D21&gt;=BN$15),INDEX($E21:$I21,1,BN$14),0)*IS!BN$21</f>
        <v>0</v>
      </c>
      <c r="BO21" s="15">
        <f>IF(AND($C21&lt;=BO$15,$D21&gt;=BO$15),INDEX($E21:$I21,1,BO$14),0)*IS!BO$21</f>
        <v>0</v>
      </c>
      <c r="BP21" s="15">
        <f>IF(AND($C21&lt;=BP$15,$D21&gt;=BP$15),INDEX($E21:$I21,1,BP$14),0)*IS!BP$21</f>
        <v>0</v>
      </c>
      <c r="BQ21" s="15">
        <f>IF(AND($C21&lt;=BQ$15,$D21&gt;=BQ$15),INDEX($E21:$I21,1,BQ$14),0)*IS!BQ$21</f>
        <v>0</v>
      </c>
    </row>
    <row r="22" spans="1:69" s="27" customFormat="1" ht="10.199999999999999">
      <c r="A22" s="1"/>
      <c r="B22" s="44" t="s">
        <v>57</v>
      </c>
      <c r="C22" s="45">
        <f t="shared" si="4"/>
        <v>43131</v>
      </c>
      <c r="D22" s="45">
        <f t="shared" si="5"/>
        <v>44926</v>
      </c>
      <c r="E22" s="46">
        <v>0</v>
      </c>
      <c r="F22" s="47">
        <f t="shared" si="9"/>
        <v>0</v>
      </c>
      <c r="G22" s="47">
        <f t="shared" si="6"/>
        <v>0</v>
      </c>
      <c r="H22" s="47">
        <f t="shared" si="7"/>
        <v>0</v>
      </c>
      <c r="I22" s="48">
        <f t="shared" si="8"/>
        <v>0</v>
      </c>
      <c r="J22" s="14">
        <f>IF(AND($C22&lt;=J$15,$D22&gt;=J$15),INDEX($E22:$I22,1,J$14),0)*IS!J$21</f>
        <v>0</v>
      </c>
      <c r="K22" s="15">
        <f>IF(AND($C22&lt;=K$15,$D22&gt;=K$15),INDEX($E22:$I22,1,K$14),0)*IS!K$21</f>
        <v>0</v>
      </c>
      <c r="L22" s="15">
        <f>IF(AND($C22&lt;=L$15,$D22&gt;=L$15),INDEX($E22:$I22,1,L$14),0)*IS!L$21</f>
        <v>0</v>
      </c>
      <c r="M22" s="15">
        <f>IF(AND($C22&lt;=M$15,$D22&gt;=M$15),INDEX($E22:$I22,1,M$14),0)*IS!M$21</f>
        <v>0</v>
      </c>
      <c r="N22" s="15">
        <f>IF(AND($C22&lt;=N$15,$D22&gt;=N$15),INDEX($E22:$I22,1,N$14),0)*IS!N$21</f>
        <v>0</v>
      </c>
      <c r="O22" s="15">
        <f>IF(AND($C22&lt;=O$15,$D22&gt;=O$15),INDEX($E22:$I22,1,O$14),0)*IS!O$21</f>
        <v>0</v>
      </c>
      <c r="P22" s="15">
        <f>IF(AND($C22&lt;=P$15,$D22&gt;=P$15),INDEX($E22:$I22,1,P$14),0)*IS!P$21</f>
        <v>0</v>
      </c>
      <c r="Q22" s="15">
        <f>IF(AND($C22&lt;=Q$15,$D22&gt;=Q$15),INDEX($E22:$I22,1,Q$14),0)*IS!Q$21</f>
        <v>0</v>
      </c>
      <c r="R22" s="15">
        <f>IF(AND($C22&lt;=R$15,$D22&gt;=R$15),INDEX($E22:$I22,1,R$14),0)*IS!R$21</f>
        <v>0</v>
      </c>
      <c r="S22" s="15">
        <f>IF(AND($C22&lt;=S$15,$D22&gt;=S$15),INDEX($E22:$I22,1,S$14),0)*IS!S$21</f>
        <v>0</v>
      </c>
      <c r="T22" s="15">
        <f>IF(AND($C22&lt;=T$15,$D22&gt;=T$15),INDEX($E22:$I22,1,T$14),0)*IS!T$21</f>
        <v>0</v>
      </c>
      <c r="U22" s="15">
        <f>IF(AND($C22&lt;=U$15,$D22&gt;=U$15),INDEX($E22:$I22,1,U$14),0)*IS!U$21</f>
        <v>0</v>
      </c>
      <c r="V22" s="15">
        <f>IF(AND($C22&lt;=V$15,$D22&gt;=V$15),INDEX($E22:$I22,1,V$14),0)*IS!V$21</f>
        <v>0</v>
      </c>
      <c r="W22" s="15">
        <f>IF(AND($C22&lt;=W$15,$D22&gt;=W$15),INDEX($E22:$I22,1,W$14),0)*IS!W$21</f>
        <v>0</v>
      </c>
      <c r="X22" s="15">
        <f>IF(AND($C22&lt;=X$15,$D22&gt;=X$15),INDEX($E22:$I22,1,X$14),0)*IS!X$21</f>
        <v>0</v>
      </c>
      <c r="Y22" s="15">
        <f>IF(AND($C22&lt;=Y$15,$D22&gt;=Y$15),INDEX($E22:$I22,1,Y$14),0)*IS!Y$21</f>
        <v>0</v>
      </c>
      <c r="Z22" s="15">
        <f>IF(AND($C22&lt;=Z$15,$D22&gt;=Z$15),INDEX($E22:$I22,1,Z$14),0)*IS!Z$21</f>
        <v>0</v>
      </c>
      <c r="AA22" s="15">
        <f>IF(AND($C22&lt;=AA$15,$D22&gt;=AA$15),INDEX($E22:$I22,1,AA$14),0)*IS!AA$21</f>
        <v>0</v>
      </c>
      <c r="AB22" s="15">
        <f>IF(AND($C22&lt;=AB$15,$D22&gt;=AB$15),INDEX($E22:$I22,1,AB$14),0)*IS!AB$21</f>
        <v>0</v>
      </c>
      <c r="AC22" s="15">
        <f>IF(AND($C22&lt;=AC$15,$D22&gt;=AC$15),INDEX($E22:$I22,1,AC$14),0)*IS!AC$21</f>
        <v>0</v>
      </c>
      <c r="AD22" s="15">
        <f>IF(AND($C22&lt;=AD$15,$D22&gt;=AD$15),INDEX($E22:$I22,1,AD$14),0)*IS!AD$21</f>
        <v>0</v>
      </c>
      <c r="AE22" s="15">
        <f>IF(AND($C22&lt;=AE$15,$D22&gt;=AE$15),INDEX($E22:$I22,1,AE$14),0)*IS!AE$21</f>
        <v>0</v>
      </c>
      <c r="AF22" s="15">
        <f>IF(AND($C22&lt;=AF$15,$D22&gt;=AF$15),INDEX($E22:$I22,1,AF$14),0)*IS!AF$21</f>
        <v>0</v>
      </c>
      <c r="AG22" s="15">
        <f>IF(AND($C22&lt;=AG$15,$D22&gt;=AG$15),INDEX($E22:$I22,1,AG$14),0)*IS!AG$21</f>
        <v>0</v>
      </c>
      <c r="AH22" s="15">
        <f>IF(AND($C22&lt;=AH$15,$D22&gt;=AH$15),INDEX($E22:$I22,1,AH$14),0)*IS!AH$21</f>
        <v>0</v>
      </c>
      <c r="AI22" s="15">
        <f>IF(AND($C22&lt;=AI$15,$D22&gt;=AI$15),INDEX($E22:$I22,1,AI$14),0)*IS!AI$21</f>
        <v>0</v>
      </c>
      <c r="AJ22" s="15">
        <f>IF(AND($C22&lt;=AJ$15,$D22&gt;=AJ$15),INDEX($E22:$I22,1,AJ$14),0)*IS!AJ$21</f>
        <v>0</v>
      </c>
      <c r="AK22" s="15">
        <f>IF(AND($C22&lt;=AK$15,$D22&gt;=AK$15),INDEX($E22:$I22,1,AK$14),0)*IS!AK$21</f>
        <v>0</v>
      </c>
      <c r="AL22" s="15">
        <f>IF(AND($C22&lt;=AL$15,$D22&gt;=AL$15),INDEX($E22:$I22,1,AL$14),0)*IS!AL$21</f>
        <v>0</v>
      </c>
      <c r="AM22" s="15">
        <f>IF(AND($C22&lt;=AM$15,$D22&gt;=AM$15),INDEX($E22:$I22,1,AM$14),0)*IS!AM$21</f>
        <v>0</v>
      </c>
      <c r="AN22" s="15">
        <f>IF(AND($C22&lt;=AN$15,$D22&gt;=AN$15),INDEX($E22:$I22,1,AN$14),0)*IS!AN$21</f>
        <v>0</v>
      </c>
      <c r="AO22" s="15">
        <f>IF(AND($C22&lt;=AO$15,$D22&gt;=AO$15),INDEX($E22:$I22,1,AO$14),0)*IS!AO$21</f>
        <v>0</v>
      </c>
      <c r="AP22" s="15">
        <f>IF(AND($C22&lt;=AP$15,$D22&gt;=AP$15),INDEX($E22:$I22,1,AP$14),0)*IS!AP$21</f>
        <v>0</v>
      </c>
      <c r="AQ22" s="15">
        <f>IF(AND($C22&lt;=AQ$15,$D22&gt;=AQ$15),INDEX($E22:$I22,1,AQ$14),0)*IS!AQ$21</f>
        <v>0</v>
      </c>
      <c r="AR22" s="15">
        <f>IF(AND($C22&lt;=AR$15,$D22&gt;=AR$15),INDEX($E22:$I22,1,AR$14),0)*IS!AR$21</f>
        <v>0</v>
      </c>
      <c r="AS22" s="15">
        <f>IF(AND($C22&lt;=AS$15,$D22&gt;=AS$15),INDEX($E22:$I22,1,AS$14),0)*IS!AS$21</f>
        <v>0</v>
      </c>
      <c r="AT22" s="15">
        <f>IF(AND($C22&lt;=AT$15,$D22&gt;=AT$15),INDEX($E22:$I22,1,AT$14),0)*IS!AT$21</f>
        <v>0</v>
      </c>
      <c r="AU22" s="15">
        <f>IF(AND($C22&lt;=AU$15,$D22&gt;=AU$15),INDEX($E22:$I22,1,AU$14),0)*IS!AU$21</f>
        <v>0</v>
      </c>
      <c r="AV22" s="15">
        <f>IF(AND($C22&lt;=AV$15,$D22&gt;=AV$15),INDEX($E22:$I22,1,AV$14),0)*IS!AV$21</f>
        <v>0</v>
      </c>
      <c r="AW22" s="15">
        <f>IF(AND($C22&lt;=AW$15,$D22&gt;=AW$15),INDEX($E22:$I22,1,AW$14),0)*IS!AW$21</f>
        <v>0</v>
      </c>
      <c r="AX22" s="15">
        <f>IF(AND($C22&lt;=AX$15,$D22&gt;=AX$15),INDEX($E22:$I22,1,AX$14),0)*IS!AX$21</f>
        <v>0</v>
      </c>
      <c r="AY22" s="15">
        <f>IF(AND($C22&lt;=AY$15,$D22&gt;=AY$15),INDEX($E22:$I22,1,AY$14),0)*IS!AY$21</f>
        <v>0</v>
      </c>
      <c r="AZ22" s="15">
        <f>IF(AND($C22&lt;=AZ$15,$D22&gt;=AZ$15),INDEX($E22:$I22,1,AZ$14),0)*IS!AZ$21</f>
        <v>0</v>
      </c>
      <c r="BA22" s="15">
        <f>IF(AND($C22&lt;=BA$15,$D22&gt;=BA$15),INDEX($E22:$I22,1,BA$14),0)*IS!BA$21</f>
        <v>0</v>
      </c>
      <c r="BB22" s="15">
        <f>IF(AND($C22&lt;=BB$15,$D22&gt;=BB$15),INDEX($E22:$I22,1,BB$14),0)*IS!BB$21</f>
        <v>0</v>
      </c>
      <c r="BC22" s="15">
        <f>IF(AND($C22&lt;=BC$15,$D22&gt;=BC$15),INDEX($E22:$I22,1,BC$14),0)*IS!BC$21</f>
        <v>0</v>
      </c>
      <c r="BD22" s="15">
        <f>IF(AND($C22&lt;=BD$15,$D22&gt;=BD$15),INDEX($E22:$I22,1,BD$14),0)*IS!BD$21</f>
        <v>0</v>
      </c>
      <c r="BE22" s="15">
        <f>IF(AND($C22&lt;=BE$15,$D22&gt;=BE$15),INDEX($E22:$I22,1,BE$14),0)*IS!BE$21</f>
        <v>0</v>
      </c>
      <c r="BF22" s="15">
        <f>IF(AND($C22&lt;=BF$15,$D22&gt;=BF$15),INDEX($E22:$I22,1,BF$14),0)*IS!BF$21</f>
        <v>0</v>
      </c>
      <c r="BG22" s="15">
        <f>IF(AND($C22&lt;=BG$15,$D22&gt;=BG$15),INDEX($E22:$I22,1,BG$14),0)*IS!BG$21</f>
        <v>0</v>
      </c>
      <c r="BH22" s="15">
        <f>IF(AND($C22&lt;=BH$15,$D22&gt;=BH$15),INDEX($E22:$I22,1,BH$14),0)*IS!BH$21</f>
        <v>0</v>
      </c>
      <c r="BI22" s="15">
        <f>IF(AND($C22&lt;=BI$15,$D22&gt;=BI$15),INDEX($E22:$I22,1,BI$14),0)*IS!BI$21</f>
        <v>0</v>
      </c>
      <c r="BJ22" s="15">
        <f>IF(AND($C22&lt;=BJ$15,$D22&gt;=BJ$15),INDEX($E22:$I22,1,BJ$14),0)*IS!BJ$21</f>
        <v>0</v>
      </c>
      <c r="BK22" s="15">
        <f>IF(AND($C22&lt;=BK$15,$D22&gt;=BK$15),INDEX($E22:$I22,1,BK$14),0)*IS!BK$21</f>
        <v>0</v>
      </c>
      <c r="BL22" s="15">
        <f>IF(AND($C22&lt;=BL$15,$D22&gt;=BL$15),INDEX($E22:$I22,1,BL$14),0)*IS!BL$21</f>
        <v>0</v>
      </c>
      <c r="BM22" s="15">
        <f>IF(AND($C22&lt;=BM$15,$D22&gt;=BM$15),INDEX($E22:$I22,1,BM$14),0)*IS!BM$21</f>
        <v>0</v>
      </c>
      <c r="BN22" s="15">
        <f>IF(AND($C22&lt;=BN$15,$D22&gt;=BN$15),INDEX($E22:$I22,1,BN$14),0)*IS!BN$21</f>
        <v>0</v>
      </c>
      <c r="BO22" s="15">
        <f>IF(AND($C22&lt;=BO$15,$D22&gt;=BO$15),INDEX($E22:$I22,1,BO$14),0)*IS!BO$21</f>
        <v>0</v>
      </c>
      <c r="BP22" s="15">
        <f>IF(AND($C22&lt;=BP$15,$D22&gt;=BP$15),INDEX($E22:$I22,1,BP$14),0)*IS!BP$21</f>
        <v>0</v>
      </c>
      <c r="BQ22" s="15">
        <f>IF(AND($C22&lt;=BQ$15,$D22&gt;=BQ$15),INDEX($E22:$I22,1,BQ$14),0)*IS!BQ$21</f>
        <v>0</v>
      </c>
    </row>
    <row r="23" spans="1:69" s="27" customFormat="1" ht="10.199999999999999">
      <c r="A23" s="1"/>
      <c r="B23" s="44" t="s">
        <v>58</v>
      </c>
      <c r="C23" s="45">
        <f t="shared" si="4"/>
        <v>43131</v>
      </c>
      <c r="D23" s="45">
        <f t="shared" si="5"/>
        <v>44926</v>
      </c>
      <c r="E23" s="46">
        <v>0</v>
      </c>
      <c r="F23" s="47">
        <f t="shared" si="9"/>
        <v>0</v>
      </c>
      <c r="G23" s="47">
        <f t="shared" si="6"/>
        <v>0</v>
      </c>
      <c r="H23" s="47">
        <f t="shared" si="7"/>
        <v>0</v>
      </c>
      <c r="I23" s="48">
        <f t="shared" si="8"/>
        <v>0</v>
      </c>
      <c r="J23" s="14">
        <f>IF(AND($C23&lt;=J$15,$D23&gt;=J$15),INDEX($E23:$I23,1,J$14),0)*IS!J$21</f>
        <v>0</v>
      </c>
      <c r="K23" s="15">
        <f>IF(AND($C23&lt;=K$15,$D23&gt;=K$15),INDEX($E23:$I23,1,K$14),0)*IS!K$21</f>
        <v>0</v>
      </c>
      <c r="L23" s="15">
        <f>IF(AND($C23&lt;=L$15,$D23&gt;=L$15),INDEX($E23:$I23,1,L$14),0)*IS!L$21</f>
        <v>0</v>
      </c>
      <c r="M23" s="15">
        <f>IF(AND($C23&lt;=M$15,$D23&gt;=M$15),INDEX($E23:$I23,1,M$14),0)*IS!M$21</f>
        <v>0</v>
      </c>
      <c r="N23" s="15">
        <f>IF(AND($C23&lt;=N$15,$D23&gt;=N$15),INDEX($E23:$I23,1,N$14),0)*IS!N$21</f>
        <v>0</v>
      </c>
      <c r="O23" s="15">
        <f>IF(AND($C23&lt;=O$15,$D23&gt;=O$15),INDEX($E23:$I23,1,O$14),0)*IS!O$21</f>
        <v>0</v>
      </c>
      <c r="P23" s="15">
        <f>IF(AND($C23&lt;=P$15,$D23&gt;=P$15),INDEX($E23:$I23,1,P$14),0)*IS!P$21</f>
        <v>0</v>
      </c>
      <c r="Q23" s="15">
        <f>IF(AND($C23&lt;=Q$15,$D23&gt;=Q$15),INDEX($E23:$I23,1,Q$14),0)*IS!Q$21</f>
        <v>0</v>
      </c>
      <c r="R23" s="15">
        <f>IF(AND($C23&lt;=R$15,$D23&gt;=R$15),INDEX($E23:$I23,1,R$14),0)*IS!R$21</f>
        <v>0</v>
      </c>
      <c r="S23" s="15">
        <f>IF(AND($C23&lt;=S$15,$D23&gt;=S$15),INDEX($E23:$I23,1,S$14),0)*IS!S$21</f>
        <v>0</v>
      </c>
      <c r="T23" s="15">
        <f>IF(AND($C23&lt;=T$15,$D23&gt;=T$15),INDEX($E23:$I23,1,T$14),0)*IS!T$21</f>
        <v>0</v>
      </c>
      <c r="U23" s="15">
        <f>IF(AND($C23&lt;=U$15,$D23&gt;=U$15),INDEX($E23:$I23,1,U$14),0)*IS!U$21</f>
        <v>0</v>
      </c>
      <c r="V23" s="15">
        <f>IF(AND($C23&lt;=V$15,$D23&gt;=V$15),INDEX($E23:$I23,1,V$14),0)*IS!V$21</f>
        <v>0</v>
      </c>
      <c r="W23" s="15">
        <f>IF(AND($C23&lt;=W$15,$D23&gt;=W$15),INDEX($E23:$I23,1,W$14),0)*IS!W$21</f>
        <v>0</v>
      </c>
      <c r="X23" s="15">
        <f>IF(AND($C23&lt;=X$15,$D23&gt;=X$15),INDEX($E23:$I23,1,X$14),0)*IS!X$21</f>
        <v>0</v>
      </c>
      <c r="Y23" s="15">
        <f>IF(AND($C23&lt;=Y$15,$D23&gt;=Y$15),INDEX($E23:$I23,1,Y$14),0)*IS!Y$21</f>
        <v>0</v>
      </c>
      <c r="Z23" s="15">
        <f>IF(AND($C23&lt;=Z$15,$D23&gt;=Z$15),INDEX($E23:$I23,1,Z$14),0)*IS!Z$21</f>
        <v>0</v>
      </c>
      <c r="AA23" s="15">
        <f>IF(AND($C23&lt;=AA$15,$D23&gt;=AA$15),INDEX($E23:$I23,1,AA$14),0)*IS!AA$21</f>
        <v>0</v>
      </c>
      <c r="AB23" s="15">
        <f>IF(AND($C23&lt;=AB$15,$D23&gt;=AB$15),INDEX($E23:$I23,1,AB$14),0)*IS!AB$21</f>
        <v>0</v>
      </c>
      <c r="AC23" s="15">
        <f>IF(AND($C23&lt;=AC$15,$D23&gt;=AC$15),INDEX($E23:$I23,1,AC$14),0)*IS!AC$21</f>
        <v>0</v>
      </c>
      <c r="AD23" s="15">
        <f>IF(AND($C23&lt;=AD$15,$D23&gt;=AD$15),INDEX($E23:$I23,1,AD$14),0)*IS!AD$21</f>
        <v>0</v>
      </c>
      <c r="AE23" s="15">
        <f>IF(AND($C23&lt;=AE$15,$D23&gt;=AE$15),INDEX($E23:$I23,1,AE$14),0)*IS!AE$21</f>
        <v>0</v>
      </c>
      <c r="AF23" s="15">
        <f>IF(AND($C23&lt;=AF$15,$D23&gt;=AF$15),INDEX($E23:$I23,1,AF$14),0)*IS!AF$21</f>
        <v>0</v>
      </c>
      <c r="AG23" s="15">
        <f>IF(AND($C23&lt;=AG$15,$D23&gt;=AG$15),INDEX($E23:$I23,1,AG$14),0)*IS!AG$21</f>
        <v>0</v>
      </c>
      <c r="AH23" s="15">
        <f>IF(AND($C23&lt;=AH$15,$D23&gt;=AH$15),INDEX($E23:$I23,1,AH$14),0)*IS!AH$21</f>
        <v>0</v>
      </c>
      <c r="AI23" s="15">
        <f>IF(AND($C23&lt;=AI$15,$D23&gt;=AI$15),INDEX($E23:$I23,1,AI$14),0)*IS!AI$21</f>
        <v>0</v>
      </c>
      <c r="AJ23" s="15">
        <f>IF(AND($C23&lt;=AJ$15,$D23&gt;=AJ$15),INDEX($E23:$I23,1,AJ$14),0)*IS!AJ$21</f>
        <v>0</v>
      </c>
      <c r="AK23" s="15">
        <f>IF(AND($C23&lt;=AK$15,$D23&gt;=AK$15),INDEX($E23:$I23,1,AK$14),0)*IS!AK$21</f>
        <v>0</v>
      </c>
      <c r="AL23" s="15">
        <f>IF(AND($C23&lt;=AL$15,$D23&gt;=AL$15),INDEX($E23:$I23,1,AL$14),0)*IS!AL$21</f>
        <v>0</v>
      </c>
      <c r="AM23" s="15">
        <f>IF(AND($C23&lt;=AM$15,$D23&gt;=AM$15),INDEX($E23:$I23,1,AM$14),0)*IS!AM$21</f>
        <v>0</v>
      </c>
      <c r="AN23" s="15">
        <f>IF(AND($C23&lt;=AN$15,$D23&gt;=AN$15),INDEX($E23:$I23,1,AN$14),0)*IS!AN$21</f>
        <v>0</v>
      </c>
      <c r="AO23" s="15">
        <f>IF(AND($C23&lt;=AO$15,$D23&gt;=AO$15),INDEX($E23:$I23,1,AO$14),0)*IS!AO$21</f>
        <v>0</v>
      </c>
      <c r="AP23" s="15">
        <f>IF(AND($C23&lt;=AP$15,$D23&gt;=AP$15),INDEX($E23:$I23,1,AP$14),0)*IS!AP$21</f>
        <v>0</v>
      </c>
      <c r="AQ23" s="15">
        <f>IF(AND($C23&lt;=AQ$15,$D23&gt;=AQ$15),INDEX($E23:$I23,1,AQ$14),0)*IS!AQ$21</f>
        <v>0</v>
      </c>
      <c r="AR23" s="15">
        <f>IF(AND($C23&lt;=AR$15,$D23&gt;=AR$15),INDEX($E23:$I23,1,AR$14),0)*IS!AR$21</f>
        <v>0</v>
      </c>
      <c r="AS23" s="15">
        <f>IF(AND($C23&lt;=AS$15,$D23&gt;=AS$15),INDEX($E23:$I23,1,AS$14),0)*IS!AS$21</f>
        <v>0</v>
      </c>
      <c r="AT23" s="15">
        <f>IF(AND($C23&lt;=AT$15,$D23&gt;=AT$15),INDEX($E23:$I23,1,AT$14),0)*IS!AT$21</f>
        <v>0</v>
      </c>
      <c r="AU23" s="15">
        <f>IF(AND($C23&lt;=AU$15,$D23&gt;=AU$15),INDEX($E23:$I23,1,AU$14),0)*IS!AU$21</f>
        <v>0</v>
      </c>
      <c r="AV23" s="15">
        <f>IF(AND($C23&lt;=AV$15,$D23&gt;=AV$15),INDEX($E23:$I23,1,AV$14),0)*IS!AV$21</f>
        <v>0</v>
      </c>
      <c r="AW23" s="15">
        <f>IF(AND($C23&lt;=AW$15,$D23&gt;=AW$15),INDEX($E23:$I23,1,AW$14),0)*IS!AW$21</f>
        <v>0</v>
      </c>
      <c r="AX23" s="15">
        <f>IF(AND($C23&lt;=AX$15,$D23&gt;=AX$15),INDEX($E23:$I23,1,AX$14),0)*IS!AX$21</f>
        <v>0</v>
      </c>
      <c r="AY23" s="15">
        <f>IF(AND($C23&lt;=AY$15,$D23&gt;=AY$15),INDEX($E23:$I23,1,AY$14),0)*IS!AY$21</f>
        <v>0</v>
      </c>
      <c r="AZ23" s="15">
        <f>IF(AND($C23&lt;=AZ$15,$D23&gt;=AZ$15),INDEX($E23:$I23,1,AZ$14),0)*IS!AZ$21</f>
        <v>0</v>
      </c>
      <c r="BA23" s="15">
        <f>IF(AND($C23&lt;=BA$15,$D23&gt;=BA$15),INDEX($E23:$I23,1,BA$14),0)*IS!BA$21</f>
        <v>0</v>
      </c>
      <c r="BB23" s="15">
        <f>IF(AND($C23&lt;=BB$15,$D23&gt;=BB$15),INDEX($E23:$I23,1,BB$14),0)*IS!BB$21</f>
        <v>0</v>
      </c>
      <c r="BC23" s="15">
        <f>IF(AND($C23&lt;=BC$15,$D23&gt;=BC$15),INDEX($E23:$I23,1,BC$14),0)*IS!BC$21</f>
        <v>0</v>
      </c>
      <c r="BD23" s="15">
        <f>IF(AND($C23&lt;=BD$15,$D23&gt;=BD$15),INDEX($E23:$I23,1,BD$14),0)*IS!BD$21</f>
        <v>0</v>
      </c>
      <c r="BE23" s="15">
        <f>IF(AND($C23&lt;=BE$15,$D23&gt;=BE$15),INDEX($E23:$I23,1,BE$14),0)*IS!BE$21</f>
        <v>0</v>
      </c>
      <c r="BF23" s="15">
        <f>IF(AND($C23&lt;=BF$15,$D23&gt;=BF$15),INDEX($E23:$I23,1,BF$14),0)*IS!BF$21</f>
        <v>0</v>
      </c>
      <c r="BG23" s="15">
        <f>IF(AND($C23&lt;=BG$15,$D23&gt;=BG$15),INDEX($E23:$I23,1,BG$14),0)*IS!BG$21</f>
        <v>0</v>
      </c>
      <c r="BH23" s="15">
        <f>IF(AND($C23&lt;=BH$15,$D23&gt;=BH$15),INDEX($E23:$I23,1,BH$14),0)*IS!BH$21</f>
        <v>0</v>
      </c>
      <c r="BI23" s="15">
        <f>IF(AND($C23&lt;=BI$15,$D23&gt;=BI$15),INDEX($E23:$I23,1,BI$14),0)*IS!BI$21</f>
        <v>0</v>
      </c>
      <c r="BJ23" s="15">
        <f>IF(AND($C23&lt;=BJ$15,$D23&gt;=BJ$15),INDEX($E23:$I23,1,BJ$14),0)*IS!BJ$21</f>
        <v>0</v>
      </c>
      <c r="BK23" s="15">
        <f>IF(AND($C23&lt;=BK$15,$D23&gt;=BK$15),INDEX($E23:$I23,1,BK$14),0)*IS!BK$21</f>
        <v>0</v>
      </c>
      <c r="BL23" s="15">
        <f>IF(AND($C23&lt;=BL$15,$D23&gt;=BL$15),INDEX($E23:$I23,1,BL$14),0)*IS!BL$21</f>
        <v>0</v>
      </c>
      <c r="BM23" s="15">
        <f>IF(AND($C23&lt;=BM$15,$D23&gt;=BM$15),INDEX($E23:$I23,1,BM$14),0)*IS!BM$21</f>
        <v>0</v>
      </c>
      <c r="BN23" s="15">
        <f>IF(AND($C23&lt;=BN$15,$D23&gt;=BN$15),INDEX($E23:$I23,1,BN$14),0)*IS!BN$21</f>
        <v>0</v>
      </c>
      <c r="BO23" s="15">
        <f>IF(AND($C23&lt;=BO$15,$D23&gt;=BO$15),INDEX($E23:$I23,1,BO$14),0)*IS!BO$21</f>
        <v>0</v>
      </c>
      <c r="BP23" s="15">
        <f>IF(AND($C23&lt;=BP$15,$D23&gt;=BP$15),INDEX($E23:$I23,1,BP$14),0)*IS!BP$21</f>
        <v>0</v>
      </c>
      <c r="BQ23" s="15">
        <f>IF(AND($C23&lt;=BQ$15,$D23&gt;=BQ$15),INDEX($E23:$I23,1,BQ$14),0)*IS!BQ$21</f>
        <v>0</v>
      </c>
    </row>
    <row r="24" spans="1:69" s="27" customFormat="1" ht="10.199999999999999">
      <c r="A24" s="1"/>
      <c r="B24" s="49" t="s">
        <v>87</v>
      </c>
      <c r="C24" s="50">
        <f t="shared" si="4"/>
        <v>43131</v>
      </c>
      <c r="D24" s="50">
        <f t="shared" si="5"/>
        <v>44926</v>
      </c>
      <c r="E24" s="51">
        <v>0</v>
      </c>
      <c r="F24" s="52">
        <f t="shared" si="9"/>
        <v>0</v>
      </c>
      <c r="G24" s="52">
        <f t="shared" si="6"/>
        <v>0</v>
      </c>
      <c r="H24" s="52">
        <f t="shared" si="7"/>
        <v>0</v>
      </c>
      <c r="I24" s="53">
        <f t="shared" si="8"/>
        <v>0</v>
      </c>
      <c r="J24" s="16">
        <f>IF(AND($C24&lt;=J$15,$D24&gt;=J$15),INDEX($E24:$I24,1,J$14),0)*IS!J$21</f>
        <v>0</v>
      </c>
      <c r="K24" s="17">
        <f>IF(AND($C24&lt;=K$15,$D24&gt;=K$15),INDEX($E24:$I24,1,K$14),0)*IS!K$21</f>
        <v>0</v>
      </c>
      <c r="L24" s="17">
        <f>IF(AND($C24&lt;=L$15,$D24&gt;=L$15),INDEX($E24:$I24,1,L$14),0)*IS!L$21</f>
        <v>0</v>
      </c>
      <c r="M24" s="17">
        <f>IF(AND($C24&lt;=M$15,$D24&gt;=M$15),INDEX($E24:$I24,1,M$14),0)*IS!M$21</f>
        <v>0</v>
      </c>
      <c r="N24" s="17">
        <f>IF(AND($C24&lt;=N$15,$D24&gt;=N$15),INDEX($E24:$I24,1,N$14),0)*IS!N$21</f>
        <v>0</v>
      </c>
      <c r="O24" s="17">
        <f>IF(AND($C24&lt;=O$15,$D24&gt;=O$15),INDEX($E24:$I24,1,O$14),0)*IS!O$21</f>
        <v>0</v>
      </c>
      <c r="P24" s="17">
        <f>IF(AND($C24&lt;=P$15,$D24&gt;=P$15),INDEX($E24:$I24,1,P$14),0)*IS!P$21</f>
        <v>0</v>
      </c>
      <c r="Q24" s="17">
        <f>IF(AND($C24&lt;=Q$15,$D24&gt;=Q$15),INDEX($E24:$I24,1,Q$14),0)*IS!Q$21</f>
        <v>0</v>
      </c>
      <c r="R24" s="17">
        <f>IF(AND($C24&lt;=R$15,$D24&gt;=R$15),INDEX($E24:$I24,1,R$14),0)*IS!R$21</f>
        <v>0</v>
      </c>
      <c r="S24" s="17">
        <f>IF(AND($C24&lt;=S$15,$D24&gt;=S$15),INDEX($E24:$I24,1,S$14),0)*IS!S$21</f>
        <v>0</v>
      </c>
      <c r="T24" s="17">
        <f>IF(AND($C24&lt;=T$15,$D24&gt;=T$15),INDEX($E24:$I24,1,T$14),0)*IS!T$21</f>
        <v>0</v>
      </c>
      <c r="U24" s="17">
        <f>IF(AND($C24&lt;=U$15,$D24&gt;=U$15),INDEX($E24:$I24,1,U$14),0)*IS!U$21</f>
        <v>0</v>
      </c>
      <c r="V24" s="17">
        <f>IF(AND($C24&lt;=V$15,$D24&gt;=V$15),INDEX($E24:$I24,1,V$14),0)*IS!V$21</f>
        <v>0</v>
      </c>
      <c r="W24" s="17">
        <f>IF(AND($C24&lt;=W$15,$D24&gt;=W$15),INDEX($E24:$I24,1,W$14),0)*IS!W$21</f>
        <v>0</v>
      </c>
      <c r="X24" s="17">
        <f>IF(AND($C24&lt;=X$15,$D24&gt;=X$15),INDEX($E24:$I24,1,X$14),0)*IS!X$21</f>
        <v>0</v>
      </c>
      <c r="Y24" s="17">
        <f>IF(AND($C24&lt;=Y$15,$D24&gt;=Y$15),INDEX($E24:$I24,1,Y$14),0)*IS!Y$21</f>
        <v>0</v>
      </c>
      <c r="Z24" s="17">
        <f>IF(AND($C24&lt;=Z$15,$D24&gt;=Z$15),INDEX($E24:$I24,1,Z$14),0)*IS!Z$21</f>
        <v>0</v>
      </c>
      <c r="AA24" s="17">
        <f>IF(AND($C24&lt;=AA$15,$D24&gt;=AA$15),INDEX($E24:$I24,1,AA$14),0)*IS!AA$21</f>
        <v>0</v>
      </c>
      <c r="AB24" s="17">
        <f>IF(AND($C24&lt;=AB$15,$D24&gt;=AB$15),INDEX($E24:$I24,1,AB$14),0)*IS!AB$21</f>
        <v>0</v>
      </c>
      <c r="AC24" s="17">
        <f>IF(AND($C24&lt;=AC$15,$D24&gt;=AC$15),INDEX($E24:$I24,1,AC$14),0)*IS!AC$21</f>
        <v>0</v>
      </c>
      <c r="AD24" s="17">
        <f>IF(AND($C24&lt;=AD$15,$D24&gt;=AD$15),INDEX($E24:$I24,1,AD$14),0)*IS!AD$21</f>
        <v>0</v>
      </c>
      <c r="AE24" s="17">
        <f>IF(AND($C24&lt;=AE$15,$D24&gt;=AE$15),INDEX($E24:$I24,1,AE$14),0)*IS!AE$21</f>
        <v>0</v>
      </c>
      <c r="AF24" s="17">
        <f>IF(AND($C24&lt;=AF$15,$D24&gt;=AF$15),INDEX($E24:$I24,1,AF$14),0)*IS!AF$21</f>
        <v>0</v>
      </c>
      <c r="AG24" s="17">
        <f>IF(AND($C24&lt;=AG$15,$D24&gt;=AG$15),INDEX($E24:$I24,1,AG$14),0)*IS!AG$21</f>
        <v>0</v>
      </c>
      <c r="AH24" s="17">
        <f>IF(AND($C24&lt;=AH$15,$D24&gt;=AH$15),INDEX($E24:$I24,1,AH$14),0)*IS!AH$21</f>
        <v>0</v>
      </c>
      <c r="AI24" s="17">
        <f>IF(AND($C24&lt;=AI$15,$D24&gt;=AI$15),INDEX($E24:$I24,1,AI$14),0)*IS!AI$21</f>
        <v>0</v>
      </c>
      <c r="AJ24" s="17">
        <f>IF(AND($C24&lt;=AJ$15,$D24&gt;=AJ$15),INDEX($E24:$I24,1,AJ$14),0)*IS!AJ$21</f>
        <v>0</v>
      </c>
      <c r="AK24" s="17">
        <f>IF(AND($C24&lt;=AK$15,$D24&gt;=AK$15),INDEX($E24:$I24,1,AK$14),0)*IS!AK$21</f>
        <v>0</v>
      </c>
      <c r="AL24" s="17">
        <f>IF(AND($C24&lt;=AL$15,$D24&gt;=AL$15),INDEX($E24:$I24,1,AL$14),0)*IS!AL$21</f>
        <v>0</v>
      </c>
      <c r="AM24" s="17">
        <f>IF(AND($C24&lt;=AM$15,$D24&gt;=AM$15),INDEX($E24:$I24,1,AM$14),0)*IS!AM$21</f>
        <v>0</v>
      </c>
      <c r="AN24" s="17">
        <f>IF(AND($C24&lt;=AN$15,$D24&gt;=AN$15),INDEX($E24:$I24,1,AN$14),0)*IS!AN$21</f>
        <v>0</v>
      </c>
      <c r="AO24" s="17">
        <f>IF(AND($C24&lt;=AO$15,$D24&gt;=AO$15),INDEX($E24:$I24,1,AO$14),0)*IS!AO$21</f>
        <v>0</v>
      </c>
      <c r="AP24" s="17">
        <f>IF(AND($C24&lt;=AP$15,$D24&gt;=AP$15),INDEX($E24:$I24,1,AP$14),0)*IS!AP$21</f>
        <v>0</v>
      </c>
      <c r="AQ24" s="17">
        <f>IF(AND($C24&lt;=AQ$15,$D24&gt;=AQ$15),INDEX($E24:$I24,1,AQ$14),0)*IS!AQ$21</f>
        <v>0</v>
      </c>
      <c r="AR24" s="17">
        <f>IF(AND($C24&lt;=AR$15,$D24&gt;=AR$15),INDEX($E24:$I24,1,AR$14),0)*IS!AR$21</f>
        <v>0</v>
      </c>
      <c r="AS24" s="17">
        <f>IF(AND($C24&lt;=AS$15,$D24&gt;=AS$15),INDEX($E24:$I24,1,AS$14),0)*IS!AS$21</f>
        <v>0</v>
      </c>
      <c r="AT24" s="17">
        <f>IF(AND($C24&lt;=AT$15,$D24&gt;=AT$15),INDEX($E24:$I24,1,AT$14),0)*IS!AT$21</f>
        <v>0</v>
      </c>
      <c r="AU24" s="17">
        <f>IF(AND($C24&lt;=AU$15,$D24&gt;=AU$15),INDEX($E24:$I24,1,AU$14),0)*IS!AU$21</f>
        <v>0</v>
      </c>
      <c r="AV24" s="17">
        <f>IF(AND($C24&lt;=AV$15,$D24&gt;=AV$15),INDEX($E24:$I24,1,AV$14),0)*IS!AV$21</f>
        <v>0</v>
      </c>
      <c r="AW24" s="17">
        <f>IF(AND($C24&lt;=AW$15,$D24&gt;=AW$15),INDEX($E24:$I24,1,AW$14),0)*IS!AW$21</f>
        <v>0</v>
      </c>
      <c r="AX24" s="17">
        <f>IF(AND($C24&lt;=AX$15,$D24&gt;=AX$15),INDEX($E24:$I24,1,AX$14),0)*IS!AX$21</f>
        <v>0</v>
      </c>
      <c r="AY24" s="17">
        <f>IF(AND($C24&lt;=AY$15,$D24&gt;=AY$15),INDEX($E24:$I24,1,AY$14),0)*IS!AY$21</f>
        <v>0</v>
      </c>
      <c r="AZ24" s="17">
        <f>IF(AND($C24&lt;=AZ$15,$D24&gt;=AZ$15),INDEX($E24:$I24,1,AZ$14),0)*IS!AZ$21</f>
        <v>0</v>
      </c>
      <c r="BA24" s="17">
        <f>IF(AND($C24&lt;=BA$15,$D24&gt;=BA$15),INDEX($E24:$I24,1,BA$14),0)*IS!BA$21</f>
        <v>0</v>
      </c>
      <c r="BB24" s="17">
        <f>IF(AND($C24&lt;=BB$15,$D24&gt;=BB$15),INDEX($E24:$I24,1,BB$14),0)*IS!BB$21</f>
        <v>0</v>
      </c>
      <c r="BC24" s="17">
        <f>IF(AND($C24&lt;=BC$15,$D24&gt;=BC$15),INDEX($E24:$I24,1,BC$14),0)*IS!BC$21</f>
        <v>0</v>
      </c>
      <c r="BD24" s="17">
        <f>IF(AND($C24&lt;=BD$15,$D24&gt;=BD$15),INDEX($E24:$I24,1,BD$14),0)*IS!BD$21</f>
        <v>0</v>
      </c>
      <c r="BE24" s="17">
        <f>IF(AND($C24&lt;=BE$15,$D24&gt;=BE$15),INDEX($E24:$I24,1,BE$14),0)*IS!BE$21</f>
        <v>0</v>
      </c>
      <c r="BF24" s="17">
        <f>IF(AND($C24&lt;=BF$15,$D24&gt;=BF$15),INDEX($E24:$I24,1,BF$14),0)*IS!BF$21</f>
        <v>0</v>
      </c>
      <c r="BG24" s="17">
        <f>IF(AND($C24&lt;=BG$15,$D24&gt;=BG$15),INDEX($E24:$I24,1,BG$14),0)*IS!BG$21</f>
        <v>0</v>
      </c>
      <c r="BH24" s="17">
        <f>IF(AND($C24&lt;=BH$15,$D24&gt;=BH$15),INDEX($E24:$I24,1,BH$14),0)*IS!BH$21</f>
        <v>0</v>
      </c>
      <c r="BI24" s="17">
        <f>IF(AND($C24&lt;=BI$15,$D24&gt;=BI$15),INDEX($E24:$I24,1,BI$14),0)*IS!BI$21</f>
        <v>0</v>
      </c>
      <c r="BJ24" s="17">
        <f>IF(AND($C24&lt;=BJ$15,$D24&gt;=BJ$15),INDEX($E24:$I24,1,BJ$14),0)*IS!BJ$21</f>
        <v>0</v>
      </c>
      <c r="BK24" s="17">
        <f>IF(AND($C24&lt;=BK$15,$D24&gt;=BK$15),INDEX($E24:$I24,1,BK$14),0)*IS!BK$21</f>
        <v>0</v>
      </c>
      <c r="BL24" s="17">
        <f>IF(AND($C24&lt;=BL$15,$D24&gt;=BL$15),INDEX($E24:$I24,1,BL$14),0)*IS!BL$21</f>
        <v>0</v>
      </c>
      <c r="BM24" s="17">
        <f>IF(AND($C24&lt;=BM$15,$D24&gt;=BM$15),INDEX($E24:$I24,1,BM$14),0)*IS!BM$21</f>
        <v>0</v>
      </c>
      <c r="BN24" s="17">
        <f>IF(AND($C24&lt;=BN$15,$D24&gt;=BN$15),INDEX($E24:$I24,1,BN$14),0)*IS!BN$21</f>
        <v>0</v>
      </c>
      <c r="BO24" s="17">
        <f>IF(AND($C24&lt;=BO$15,$D24&gt;=BO$15),INDEX($E24:$I24,1,BO$14),0)*IS!BO$21</f>
        <v>0</v>
      </c>
      <c r="BP24" s="17">
        <f>IF(AND($C24&lt;=BP$15,$D24&gt;=BP$15),INDEX($E24:$I24,1,BP$14),0)*IS!BP$21</f>
        <v>0</v>
      </c>
      <c r="BQ24" s="17">
        <f>IF(AND($C24&lt;=BQ$15,$D24&gt;=BQ$15),INDEX($E24:$I24,1,BQ$14),0)*IS!BQ$21</f>
        <v>0</v>
      </c>
    </row>
    <row r="25" spans="1:69" s="32" customFormat="1" ht="10.8" thickBot="1">
      <c r="A25" s="1"/>
      <c r="B25" s="31" t="s">
        <v>145</v>
      </c>
      <c r="E25" s="33">
        <f>SUM(E20:E24)</f>
        <v>0.05</v>
      </c>
      <c r="F25" s="33">
        <f t="shared" ref="F25:I25" si="10">SUM(F20:F24)</f>
        <v>0.05</v>
      </c>
      <c r="G25" s="33">
        <f t="shared" si="10"/>
        <v>0.05</v>
      </c>
      <c r="H25" s="33">
        <f t="shared" si="10"/>
        <v>0.05</v>
      </c>
      <c r="I25" s="33">
        <f t="shared" si="10"/>
        <v>0.05</v>
      </c>
      <c r="J25" s="34">
        <f t="shared" ref="J25" si="11">SUM(J20:J24)</f>
        <v>125</v>
      </c>
      <c r="K25" s="34">
        <f t="shared" ref="K25:BQ25" si="12">SUM(K20:K24)</f>
        <v>352.27272727272725</v>
      </c>
      <c r="L25" s="34">
        <f t="shared" si="12"/>
        <v>502.27272727272725</v>
      </c>
      <c r="M25" s="34">
        <f t="shared" si="12"/>
        <v>502.27272727272725</v>
      </c>
      <c r="N25" s="34">
        <f t="shared" si="12"/>
        <v>502.27272727272725</v>
      </c>
      <c r="O25" s="34">
        <f t="shared" si="12"/>
        <v>502.27272727272725</v>
      </c>
      <c r="P25" s="34">
        <f t="shared" si="12"/>
        <v>502.27272727272725</v>
      </c>
      <c r="Q25" s="34">
        <f t="shared" si="12"/>
        <v>502.27272727272725</v>
      </c>
      <c r="R25" s="34">
        <f t="shared" si="12"/>
        <v>502.27272727272725</v>
      </c>
      <c r="S25" s="34">
        <f t="shared" si="12"/>
        <v>502.27272727272725</v>
      </c>
      <c r="T25" s="34">
        <f t="shared" si="12"/>
        <v>502.27272727272725</v>
      </c>
      <c r="U25" s="34">
        <f t="shared" si="12"/>
        <v>502.27272727272725</v>
      </c>
      <c r="V25" s="34">
        <f t="shared" si="12"/>
        <v>605</v>
      </c>
      <c r="W25" s="34">
        <f t="shared" si="12"/>
        <v>605</v>
      </c>
      <c r="X25" s="34">
        <f t="shared" si="12"/>
        <v>605</v>
      </c>
      <c r="Y25" s="34">
        <f t="shared" si="12"/>
        <v>605</v>
      </c>
      <c r="Z25" s="34">
        <f t="shared" si="12"/>
        <v>605</v>
      </c>
      <c r="AA25" s="34">
        <f t="shared" si="12"/>
        <v>605</v>
      </c>
      <c r="AB25" s="34">
        <f t="shared" si="12"/>
        <v>605</v>
      </c>
      <c r="AC25" s="34">
        <f t="shared" si="12"/>
        <v>605</v>
      </c>
      <c r="AD25" s="34">
        <f t="shared" si="12"/>
        <v>605</v>
      </c>
      <c r="AE25" s="34">
        <f t="shared" si="12"/>
        <v>605</v>
      </c>
      <c r="AF25" s="34">
        <f t="shared" si="12"/>
        <v>605</v>
      </c>
      <c r="AG25" s="34">
        <f t="shared" si="12"/>
        <v>605</v>
      </c>
      <c r="AH25" s="34">
        <f t="shared" si="12"/>
        <v>798.60000000000025</v>
      </c>
      <c r="AI25" s="34">
        <f t="shared" si="12"/>
        <v>798.60000000000025</v>
      </c>
      <c r="AJ25" s="34">
        <f t="shared" si="12"/>
        <v>798.60000000000025</v>
      </c>
      <c r="AK25" s="34">
        <f t="shared" si="12"/>
        <v>798.60000000000025</v>
      </c>
      <c r="AL25" s="34">
        <f t="shared" si="12"/>
        <v>798.60000000000025</v>
      </c>
      <c r="AM25" s="34">
        <f t="shared" si="12"/>
        <v>798.60000000000025</v>
      </c>
      <c r="AN25" s="34">
        <f t="shared" si="12"/>
        <v>798.60000000000025</v>
      </c>
      <c r="AO25" s="34">
        <f t="shared" si="12"/>
        <v>798.60000000000025</v>
      </c>
      <c r="AP25" s="34">
        <f t="shared" si="12"/>
        <v>798.60000000000025</v>
      </c>
      <c r="AQ25" s="34">
        <f t="shared" si="12"/>
        <v>798.60000000000025</v>
      </c>
      <c r="AR25" s="34">
        <f t="shared" si="12"/>
        <v>798.60000000000025</v>
      </c>
      <c r="AS25" s="34">
        <f t="shared" si="12"/>
        <v>798.60000000000025</v>
      </c>
      <c r="AT25" s="34">
        <f t="shared" si="12"/>
        <v>1054.1520000000005</v>
      </c>
      <c r="AU25" s="34">
        <f t="shared" si="12"/>
        <v>1054.1520000000005</v>
      </c>
      <c r="AV25" s="34">
        <f t="shared" si="12"/>
        <v>1054.1520000000005</v>
      </c>
      <c r="AW25" s="34">
        <f t="shared" si="12"/>
        <v>1054.1520000000005</v>
      </c>
      <c r="AX25" s="34">
        <f t="shared" si="12"/>
        <v>1054.1520000000005</v>
      </c>
      <c r="AY25" s="34">
        <f t="shared" si="12"/>
        <v>1054.1520000000005</v>
      </c>
      <c r="AZ25" s="34">
        <f t="shared" si="12"/>
        <v>1054.1520000000005</v>
      </c>
      <c r="BA25" s="34">
        <f t="shared" si="12"/>
        <v>1054.1520000000005</v>
      </c>
      <c r="BB25" s="34">
        <f t="shared" si="12"/>
        <v>1054.1520000000005</v>
      </c>
      <c r="BC25" s="34">
        <f t="shared" si="12"/>
        <v>1054.1520000000005</v>
      </c>
      <c r="BD25" s="34">
        <f t="shared" si="12"/>
        <v>1054.1520000000005</v>
      </c>
      <c r="BE25" s="34">
        <f t="shared" si="12"/>
        <v>1054.1520000000005</v>
      </c>
      <c r="BF25" s="34">
        <f t="shared" si="12"/>
        <v>1391.4806400000007</v>
      </c>
      <c r="BG25" s="34">
        <f t="shared" si="12"/>
        <v>1391.4806400000007</v>
      </c>
      <c r="BH25" s="34">
        <f t="shared" si="12"/>
        <v>1391.4806400000007</v>
      </c>
      <c r="BI25" s="34">
        <f t="shared" si="12"/>
        <v>1391.4806400000007</v>
      </c>
      <c r="BJ25" s="34">
        <f t="shared" si="12"/>
        <v>1391.4806400000007</v>
      </c>
      <c r="BK25" s="34">
        <f t="shared" si="12"/>
        <v>1391.4806400000007</v>
      </c>
      <c r="BL25" s="34">
        <f t="shared" si="12"/>
        <v>1391.4806400000007</v>
      </c>
      <c r="BM25" s="34">
        <f t="shared" si="12"/>
        <v>1391.4806400000007</v>
      </c>
      <c r="BN25" s="34">
        <f t="shared" si="12"/>
        <v>1391.4806400000007</v>
      </c>
      <c r="BO25" s="34">
        <f t="shared" si="12"/>
        <v>1391.4806400000007</v>
      </c>
      <c r="BP25" s="34">
        <f t="shared" si="12"/>
        <v>1391.4806400000007</v>
      </c>
      <c r="BQ25" s="34">
        <f t="shared" si="12"/>
        <v>1391.4806400000007</v>
      </c>
    </row>
    <row r="26" spans="1:69" ht="10.199999999999999">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row>
    <row r="27" spans="1:69" ht="10.8" thickBot="1">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row>
    <row r="28" spans="1:69" s="24" customFormat="1" ht="13.8">
      <c r="A28" s="1"/>
      <c r="B28" s="23" t="str">
        <f>"Fixed Expenses, "&amp;Currency</f>
        <v>Fixed Expenses, $</v>
      </c>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row>
    <row r="29" spans="1:69" s="27" customFormat="1" ht="10.199999999999999">
      <c r="A29" s="1"/>
      <c r="B29" s="2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row>
    <row r="30" spans="1:69" s="27" customFormat="1" ht="10.199999999999999">
      <c r="A30" s="1"/>
      <c r="B30" s="29" t="s">
        <v>26</v>
      </c>
      <c r="C30" s="30" t="s">
        <v>118</v>
      </c>
      <c r="D30" s="30" t="s">
        <v>119</v>
      </c>
      <c r="E30" s="13" t="str">
        <f>"Monthly Fixed Expenses, "&amp;Currency</f>
        <v>Monthly Fixed Expenses, $</v>
      </c>
      <c r="F30" s="13"/>
      <c r="G30" s="13"/>
      <c r="H30" s="13"/>
      <c r="I30" s="13"/>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row>
    <row r="31" spans="1:69" s="27" customFormat="1" ht="10.199999999999999">
      <c r="A31" s="1"/>
      <c r="B31" s="39" t="s">
        <v>88</v>
      </c>
      <c r="C31" s="54">
        <v>43131</v>
      </c>
      <c r="D31" s="40">
        <f>$BQ$15</f>
        <v>44926</v>
      </c>
      <c r="E31" s="55">
        <v>1000</v>
      </c>
      <c r="F31" s="56">
        <f>E31*1.05</f>
        <v>1050</v>
      </c>
      <c r="G31" s="56">
        <f t="shared" ref="G31:I31" si="13">F31*1.05</f>
        <v>1102.5</v>
      </c>
      <c r="H31" s="56">
        <f t="shared" si="13"/>
        <v>1157.625</v>
      </c>
      <c r="I31" s="57">
        <f t="shared" si="13"/>
        <v>1215.5062500000001</v>
      </c>
      <c r="J31" s="14">
        <f t="shared" ref="J31:S40" si="14">IF(AND($C31&lt;=J$15,$D31&gt;=J$15),INDEX($E31:$I31,1,J$14),0)</f>
        <v>1000</v>
      </c>
      <c r="K31" s="15">
        <f t="shared" si="14"/>
        <v>1000</v>
      </c>
      <c r="L31" s="15">
        <f t="shared" si="14"/>
        <v>1000</v>
      </c>
      <c r="M31" s="15">
        <f t="shared" si="14"/>
        <v>1000</v>
      </c>
      <c r="N31" s="15">
        <f t="shared" si="14"/>
        <v>1000</v>
      </c>
      <c r="O31" s="15">
        <f t="shared" si="14"/>
        <v>1000</v>
      </c>
      <c r="P31" s="15">
        <f t="shared" si="14"/>
        <v>1000</v>
      </c>
      <c r="Q31" s="15">
        <f t="shared" si="14"/>
        <v>1000</v>
      </c>
      <c r="R31" s="15">
        <f t="shared" si="14"/>
        <v>1000</v>
      </c>
      <c r="S31" s="15">
        <f t="shared" si="14"/>
        <v>1000</v>
      </c>
      <c r="T31" s="15">
        <f t="shared" ref="T31:AC40" si="15">IF(AND($C31&lt;=T$15,$D31&gt;=T$15),INDEX($E31:$I31,1,T$14),0)</f>
        <v>1000</v>
      </c>
      <c r="U31" s="15">
        <f t="shared" si="15"/>
        <v>1000</v>
      </c>
      <c r="V31" s="15">
        <f t="shared" si="15"/>
        <v>1050</v>
      </c>
      <c r="W31" s="15">
        <f t="shared" si="15"/>
        <v>1050</v>
      </c>
      <c r="X31" s="15">
        <f t="shared" si="15"/>
        <v>1050</v>
      </c>
      <c r="Y31" s="15">
        <f t="shared" si="15"/>
        <v>1050</v>
      </c>
      <c r="Z31" s="15">
        <f t="shared" si="15"/>
        <v>1050</v>
      </c>
      <c r="AA31" s="15">
        <f t="shared" si="15"/>
        <v>1050</v>
      </c>
      <c r="AB31" s="15">
        <f t="shared" si="15"/>
        <v>1050</v>
      </c>
      <c r="AC31" s="15">
        <f t="shared" si="15"/>
        <v>1050</v>
      </c>
      <c r="AD31" s="15">
        <f t="shared" ref="AD31:AM40" si="16">IF(AND($C31&lt;=AD$15,$D31&gt;=AD$15),INDEX($E31:$I31,1,AD$14),0)</f>
        <v>1050</v>
      </c>
      <c r="AE31" s="15">
        <f t="shared" si="16"/>
        <v>1050</v>
      </c>
      <c r="AF31" s="15">
        <f t="shared" si="16"/>
        <v>1050</v>
      </c>
      <c r="AG31" s="15">
        <f t="shared" si="16"/>
        <v>1050</v>
      </c>
      <c r="AH31" s="15">
        <f t="shared" si="16"/>
        <v>1102.5</v>
      </c>
      <c r="AI31" s="15">
        <f t="shared" si="16"/>
        <v>1102.5</v>
      </c>
      <c r="AJ31" s="15">
        <f t="shared" si="16"/>
        <v>1102.5</v>
      </c>
      <c r="AK31" s="15">
        <f t="shared" si="16"/>
        <v>1102.5</v>
      </c>
      <c r="AL31" s="15">
        <f t="shared" si="16"/>
        <v>1102.5</v>
      </c>
      <c r="AM31" s="15">
        <f t="shared" si="16"/>
        <v>1102.5</v>
      </c>
      <c r="AN31" s="15">
        <f t="shared" ref="AN31:AW40" si="17">IF(AND($C31&lt;=AN$15,$D31&gt;=AN$15),INDEX($E31:$I31,1,AN$14),0)</f>
        <v>1102.5</v>
      </c>
      <c r="AO31" s="15">
        <f t="shared" si="17"/>
        <v>1102.5</v>
      </c>
      <c r="AP31" s="15">
        <f t="shared" si="17"/>
        <v>1102.5</v>
      </c>
      <c r="AQ31" s="15">
        <f t="shared" si="17"/>
        <v>1102.5</v>
      </c>
      <c r="AR31" s="15">
        <f t="shared" si="17"/>
        <v>1102.5</v>
      </c>
      <c r="AS31" s="15">
        <f t="shared" si="17"/>
        <v>1102.5</v>
      </c>
      <c r="AT31" s="15">
        <f t="shared" si="17"/>
        <v>1157.625</v>
      </c>
      <c r="AU31" s="15">
        <f t="shared" si="17"/>
        <v>1157.625</v>
      </c>
      <c r="AV31" s="15">
        <f t="shared" si="17"/>
        <v>1157.625</v>
      </c>
      <c r="AW31" s="15">
        <f t="shared" si="17"/>
        <v>1157.625</v>
      </c>
      <c r="AX31" s="15">
        <f t="shared" ref="AX31:BG40" si="18">IF(AND($C31&lt;=AX$15,$D31&gt;=AX$15),INDEX($E31:$I31,1,AX$14),0)</f>
        <v>1157.625</v>
      </c>
      <c r="AY31" s="15">
        <f t="shared" si="18"/>
        <v>1157.625</v>
      </c>
      <c r="AZ31" s="15">
        <f t="shared" si="18"/>
        <v>1157.625</v>
      </c>
      <c r="BA31" s="15">
        <f t="shared" si="18"/>
        <v>1157.625</v>
      </c>
      <c r="BB31" s="15">
        <f t="shared" si="18"/>
        <v>1157.625</v>
      </c>
      <c r="BC31" s="15">
        <f t="shared" si="18"/>
        <v>1157.625</v>
      </c>
      <c r="BD31" s="15">
        <f t="shared" si="18"/>
        <v>1157.625</v>
      </c>
      <c r="BE31" s="15">
        <f t="shared" si="18"/>
        <v>1157.625</v>
      </c>
      <c r="BF31" s="15">
        <f t="shared" si="18"/>
        <v>1215.5062500000001</v>
      </c>
      <c r="BG31" s="15">
        <f t="shared" si="18"/>
        <v>1215.5062500000001</v>
      </c>
      <c r="BH31" s="15">
        <f t="shared" ref="BH31:BQ40" si="19">IF(AND($C31&lt;=BH$15,$D31&gt;=BH$15),INDEX($E31:$I31,1,BH$14),0)</f>
        <v>1215.5062500000001</v>
      </c>
      <c r="BI31" s="15">
        <f t="shared" si="19"/>
        <v>1215.5062500000001</v>
      </c>
      <c r="BJ31" s="15">
        <f t="shared" si="19"/>
        <v>1215.5062500000001</v>
      </c>
      <c r="BK31" s="15">
        <f t="shared" si="19"/>
        <v>1215.5062500000001</v>
      </c>
      <c r="BL31" s="15">
        <f t="shared" si="19"/>
        <v>1215.5062500000001</v>
      </c>
      <c r="BM31" s="15">
        <f t="shared" si="19"/>
        <v>1215.5062500000001</v>
      </c>
      <c r="BN31" s="15">
        <f t="shared" si="19"/>
        <v>1215.5062500000001</v>
      </c>
      <c r="BO31" s="15">
        <f t="shared" si="19"/>
        <v>1215.5062500000001</v>
      </c>
      <c r="BP31" s="15">
        <f t="shared" si="19"/>
        <v>1215.5062500000001</v>
      </c>
      <c r="BQ31" s="15">
        <f t="shared" si="19"/>
        <v>1215.5062500000001</v>
      </c>
    </row>
    <row r="32" spans="1:69" s="27" customFormat="1" ht="10.199999999999999">
      <c r="A32" s="1"/>
      <c r="B32" s="44" t="s">
        <v>89</v>
      </c>
      <c r="C32" s="45">
        <f t="shared" ref="C32:C40" si="20">$J$15</f>
        <v>43131</v>
      </c>
      <c r="D32" s="45">
        <f t="shared" ref="D32:D40" si="21">$BQ$15</f>
        <v>44926</v>
      </c>
      <c r="E32" s="58">
        <v>0</v>
      </c>
      <c r="F32" s="59">
        <f t="shared" ref="F32:F40" si="22">E32</f>
        <v>0</v>
      </c>
      <c r="G32" s="59">
        <f t="shared" ref="G32:G40" si="23">F32</f>
        <v>0</v>
      </c>
      <c r="H32" s="59">
        <f t="shared" ref="H32:H40" si="24">G32</f>
        <v>0</v>
      </c>
      <c r="I32" s="60">
        <f t="shared" ref="I32:I40" si="25">H32</f>
        <v>0</v>
      </c>
      <c r="J32" s="14">
        <f t="shared" si="14"/>
        <v>0</v>
      </c>
      <c r="K32" s="15">
        <f t="shared" si="14"/>
        <v>0</v>
      </c>
      <c r="L32" s="15">
        <f t="shared" si="14"/>
        <v>0</v>
      </c>
      <c r="M32" s="15">
        <f t="shared" si="14"/>
        <v>0</v>
      </c>
      <c r="N32" s="15">
        <f t="shared" si="14"/>
        <v>0</v>
      </c>
      <c r="O32" s="15">
        <f t="shared" si="14"/>
        <v>0</v>
      </c>
      <c r="P32" s="15">
        <f t="shared" si="14"/>
        <v>0</v>
      </c>
      <c r="Q32" s="15">
        <f t="shared" si="14"/>
        <v>0</v>
      </c>
      <c r="R32" s="15">
        <f t="shared" si="14"/>
        <v>0</v>
      </c>
      <c r="S32" s="15">
        <f t="shared" si="14"/>
        <v>0</v>
      </c>
      <c r="T32" s="15">
        <f t="shared" si="15"/>
        <v>0</v>
      </c>
      <c r="U32" s="15">
        <f t="shared" si="15"/>
        <v>0</v>
      </c>
      <c r="V32" s="15">
        <f t="shared" si="15"/>
        <v>0</v>
      </c>
      <c r="W32" s="15">
        <f t="shared" si="15"/>
        <v>0</v>
      </c>
      <c r="X32" s="15">
        <f t="shared" si="15"/>
        <v>0</v>
      </c>
      <c r="Y32" s="15">
        <f t="shared" si="15"/>
        <v>0</v>
      </c>
      <c r="Z32" s="15">
        <f t="shared" si="15"/>
        <v>0</v>
      </c>
      <c r="AA32" s="15">
        <f t="shared" si="15"/>
        <v>0</v>
      </c>
      <c r="AB32" s="15">
        <f t="shared" si="15"/>
        <v>0</v>
      </c>
      <c r="AC32" s="15">
        <f t="shared" si="15"/>
        <v>0</v>
      </c>
      <c r="AD32" s="15">
        <f t="shared" si="16"/>
        <v>0</v>
      </c>
      <c r="AE32" s="15">
        <f t="shared" si="16"/>
        <v>0</v>
      </c>
      <c r="AF32" s="15">
        <f t="shared" si="16"/>
        <v>0</v>
      </c>
      <c r="AG32" s="15">
        <f t="shared" si="16"/>
        <v>0</v>
      </c>
      <c r="AH32" s="15">
        <f t="shared" si="16"/>
        <v>0</v>
      </c>
      <c r="AI32" s="15">
        <f t="shared" si="16"/>
        <v>0</v>
      </c>
      <c r="AJ32" s="15">
        <f t="shared" si="16"/>
        <v>0</v>
      </c>
      <c r="AK32" s="15">
        <f t="shared" si="16"/>
        <v>0</v>
      </c>
      <c r="AL32" s="15">
        <f t="shared" si="16"/>
        <v>0</v>
      </c>
      <c r="AM32" s="15">
        <f t="shared" si="16"/>
        <v>0</v>
      </c>
      <c r="AN32" s="15">
        <f t="shared" si="17"/>
        <v>0</v>
      </c>
      <c r="AO32" s="15">
        <f t="shared" si="17"/>
        <v>0</v>
      </c>
      <c r="AP32" s="15">
        <f t="shared" si="17"/>
        <v>0</v>
      </c>
      <c r="AQ32" s="15">
        <f t="shared" si="17"/>
        <v>0</v>
      </c>
      <c r="AR32" s="15">
        <f t="shared" si="17"/>
        <v>0</v>
      </c>
      <c r="AS32" s="15">
        <f t="shared" si="17"/>
        <v>0</v>
      </c>
      <c r="AT32" s="15">
        <f t="shared" si="17"/>
        <v>0</v>
      </c>
      <c r="AU32" s="15">
        <f t="shared" si="17"/>
        <v>0</v>
      </c>
      <c r="AV32" s="15">
        <f t="shared" si="17"/>
        <v>0</v>
      </c>
      <c r="AW32" s="15">
        <f t="shared" si="17"/>
        <v>0</v>
      </c>
      <c r="AX32" s="15">
        <f t="shared" si="18"/>
        <v>0</v>
      </c>
      <c r="AY32" s="15">
        <f t="shared" si="18"/>
        <v>0</v>
      </c>
      <c r="AZ32" s="15">
        <f t="shared" si="18"/>
        <v>0</v>
      </c>
      <c r="BA32" s="15">
        <f t="shared" si="18"/>
        <v>0</v>
      </c>
      <c r="BB32" s="15">
        <f t="shared" si="18"/>
        <v>0</v>
      </c>
      <c r="BC32" s="15">
        <f t="shared" si="18"/>
        <v>0</v>
      </c>
      <c r="BD32" s="15">
        <f t="shared" si="18"/>
        <v>0</v>
      </c>
      <c r="BE32" s="15">
        <f t="shared" si="18"/>
        <v>0</v>
      </c>
      <c r="BF32" s="15">
        <f t="shared" si="18"/>
        <v>0</v>
      </c>
      <c r="BG32" s="15">
        <f t="shared" si="18"/>
        <v>0</v>
      </c>
      <c r="BH32" s="15">
        <f t="shared" si="19"/>
        <v>0</v>
      </c>
      <c r="BI32" s="15">
        <f t="shared" si="19"/>
        <v>0</v>
      </c>
      <c r="BJ32" s="15">
        <f t="shared" si="19"/>
        <v>0</v>
      </c>
      <c r="BK32" s="15">
        <f t="shared" si="19"/>
        <v>0</v>
      </c>
      <c r="BL32" s="15">
        <f t="shared" si="19"/>
        <v>0</v>
      </c>
      <c r="BM32" s="15">
        <f t="shared" si="19"/>
        <v>0</v>
      </c>
      <c r="BN32" s="15">
        <f t="shared" si="19"/>
        <v>0</v>
      </c>
      <c r="BO32" s="15">
        <f t="shared" si="19"/>
        <v>0</v>
      </c>
      <c r="BP32" s="15">
        <f t="shared" si="19"/>
        <v>0</v>
      </c>
      <c r="BQ32" s="15">
        <f t="shared" si="19"/>
        <v>0</v>
      </c>
    </row>
    <row r="33" spans="1:69" s="27" customFormat="1" ht="10.199999999999999">
      <c r="A33" s="1"/>
      <c r="B33" s="44" t="s">
        <v>90</v>
      </c>
      <c r="C33" s="45">
        <f t="shared" si="20"/>
        <v>43131</v>
      </c>
      <c r="D33" s="45">
        <f t="shared" si="21"/>
        <v>44926</v>
      </c>
      <c r="E33" s="58">
        <v>0</v>
      </c>
      <c r="F33" s="59">
        <f t="shared" si="22"/>
        <v>0</v>
      </c>
      <c r="G33" s="59">
        <f t="shared" si="23"/>
        <v>0</v>
      </c>
      <c r="H33" s="59">
        <f t="shared" si="24"/>
        <v>0</v>
      </c>
      <c r="I33" s="60">
        <f t="shared" si="25"/>
        <v>0</v>
      </c>
      <c r="J33" s="14">
        <f t="shared" si="14"/>
        <v>0</v>
      </c>
      <c r="K33" s="15">
        <f t="shared" si="14"/>
        <v>0</v>
      </c>
      <c r="L33" s="15">
        <f t="shared" si="14"/>
        <v>0</v>
      </c>
      <c r="M33" s="15">
        <f t="shared" si="14"/>
        <v>0</v>
      </c>
      <c r="N33" s="15">
        <f t="shared" si="14"/>
        <v>0</v>
      </c>
      <c r="O33" s="15">
        <f t="shared" si="14"/>
        <v>0</v>
      </c>
      <c r="P33" s="15">
        <f t="shared" si="14"/>
        <v>0</v>
      </c>
      <c r="Q33" s="15">
        <f t="shared" si="14"/>
        <v>0</v>
      </c>
      <c r="R33" s="15">
        <f t="shared" si="14"/>
        <v>0</v>
      </c>
      <c r="S33" s="15">
        <f t="shared" si="14"/>
        <v>0</v>
      </c>
      <c r="T33" s="15">
        <f t="shared" si="15"/>
        <v>0</v>
      </c>
      <c r="U33" s="15">
        <f t="shared" si="15"/>
        <v>0</v>
      </c>
      <c r="V33" s="15">
        <f t="shared" si="15"/>
        <v>0</v>
      </c>
      <c r="W33" s="15">
        <f t="shared" si="15"/>
        <v>0</v>
      </c>
      <c r="X33" s="15">
        <f t="shared" si="15"/>
        <v>0</v>
      </c>
      <c r="Y33" s="15">
        <f t="shared" si="15"/>
        <v>0</v>
      </c>
      <c r="Z33" s="15">
        <f t="shared" si="15"/>
        <v>0</v>
      </c>
      <c r="AA33" s="15">
        <f t="shared" si="15"/>
        <v>0</v>
      </c>
      <c r="AB33" s="15">
        <f t="shared" si="15"/>
        <v>0</v>
      </c>
      <c r="AC33" s="15">
        <f t="shared" si="15"/>
        <v>0</v>
      </c>
      <c r="AD33" s="15">
        <f t="shared" si="16"/>
        <v>0</v>
      </c>
      <c r="AE33" s="15">
        <f t="shared" si="16"/>
        <v>0</v>
      </c>
      <c r="AF33" s="15">
        <f t="shared" si="16"/>
        <v>0</v>
      </c>
      <c r="AG33" s="15">
        <f t="shared" si="16"/>
        <v>0</v>
      </c>
      <c r="AH33" s="15">
        <f t="shared" si="16"/>
        <v>0</v>
      </c>
      <c r="AI33" s="15">
        <f t="shared" si="16"/>
        <v>0</v>
      </c>
      <c r="AJ33" s="15">
        <f t="shared" si="16"/>
        <v>0</v>
      </c>
      <c r="AK33" s="15">
        <f t="shared" si="16"/>
        <v>0</v>
      </c>
      <c r="AL33" s="15">
        <f t="shared" si="16"/>
        <v>0</v>
      </c>
      <c r="AM33" s="15">
        <f t="shared" si="16"/>
        <v>0</v>
      </c>
      <c r="AN33" s="15">
        <f t="shared" si="17"/>
        <v>0</v>
      </c>
      <c r="AO33" s="15">
        <f t="shared" si="17"/>
        <v>0</v>
      </c>
      <c r="AP33" s="15">
        <f t="shared" si="17"/>
        <v>0</v>
      </c>
      <c r="AQ33" s="15">
        <f t="shared" si="17"/>
        <v>0</v>
      </c>
      <c r="AR33" s="15">
        <f t="shared" si="17"/>
        <v>0</v>
      </c>
      <c r="AS33" s="15">
        <f t="shared" si="17"/>
        <v>0</v>
      </c>
      <c r="AT33" s="15">
        <f t="shared" si="17"/>
        <v>0</v>
      </c>
      <c r="AU33" s="15">
        <f t="shared" si="17"/>
        <v>0</v>
      </c>
      <c r="AV33" s="15">
        <f t="shared" si="17"/>
        <v>0</v>
      </c>
      <c r="AW33" s="15">
        <f t="shared" si="17"/>
        <v>0</v>
      </c>
      <c r="AX33" s="15">
        <f t="shared" si="18"/>
        <v>0</v>
      </c>
      <c r="AY33" s="15">
        <f t="shared" si="18"/>
        <v>0</v>
      </c>
      <c r="AZ33" s="15">
        <f t="shared" si="18"/>
        <v>0</v>
      </c>
      <c r="BA33" s="15">
        <f t="shared" si="18"/>
        <v>0</v>
      </c>
      <c r="BB33" s="15">
        <f t="shared" si="18"/>
        <v>0</v>
      </c>
      <c r="BC33" s="15">
        <f t="shared" si="18"/>
        <v>0</v>
      </c>
      <c r="BD33" s="15">
        <f t="shared" si="18"/>
        <v>0</v>
      </c>
      <c r="BE33" s="15">
        <f t="shared" si="18"/>
        <v>0</v>
      </c>
      <c r="BF33" s="15">
        <f t="shared" si="18"/>
        <v>0</v>
      </c>
      <c r="BG33" s="15">
        <f t="shared" si="18"/>
        <v>0</v>
      </c>
      <c r="BH33" s="15">
        <f t="shared" si="19"/>
        <v>0</v>
      </c>
      <c r="BI33" s="15">
        <f t="shared" si="19"/>
        <v>0</v>
      </c>
      <c r="BJ33" s="15">
        <f t="shared" si="19"/>
        <v>0</v>
      </c>
      <c r="BK33" s="15">
        <f t="shared" si="19"/>
        <v>0</v>
      </c>
      <c r="BL33" s="15">
        <f t="shared" si="19"/>
        <v>0</v>
      </c>
      <c r="BM33" s="15">
        <f t="shared" si="19"/>
        <v>0</v>
      </c>
      <c r="BN33" s="15">
        <f t="shared" si="19"/>
        <v>0</v>
      </c>
      <c r="BO33" s="15">
        <f t="shared" si="19"/>
        <v>0</v>
      </c>
      <c r="BP33" s="15">
        <f t="shared" si="19"/>
        <v>0</v>
      </c>
      <c r="BQ33" s="15">
        <f t="shared" si="19"/>
        <v>0</v>
      </c>
    </row>
    <row r="34" spans="1:69" s="27" customFormat="1" ht="10.199999999999999">
      <c r="A34" s="1"/>
      <c r="B34" s="44" t="s">
        <v>91</v>
      </c>
      <c r="C34" s="45">
        <f t="shared" si="20"/>
        <v>43131</v>
      </c>
      <c r="D34" s="45">
        <f t="shared" si="21"/>
        <v>44926</v>
      </c>
      <c r="E34" s="58">
        <v>0</v>
      </c>
      <c r="F34" s="59">
        <f t="shared" si="22"/>
        <v>0</v>
      </c>
      <c r="G34" s="59">
        <f t="shared" si="23"/>
        <v>0</v>
      </c>
      <c r="H34" s="59">
        <f t="shared" si="24"/>
        <v>0</v>
      </c>
      <c r="I34" s="60">
        <f t="shared" si="25"/>
        <v>0</v>
      </c>
      <c r="J34" s="14">
        <f t="shared" si="14"/>
        <v>0</v>
      </c>
      <c r="K34" s="15">
        <f t="shared" si="14"/>
        <v>0</v>
      </c>
      <c r="L34" s="15">
        <f t="shared" si="14"/>
        <v>0</v>
      </c>
      <c r="M34" s="15">
        <f t="shared" si="14"/>
        <v>0</v>
      </c>
      <c r="N34" s="15">
        <f t="shared" si="14"/>
        <v>0</v>
      </c>
      <c r="O34" s="15">
        <f t="shared" si="14"/>
        <v>0</v>
      </c>
      <c r="P34" s="15">
        <f t="shared" si="14"/>
        <v>0</v>
      </c>
      <c r="Q34" s="15">
        <f t="shared" si="14"/>
        <v>0</v>
      </c>
      <c r="R34" s="15">
        <f t="shared" si="14"/>
        <v>0</v>
      </c>
      <c r="S34" s="15">
        <f t="shared" si="14"/>
        <v>0</v>
      </c>
      <c r="T34" s="15">
        <f t="shared" si="15"/>
        <v>0</v>
      </c>
      <c r="U34" s="15">
        <f t="shared" si="15"/>
        <v>0</v>
      </c>
      <c r="V34" s="15">
        <f t="shared" si="15"/>
        <v>0</v>
      </c>
      <c r="W34" s="15">
        <f t="shared" si="15"/>
        <v>0</v>
      </c>
      <c r="X34" s="15">
        <f t="shared" si="15"/>
        <v>0</v>
      </c>
      <c r="Y34" s="15">
        <f t="shared" si="15"/>
        <v>0</v>
      </c>
      <c r="Z34" s="15">
        <f t="shared" si="15"/>
        <v>0</v>
      </c>
      <c r="AA34" s="15">
        <f t="shared" si="15"/>
        <v>0</v>
      </c>
      <c r="AB34" s="15">
        <f t="shared" si="15"/>
        <v>0</v>
      </c>
      <c r="AC34" s="15">
        <f t="shared" si="15"/>
        <v>0</v>
      </c>
      <c r="AD34" s="15">
        <f t="shared" si="16"/>
        <v>0</v>
      </c>
      <c r="AE34" s="15">
        <f t="shared" si="16"/>
        <v>0</v>
      </c>
      <c r="AF34" s="15">
        <f t="shared" si="16"/>
        <v>0</v>
      </c>
      <c r="AG34" s="15">
        <f t="shared" si="16"/>
        <v>0</v>
      </c>
      <c r="AH34" s="15">
        <f t="shared" si="16"/>
        <v>0</v>
      </c>
      <c r="AI34" s="15">
        <f t="shared" si="16"/>
        <v>0</v>
      </c>
      <c r="AJ34" s="15">
        <f t="shared" si="16"/>
        <v>0</v>
      </c>
      <c r="AK34" s="15">
        <f t="shared" si="16"/>
        <v>0</v>
      </c>
      <c r="AL34" s="15">
        <f t="shared" si="16"/>
        <v>0</v>
      </c>
      <c r="AM34" s="15">
        <f t="shared" si="16"/>
        <v>0</v>
      </c>
      <c r="AN34" s="15">
        <f t="shared" si="17"/>
        <v>0</v>
      </c>
      <c r="AO34" s="15">
        <f t="shared" si="17"/>
        <v>0</v>
      </c>
      <c r="AP34" s="15">
        <f t="shared" si="17"/>
        <v>0</v>
      </c>
      <c r="AQ34" s="15">
        <f t="shared" si="17"/>
        <v>0</v>
      </c>
      <c r="AR34" s="15">
        <f t="shared" si="17"/>
        <v>0</v>
      </c>
      <c r="AS34" s="15">
        <f t="shared" si="17"/>
        <v>0</v>
      </c>
      <c r="AT34" s="15">
        <f t="shared" si="17"/>
        <v>0</v>
      </c>
      <c r="AU34" s="15">
        <f t="shared" si="17"/>
        <v>0</v>
      </c>
      <c r="AV34" s="15">
        <f t="shared" si="17"/>
        <v>0</v>
      </c>
      <c r="AW34" s="15">
        <f t="shared" si="17"/>
        <v>0</v>
      </c>
      <c r="AX34" s="15">
        <f t="shared" si="18"/>
        <v>0</v>
      </c>
      <c r="AY34" s="15">
        <f t="shared" si="18"/>
        <v>0</v>
      </c>
      <c r="AZ34" s="15">
        <f t="shared" si="18"/>
        <v>0</v>
      </c>
      <c r="BA34" s="15">
        <f t="shared" si="18"/>
        <v>0</v>
      </c>
      <c r="BB34" s="15">
        <f t="shared" si="18"/>
        <v>0</v>
      </c>
      <c r="BC34" s="15">
        <f t="shared" si="18"/>
        <v>0</v>
      </c>
      <c r="BD34" s="15">
        <f t="shared" si="18"/>
        <v>0</v>
      </c>
      <c r="BE34" s="15">
        <f t="shared" si="18"/>
        <v>0</v>
      </c>
      <c r="BF34" s="15">
        <f t="shared" si="18"/>
        <v>0</v>
      </c>
      <c r="BG34" s="15">
        <f t="shared" si="18"/>
        <v>0</v>
      </c>
      <c r="BH34" s="15">
        <f t="shared" si="19"/>
        <v>0</v>
      </c>
      <c r="BI34" s="15">
        <f t="shared" si="19"/>
        <v>0</v>
      </c>
      <c r="BJ34" s="15">
        <f t="shared" si="19"/>
        <v>0</v>
      </c>
      <c r="BK34" s="15">
        <f t="shared" si="19"/>
        <v>0</v>
      </c>
      <c r="BL34" s="15">
        <f t="shared" si="19"/>
        <v>0</v>
      </c>
      <c r="BM34" s="15">
        <f t="shared" si="19"/>
        <v>0</v>
      </c>
      <c r="BN34" s="15">
        <f t="shared" si="19"/>
        <v>0</v>
      </c>
      <c r="BO34" s="15">
        <f t="shared" si="19"/>
        <v>0</v>
      </c>
      <c r="BP34" s="15">
        <f t="shared" si="19"/>
        <v>0</v>
      </c>
      <c r="BQ34" s="15">
        <f t="shared" si="19"/>
        <v>0</v>
      </c>
    </row>
    <row r="35" spans="1:69" s="27" customFormat="1" ht="10.199999999999999">
      <c r="A35" s="1"/>
      <c r="B35" s="44" t="s">
        <v>92</v>
      </c>
      <c r="C35" s="45">
        <f t="shared" si="20"/>
        <v>43131</v>
      </c>
      <c r="D35" s="45">
        <f t="shared" si="21"/>
        <v>44926</v>
      </c>
      <c r="E35" s="58">
        <v>0</v>
      </c>
      <c r="F35" s="59">
        <f t="shared" si="22"/>
        <v>0</v>
      </c>
      <c r="G35" s="59">
        <f t="shared" si="23"/>
        <v>0</v>
      </c>
      <c r="H35" s="59">
        <f t="shared" si="24"/>
        <v>0</v>
      </c>
      <c r="I35" s="60">
        <f t="shared" si="25"/>
        <v>0</v>
      </c>
      <c r="J35" s="14">
        <f t="shared" si="14"/>
        <v>0</v>
      </c>
      <c r="K35" s="15">
        <f t="shared" si="14"/>
        <v>0</v>
      </c>
      <c r="L35" s="15">
        <f t="shared" si="14"/>
        <v>0</v>
      </c>
      <c r="M35" s="15">
        <f t="shared" si="14"/>
        <v>0</v>
      </c>
      <c r="N35" s="15">
        <f t="shared" si="14"/>
        <v>0</v>
      </c>
      <c r="O35" s="15">
        <f t="shared" si="14"/>
        <v>0</v>
      </c>
      <c r="P35" s="15">
        <f t="shared" si="14"/>
        <v>0</v>
      </c>
      <c r="Q35" s="15">
        <f t="shared" si="14"/>
        <v>0</v>
      </c>
      <c r="R35" s="15">
        <f t="shared" si="14"/>
        <v>0</v>
      </c>
      <c r="S35" s="15">
        <f t="shared" si="14"/>
        <v>0</v>
      </c>
      <c r="T35" s="15">
        <f t="shared" si="15"/>
        <v>0</v>
      </c>
      <c r="U35" s="15">
        <f t="shared" si="15"/>
        <v>0</v>
      </c>
      <c r="V35" s="15">
        <f t="shared" si="15"/>
        <v>0</v>
      </c>
      <c r="W35" s="15">
        <f t="shared" si="15"/>
        <v>0</v>
      </c>
      <c r="X35" s="15">
        <f t="shared" si="15"/>
        <v>0</v>
      </c>
      <c r="Y35" s="15">
        <f t="shared" si="15"/>
        <v>0</v>
      </c>
      <c r="Z35" s="15">
        <f t="shared" si="15"/>
        <v>0</v>
      </c>
      <c r="AA35" s="15">
        <f t="shared" si="15"/>
        <v>0</v>
      </c>
      <c r="AB35" s="15">
        <f t="shared" si="15"/>
        <v>0</v>
      </c>
      <c r="AC35" s="15">
        <f t="shared" si="15"/>
        <v>0</v>
      </c>
      <c r="AD35" s="15">
        <f t="shared" si="16"/>
        <v>0</v>
      </c>
      <c r="AE35" s="15">
        <f t="shared" si="16"/>
        <v>0</v>
      </c>
      <c r="AF35" s="15">
        <f t="shared" si="16"/>
        <v>0</v>
      </c>
      <c r="AG35" s="15">
        <f t="shared" si="16"/>
        <v>0</v>
      </c>
      <c r="AH35" s="15">
        <f t="shared" si="16"/>
        <v>0</v>
      </c>
      <c r="AI35" s="15">
        <f t="shared" si="16"/>
        <v>0</v>
      </c>
      <c r="AJ35" s="15">
        <f t="shared" si="16"/>
        <v>0</v>
      </c>
      <c r="AK35" s="15">
        <f t="shared" si="16"/>
        <v>0</v>
      </c>
      <c r="AL35" s="15">
        <f t="shared" si="16"/>
        <v>0</v>
      </c>
      <c r="AM35" s="15">
        <f t="shared" si="16"/>
        <v>0</v>
      </c>
      <c r="AN35" s="15">
        <f t="shared" si="17"/>
        <v>0</v>
      </c>
      <c r="AO35" s="15">
        <f t="shared" si="17"/>
        <v>0</v>
      </c>
      <c r="AP35" s="15">
        <f t="shared" si="17"/>
        <v>0</v>
      </c>
      <c r="AQ35" s="15">
        <f t="shared" si="17"/>
        <v>0</v>
      </c>
      <c r="AR35" s="15">
        <f t="shared" si="17"/>
        <v>0</v>
      </c>
      <c r="AS35" s="15">
        <f t="shared" si="17"/>
        <v>0</v>
      </c>
      <c r="AT35" s="15">
        <f t="shared" si="17"/>
        <v>0</v>
      </c>
      <c r="AU35" s="15">
        <f t="shared" si="17"/>
        <v>0</v>
      </c>
      <c r="AV35" s="15">
        <f t="shared" si="17"/>
        <v>0</v>
      </c>
      <c r="AW35" s="15">
        <f t="shared" si="17"/>
        <v>0</v>
      </c>
      <c r="AX35" s="15">
        <f t="shared" si="18"/>
        <v>0</v>
      </c>
      <c r="AY35" s="15">
        <f t="shared" si="18"/>
        <v>0</v>
      </c>
      <c r="AZ35" s="15">
        <f t="shared" si="18"/>
        <v>0</v>
      </c>
      <c r="BA35" s="15">
        <f t="shared" si="18"/>
        <v>0</v>
      </c>
      <c r="BB35" s="15">
        <f t="shared" si="18"/>
        <v>0</v>
      </c>
      <c r="BC35" s="15">
        <f t="shared" si="18"/>
        <v>0</v>
      </c>
      <c r="BD35" s="15">
        <f t="shared" si="18"/>
        <v>0</v>
      </c>
      <c r="BE35" s="15">
        <f t="shared" si="18"/>
        <v>0</v>
      </c>
      <c r="BF35" s="15">
        <f t="shared" si="18"/>
        <v>0</v>
      </c>
      <c r="BG35" s="15">
        <f t="shared" si="18"/>
        <v>0</v>
      </c>
      <c r="BH35" s="15">
        <f t="shared" si="19"/>
        <v>0</v>
      </c>
      <c r="BI35" s="15">
        <f t="shared" si="19"/>
        <v>0</v>
      </c>
      <c r="BJ35" s="15">
        <f t="shared" si="19"/>
        <v>0</v>
      </c>
      <c r="BK35" s="15">
        <f t="shared" si="19"/>
        <v>0</v>
      </c>
      <c r="BL35" s="15">
        <f t="shared" si="19"/>
        <v>0</v>
      </c>
      <c r="BM35" s="15">
        <f t="shared" si="19"/>
        <v>0</v>
      </c>
      <c r="BN35" s="15">
        <f t="shared" si="19"/>
        <v>0</v>
      </c>
      <c r="BO35" s="15">
        <f t="shared" si="19"/>
        <v>0</v>
      </c>
      <c r="BP35" s="15">
        <f t="shared" si="19"/>
        <v>0</v>
      </c>
      <c r="BQ35" s="15">
        <f t="shared" si="19"/>
        <v>0</v>
      </c>
    </row>
    <row r="36" spans="1:69" s="27" customFormat="1" ht="10.199999999999999">
      <c r="A36" s="1"/>
      <c r="B36" s="44" t="s">
        <v>93</v>
      </c>
      <c r="C36" s="45">
        <f t="shared" si="20"/>
        <v>43131</v>
      </c>
      <c r="D36" s="45">
        <f t="shared" si="21"/>
        <v>44926</v>
      </c>
      <c r="E36" s="58">
        <v>0</v>
      </c>
      <c r="F36" s="59">
        <f t="shared" si="22"/>
        <v>0</v>
      </c>
      <c r="G36" s="59">
        <f t="shared" si="23"/>
        <v>0</v>
      </c>
      <c r="H36" s="59">
        <f t="shared" si="24"/>
        <v>0</v>
      </c>
      <c r="I36" s="60">
        <f t="shared" si="25"/>
        <v>0</v>
      </c>
      <c r="J36" s="14">
        <f t="shared" si="14"/>
        <v>0</v>
      </c>
      <c r="K36" s="15">
        <f t="shared" si="14"/>
        <v>0</v>
      </c>
      <c r="L36" s="15">
        <f t="shared" si="14"/>
        <v>0</v>
      </c>
      <c r="M36" s="15">
        <f t="shared" si="14"/>
        <v>0</v>
      </c>
      <c r="N36" s="15">
        <f t="shared" si="14"/>
        <v>0</v>
      </c>
      <c r="O36" s="15">
        <f t="shared" si="14"/>
        <v>0</v>
      </c>
      <c r="P36" s="15">
        <f t="shared" si="14"/>
        <v>0</v>
      </c>
      <c r="Q36" s="15">
        <f t="shared" si="14"/>
        <v>0</v>
      </c>
      <c r="R36" s="15">
        <f t="shared" si="14"/>
        <v>0</v>
      </c>
      <c r="S36" s="15">
        <f t="shared" si="14"/>
        <v>0</v>
      </c>
      <c r="T36" s="15">
        <f t="shared" si="15"/>
        <v>0</v>
      </c>
      <c r="U36" s="15">
        <f t="shared" si="15"/>
        <v>0</v>
      </c>
      <c r="V36" s="15">
        <f t="shared" si="15"/>
        <v>0</v>
      </c>
      <c r="W36" s="15">
        <f t="shared" si="15"/>
        <v>0</v>
      </c>
      <c r="X36" s="15">
        <f t="shared" si="15"/>
        <v>0</v>
      </c>
      <c r="Y36" s="15">
        <f t="shared" si="15"/>
        <v>0</v>
      </c>
      <c r="Z36" s="15">
        <f t="shared" si="15"/>
        <v>0</v>
      </c>
      <c r="AA36" s="15">
        <f t="shared" si="15"/>
        <v>0</v>
      </c>
      <c r="AB36" s="15">
        <f t="shared" si="15"/>
        <v>0</v>
      </c>
      <c r="AC36" s="15">
        <f t="shared" si="15"/>
        <v>0</v>
      </c>
      <c r="AD36" s="15">
        <f t="shared" si="16"/>
        <v>0</v>
      </c>
      <c r="AE36" s="15">
        <f t="shared" si="16"/>
        <v>0</v>
      </c>
      <c r="AF36" s="15">
        <f t="shared" si="16"/>
        <v>0</v>
      </c>
      <c r="AG36" s="15">
        <f t="shared" si="16"/>
        <v>0</v>
      </c>
      <c r="AH36" s="15">
        <f t="shared" si="16"/>
        <v>0</v>
      </c>
      <c r="AI36" s="15">
        <f t="shared" si="16"/>
        <v>0</v>
      </c>
      <c r="AJ36" s="15">
        <f t="shared" si="16"/>
        <v>0</v>
      </c>
      <c r="AK36" s="15">
        <f t="shared" si="16"/>
        <v>0</v>
      </c>
      <c r="AL36" s="15">
        <f t="shared" si="16"/>
        <v>0</v>
      </c>
      <c r="AM36" s="15">
        <f t="shared" si="16"/>
        <v>0</v>
      </c>
      <c r="AN36" s="15">
        <f t="shared" si="17"/>
        <v>0</v>
      </c>
      <c r="AO36" s="15">
        <f t="shared" si="17"/>
        <v>0</v>
      </c>
      <c r="AP36" s="15">
        <f t="shared" si="17"/>
        <v>0</v>
      </c>
      <c r="AQ36" s="15">
        <f t="shared" si="17"/>
        <v>0</v>
      </c>
      <c r="AR36" s="15">
        <f t="shared" si="17"/>
        <v>0</v>
      </c>
      <c r="AS36" s="15">
        <f t="shared" si="17"/>
        <v>0</v>
      </c>
      <c r="AT36" s="15">
        <f t="shared" si="17"/>
        <v>0</v>
      </c>
      <c r="AU36" s="15">
        <f t="shared" si="17"/>
        <v>0</v>
      </c>
      <c r="AV36" s="15">
        <f t="shared" si="17"/>
        <v>0</v>
      </c>
      <c r="AW36" s="15">
        <f t="shared" si="17"/>
        <v>0</v>
      </c>
      <c r="AX36" s="15">
        <f t="shared" si="18"/>
        <v>0</v>
      </c>
      <c r="AY36" s="15">
        <f t="shared" si="18"/>
        <v>0</v>
      </c>
      <c r="AZ36" s="15">
        <f t="shared" si="18"/>
        <v>0</v>
      </c>
      <c r="BA36" s="15">
        <f t="shared" si="18"/>
        <v>0</v>
      </c>
      <c r="BB36" s="15">
        <f t="shared" si="18"/>
        <v>0</v>
      </c>
      <c r="BC36" s="15">
        <f t="shared" si="18"/>
        <v>0</v>
      </c>
      <c r="BD36" s="15">
        <f t="shared" si="18"/>
        <v>0</v>
      </c>
      <c r="BE36" s="15">
        <f t="shared" si="18"/>
        <v>0</v>
      </c>
      <c r="BF36" s="15">
        <f t="shared" si="18"/>
        <v>0</v>
      </c>
      <c r="BG36" s="15">
        <f t="shared" si="18"/>
        <v>0</v>
      </c>
      <c r="BH36" s="15">
        <f t="shared" si="19"/>
        <v>0</v>
      </c>
      <c r="BI36" s="15">
        <f t="shared" si="19"/>
        <v>0</v>
      </c>
      <c r="BJ36" s="15">
        <f t="shared" si="19"/>
        <v>0</v>
      </c>
      <c r="BK36" s="15">
        <f t="shared" si="19"/>
        <v>0</v>
      </c>
      <c r="BL36" s="15">
        <f t="shared" si="19"/>
        <v>0</v>
      </c>
      <c r="BM36" s="15">
        <f t="shared" si="19"/>
        <v>0</v>
      </c>
      <c r="BN36" s="15">
        <f t="shared" si="19"/>
        <v>0</v>
      </c>
      <c r="BO36" s="15">
        <f t="shared" si="19"/>
        <v>0</v>
      </c>
      <c r="BP36" s="15">
        <f t="shared" si="19"/>
        <v>0</v>
      </c>
      <c r="BQ36" s="15">
        <f t="shared" si="19"/>
        <v>0</v>
      </c>
    </row>
    <row r="37" spans="1:69" s="27" customFormat="1" ht="10.199999999999999">
      <c r="A37" s="1"/>
      <c r="B37" s="44" t="s">
        <v>73</v>
      </c>
      <c r="C37" s="45">
        <f t="shared" si="20"/>
        <v>43131</v>
      </c>
      <c r="D37" s="45">
        <f t="shared" si="21"/>
        <v>44926</v>
      </c>
      <c r="E37" s="58">
        <v>0</v>
      </c>
      <c r="F37" s="59">
        <f t="shared" si="22"/>
        <v>0</v>
      </c>
      <c r="G37" s="59">
        <f t="shared" si="23"/>
        <v>0</v>
      </c>
      <c r="H37" s="59">
        <f t="shared" si="24"/>
        <v>0</v>
      </c>
      <c r="I37" s="60">
        <f t="shared" si="25"/>
        <v>0</v>
      </c>
      <c r="J37" s="14">
        <f t="shared" si="14"/>
        <v>0</v>
      </c>
      <c r="K37" s="15">
        <f t="shared" si="14"/>
        <v>0</v>
      </c>
      <c r="L37" s="15">
        <f t="shared" si="14"/>
        <v>0</v>
      </c>
      <c r="M37" s="15">
        <f t="shared" si="14"/>
        <v>0</v>
      </c>
      <c r="N37" s="15">
        <f t="shared" si="14"/>
        <v>0</v>
      </c>
      <c r="O37" s="15">
        <f t="shared" si="14"/>
        <v>0</v>
      </c>
      <c r="P37" s="15">
        <f t="shared" si="14"/>
        <v>0</v>
      </c>
      <c r="Q37" s="15">
        <f t="shared" si="14"/>
        <v>0</v>
      </c>
      <c r="R37" s="15">
        <f t="shared" si="14"/>
        <v>0</v>
      </c>
      <c r="S37" s="15">
        <f t="shared" si="14"/>
        <v>0</v>
      </c>
      <c r="T37" s="15">
        <f t="shared" si="15"/>
        <v>0</v>
      </c>
      <c r="U37" s="15">
        <f t="shared" si="15"/>
        <v>0</v>
      </c>
      <c r="V37" s="15">
        <f t="shared" si="15"/>
        <v>0</v>
      </c>
      <c r="W37" s="15">
        <f t="shared" si="15"/>
        <v>0</v>
      </c>
      <c r="X37" s="15">
        <f t="shared" si="15"/>
        <v>0</v>
      </c>
      <c r="Y37" s="15">
        <f t="shared" si="15"/>
        <v>0</v>
      </c>
      <c r="Z37" s="15">
        <f t="shared" si="15"/>
        <v>0</v>
      </c>
      <c r="AA37" s="15">
        <f t="shared" si="15"/>
        <v>0</v>
      </c>
      <c r="AB37" s="15">
        <f t="shared" si="15"/>
        <v>0</v>
      </c>
      <c r="AC37" s="15">
        <f t="shared" si="15"/>
        <v>0</v>
      </c>
      <c r="AD37" s="15">
        <f t="shared" si="16"/>
        <v>0</v>
      </c>
      <c r="AE37" s="15">
        <f t="shared" si="16"/>
        <v>0</v>
      </c>
      <c r="AF37" s="15">
        <f t="shared" si="16"/>
        <v>0</v>
      </c>
      <c r="AG37" s="15">
        <f t="shared" si="16"/>
        <v>0</v>
      </c>
      <c r="AH37" s="15">
        <f t="shared" si="16"/>
        <v>0</v>
      </c>
      <c r="AI37" s="15">
        <f t="shared" si="16"/>
        <v>0</v>
      </c>
      <c r="AJ37" s="15">
        <f t="shared" si="16"/>
        <v>0</v>
      </c>
      <c r="AK37" s="15">
        <f t="shared" si="16"/>
        <v>0</v>
      </c>
      <c r="AL37" s="15">
        <f t="shared" si="16"/>
        <v>0</v>
      </c>
      <c r="AM37" s="15">
        <f t="shared" si="16"/>
        <v>0</v>
      </c>
      <c r="AN37" s="15">
        <f t="shared" si="17"/>
        <v>0</v>
      </c>
      <c r="AO37" s="15">
        <f t="shared" si="17"/>
        <v>0</v>
      </c>
      <c r="AP37" s="15">
        <f t="shared" si="17"/>
        <v>0</v>
      </c>
      <c r="AQ37" s="15">
        <f t="shared" si="17"/>
        <v>0</v>
      </c>
      <c r="AR37" s="15">
        <f t="shared" si="17"/>
        <v>0</v>
      </c>
      <c r="AS37" s="15">
        <f t="shared" si="17"/>
        <v>0</v>
      </c>
      <c r="AT37" s="15">
        <f t="shared" si="17"/>
        <v>0</v>
      </c>
      <c r="AU37" s="15">
        <f t="shared" si="17"/>
        <v>0</v>
      </c>
      <c r="AV37" s="15">
        <f t="shared" si="17"/>
        <v>0</v>
      </c>
      <c r="AW37" s="15">
        <f t="shared" si="17"/>
        <v>0</v>
      </c>
      <c r="AX37" s="15">
        <f t="shared" si="18"/>
        <v>0</v>
      </c>
      <c r="AY37" s="15">
        <f t="shared" si="18"/>
        <v>0</v>
      </c>
      <c r="AZ37" s="15">
        <f t="shared" si="18"/>
        <v>0</v>
      </c>
      <c r="BA37" s="15">
        <f t="shared" si="18"/>
        <v>0</v>
      </c>
      <c r="BB37" s="15">
        <f t="shared" si="18"/>
        <v>0</v>
      </c>
      <c r="BC37" s="15">
        <f t="shared" si="18"/>
        <v>0</v>
      </c>
      <c r="BD37" s="15">
        <f t="shared" si="18"/>
        <v>0</v>
      </c>
      <c r="BE37" s="15">
        <f t="shared" si="18"/>
        <v>0</v>
      </c>
      <c r="BF37" s="15">
        <f t="shared" si="18"/>
        <v>0</v>
      </c>
      <c r="BG37" s="15">
        <f t="shared" si="18"/>
        <v>0</v>
      </c>
      <c r="BH37" s="15">
        <f t="shared" si="19"/>
        <v>0</v>
      </c>
      <c r="BI37" s="15">
        <f t="shared" si="19"/>
        <v>0</v>
      </c>
      <c r="BJ37" s="15">
        <f t="shared" si="19"/>
        <v>0</v>
      </c>
      <c r="BK37" s="15">
        <f t="shared" si="19"/>
        <v>0</v>
      </c>
      <c r="BL37" s="15">
        <f t="shared" si="19"/>
        <v>0</v>
      </c>
      <c r="BM37" s="15">
        <f t="shared" si="19"/>
        <v>0</v>
      </c>
      <c r="BN37" s="15">
        <f t="shared" si="19"/>
        <v>0</v>
      </c>
      <c r="BO37" s="15">
        <f t="shared" si="19"/>
        <v>0</v>
      </c>
      <c r="BP37" s="15">
        <f t="shared" si="19"/>
        <v>0</v>
      </c>
      <c r="BQ37" s="15">
        <f t="shared" si="19"/>
        <v>0</v>
      </c>
    </row>
    <row r="38" spans="1:69" s="27" customFormat="1" ht="10.199999999999999">
      <c r="A38" s="1"/>
      <c r="B38" s="44" t="s">
        <v>74</v>
      </c>
      <c r="C38" s="45">
        <f t="shared" si="20"/>
        <v>43131</v>
      </c>
      <c r="D38" s="45">
        <f t="shared" si="21"/>
        <v>44926</v>
      </c>
      <c r="E38" s="58">
        <v>0</v>
      </c>
      <c r="F38" s="59">
        <f t="shared" si="22"/>
        <v>0</v>
      </c>
      <c r="G38" s="59">
        <f t="shared" si="23"/>
        <v>0</v>
      </c>
      <c r="H38" s="59">
        <f t="shared" si="24"/>
        <v>0</v>
      </c>
      <c r="I38" s="60">
        <f t="shared" si="25"/>
        <v>0</v>
      </c>
      <c r="J38" s="14">
        <f t="shared" si="14"/>
        <v>0</v>
      </c>
      <c r="K38" s="15">
        <f t="shared" si="14"/>
        <v>0</v>
      </c>
      <c r="L38" s="15">
        <f t="shared" si="14"/>
        <v>0</v>
      </c>
      <c r="M38" s="15">
        <f t="shared" si="14"/>
        <v>0</v>
      </c>
      <c r="N38" s="15">
        <f t="shared" si="14"/>
        <v>0</v>
      </c>
      <c r="O38" s="15">
        <f t="shared" si="14"/>
        <v>0</v>
      </c>
      <c r="P38" s="15">
        <f t="shared" si="14"/>
        <v>0</v>
      </c>
      <c r="Q38" s="15">
        <f t="shared" si="14"/>
        <v>0</v>
      </c>
      <c r="R38" s="15">
        <f t="shared" si="14"/>
        <v>0</v>
      </c>
      <c r="S38" s="15">
        <f t="shared" si="14"/>
        <v>0</v>
      </c>
      <c r="T38" s="15">
        <f t="shared" si="15"/>
        <v>0</v>
      </c>
      <c r="U38" s="15">
        <f t="shared" si="15"/>
        <v>0</v>
      </c>
      <c r="V38" s="15">
        <f t="shared" si="15"/>
        <v>0</v>
      </c>
      <c r="W38" s="15">
        <f t="shared" si="15"/>
        <v>0</v>
      </c>
      <c r="X38" s="15">
        <f t="shared" si="15"/>
        <v>0</v>
      </c>
      <c r="Y38" s="15">
        <f t="shared" si="15"/>
        <v>0</v>
      </c>
      <c r="Z38" s="15">
        <f t="shared" si="15"/>
        <v>0</v>
      </c>
      <c r="AA38" s="15">
        <f t="shared" si="15"/>
        <v>0</v>
      </c>
      <c r="AB38" s="15">
        <f t="shared" si="15"/>
        <v>0</v>
      </c>
      <c r="AC38" s="15">
        <f t="shared" si="15"/>
        <v>0</v>
      </c>
      <c r="AD38" s="15">
        <f t="shared" si="16"/>
        <v>0</v>
      </c>
      <c r="AE38" s="15">
        <f t="shared" si="16"/>
        <v>0</v>
      </c>
      <c r="AF38" s="15">
        <f t="shared" si="16"/>
        <v>0</v>
      </c>
      <c r="AG38" s="15">
        <f t="shared" si="16"/>
        <v>0</v>
      </c>
      <c r="AH38" s="15">
        <f t="shared" si="16"/>
        <v>0</v>
      </c>
      <c r="AI38" s="15">
        <f t="shared" si="16"/>
        <v>0</v>
      </c>
      <c r="AJ38" s="15">
        <f t="shared" si="16"/>
        <v>0</v>
      </c>
      <c r="AK38" s="15">
        <f t="shared" si="16"/>
        <v>0</v>
      </c>
      <c r="AL38" s="15">
        <f t="shared" si="16"/>
        <v>0</v>
      </c>
      <c r="AM38" s="15">
        <f t="shared" si="16"/>
        <v>0</v>
      </c>
      <c r="AN38" s="15">
        <f t="shared" si="17"/>
        <v>0</v>
      </c>
      <c r="AO38" s="15">
        <f t="shared" si="17"/>
        <v>0</v>
      </c>
      <c r="AP38" s="15">
        <f t="shared" si="17"/>
        <v>0</v>
      </c>
      <c r="AQ38" s="15">
        <f t="shared" si="17"/>
        <v>0</v>
      </c>
      <c r="AR38" s="15">
        <f t="shared" si="17"/>
        <v>0</v>
      </c>
      <c r="AS38" s="15">
        <f t="shared" si="17"/>
        <v>0</v>
      </c>
      <c r="AT38" s="15">
        <f t="shared" si="17"/>
        <v>0</v>
      </c>
      <c r="AU38" s="15">
        <f t="shared" si="17"/>
        <v>0</v>
      </c>
      <c r="AV38" s="15">
        <f t="shared" si="17"/>
        <v>0</v>
      </c>
      <c r="AW38" s="15">
        <f t="shared" si="17"/>
        <v>0</v>
      </c>
      <c r="AX38" s="15">
        <f t="shared" si="18"/>
        <v>0</v>
      </c>
      <c r="AY38" s="15">
        <f t="shared" si="18"/>
        <v>0</v>
      </c>
      <c r="AZ38" s="15">
        <f t="shared" si="18"/>
        <v>0</v>
      </c>
      <c r="BA38" s="15">
        <f t="shared" si="18"/>
        <v>0</v>
      </c>
      <c r="BB38" s="15">
        <f t="shared" si="18"/>
        <v>0</v>
      </c>
      <c r="BC38" s="15">
        <f t="shared" si="18"/>
        <v>0</v>
      </c>
      <c r="BD38" s="15">
        <f t="shared" si="18"/>
        <v>0</v>
      </c>
      <c r="BE38" s="15">
        <f t="shared" si="18"/>
        <v>0</v>
      </c>
      <c r="BF38" s="15">
        <f t="shared" si="18"/>
        <v>0</v>
      </c>
      <c r="BG38" s="15">
        <f t="shared" si="18"/>
        <v>0</v>
      </c>
      <c r="BH38" s="15">
        <f t="shared" si="19"/>
        <v>0</v>
      </c>
      <c r="BI38" s="15">
        <f t="shared" si="19"/>
        <v>0</v>
      </c>
      <c r="BJ38" s="15">
        <f t="shared" si="19"/>
        <v>0</v>
      </c>
      <c r="BK38" s="15">
        <f t="shared" si="19"/>
        <v>0</v>
      </c>
      <c r="BL38" s="15">
        <f t="shared" si="19"/>
        <v>0</v>
      </c>
      <c r="BM38" s="15">
        <f t="shared" si="19"/>
        <v>0</v>
      </c>
      <c r="BN38" s="15">
        <f t="shared" si="19"/>
        <v>0</v>
      </c>
      <c r="BO38" s="15">
        <f t="shared" si="19"/>
        <v>0</v>
      </c>
      <c r="BP38" s="15">
        <f t="shared" si="19"/>
        <v>0</v>
      </c>
      <c r="BQ38" s="15">
        <f t="shared" si="19"/>
        <v>0</v>
      </c>
    </row>
    <row r="39" spans="1:69" s="27" customFormat="1" ht="10.199999999999999">
      <c r="A39" s="1"/>
      <c r="B39" s="44" t="s">
        <v>75</v>
      </c>
      <c r="C39" s="45">
        <f t="shared" si="20"/>
        <v>43131</v>
      </c>
      <c r="D39" s="45">
        <f t="shared" si="21"/>
        <v>44926</v>
      </c>
      <c r="E39" s="58">
        <v>0</v>
      </c>
      <c r="F39" s="59">
        <f t="shared" si="22"/>
        <v>0</v>
      </c>
      <c r="G39" s="59">
        <f t="shared" si="23"/>
        <v>0</v>
      </c>
      <c r="H39" s="59">
        <f t="shared" si="24"/>
        <v>0</v>
      </c>
      <c r="I39" s="60">
        <f t="shared" si="25"/>
        <v>0</v>
      </c>
      <c r="J39" s="14">
        <f t="shared" si="14"/>
        <v>0</v>
      </c>
      <c r="K39" s="15">
        <f t="shared" si="14"/>
        <v>0</v>
      </c>
      <c r="L39" s="15">
        <f t="shared" si="14"/>
        <v>0</v>
      </c>
      <c r="M39" s="15">
        <f t="shared" si="14"/>
        <v>0</v>
      </c>
      <c r="N39" s="15">
        <f t="shared" si="14"/>
        <v>0</v>
      </c>
      <c r="O39" s="15">
        <f t="shared" si="14"/>
        <v>0</v>
      </c>
      <c r="P39" s="15">
        <f t="shared" si="14"/>
        <v>0</v>
      </c>
      <c r="Q39" s="15">
        <f t="shared" si="14"/>
        <v>0</v>
      </c>
      <c r="R39" s="15">
        <f t="shared" si="14"/>
        <v>0</v>
      </c>
      <c r="S39" s="15">
        <f t="shared" si="14"/>
        <v>0</v>
      </c>
      <c r="T39" s="15">
        <f t="shared" si="15"/>
        <v>0</v>
      </c>
      <c r="U39" s="15">
        <f t="shared" si="15"/>
        <v>0</v>
      </c>
      <c r="V39" s="15">
        <f t="shared" si="15"/>
        <v>0</v>
      </c>
      <c r="W39" s="15">
        <f t="shared" si="15"/>
        <v>0</v>
      </c>
      <c r="X39" s="15">
        <f t="shared" si="15"/>
        <v>0</v>
      </c>
      <c r="Y39" s="15">
        <f t="shared" si="15"/>
        <v>0</v>
      </c>
      <c r="Z39" s="15">
        <f t="shared" si="15"/>
        <v>0</v>
      </c>
      <c r="AA39" s="15">
        <f t="shared" si="15"/>
        <v>0</v>
      </c>
      <c r="AB39" s="15">
        <f t="shared" si="15"/>
        <v>0</v>
      </c>
      <c r="AC39" s="15">
        <f t="shared" si="15"/>
        <v>0</v>
      </c>
      <c r="AD39" s="15">
        <f t="shared" si="16"/>
        <v>0</v>
      </c>
      <c r="AE39" s="15">
        <f t="shared" si="16"/>
        <v>0</v>
      </c>
      <c r="AF39" s="15">
        <f t="shared" si="16"/>
        <v>0</v>
      </c>
      <c r="AG39" s="15">
        <f t="shared" si="16"/>
        <v>0</v>
      </c>
      <c r="AH39" s="15">
        <f t="shared" si="16"/>
        <v>0</v>
      </c>
      <c r="AI39" s="15">
        <f t="shared" si="16"/>
        <v>0</v>
      </c>
      <c r="AJ39" s="15">
        <f t="shared" si="16"/>
        <v>0</v>
      </c>
      <c r="AK39" s="15">
        <f t="shared" si="16"/>
        <v>0</v>
      </c>
      <c r="AL39" s="15">
        <f t="shared" si="16"/>
        <v>0</v>
      </c>
      <c r="AM39" s="15">
        <f t="shared" si="16"/>
        <v>0</v>
      </c>
      <c r="AN39" s="15">
        <f t="shared" si="17"/>
        <v>0</v>
      </c>
      <c r="AO39" s="15">
        <f t="shared" si="17"/>
        <v>0</v>
      </c>
      <c r="AP39" s="15">
        <f t="shared" si="17"/>
        <v>0</v>
      </c>
      <c r="AQ39" s="15">
        <f t="shared" si="17"/>
        <v>0</v>
      </c>
      <c r="AR39" s="15">
        <f t="shared" si="17"/>
        <v>0</v>
      </c>
      <c r="AS39" s="15">
        <f t="shared" si="17"/>
        <v>0</v>
      </c>
      <c r="AT39" s="15">
        <f t="shared" si="17"/>
        <v>0</v>
      </c>
      <c r="AU39" s="15">
        <f t="shared" si="17"/>
        <v>0</v>
      </c>
      <c r="AV39" s="15">
        <f t="shared" si="17"/>
        <v>0</v>
      </c>
      <c r="AW39" s="15">
        <f t="shared" si="17"/>
        <v>0</v>
      </c>
      <c r="AX39" s="15">
        <f t="shared" si="18"/>
        <v>0</v>
      </c>
      <c r="AY39" s="15">
        <f t="shared" si="18"/>
        <v>0</v>
      </c>
      <c r="AZ39" s="15">
        <f t="shared" si="18"/>
        <v>0</v>
      </c>
      <c r="BA39" s="15">
        <f t="shared" si="18"/>
        <v>0</v>
      </c>
      <c r="BB39" s="15">
        <f t="shared" si="18"/>
        <v>0</v>
      </c>
      <c r="BC39" s="15">
        <f t="shared" si="18"/>
        <v>0</v>
      </c>
      <c r="BD39" s="15">
        <f t="shared" si="18"/>
        <v>0</v>
      </c>
      <c r="BE39" s="15">
        <f t="shared" si="18"/>
        <v>0</v>
      </c>
      <c r="BF39" s="15">
        <f t="shared" si="18"/>
        <v>0</v>
      </c>
      <c r="BG39" s="15">
        <f t="shared" si="18"/>
        <v>0</v>
      </c>
      <c r="BH39" s="15">
        <f t="shared" si="19"/>
        <v>0</v>
      </c>
      <c r="BI39" s="15">
        <f t="shared" si="19"/>
        <v>0</v>
      </c>
      <c r="BJ39" s="15">
        <f t="shared" si="19"/>
        <v>0</v>
      </c>
      <c r="BK39" s="15">
        <f t="shared" si="19"/>
        <v>0</v>
      </c>
      <c r="BL39" s="15">
        <f t="shared" si="19"/>
        <v>0</v>
      </c>
      <c r="BM39" s="15">
        <f t="shared" si="19"/>
        <v>0</v>
      </c>
      <c r="BN39" s="15">
        <f t="shared" si="19"/>
        <v>0</v>
      </c>
      <c r="BO39" s="15">
        <f t="shared" si="19"/>
        <v>0</v>
      </c>
      <c r="BP39" s="15">
        <f t="shared" si="19"/>
        <v>0</v>
      </c>
      <c r="BQ39" s="15">
        <f t="shared" si="19"/>
        <v>0</v>
      </c>
    </row>
    <row r="40" spans="1:69" s="27" customFormat="1" ht="10.199999999999999">
      <c r="A40" s="1"/>
      <c r="B40" s="49" t="s">
        <v>49</v>
      </c>
      <c r="C40" s="50">
        <f t="shared" si="20"/>
        <v>43131</v>
      </c>
      <c r="D40" s="50">
        <f t="shared" si="21"/>
        <v>44926</v>
      </c>
      <c r="E40" s="61">
        <v>0</v>
      </c>
      <c r="F40" s="62">
        <f t="shared" si="22"/>
        <v>0</v>
      </c>
      <c r="G40" s="62">
        <f t="shared" si="23"/>
        <v>0</v>
      </c>
      <c r="H40" s="62">
        <f t="shared" si="24"/>
        <v>0</v>
      </c>
      <c r="I40" s="63">
        <f t="shared" si="25"/>
        <v>0</v>
      </c>
      <c r="J40" s="16">
        <f t="shared" si="14"/>
        <v>0</v>
      </c>
      <c r="K40" s="17">
        <f t="shared" si="14"/>
        <v>0</v>
      </c>
      <c r="L40" s="17">
        <f t="shared" si="14"/>
        <v>0</v>
      </c>
      <c r="M40" s="17">
        <f t="shared" si="14"/>
        <v>0</v>
      </c>
      <c r="N40" s="17">
        <f t="shared" si="14"/>
        <v>0</v>
      </c>
      <c r="O40" s="17">
        <f t="shared" si="14"/>
        <v>0</v>
      </c>
      <c r="P40" s="17">
        <f t="shared" si="14"/>
        <v>0</v>
      </c>
      <c r="Q40" s="17">
        <f t="shared" si="14"/>
        <v>0</v>
      </c>
      <c r="R40" s="17">
        <f t="shared" si="14"/>
        <v>0</v>
      </c>
      <c r="S40" s="17">
        <f t="shared" si="14"/>
        <v>0</v>
      </c>
      <c r="T40" s="17">
        <f t="shared" si="15"/>
        <v>0</v>
      </c>
      <c r="U40" s="17">
        <f t="shared" si="15"/>
        <v>0</v>
      </c>
      <c r="V40" s="17">
        <f t="shared" si="15"/>
        <v>0</v>
      </c>
      <c r="W40" s="17">
        <f t="shared" si="15"/>
        <v>0</v>
      </c>
      <c r="X40" s="17">
        <f t="shared" si="15"/>
        <v>0</v>
      </c>
      <c r="Y40" s="17">
        <f t="shared" si="15"/>
        <v>0</v>
      </c>
      <c r="Z40" s="17">
        <f t="shared" si="15"/>
        <v>0</v>
      </c>
      <c r="AA40" s="17">
        <f t="shared" si="15"/>
        <v>0</v>
      </c>
      <c r="AB40" s="17">
        <f t="shared" si="15"/>
        <v>0</v>
      </c>
      <c r="AC40" s="17">
        <f t="shared" si="15"/>
        <v>0</v>
      </c>
      <c r="AD40" s="17">
        <f t="shared" si="16"/>
        <v>0</v>
      </c>
      <c r="AE40" s="17">
        <f t="shared" si="16"/>
        <v>0</v>
      </c>
      <c r="AF40" s="17">
        <f t="shared" si="16"/>
        <v>0</v>
      </c>
      <c r="AG40" s="17">
        <f t="shared" si="16"/>
        <v>0</v>
      </c>
      <c r="AH40" s="17">
        <f t="shared" si="16"/>
        <v>0</v>
      </c>
      <c r="AI40" s="17">
        <f t="shared" si="16"/>
        <v>0</v>
      </c>
      <c r="AJ40" s="17">
        <f t="shared" si="16"/>
        <v>0</v>
      </c>
      <c r="AK40" s="17">
        <f t="shared" si="16"/>
        <v>0</v>
      </c>
      <c r="AL40" s="17">
        <f t="shared" si="16"/>
        <v>0</v>
      </c>
      <c r="AM40" s="17">
        <f t="shared" si="16"/>
        <v>0</v>
      </c>
      <c r="AN40" s="17">
        <f t="shared" si="17"/>
        <v>0</v>
      </c>
      <c r="AO40" s="17">
        <f t="shared" si="17"/>
        <v>0</v>
      </c>
      <c r="AP40" s="17">
        <f t="shared" si="17"/>
        <v>0</v>
      </c>
      <c r="AQ40" s="17">
        <f t="shared" si="17"/>
        <v>0</v>
      </c>
      <c r="AR40" s="17">
        <f t="shared" si="17"/>
        <v>0</v>
      </c>
      <c r="AS40" s="17">
        <f t="shared" si="17"/>
        <v>0</v>
      </c>
      <c r="AT40" s="17">
        <f t="shared" si="17"/>
        <v>0</v>
      </c>
      <c r="AU40" s="17">
        <f t="shared" si="17"/>
        <v>0</v>
      </c>
      <c r="AV40" s="17">
        <f t="shared" si="17"/>
        <v>0</v>
      </c>
      <c r="AW40" s="17">
        <f t="shared" si="17"/>
        <v>0</v>
      </c>
      <c r="AX40" s="17">
        <f t="shared" si="18"/>
        <v>0</v>
      </c>
      <c r="AY40" s="17">
        <f t="shared" si="18"/>
        <v>0</v>
      </c>
      <c r="AZ40" s="17">
        <f t="shared" si="18"/>
        <v>0</v>
      </c>
      <c r="BA40" s="17">
        <f t="shared" si="18"/>
        <v>0</v>
      </c>
      <c r="BB40" s="17">
        <f t="shared" si="18"/>
        <v>0</v>
      </c>
      <c r="BC40" s="17">
        <f t="shared" si="18"/>
        <v>0</v>
      </c>
      <c r="BD40" s="17">
        <f t="shared" si="18"/>
        <v>0</v>
      </c>
      <c r="BE40" s="17">
        <f t="shared" si="18"/>
        <v>0</v>
      </c>
      <c r="BF40" s="17">
        <f t="shared" si="18"/>
        <v>0</v>
      </c>
      <c r="BG40" s="17">
        <f t="shared" si="18"/>
        <v>0</v>
      </c>
      <c r="BH40" s="17">
        <f t="shared" si="19"/>
        <v>0</v>
      </c>
      <c r="BI40" s="17">
        <f t="shared" si="19"/>
        <v>0</v>
      </c>
      <c r="BJ40" s="17">
        <f t="shared" si="19"/>
        <v>0</v>
      </c>
      <c r="BK40" s="17">
        <f t="shared" si="19"/>
        <v>0</v>
      </c>
      <c r="BL40" s="17">
        <f t="shared" si="19"/>
        <v>0</v>
      </c>
      <c r="BM40" s="17">
        <f t="shared" si="19"/>
        <v>0</v>
      </c>
      <c r="BN40" s="17">
        <f t="shared" si="19"/>
        <v>0</v>
      </c>
      <c r="BO40" s="17">
        <f t="shared" si="19"/>
        <v>0</v>
      </c>
      <c r="BP40" s="17">
        <f t="shared" si="19"/>
        <v>0</v>
      </c>
      <c r="BQ40" s="17">
        <f t="shared" si="19"/>
        <v>0</v>
      </c>
    </row>
    <row r="41" spans="1:69" s="32" customFormat="1" ht="10.8" thickBot="1">
      <c r="A41" s="1"/>
      <c r="B41" s="31" t="s">
        <v>145</v>
      </c>
      <c r="E41" s="37">
        <f>SUM(E31:E40)</f>
        <v>1000</v>
      </c>
      <c r="F41" s="37">
        <f t="shared" ref="F41:I41" si="26">SUM(F31:F40)</f>
        <v>1050</v>
      </c>
      <c r="G41" s="37">
        <f t="shared" si="26"/>
        <v>1102.5</v>
      </c>
      <c r="H41" s="37">
        <f t="shared" si="26"/>
        <v>1157.625</v>
      </c>
      <c r="I41" s="37">
        <f t="shared" si="26"/>
        <v>1215.5062500000001</v>
      </c>
      <c r="J41" s="37">
        <f t="shared" ref="J41" si="27">SUM(J31:J40)</f>
        <v>1000</v>
      </c>
      <c r="K41" s="37">
        <f t="shared" ref="K41:BQ41" si="28">SUM(K31:K40)</f>
        <v>1000</v>
      </c>
      <c r="L41" s="37">
        <f t="shared" si="28"/>
        <v>1000</v>
      </c>
      <c r="M41" s="37">
        <f t="shared" si="28"/>
        <v>1000</v>
      </c>
      <c r="N41" s="37">
        <f t="shared" si="28"/>
        <v>1000</v>
      </c>
      <c r="O41" s="37">
        <f t="shared" si="28"/>
        <v>1000</v>
      </c>
      <c r="P41" s="37">
        <f t="shared" si="28"/>
        <v>1000</v>
      </c>
      <c r="Q41" s="37">
        <f t="shared" si="28"/>
        <v>1000</v>
      </c>
      <c r="R41" s="37">
        <f t="shared" si="28"/>
        <v>1000</v>
      </c>
      <c r="S41" s="37">
        <f t="shared" si="28"/>
        <v>1000</v>
      </c>
      <c r="T41" s="37">
        <f t="shared" si="28"/>
        <v>1000</v>
      </c>
      <c r="U41" s="37">
        <f t="shared" si="28"/>
        <v>1000</v>
      </c>
      <c r="V41" s="37">
        <f t="shared" si="28"/>
        <v>1050</v>
      </c>
      <c r="W41" s="37">
        <f t="shared" si="28"/>
        <v>1050</v>
      </c>
      <c r="X41" s="37">
        <f t="shared" si="28"/>
        <v>1050</v>
      </c>
      <c r="Y41" s="37">
        <f t="shared" si="28"/>
        <v>1050</v>
      </c>
      <c r="Z41" s="37">
        <f t="shared" si="28"/>
        <v>1050</v>
      </c>
      <c r="AA41" s="37">
        <f t="shared" si="28"/>
        <v>1050</v>
      </c>
      <c r="AB41" s="37">
        <f t="shared" si="28"/>
        <v>1050</v>
      </c>
      <c r="AC41" s="37">
        <f t="shared" si="28"/>
        <v>1050</v>
      </c>
      <c r="AD41" s="37">
        <f t="shared" si="28"/>
        <v>1050</v>
      </c>
      <c r="AE41" s="37">
        <f t="shared" si="28"/>
        <v>1050</v>
      </c>
      <c r="AF41" s="37">
        <f t="shared" si="28"/>
        <v>1050</v>
      </c>
      <c r="AG41" s="37">
        <f t="shared" si="28"/>
        <v>1050</v>
      </c>
      <c r="AH41" s="37">
        <f t="shared" si="28"/>
        <v>1102.5</v>
      </c>
      <c r="AI41" s="37">
        <f t="shared" si="28"/>
        <v>1102.5</v>
      </c>
      <c r="AJ41" s="37">
        <f t="shared" si="28"/>
        <v>1102.5</v>
      </c>
      <c r="AK41" s="37">
        <f t="shared" si="28"/>
        <v>1102.5</v>
      </c>
      <c r="AL41" s="37">
        <f t="shared" si="28"/>
        <v>1102.5</v>
      </c>
      <c r="AM41" s="37">
        <f t="shared" si="28"/>
        <v>1102.5</v>
      </c>
      <c r="AN41" s="37">
        <f t="shared" si="28"/>
        <v>1102.5</v>
      </c>
      <c r="AO41" s="37">
        <f t="shared" si="28"/>
        <v>1102.5</v>
      </c>
      <c r="AP41" s="37">
        <f t="shared" si="28"/>
        <v>1102.5</v>
      </c>
      <c r="AQ41" s="37">
        <f t="shared" si="28"/>
        <v>1102.5</v>
      </c>
      <c r="AR41" s="37">
        <f t="shared" si="28"/>
        <v>1102.5</v>
      </c>
      <c r="AS41" s="37">
        <f t="shared" si="28"/>
        <v>1102.5</v>
      </c>
      <c r="AT41" s="37">
        <f t="shared" si="28"/>
        <v>1157.625</v>
      </c>
      <c r="AU41" s="37">
        <f t="shared" si="28"/>
        <v>1157.625</v>
      </c>
      <c r="AV41" s="37">
        <f t="shared" si="28"/>
        <v>1157.625</v>
      </c>
      <c r="AW41" s="37">
        <f t="shared" si="28"/>
        <v>1157.625</v>
      </c>
      <c r="AX41" s="37">
        <f t="shared" si="28"/>
        <v>1157.625</v>
      </c>
      <c r="AY41" s="37">
        <f t="shared" si="28"/>
        <v>1157.625</v>
      </c>
      <c r="AZ41" s="37">
        <f t="shared" si="28"/>
        <v>1157.625</v>
      </c>
      <c r="BA41" s="37">
        <f t="shared" si="28"/>
        <v>1157.625</v>
      </c>
      <c r="BB41" s="37">
        <f t="shared" si="28"/>
        <v>1157.625</v>
      </c>
      <c r="BC41" s="37">
        <f t="shared" si="28"/>
        <v>1157.625</v>
      </c>
      <c r="BD41" s="37">
        <f t="shared" si="28"/>
        <v>1157.625</v>
      </c>
      <c r="BE41" s="37">
        <f t="shared" si="28"/>
        <v>1157.625</v>
      </c>
      <c r="BF41" s="37">
        <f t="shared" si="28"/>
        <v>1215.5062500000001</v>
      </c>
      <c r="BG41" s="37">
        <f t="shared" si="28"/>
        <v>1215.5062500000001</v>
      </c>
      <c r="BH41" s="37">
        <f t="shared" si="28"/>
        <v>1215.5062500000001</v>
      </c>
      <c r="BI41" s="37">
        <f t="shared" si="28"/>
        <v>1215.5062500000001</v>
      </c>
      <c r="BJ41" s="37">
        <f t="shared" si="28"/>
        <v>1215.5062500000001</v>
      </c>
      <c r="BK41" s="37">
        <f t="shared" si="28"/>
        <v>1215.5062500000001</v>
      </c>
      <c r="BL41" s="37">
        <f t="shared" si="28"/>
        <v>1215.5062500000001</v>
      </c>
      <c r="BM41" s="37">
        <f t="shared" si="28"/>
        <v>1215.5062500000001</v>
      </c>
      <c r="BN41" s="37">
        <f t="shared" si="28"/>
        <v>1215.5062500000001</v>
      </c>
      <c r="BO41" s="37">
        <f t="shared" si="28"/>
        <v>1215.5062500000001</v>
      </c>
      <c r="BP41" s="37">
        <f t="shared" si="28"/>
        <v>1215.5062500000001</v>
      </c>
      <c r="BQ41" s="37">
        <f t="shared" si="28"/>
        <v>1215.5062500000001</v>
      </c>
    </row>
    <row r="43" spans="1:69" ht="10.5" customHeight="1" thickBot="1"/>
    <row r="44" spans="1:69" s="24" customFormat="1" ht="13.8">
      <c r="A44" s="1"/>
      <c r="B44" s="23" t="str">
        <f>"Salaries &amp; Wages, "&amp;Currency</f>
        <v>Salaries &amp; Wages, $</v>
      </c>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row>
    <row r="45" spans="1:69" s="27" customFormat="1" ht="10.199999999999999">
      <c r="A45" s="1"/>
      <c r="B45" s="2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row>
    <row r="46" spans="1:69" s="27" customFormat="1" ht="10.199999999999999">
      <c r="A46" s="1"/>
      <c r="B46" s="38" t="s">
        <v>26</v>
      </c>
      <c r="C46" s="30" t="s">
        <v>118</v>
      </c>
      <c r="D46" s="30" t="s">
        <v>119</v>
      </c>
      <c r="E46" s="13" t="str">
        <f>"Annual Salary (incl. Bonuses &amp; Taxes), "&amp;Currency</f>
        <v>Annual Salary (incl. Bonuses &amp; Taxes), $</v>
      </c>
      <c r="F46" s="13"/>
      <c r="G46" s="13"/>
      <c r="H46" s="13"/>
      <c r="I46" s="13"/>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row>
    <row r="47" spans="1:69" s="27" customFormat="1" ht="10.199999999999999">
      <c r="A47" s="1"/>
      <c r="B47" s="39" t="s">
        <v>148</v>
      </c>
      <c r="C47" s="40">
        <f>$J$15</f>
        <v>43131</v>
      </c>
      <c r="D47" s="40">
        <f>$BQ$15</f>
        <v>44926</v>
      </c>
      <c r="E47" s="55">
        <v>20000</v>
      </c>
      <c r="F47" s="56">
        <f>E47*1.05</f>
        <v>21000</v>
      </c>
      <c r="G47" s="56">
        <f t="shared" ref="G47:I47" si="29">F47*1.05</f>
        <v>22050</v>
      </c>
      <c r="H47" s="56">
        <f t="shared" si="29"/>
        <v>23152.5</v>
      </c>
      <c r="I47" s="57">
        <f t="shared" si="29"/>
        <v>24310.125</v>
      </c>
      <c r="J47" s="19">
        <f t="shared" ref="J47:J56" si="30">IF(AND($C47&lt;=J$15,$D47&gt;=J$15),INDEX($E47:$I47,1,J$14),0)/12</f>
        <v>1666.6666666666667</v>
      </c>
      <c r="K47" s="20">
        <f t="shared" ref="K47:BQ51" si="31">IF(AND($C47&lt;=K$15,$D47&gt;=K$15),INDEX($E47:$I47,1,K$14),0)/12</f>
        <v>1666.6666666666667</v>
      </c>
      <c r="L47" s="20">
        <f t="shared" si="31"/>
        <v>1666.6666666666667</v>
      </c>
      <c r="M47" s="20">
        <f t="shared" si="31"/>
        <v>1666.6666666666667</v>
      </c>
      <c r="N47" s="20">
        <f t="shared" si="31"/>
        <v>1666.6666666666667</v>
      </c>
      <c r="O47" s="20">
        <f t="shared" si="31"/>
        <v>1666.6666666666667</v>
      </c>
      <c r="P47" s="20">
        <f t="shared" si="31"/>
        <v>1666.6666666666667</v>
      </c>
      <c r="Q47" s="20">
        <f t="shared" si="31"/>
        <v>1666.6666666666667</v>
      </c>
      <c r="R47" s="20">
        <f t="shared" si="31"/>
        <v>1666.6666666666667</v>
      </c>
      <c r="S47" s="20">
        <f t="shared" si="31"/>
        <v>1666.6666666666667</v>
      </c>
      <c r="T47" s="20">
        <f t="shared" si="31"/>
        <v>1666.6666666666667</v>
      </c>
      <c r="U47" s="20">
        <f t="shared" si="31"/>
        <v>1666.6666666666667</v>
      </c>
      <c r="V47" s="20">
        <f t="shared" si="31"/>
        <v>1750</v>
      </c>
      <c r="W47" s="20">
        <f t="shared" si="31"/>
        <v>1750</v>
      </c>
      <c r="X47" s="20">
        <f t="shared" si="31"/>
        <v>1750</v>
      </c>
      <c r="Y47" s="20">
        <f t="shared" si="31"/>
        <v>1750</v>
      </c>
      <c r="Z47" s="20">
        <f t="shared" si="31"/>
        <v>1750</v>
      </c>
      <c r="AA47" s="20">
        <f t="shared" si="31"/>
        <v>1750</v>
      </c>
      <c r="AB47" s="20">
        <f t="shared" si="31"/>
        <v>1750</v>
      </c>
      <c r="AC47" s="20">
        <f t="shared" si="31"/>
        <v>1750</v>
      </c>
      <c r="AD47" s="20">
        <f t="shared" si="31"/>
        <v>1750</v>
      </c>
      <c r="AE47" s="20">
        <f t="shared" si="31"/>
        <v>1750</v>
      </c>
      <c r="AF47" s="20">
        <f t="shared" si="31"/>
        <v>1750</v>
      </c>
      <c r="AG47" s="20">
        <f t="shared" si="31"/>
        <v>1750</v>
      </c>
      <c r="AH47" s="20">
        <f t="shared" si="31"/>
        <v>1837.5</v>
      </c>
      <c r="AI47" s="20">
        <f t="shared" si="31"/>
        <v>1837.5</v>
      </c>
      <c r="AJ47" s="20">
        <f t="shared" si="31"/>
        <v>1837.5</v>
      </c>
      <c r="AK47" s="20">
        <f t="shared" si="31"/>
        <v>1837.5</v>
      </c>
      <c r="AL47" s="20">
        <f t="shared" si="31"/>
        <v>1837.5</v>
      </c>
      <c r="AM47" s="20">
        <f t="shared" si="31"/>
        <v>1837.5</v>
      </c>
      <c r="AN47" s="20">
        <f t="shared" si="31"/>
        <v>1837.5</v>
      </c>
      <c r="AO47" s="20">
        <f t="shared" si="31"/>
        <v>1837.5</v>
      </c>
      <c r="AP47" s="20">
        <f t="shared" si="31"/>
        <v>1837.5</v>
      </c>
      <c r="AQ47" s="20">
        <f t="shared" si="31"/>
        <v>1837.5</v>
      </c>
      <c r="AR47" s="20">
        <f t="shared" si="31"/>
        <v>1837.5</v>
      </c>
      <c r="AS47" s="20">
        <f t="shared" si="31"/>
        <v>1837.5</v>
      </c>
      <c r="AT47" s="20">
        <f t="shared" si="31"/>
        <v>1929.375</v>
      </c>
      <c r="AU47" s="20">
        <f t="shared" si="31"/>
        <v>1929.375</v>
      </c>
      <c r="AV47" s="20">
        <f t="shared" si="31"/>
        <v>1929.375</v>
      </c>
      <c r="AW47" s="20">
        <f t="shared" si="31"/>
        <v>1929.375</v>
      </c>
      <c r="AX47" s="20">
        <f t="shared" si="31"/>
        <v>1929.375</v>
      </c>
      <c r="AY47" s="20">
        <f t="shared" si="31"/>
        <v>1929.375</v>
      </c>
      <c r="AZ47" s="20">
        <f t="shared" si="31"/>
        <v>1929.375</v>
      </c>
      <c r="BA47" s="20">
        <f t="shared" si="31"/>
        <v>1929.375</v>
      </c>
      <c r="BB47" s="20">
        <f t="shared" si="31"/>
        <v>1929.375</v>
      </c>
      <c r="BC47" s="20">
        <f t="shared" si="31"/>
        <v>1929.375</v>
      </c>
      <c r="BD47" s="20">
        <f t="shared" si="31"/>
        <v>1929.375</v>
      </c>
      <c r="BE47" s="20">
        <f t="shared" si="31"/>
        <v>1929.375</v>
      </c>
      <c r="BF47" s="20">
        <f t="shared" si="31"/>
        <v>2025.84375</v>
      </c>
      <c r="BG47" s="20">
        <f t="shared" si="31"/>
        <v>2025.84375</v>
      </c>
      <c r="BH47" s="20">
        <f t="shared" si="31"/>
        <v>2025.84375</v>
      </c>
      <c r="BI47" s="20">
        <f t="shared" si="31"/>
        <v>2025.84375</v>
      </c>
      <c r="BJ47" s="20">
        <f t="shared" si="31"/>
        <v>2025.84375</v>
      </c>
      <c r="BK47" s="20">
        <f t="shared" si="31"/>
        <v>2025.84375</v>
      </c>
      <c r="BL47" s="20">
        <f t="shared" si="31"/>
        <v>2025.84375</v>
      </c>
      <c r="BM47" s="20">
        <f t="shared" si="31"/>
        <v>2025.84375</v>
      </c>
      <c r="BN47" s="20">
        <f t="shared" si="31"/>
        <v>2025.84375</v>
      </c>
      <c r="BO47" s="20">
        <f t="shared" si="31"/>
        <v>2025.84375</v>
      </c>
      <c r="BP47" s="20">
        <f t="shared" si="31"/>
        <v>2025.84375</v>
      </c>
      <c r="BQ47" s="20">
        <f t="shared" si="31"/>
        <v>2025.84375</v>
      </c>
    </row>
    <row r="48" spans="1:69" s="27" customFormat="1" ht="10.199999999999999">
      <c r="A48" s="1"/>
      <c r="B48" s="44" t="s">
        <v>123</v>
      </c>
      <c r="C48" s="45">
        <f t="shared" ref="C48:C56" si="32">$J$15</f>
        <v>43131</v>
      </c>
      <c r="D48" s="45">
        <f t="shared" ref="D48:D56" si="33">$BQ$15</f>
        <v>44926</v>
      </c>
      <c r="E48" s="58">
        <v>0</v>
      </c>
      <c r="F48" s="59">
        <f t="shared" ref="F48" si="34">E48</f>
        <v>0</v>
      </c>
      <c r="G48" s="59">
        <f t="shared" ref="G48:G56" si="35">F48</f>
        <v>0</v>
      </c>
      <c r="H48" s="59">
        <f t="shared" ref="H48:H56" si="36">G48</f>
        <v>0</v>
      </c>
      <c r="I48" s="60">
        <f t="shared" ref="I48:I56" si="37">H48</f>
        <v>0</v>
      </c>
      <c r="J48" s="19">
        <f t="shared" si="30"/>
        <v>0</v>
      </c>
      <c r="K48" s="20">
        <f t="shared" si="31"/>
        <v>0</v>
      </c>
      <c r="L48" s="20">
        <f t="shared" si="31"/>
        <v>0</v>
      </c>
      <c r="M48" s="20">
        <f t="shared" si="31"/>
        <v>0</v>
      </c>
      <c r="N48" s="20">
        <f t="shared" si="31"/>
        <v>0</v>
      </c>
      <c r="O48" s="20">
        <f t="shared" si="31"/>
        <v>0</v>
      </c>
      <c r="P48" s="20">
        <f t="shared" si="31"/>
        <v>0</v>
      </c>
      <c r="Q48" s="20">
        <f t="shared" si="31"/>
        <v>0</v>
      </c>
      <c r="R48" s="20">
        <f t="shared" si="31"/>
        <v>0</v>
      </c>
      <c r="S48" s="20">
        <f t="shared" si="31"/>
        <v>0</v>
      </c>
      <c r="T48" s="20">
        <f t="shared" si="31"/>
        <v>0</v>
      </c>
      <c r="U48" s="20">
        <f t="shared" si="31"/>
        <v>0</v>
      </c>
      <c r="V48" s="20">
        <f t="shared" si="31"/>
        <v>0</v>
      </c>
      <c r="W48" s="20">
        <f t="shared" si="31"/>
        <v>0</v>
      </c>
      <c r="X48" s="20">
        <f t="shared" si="31"/>
        <v>0</v>
      </c>
      <c r="Y48" s="20">
        <f t="shared" si="31"/>
        <v>0</v>
      </c>
      <c r="Z48" s="20">
        <f t="shared" si="31"/>
        <v>0</v>
      </c>
      <c r="AA48" s="20">
        <f t="shared" si="31"/>
        <v>0</v>
      </c>
      <c r="AB48" s="20">
        <f t="shared" si="31"/>
        <v>0</v>
      </c>
      <c r="AC48" s="20">
        <f t="shared" si="31"/>
        <v>0</v>
      </c>
      <c r="AD48" s="20">
        <f t="shared" si="31"/>
        <v>0</v>
      </c>
      <c r="AE48" s="20">
        <f t="shared" si="31"/>
        <v>0</v>
      </c>
      <c r="AF48" s="20">
        <f t="shared" si="31"/>
        <v>0</v>
      </c>
      <c r="AG48" s="20">
        <f t="shared" si="31"/>
        <v>0</v>
      </c>
      <c r="AH48" s="20">
        <f t="shared" si="31"/>
        <v>0</v>
      </c>
      <c r="AI48" s="20">
        <f t="shared" si="31"/>
        <v>0</v>
      </c>
      <c r="AJ48" s="20">
        <f t="shared" si="31"/>
        <v>0</v>
      </c>
      <c r="AK48" s="20">
        <f t="shared" si="31"/>
        <v>0</v>
      </c>
      <c r="AL48" s="20">
        <f t="shared" si="31"/>
        <v>0</v>
      </c>
      <c r="AM48" s="20">
        <f t="shared" si="31"/>
        <v>0</v>
      </c>
      <c r="AN48" s="20">
        <f t="shared" si="31"/>
        <v>0</v>
      </c>
      <c r="AO48" s="20">
        <f t="shared" si="31"/>
        <v>0</v>
      </c>
      <c r="AP48" s="20">
        <f t="shared" si="31"/>
        <v>0</v>
      </c>
      <c r="AQ48" s="20">
        <f t="shared" si="31"/>
        <v>0</v>
      </c>
      <c r="AR48" s="20">
        <f t="shared" si="31"/>
        <v>0</v>
      </c>
      <c r="AS48" s="20">
        <f t="shared" si="31"/>
        <v>0</v>
      </c>
      <c r="AT48" s="20">
        <f t="shared" si="31"/>
        <v>0</v>
      </c>
      <c r="AU48" s="20">
        <f t="shared" si="31"/>
        <v>0</v>
      </c>
      <c r="AV48" s="20">
        <f t="shared" si="31"/>
        <v>0</v>
      </c>
      <c r="AW48" s="20">
        <f t="shared" si="31"/>
        <v>0</v>
      </c>
      <c r="AX48" s="20">
        <f t="shared" si="31"/>
        <v>0</v>
      </c>
      <c r="AY48" s="20">
        <f t="shared" si="31"/>
        <v>0</v>
      </c>
      <c r="AZ48" s="20">
        <f t="shared" si="31"/>
        <v>0</v>
      </c>
      <c r="BA48" s="20">
        <f t="shared" si="31"/>
        <v>0</v>
      </c>
      <c r="BB48" s="20">
        <f t="shared" si="31"/>
        <v>0</v>
      </c>
      <c r="BC48" s="20">
        <f t="shared" si="31"/>
        <v>0</v>
      </c>
      <c r="BD48" s="20">
        <f t="shared" si="31"/>
        <v>0</v>
      </c>
      <c r="BE48" s="20">
        <f t="shared" si="31"/>
        <v>0</v>
      </c>
      <c r="BF48" s="20">
        <f t="shared" si="31"/>
        <v>0</v>
      </c>
      <c r="BG48" s="20">
        <f t="shared" si="31"/>
        <v>0</v>
      </c>
      <c r="BH48" s="20">
        <f t="shared" si="31"/>
        <v>0</v>
      </c>
      <c r="BI48" s="20">
        <f t="shared" si="31"/>
        <v>0</v>
      </c>
      <c r="BJ48" s="20">
        <f t="shared" si="31"/>
        <v>0</v>
      </c>
      <c r="BK48" s="20">
        <f t="shared" si="31"/>
        <v>0</v>
      </c>
      <c r="BL48" s="20">
        <f t="shared" si="31"/>
        <v>0</v>
      </c>
      <c r="BM48" s="20">
        <f t="shared" si="31"/>
        <v>0</v>
      </c>
      <c r="BN48" s="20">
        <f t="shared" si="31"/>
        <v>0</v>
      </c>
      <c r="BO48" s="20">
        <f t="shared" si="31"/>
        <v>0</v>
      </c>
      <c r="BP48" s="20">
        <f t="shared" si="31"/>
        <v>0</v>
      </c>
      <c r="BQ48" s="20">
        <f t="shared" si="31"/>
        <v>0</v>
      </c>
    </row>
    <row r="49" spans="1:69" s="27" customFormat="1" ht="10.199999999999999">
      <c r="A49" s="1"/>
      <c r="B49" s="44" t="s">
        <v>124</v>
      </c>
      <c r="C49" s="45">
        <f t="shared" si="32"/>
        <v>43131</v>
      </c>
      <c r="D49" s="45">
        <f t="shared" si="33"/>
        <v>44926</v>
      </c>
      <c r="E49" s="58">
        <v>0</v>
      </c>
      <c r="F49" s="59">
        <f t="shared" ref="F49" si="38">E49</f>
        <v>0</v>
      </c>
      <c r="G49" s="59">
        <f t="shared" si="35"/>
        <v>0</v>
      </c>
      <c r="H49" s="59">
        <f t="shared" si="36"/>
        <v>0</v>
      </c>
      <c r="I49" s="60">
        <f t="shared" si="37"/>
        <v>0</v>
      </c>
      <c r="J49" s="19">
        <f t="shared" si="30"/>
        <v>0</v>
      </c>
      <c r="K49" s="20">
        <f t="shared" si="31"/>
        <v>0</v>
      </c>
      <c r="L49" s="20">
        <f t="shared" si="31"/>
        <v>0</v>
      </c>
      <c r="M49" s="20">
        <f t="shared" si="31"/>
        <v>0</v>
      </c>
      <c r="N49" s="20">
        <f t="shared" si="31"/>
        <v>0</v>
      </c>
      <c r="O49" s="20">
        <f t="shared" si="31"/>
        <v>0</v>
      </c>
      <c r="P49" s="20">
        <f t="shared" si="31"/>
        <v>0</v>
      </c>
      <c r="Q49" s="20">
        <f t="shared" si="31"/>
        <v>0</v>
      </c>
      <c r="R49" s="20">
        <f t="shared" si="31"/>
        <v>0</v>
      </c>
      <c r="S49" s="20">
        <f t="shared" si="31"/>
        <v>0</v>
      </c>
      <c r="T49" s="20">
        <f t="shared" si="31"/>
        <v>0</v>
      </c>
      <c r="U49" s="20">
        <f t="shared" si="31"/>
        <v>0</v>
      </c>
      <c r="V49" s="20">
        <f t="shared" si="31"/>
        <v>0</v>
      </c>
      <c r="W49" s="20">
        <f t="shared" si="31"/>
        <v>0</v>
      </c>
      <c r="X49" s="20">
        <f t="shared" si="31"/>
        <v>0</v>
      </c>
      <c r="Y49" s="20">
        <f t="shared" si="31"/>
        <v>0</v>
      </c>
      <c r="Z49" s="20">
        <f t="shared" si="31"/>
        <v>0</v>
      </c>
      <c r="AA49" s="20">
        <f t="shared" si="31"/>
        <v>0</v>
      </c>
      <c r="AB49" s="20">
        <f t="shared" si="31"/>
        <v>0</v>
      </c>
      <c r="AC49" s="20">
        <f t="shared" si="31"/>
        <v>0</v>
      </c>
      <c r="AD49" s="20">
        <f t="shared" si="31"/>
        <v>0</v>
      </c>
      <c r="AE49" s="20">
        <f t="shared" si="31"/>
        <v>0</v>
      </c>
      <c r="AF49" s="20">
        <f t="shared" si="31"/>
        <v>0</v>
      </c>
      <c r="AG49" s="20">
        <f t="shared" si="31"/>
        <v>0</v>
      </c>
      <c r="AH49" s="20">
        <f t="shared" si="31"/>
        <v>0</v>
      </c>
      <c r="AI49" s="20">
        <f t="shared" si="31"/>
        <v>0</v>
      </c>
      <c r="AJ49" s="20">
        <f t="shared" si="31"/>
        <v>0</v>
      </c>
      <c r="AK49" s="20">
        <f t="shared" si="31"/>
        <v>0</v>
      </c>
      <c r="AL49" s="20">
        <f t="shared" si="31"/>
        <v>0</v>
      </c>
      <c r="AM49" s="20">
        <f t="shared" si="31"/>
        <v>0</v>
      </c>
      <c r="AN49" s="20">
        <f t="shared" si="31"/>
        <v>0</v>
      </c>
      <c r="AO49" s="20">
        <f t="shared" si="31"/>
        <v>0</v>
      </c>
      <c r="AP49" s="20">
        <f t="shared" si="31"/>
        <v>0</v>
      </c>
      <c r="AQ49" s="20">
        <f t="shared" si="31"/>
        <v>0</v>
      </c>
      <c r="AR49" s="20">
        <f t="shared" si="31"/>
        <v>0</v>
      </c>
      <c r="AS49" s="20">
        <f t="shared" si="31"/>
        <v>0</v>
      </c>
      <c r="AT49" s="20">
        <f t="shared" si="31"/>
        <v>0</v>
      </c>
      <c r="AU49" s="20">
        <f t="shared" si="31"/>
        <v>0</v>
      </c>
      <c r="AV49" s="20">
        <f t="shared" si="31"/>
        <v>0</v>
      </c>
      <c r="AW49" s="20">
        <f t="shared" si="31"/>
        <v>0</v>
      </c>
      <c r="AX49" s="20">
        <f t="shared" si="31"/>
        <v>0</v>
      </c>
      <c r="AY49" s="20">
        <f t="shared" si="31"/>
        <v>0</v>
      </c>
      <c r="AZ49" s="20">
        <f t="shared" si="31"/>
        <v>0</v>
      </c>
      <c r="BA49" s="20">
        <f t="shared" si="31"/>
        <v>0</v>
      </c>
      <c r="BB49" s="20">
        <f t="shared" si="31"/>
        <v>0</v>
      </c>
      <c r="BC49" s="20">
        <f t="shared" si="31"/>
        <v>0</v>
      </c>
      <c r="BD49" s="20">
        <f t="shared" si="31"/>
        <v>0</v>
      </c>
      <c r="BE49" s="20">
        <f t="shared" si="31"/>
        <v>0</v>
      </c>
      <c r="BF49" s="20">
        <f t="shared" si="31"/>
        <v>0</v>
      </c>
      <c r="BG49" s="20">
        <f t="shared" si="31"/>
        <v>0</v>
      </c>
      <c r="BH49" s="20">
        <f t="shared" si="31"/>
        <v>0</v>
      </c>
      <c r="BI49" s="20">
        <f t="shared" si="31"/>
        <v>0</v>
      </c>
      <c r="BJ49" s="20">
        <f t="shared" si="31"/>
        <v>0</v>
      </c>
      <c r="BK49" s="20">
        <f t="shared" si="31"/>
        <v>0</v>
      </c>
      <c r="BL49" s="20">
        <f t="shared" si="31"/>
        <v>0</v>
      </c>
      <c r="BM49" s="20">
        <f t="shared" si="31"/>
        <v>0</v>
      </c>
      <c r="BN49" s="20">
        <f t="shared" si="31"/>
        <v>0</v>
      </c>
      <c r="BO49" s="20">
        <f t="shared" si="31"/>
        <v>0</v>
      </c>
      <c r="BP49" s="20">
        <f t="shared" si="31"/>
        <v>0</v>
      </c>
      <c r="BQ49" s="20">
        <f t="shared" si="31"/>
        <v>0</v>
      </c>
    </row>
    <row r="50" spans="1:69" s="27" customFormat="1" ht="10.199999999999999">
      <c r="A50" s="1"/>
      <c r="B50" s="44" t="s">
        <v>125</v>
      </c>
      <c r="C50" s="45">
        <f t="shared" si="32"/>
        <v>43131</v>
      </c>
      <c r="D50" s="45">
        <f t="shared" si="33"/>
        <v>44926</v>
      </c>
      <c r="E50" s="58">
        <v>0</v>
      </c>
      <c r="F50" s="59">
        <f t="shared" ref="F50:F56" si="39">E50</f>
        <v>0</v>
      </c>
      <c r="G50" s="59">
        <f t="shared" si="35"/>
        <v>0</v>
      </c>
      <c r="H50" s="59">
        <f t="shared" si="36"/>
        <v>0</v>
      </c>
      <c r="I50" s="60">
        <f t="shared" si="37"/>
        <v>0</v>
      </c>
      <c r="J50" s="19">
        <f t="shared" si="30"/>
        <v>0</v>
      </c>
      <c r="K50" s="20">
        <f t="shared" si="31"/>
        <v>0</v>
      </c>
      <c r="L50" s="20">
        <f t="shared" si="31"/>
        <v>0</v>
      </c>
      <c r="M50" s="20">
        <f t="shared" si="31"/>
        <v>0</v>
      </c>
      <c r="N50" s="20">
        <f t="shared" si="31"/>
        <v>0</v>
      </c>
      <c r="O50" s="20">
        <f t="shared" si="31"/>
        <v>0</v>
      </c>
      <c r="P50" s="20">
        <f t="shared" si="31"/>
        <v>0</v>
      </c>
      <c r="Q50" s="20">
        <f t="shared" si="31"/>
        <v>0</v>
      </c>
      <c r="R50" s="20">
        <f t="shared" si="31"/>
        <v>0</v>
      </c>
      <c r="S50" s="20">
        <f t="shared" si="31"/>
        <v>0</v>
      </c>
      <c r="T50" s="20">
        <f t="shared" si="31"/>
        <v>0</v>
      </c>
      <c r="U50" s="20">
        <f t="shared" si="31"/>
        <v>0</v>
      </c>
      <c r="V50" s="20">
        <f t="shared" si="31"/>
        <v>0</v>
      </c>
      <c r="W50" s="20">
        <f t="shared" si="31"/>
        <v>0</v>
      </c>
      <c r="X50" s="20">
        <f t="shared" si="31"/>
        <v>0</v>
      </c>
      <c r="Y50" s="20">
        <f t="shared" si="31"/>
        <v>0</v>
      </c>
      <c r="Z50" s="20">
        <f t="shared" si="31"/>
        <v>0</v>
      </c>
      <c r="AA50" s="20">
        <f t="shared" si="31"/>
        <v>0</v>
      </c>
      <c r="AB50" s="20">
        <f t="shared" si="31"/>
        <v>0</v>
      </c>
      <c r="AC50" s="20">
        <f t="shared" si="31"/>
        <v>0</v>
      </c>
      <c r="AD50" s="20">
        <f t="shared" si="31"/>
        <v>0</v>
      </c>
      <c r="AE50" s="20">
        <f t="shared" si="31"/>
        <v>0</v>
      </c>
      <c r="AF50" s="20">
        <f t="shared" si="31"/>
        <v>0</v>
      </c>
      <c r="AG50" s="20">
        <f t="shared" si="31"/>
        <v>0</v>
      </c>
      <c r="AH50" s="20">
        <f t="shared" si="31"/>
        <v>0</v>
      </c>
      <c r="AI50" s="20">
        <f t="shared" si="31"/>
        <v>0</v>
      </c>
      <c r="AJ50" s="20">
        <f t="shared" si="31"/>
        <v>0</v>
      </c>
      <c r="AK50" s="20">
        <f t="shared" si="31"/>
        <v>0</v>
      </c>
      <c r="AL50" s="20">
        <f t="shared" si="31"/>
        <v>0</v>
      </c>
      <c r="AM50" s="20">
        <f t="shared" si="31"/>
        <v>0</v>
      </c>
      <c r="AN50" s="20">
        <f t="shared" si="31"/>
        <v>0</v>
      </c>
      <c r="AO50" s="20">
        <f t="shared" si="31"/>
        <v>0</v>
      </c>
      <c r="AP50" s="20">
        <f t="shared" si="31"/>
        <v>0</v>
      </c>
      <c r="AQ50" s="20">
        <f t="shared" si="31"/>
        <v>0</v>
      </c>
      <c r="AR50" s="20">
        <f t="shared" si="31"/>
        <v>0</v>
      </c>
      <c r="AS50" s="20">
        <f t="shared" si="31"/>
        <v>0</v>
      </c>
      <c r="AT50" s="20">
        <f t="shared" si="31"/>
        <v>0</v>
      </c>
      <c r="AU50" s="20">
        <f t="shared" si="31"/>
        <v>0</v>
      </c>
      <c r="AV50" s="20">
        <f t="shared" si="31"/>
        <v>0</v>
      </c>
      <c r="AW50" s="20">
        <f t="shared" si="31"/>
        <v>0</v>
      </c>
      <c r="AX50" s="20">
        <f t="shared" si="31"/>
        <v>0</v>
      </c>
      <c r="AY50" s="20">
        <f t="shared" si="31"/>
        <v>0</v>
      </c>
      <c r="AZ50" s="20">
        <f t="shared" si="31"/>
        <v>0</v>
      </c>
      <c r="BA50" s="20">
        <f t="shared" si="31"/>
        <v>0</v>
      </c>
      <c r="BB50" s="20">
        <f t="shared" si="31"/>
        <v>0</v>
      </c>
      <c r="BC50" s="20">
        <f t="shared" si="31"/>
        <v>0</v>
      </c>
      <c r="BD50" s="20">
        <f t="shared" si="31"/>
        <v>0</v>
      </c>
      <c r="BE50" s="20">
        <f t="shared" si="31"/>
        <v>0</v>
      </c>
      <c r="BF50" s="20">
        <f t="shared" si="31"/>
        <v>0</v>
      </c>
      <c r="BG50" s="20">
        <f t="shared" si="31"/>
        <v>0</v>
      </c>
      <c r="BH50" s="20">
        <f t="shared" si="31"/>
        <v>0</v>
      </c>
      <c r="BI50" s="20">
        <f t="shared" si="31"/>
        <v>0</v>
      </c>
      <c r="BJ50" s="20">
        <f t="shared" si="31"/>
        <v>0</v>
      </c>
      <c r="BK50" s="20">
        <f t="shared" si="31"/>
        <v>0</v>
      </c>
      <c r="BL50" s="20">
        <f t="shared" si="31"/>
        <v>0</v>
      </c>
      <c r="BM50" s="20">
        <f t="shared" si="31"/>
        <v>0</v>
      </c>
      <c r="BN50" s="20">
        <f t="shared" si="31"/>
        <v>0</v>
      </c>
      <c r="BO50" s="20">
        <f t="shared" si="31"/>
        <v>0</v>
      </c>
      <c r="BP50" s="20">
        <f t="shared" si="31"/>
        <v>0</v>
      </c>
      <c r="BQ50" s="20">
        <f t="shared" si="31"/>
        <v>0</v>
      </c>
    </row>
    <row r="51" spans="1:69" s="27" customFormat="1" ht="10.199999999999999">
      <c r="A51" s="1"/>
      <c r="B51" s="44" t="s">
        <v>126</v>
      </c>
      <c r="C51" s="45">
        <f t="shared" si="32"/>
        <v>43131</v>
      </c>
      <c r="D51" s="45">
        <f t="shared" si="33"/>
        <v>44926</v>
      </c>
      <c r="E51" s="58">
        <v>0</v>
      </c>
      <c r="F51" s="59">
        <f t="shared" si="39"/>
        <v>0</v>
      </c>
      <c r="G51" s="59">
        <f t="shared" si="35"/>
        <v>0</v>
      </c>
      <c r="H51" s="59">
        <f t="shared" si="36"/>
        <v>0</v>
      </c>
      <c r="I51" s="60">
        <f t="shared" si="37"/>
        <v>0</v>
      </c>
      <c r="J51" s="19">
        <f t="shared" si="30"/>
        <v>0</v>
      </c>
      <c r="K51" s="20">
        <f t="shared" si="31"/>
        <v>0</v>
      </c>
      <c r="L51" s="20">
        <f t="shared" si="31"/>
        <v>0</v>
      </c>
      <c r="M51" s="20">
        <f t="shared" si="31"/>
        <v>0</v>
      </c>
      <c r="N51" s="20">
        <f t="shared" si="31"/>
        <v>0</v>
      </c>
      <c r="O51" s="20">
        <f t="shared" si="31"/>
        <v>0</v>
      </c>
      <c r="P51" s="20">
        <f t="shared" si="31"/>
        <v>0</v>
      </c>
      <c r="Q51" s="20">
        <f t="shared" si="31"/>
        <v>0</v>
      </c>
      <c r="R51" s="20">
        <f t="shared" si="31"/>
        <v>0</v>
      </c>
      <c r="S51" s="20">
        <f t="shared" si="31"/>
        <v>0</v>
      </c>
      <c r="T51" s="20">
        <f t="shared" si="31"/>
        <v>0</v>
      </c>
      <c r="U51" s="20">
        <f t="shared" si="31"/>
        <v>0</v>
      </c>
      <c r="V51" s="20">
        <f t="shared" si="31"/>
        <v>0</v>
      </c>
      <c r="W51" s="20">
        <f t="shared" si="31"/>
        <v>0</v>
      </c>
      <c r="X51" s="20">
        <f t="shared" si="31"/>
        <v>0</v>
      </c>
      <c r="Y51" s="20">
        <f t="shared" si="31"/>
        <v>0</v>
      </c>
      <c r="Z51" s="20">
        <f t="shared" si="31"/>
        <v>0</v>
      </c>
      <c r="AA51" s="20">
        <f t="shared" si="31"/>
        <v>0</v>
      </c>
      <c r="AB51" s="20">
        <f t="shared" si="31"/>
        <v>0</v>
      </c>
      <c r="AC51" s="20">
        <f t="shared" si="31"/>
        <v>0</v>
      </c>
      <c r="AD51" s="20">
        <f t="shared" ref="AD51:BQ56" si="40">IF(AND($C51&lt;=AD$15,$D51&gt;=AD$15),INDEX($E51:$I51,1,AD$14),0)/12</f>
        <v>0</v>
      </c>
      <c r="AE51" s="20">
        <f t="shared" si="40"/>
        <v>0</v>
      </c>
      <c r="AF51" s="20">
        <f t="shared" si="40"/>
        <v>0</v>
      </c>
      <c r="AG51" s="20">
        <f t="shared" si="40"/>
        <v>0</v>
      </c>
      <c r="AH51" s="20">
        <f t="shared" si="40"/>
        <v>0</v>
      </c>
      <c r="AI51" s="20">
        <f t="shared" si="40"/>
        <v>0</v>
      </c>
      <c r="AJ51" s="20">
        <f t="shared" si="40"/>
        <v>0</v>
      </c>
      <c r="AK51" s="20">
        <f t="shared" si="40"/>
        <v>0</v>
      </c>
      <c r="AL51" s="20">
        <f t="shared" si="40"/>
        <v>0</v>
      </c>
      <c r="AM51" s="20">
        <f t="shared" si="40"/>
        <v>0</v>
      </c>
      <c r="AN51" s="20">
        <f t="shared" si="40"/>
        <v>0</v>
      </c>
      <c r="AO51" s="20">
        <f t="shared" si="40"/>
        <v>0</v>
      </c>
      <c r="AP51" s="20">
        <f t="shared" si="40"/>
        <v>0</v>
      </c>
      <c r="AQ51" s="20">
        <f t="shared" si="40"/>
        <v>0</v>
      </c>
      <c r="AR51" s="20">
        <f t="shared" si="40"/>
        <v>0</v>
      </c>
      <c r="AS51" s="20">
        <f t="shared" si="40"/>
        <v>0</v>
      </c>
      <c r="AT51" s="20">
        <f t="shared" si="40"/>
        <v>0</v>
      </c>
      <c r="AU51" s="20">
        <f t="shared" si="40"/>
        <v>0</v>
      </c>
      <c r="AV51" s="20">
        <f t="shared" si="40"/>
        <v>0</v>
      </c>
      <c r="AW51" s="20">
        <f t="shared" si="40"/>
        <v>0</v>
      </c>
      <c r="AX51" s="20">
        <f t="shared" si="40"/>
        <v>0</v>
      </c>
      <c r="AY51" s="20">
        <f t="shared" si="40"/>
        <v>0</v>
      </c>
      <c r="AZ51" s="20">
        <f t="shared" si="40"/>
        <v>0</v>
      </c>
      <c r="BA51" s="20">
        <f t="shared" si="40"/>
        <v>0</v>
      </c>
      <c r="BB51" s="20">
        <f t="shared" si="40"/>
        <v>0</v>
      </c>
      <c r="BC51" s="20">
        <f t="shared" si="40"/>
        <v>0</v>
      </c>
      <c r="BD51" s="20">
        <f t="shared" si="40"/>
        <v>0</v>
      </c>
      <c r="BE51" s="20">
        <f t="shared" si="40"/>
        <v>0</v>
      </c>
      <c r="BF51" s="20">
        <f t="shared" si="40"/>
        <v>0</v>
      </c>
      <c r="BG51" s="20">
        <f t="shared" si="40"/>
        <v>0</v>
      </c>
      <c r="BH51" s="20">
        <f t="shared" si="40"/>
        <v>0</v>
      </c>
      <c r="BI51" s="20">
        <f t="shared" si="40"/>
        <v>0</v>
      </c>
      <c r="BJ51" s="20">
        <f t="shared" si="40"/>
        <v>0</v>
      </c>
      <c r="BK51" s="20">
        <f t="shared" si="40"/>
        <v>0</v>
      </c>
      <c r="BL51" s="20">
        <f t="shared" si="40"/>
        <v>0</v>
      </c>
      <c r="BM51" s="20">
        <f t="shared" si="40"/>
        <v>0</v>
      </c>
      <c r="BN51" s="20">
        <f t="shared" si="40"/>
        <v>0</v>
      </c>
      <c r="BO51" s="20">
        <f t="shared" si="40"/>
        <v>0</v>
      </c>
      <c r="BP51" s="20">
        <f t="shared" si="40"/>
        <v>0</v>
      </c>
      <c r="BQ51" s="20">
        <f t="shared" si="40"/>
        <v>0</v>
      </c>
    </row>
    <row r="52" spans="1:69" s="27" customFormat="1" ht="10.199999999999999">
      <c r="A52" s="1"/>
      <c r="B52" s="44" t="s">
        <v>127</v>
      </c>
      <c r="C52" s="45">
        <f t="shared" si="32"/>
        <v>43131</v>
      </c>
      <c r="D52" s="45">
        <f t="shared" si="33"/>
        <v>44926</v>
      </c>
      <c r="E52" s="58">
        <v>0</v>
      </c>
      <c r="F52" s="59">
        <f t="shared" si="39"/>
        <v>0</v>
      </c>
      <c r="G52" s="59">
        <f t="shared" si="35"/>
        <v>0</v>
      </c>
      <c r="H52" s="59">
        <f t="shared" si="36"/>
        <v>0</v>
      </c>
      <c r="I52" s="60">
        <f t="shared" si="37"/>
        <v>0</v>
      </c>
      <c r="J52" s="19">
        <f t="shared" si="30"/>
        <v>0</v>
      </c>
      <c r="K52" s="20">
        <f t="shared" ref="K52:AC56" si="41">IF(AND($C52&lt;=K$15,$D52&gt;=K$15),INDEX($E52:$I52,1,K$14),0)/12</f>
        <v>0</v>
      </c>
      <c r="L52" s="20">
        <f t="shared" si="41"/>
        <v>0</v>
      </c>
      <c r="M52" s="20">
        <f t="shared" si="41"/>
        <v>0</v>
      </c>
      <c r="N52" s="20">
        <f t="shared" si="41"/>
        <v>0</v>
      </c>
      <c r="O52" s="20">
        <f t="shared" si="41"/>
        <v>0</v>
      </c>
      <c r="P52" s="20">
        <f t="shared" si="41"/>
        <v>0</v>
      </c>
      <c r="Q52" s="20">
        <f t="shared" si="41"/>
        <v>0</v>
      </c>
      <c r="R52" s="20">
        <f t="shared" si="41"/>
        <v>0</v>
      </c>
      <c r="S52" s="20">
        <f t="shared" si="41"/>
        <v>0</v>
      </c>
      <c r="T52" s="20">
        <f t="shared" si="41"/>
        <v>0</v>
      </c>
      <c r="U52" s="20">
        <f t="shared" si="41"/>
        <v>0</v>
      </c>
      <c r="V52" s="20">
        <f t="shared" si="41"/>
        <v>0</v>
      </c>
      <c r="W52" s="20">
        <f t="shared" si="41"/>
        <v>0</v>
      </c>
      <c r="X52" s="20">
        <f t="shared" si="41"/>
        <v>0</v>
      </c>
      <c r="Y52" s="20">
        <f t="shared" si="41"/>
        <v>0</v>
      </c>
      <c r="Z52" s="20">
        <f t="shared" si="41"/>
        <v>0</v>
      </c>
      <c r="AA52" s="20">
        <f t="shared" si="41"/>
        <v>0</v>
      </c>
      <c r="AB52" s="20">
        <f t="shared" si="41"/>
        <v>0</v>
      </c>
      <c r="AC52" s="20">
        <f t="shared" si="41"/>
        <v>0</v>
      </c>
      <c r="AD52" s="20">
        <f t="shared" si="40"/>
        <v>0</v>
      </c>
      <c r="AE52" s="20">
        <f t="shared" si="40"/>
        <v>0</v>
      </c>
      <c r="AF52" s="20">
        <f t="shared" si="40"/>
        <v>0</v>
      </c>
      <c r="AG52" s="20">
        <f t="shared" si="40"/>
        <v>0</v>
      </c>
      <c r="AH52" s="20">
        <f t="shared" si="40"/>
        <v>0</v>
      </c>
      <c r="AI52" s="20">
        <f t="shared" si="40"/>
        <v>0</v>
      </c>
      <c r="AJ52" s="20">
        <f t="shared" si="40"/>
        <v>0</v>
      </c>
      <c r="AK52" s="20">
        <f t="shared" si="40"/>
        <v>0</v>
      </c>
      <c r="AL52" s="20">
        <f t="shared" si="40"/>
        <v>0</v>
      </c>
      <c r="AM52" s="20">
        <f t="shared" si="40"/>
        <v>0</v>
      </c>
      <c r="AN52" s="20">
        <f t="shared" si="40"/>
        <v>0</v>
      </c>
      <c r="AO52" s="20">
        <f t="shared" si="40"/>
        <v>0</v>
      </c>
      <c r="AP52" s="20">
        <f t="shared" si="40"/>
        <v>0</v>
      </c>
      <c r="AQ52" s="20">
        <f t="shared" si="40"/>
        <v>0</v>
      </c>
      <c r="AR52" s="20">
        <f t="shared" si="40"/>
        <v>0</v>
      </c>
      <c r="AS52" s="20">
        <f t="shared" si="40"/>
        <v>0</v>
      </c>
      <c r="AT52" s="20">
        <f t="shared" si="40"/>
        <v>0</v>
      </c>
      <c r="AU52" s="20">
        <f t="shared" si="40"/>
        <v>0</v>
      </c>
      <c r="AV52" s="20">
        <f t="shared" si="40"/>
        <v>0</v>
      </c>
      <c r="AW52" s="20">
        <f t="shared" si="40"/>
        <v>0</v>
      </c>
      <c r="AX52" s="20">
        <f t="shared" si="40"/>
        <v>0</v>
      </c>
      <c r="AY52" s="20">
        <f t="shared" si="40"/>
        <v>0</v>
      </c>
      <c r="AZ52" s="20">
        <f t="shared" si="40"/>
        <v>0</v>
      </c>
      <c r="BA52" s="20">
        <f t="shared" si="40"/>
        <v>0</v>
      </c>
      <c r="BB52" s="20">
        <f t="shared" si="40"/>
        <v>0</v>
      </c>
      <c r="BC52" s="20">
        <f t="shared" si="40"/>
        <v>0</v>
      </c>
      <c r="BD52" s="20">
        <f t="shared" si="40"/>
        <v>0</v>
      </c>
      <c r="BE52" s="20">
        <f t="shared" si="40"/>
        <v>0</v>
      </c>
      <c r="BF52" s="20">
        <f t="shared" si="40"/>
        <v>0</v>
      </c>
      <c r="BG52" s="20">
        <f t="shared" si="40"/>
        <v>0</v>
      </c>
      <c r="BH52" s="20">
        <f t="shared" si="40"/>
        <v>0</v>
      </c>
      <c r="BI52" s="20">
        <f t="shared" si="40"/>
        <v>0</v>
      </c>
      <c r="BJ52" s="20">
        <f t="shared" si="40"/>
        <v>0</v>
      </c>
      <c r="BK52" s="20">
        <f t="shared" si="40"/>
        <v>0</v>
      </c>
      <c r="BL52" s="20">
        <f t="shared" si="40"/>
        <v>0</v>
      </c>
      <c r="BM52" s="20">
        <f t="shared" si="40"/>
        <v>0</v>
      </c>
      <c r="BN52" s="20">
        <f t="shared" si="40"/>
        <v>0</v>
      </c>
      <c r="BO52" s="20">
        <f t="shared" si="40"/>
        <v>0</v>
      </c>
      <c r="BP52" s="20">
        <f t="shared" si="40"/>
        <v>0</v>
      </c>
      <c r="BQ52" s="20">
        <f t="shared" si="40"/>
        <v>0</v>
      </c>
    </row>
    <row r="53" spans="1:69" s="27" customFormat="1" ht="10.199999999999999">
      <c r="A53" s="1"/>
      <c r="B53" s="44" t="s">
        <v>128</v>
      </c>
      <c r="C53" s="45">
        <f t="shared" si="32"/>
        <v>43131</v>
      </c>
      <c r="D53" s="45">
        <f t="shared" si="33"/>
        <v>44926</v>
      </c>
      <c r="E53" s="58">
        <v>0</v>
      </c>
      <c r="F53" s="59">
        <f t="shared" si="39"/>
        <v>0</v>
      </c>
      <c r="G53" s="59">
        <f t="shared" si="35"/>
        <v>0</v>
      </c>
      <c r="H53" s="59">
        <f t="shared" si="36"/>
        <v>0</v>
      </c>
      <c r="I53" s="60">
        <f t="shared" si="37"/>
        <v>0</v>
      </c>
      <c r="J53" s="19">
        <f t="shared" si="30"/>
        <v>0</v>
      </c>
      <c r="K53" s="20">
        <f t="shared" si="41"/>
        <v>0</v>
      </c>
      <c r="L53" s="20">
        <f t="shared" si="41"/>
        <v>0</v>
      </c>
      <c r="M53" s="20">
        <f t="shared" si="41"/>
        <v>0</v>
      </c>
      <c r="N53" s="20">
        <f t="shared" si="41"/>
        <v>0</v>
      </c>
      <c r="O53" s="20">
        <f t="shared" si="41"/>
        <v>0</v>
      </c>
      <c r="P53" s="20">
        <f t="shared" si="41"/>
        <v>0</v>
      </c>
      <c r="Q53" s="20">
        <f t="shared" si="41"/>
        <v>0</v>
      </c>
      <c r="R53" s="20">
        <f t="shared" si="41"/>
        <v>0</v>
      </c>
      <c r="S53" s="20">
        <f t="shared" si="41"/>
        <v>0</v>
      </c>
      <c r="T53" s="20">
        <f t="shared" si="41"/>
        <v>0</v>
      </c>
      <c r="U53" s="20">
        <f t="shared" si="41"/>
        <v>0</v>
      </c>
      <c r="V53" s="20">
        <f t="shared" si="41"/>
        <v>0</v>
      </c>
      <c r="W53" s="20">
        <f t="shared" si="41"/>
        <v>0</v>
      </c>
      <c r="X53" s="20">
        <f t="shared" si="41"/>
        <v>0</v>
      </c>
      <c r="Y53" s="20">
        <f t="shared" si="41"/>
        <v>0</v>
      </c>
      <c r="Z53" s="20">
        <f t="shared" si="41"/>
        <v>0</v>
      </c>
      <c r="AA53" s="20">
        <f t="shared" si="41"/>
        <v>0</v>
      </c>
      <c r="AB53" s="20">
        <f t="shared" si="41"/>
        <v>0</v>
      </c>
      <c r="AC53" s="20">
        <f t="shared" si="41"/>
        <v>0</v>
      </c>
      <c r="AD53" s="20">
        <f t="shared" si="40"/>
        <v>0</v>
      </c>
      <c r="AE53" s="20">
        <f t="shared" si="40"/>
        <v>0</v>
      </c>
      <c r="AF53" s="20">
        <f t="shared" si="40"/>
        <v>0</v>
      </c>
      <c r="AG53" s="20">
        <f t="shared" si="40"/>
        <v>0</v>
      </c>
      <c r="AH53" s="20">
        <f t="shared" si="40"/>
        <v>0</v>
      </c>
      <c r="AI53" s="20">
        <f t="shared" si="40"/>
        <v>0</v>
      </c>
      <c r="AJ53" s="20">
        <f t="shared" si="40"/>
        <v>0</v>
      </c>
      <c r="AK53" s="20">
        <f t="shared" si="40"/>
        <v>0</v>
      </c>
      <c r="AL53" s="20">
        <f t="shared" si="40"/>
        <v>0</v>
      </c>
      <c r="AM53" s="20">
        <f t="shared" si="40"/>
        <v>0</v>
      </c>
      <c r="AN53" s="20">
        <f t="shared" si="40"/>
        <v>0</v>
      </c>
      <c r="AO53" s="20">
        <f t="shared" si="40"/>
        <v>0</v>
      </c>
      <c r="AP53" s="20">
        <f t="shared" si="40"/>
        <v>0</v>
      </c>
      <c r="AQ53" s="20">
        <f t="shared" si="40"/>
        <v>0</v>
      </c>
      <c r="AR53" s="20">
        <f t="shared" si="40"/>
        <v>0</v>
      </c>
      <c r="AS53" s="20">
        <f t="shared" si="40"/>
        <v>0</v>
      </c>
      <c r="AT53" s="20">
        <f t="shared" si="40"/>
        <v>0</v>
      </c>
      <c r="AU53" s="20">
        <f t="shared" si="40"/>
        <v>0</v>
      </c>
      <c r="AV53" s="20">
        <f t="shared" si="40"/>
        <v>0</v>
      </c>
      <c r="AW53" s="20">
        <f t="shared" si="40"/>
        <v>0</v>
      </c>
      <c r="AX53" s="20">
        <f t="shared" si="40"/>
        <v>0</v>
      </c>
      <c r="AY53" s="20">
        <f t="shared" si="40"/>
        <v>0</v>
      </c>
      <c r="AZ53" s="20">
        <f t="shared" si="40"/>
        <v>0</v>
      </c>
      <c r="BA53" s="20">
        <f t="shared" si="40"/>
        <v>0</v>
      </c>
      <c r="BB53" s="20">
        <f t="shared" si="40"/>
        <v>0</v>
      </c>
      <c r="BC53" s="20">
        <f t="shared" si="40"/>
        <v>0</v>
      </c>
      <c r="BD53" s="20">
        <f t="shared" si="40"/>
        <v>0</v>
      </c>
      <c r="BE53" s="20">
        <f t="shared" si="40"/>
        <v>0</v>
      </c>
      <c r="BF53" s="20">
        <f t="shared" si="40"/>
        <v>0</v>
      </c>
      <c r="BG53" s="20">
        <f t="shared" si="40"/>
        <v>0</v>
      </c>
      <c r="BH53" s="20">
        <f t="shared" si="40"/>
        <v>0</v>
      </c>
      <c r="BI53" s="20">
        <f t="shared" si="40"/>
        <v>0</v>
      </c>
      <c r="BJ53" s="20">
        <f t="shared" si="40"/>
        <v>0</v>
      </c>
      <c r="BK53" s="20">
        <f t="shared" si="40"/>
        <v>0</v>
      </c>
      <c r="BL53" s="20">
        <f t="shared" si="40"/>
        <v>0</v>
      </c>
      <c r="BM53" s="20">
        <f t="shared" si="40"/>
        <v>0</v>
      </c>
      <c r="BN53" s="20">
        <f t="shared" si="40"/>
        <v>0</v>
      </c>
      <c r="BO53" s="20">
        <f t="shared" si="40"/>
        <v>0</v>
      </c>
      <c r="BP53" s="20">
        <f t="shared" si="40"/>
        <v>0</v>
      </c>
      <c r="BQ53" s="20">
        <f t="shared" si="40"/>
        <v>0</v>
      </c>
    </row>
    <row r="54" spans="1:69" s="27" customFormat="1" ht="10.199999999999999">
      <c r="A54" s="1"/>
      <c r="B54" s="44" t="s">
        <v>129</v>
      </c>
      <c r="C54" s="45">
        <f t="shared" si="32"/>
        <v>43131</v>
      </c>
      <c r="D54" s="45">
        <f t="shared" si="33"/>
        <v>44926</v>
      </c>
      <c r="E54" s="58">
        <v>0</v>
      </c>
      <c r="F54" s="59">
        <f t="shared" si="39"/>
        <v>0</v>
      </c>
      <c r="G54" s="59">
        <f t="shared" si="35"/>
        <v>0</v>
      </c>
      <c r="H54" s="59">
        <f t="shared" si="36"/>
        <v>0</v>
      </c>
      <c r="I54" s="60">
        <f t="shared" si="37"/>
        <v>0</v>
      </c>
      <c r="J54" s="19">
        <f t="shared" si="30"/>
        <v>0</v>
      </c>
      <c r="K54" s="20">
        <f t="shared" si="41"/>
        <v>0</v>
      </c>
      <c r="L54" s="20">
        <f t="shared" si="41"/>
        <v>0</v>
      </c>
      <c r="M54" s="20">
        <f t="shared" si="41"/>
        <v>0</v>
      </c>
      <c r="N54" s="20">
        <f t="shared" si="41"/>
        <v>0</v>
      </c>
      <c r="O54" s="20">
        <f t="shared" si="41"/>
        <v>0</v>
      </c>
      <c r="P54" s="20">
        <f t="shared" si="41"/>
        <v>0</v>
      </c>
      <c r="Q54" s="20">
        <f t="shared" si="41"/>
        <v>0</v>
      </c>
      <c r="R54" s="20">
        <f t="shared" si="41"/>
        <v>0</v>
      </c>
      <c r="S54" s="20">
        <f t="shared" si="41"/>
        <v>0</v>
      </c>
      <c r="T54" s="20">
        <f t="shared" si="41"/>
        <v>0</v>
      </c>
      <c r="U54" s="20">
        <f t="shared" si="41"/>
        <v>0</v>
      </c>
      <c r="V54" s="20">
        <f t="shared" si="41"/>
        <v>0</v>
      </c>
      <c r="W54" s="20">
        <f t="shared" si="41"/>
        <v>0</v>
      </c>
      <c r="X54" s="20">
        <f t="shared" si="41"/>
        <v>0</v>
      </c>
      <c r="Y54" s="20">
        <f t="shared" si="41"/>
        <v>0</v>
      </c>
      <c r="Z54" s="20">
        <f t="shared" si="41"/>
        <v>0</v>
      </c>
      <c r="AA54" s="20">
        <f t="shared" si="41"/>
        <v>0</v>
      </c>
      <c r="AB54" s="20">
        <f t="shared" si="41"/>
        <v>0</v>
      </c>
      <c r="AC54" s="20">
        <f t="shared" si="41"/>
        <v>0</v>
      </c>
      <c r="AD54" s="20">
        <f t="shared" si="40"/>
        <v>0</v>
      </c>
      <c r="AE54" s="20">
        <f t="shared" si="40"/>
        <v>0</v>
      </c>
      <c r="AF54" s="20">
        <f t="shared" si="40"/>
        <v>0</v>
      </c>
      <c r="AG54" s="20">
        <f t="shared" si="40"/>
        <v>0</v>
      </c>
      <c r="AH54" s="20">
        <f t="shared" si="40"/>
        <v>0</v>
      </c>
      <c r="AI54" s="20">
        <f t="shared" si="40"/>
        <v>0</v>
      </c>
      <c r="AJ54" s="20">
        <f t="shared" si="40"/>
        <v>0</v>
      </c>
      <c r="AK54" s="20">
        <f t="shared" si="40"/>
        <v>0</v>
      </c>
      <c r="AL54" s="20">
        <f t="shared" si="40"/>
        <v>0</v>
      </c>
      <c r="AM54" s="20">
        <f t="shared" si="40"/>
        <v>0</v>
      </c>
      <c r="AN54" s="20">
        <f t="shared" si="40"/>
        <v>0</v>
      </c>
      <c r="AO54" s="20">
        <f t="shared" si="40"/>
        <v>0</v>
      </c>
      <c r="AP54" s="20">
        <f t="shared" si="40"/>
        <v>0</v>
      </c>
      <c r="AQ54" s="20">
        <f t="shared" si="40"/>
        <v>0</v>
      </c>
      <c r="AR54" s="20">
        <f t="shared" si="40"/>
        <v>0</v>
      </c>
      <c r="AS54" s="20">
        <f t="shared" si="40"/>
        <v>0</v>
      </c>
      <c r="AT54" s="20">
        <f t="shared" si="40"/>
        <v>0</v>
      </c>
      <c r="AU54" s="20">
        <f t="shared" si="40"/>
        <v>0</v>
      </c>
      <c r="AV54" s="20">
        <f t="shared" si="40"/>
        <v>0</v>
      </c>
      <c r="AW54" s="20">
        <f t="shared" si="40"/>
        <v>0</v>
      </c>
      <c r="AX54" s="20">
        <f t="shared" si="40"/>
        <v>0</v>
      </c>
      <c r="AY54" s="20">
        <f t="shared" si="40"/>
        <v>0</v>
      </c>
      <c r="AZ54" s="20">
        <f t="shared" si="40"/>
        <v>0</v>
      </c>
      <c r="BA54" s="20">
        <f t="shared" si="40"/>
        <v>0</v>
      </c>
      <c r="BB54" s="20">
        <f t="shared" si="40"/>
        <v>0</v>
      </c>
      <c r="BC54" s="20">
        <f t="shared" si="40"/>
        <v>0</v>
      </c>
      <c r="BD54" s="20">
        <f t="shared" si="40"/>
        <v>0</v>
      </c>
      <c r="BE54" s="20">
        <f t="shared" si="40"/>
        <v>0</v>
      </c>
      <c r="BF54" s="20">
        <f t="shared" si="40"/>
        <v>0</v>
      </c>
      <c r="BG54" s="20">
        <f t="shared" si="40"/>
        <v>0</v>
      </c>
      <c r="BH54" s="20">
        <f t="shared" si="40"/>
        <v>0</v>
      </c>
      <c r="BI54" s="20">
        <f t="shared" si="40"/>
        <v>0</v>
      </c>
      <c r="BJ54" s="20">
        <f t="shared" si="40"/>
        <v>0</v>
      </c>
      <c r="BK54" s="20">
        <f t="shared" si="40"/>
        <v>0</v>
      </c>
      <c r="BL54" s="20">
        <f t="shared" si="40"/>
        <v>0</v>
      </c>
      <c r="BM54" s="20">
        <f t="shared" si="40"/>
        <v>0</v>
      </c>
      <c r="BN54" s="20">
        <f t="shared" si="40"/>
        <v>0</v>
      </c>
      <c r="BO54" s="20">
        <f t="shared" si="40"/>
        <v>0</v>
      </c>
      <c r="BP54" s="20">
        <f t="shared" si="40"/>
        <v>0</v>
      </c>
      <c r="BQ54" s="20">
        <f t="shared" si="40"/>
        <v>0</v>
      </c>
    </row>
    <row r="55" spans="1:69" s="27" customFormat="1" ht="10.199999999999999">
      <c r="A55" s="1"/>
      <c r="B55" s="44" t="s">
        <v>130</v>
      </c>
      <c r="C55" s="45">
        <f t="shared" si="32"/>
        <v>43131</v>
      </c>
      <c r="D55" s="45">
        <f t="shared" si="33"/>
        <v>44926</v>
      </c>
      <c r="E55" s="58">
        <v>0</v>
      </c>
      <c r="F55" s="59">
        <f t="shared" si="39"/>
        <v>0</v>
      </c>
      <c r="G55" s="59">
        <f t="shared" si="35"/>
        <v>0</v>
      </c>
      <c r="H55" s="59">
        <f t="shared" si="36"/>
        <v>0</v>
      </c>
      <c r="I55" s="60">
        <f t="shared" si="37"/>
        <v>0</v>
      </c>
      <c r="J55" s="19">
        <f t="shared" si="30"/>
        <v>0</v>
      </c>
      <c r="K55" s="20">
        <f t="shared" si="41"/>
        <v>0</v>
      </c>
      <c r="L55" s="20">
        <f t="shared" si="41"/>
        <v>0</v>
      </c>
      <c r="M55" s="20">
        <f t="shared" si="41"/>
        <v>0</v>
      </c>
      <c r="N55" s="20">
        <f t="shared" si="41"/>
        <v>0</v>
      </c>
      <c r="O55" s="20">
        <f t="shared" si="41"/>
        <v>0</v>
      </c>
      <c r="P55" s="20">
        <f t="shared" si="41"/>
        <v>0</v>
      </c>
      <c r="Q55" s="20">
        <f t="shared" si="41"/>
        <v>0</v>
      </c>
      <c r="R55" s="20">
        <f t="shared" si="41"/>
        <v>0</v>
      </c>
      <c r="S55" s="20">
        <f t="shared" si="41"/>
        <v>0</v>
      </c>
      <c r="T55" s="20">
        <f t="shared" si="41"/>
        <v>0</v>
      </c>
      <c r="U55" s="20">
        <f t="shared" si="41"/>
        <v>0</v>
      </c>
      <c r="V55" s="20">
        <f t="shared" si="41"/>
        <v>0</v>
      </c>
      <c r="W55" s="20">
        <f t="shared" si="41"/>
        <v>0</v>
      </c>
      <c r="X55" s="20">
        <f t="shared" si="41"/>
        <v>0</v>
      </c>
      <c r="Y55" s="20">
        <f t="shared" si="41"/>
        <v>0</v>
      </c>
      <c r="Z55" s="20">
        <f t="shared" si="41"/>
        <v>0</v>
      </c>
      <c r="AA55" s="20">
        <f t="shared" si="41"/>
        <v>0</v>
      </c>
      <c r="AB55" s="20">
        <f t="shared" si="41"/>
        <v>0</v>
      </c>
      <c r="AC55" s="20">
        <f t="shared" si="41"/>
        <v>0</v>
      </c>
      <c r="AD55" s="20">
        <f t="shared" si="40"/>
        <v>0</v>
      </c>
      <c r="AE55" s="20">
        <f t="shared" si="40"/>
        <v>0</v>
      </c>
      <c r="AF55" s="20">
        <f t="shared" si="40"/>
        <v>0</v>
      </c>
      <c r="AG55" s="20">
        <f t="shared" si="40"/>
        <v>0</v>
      </c>
      <c r="AH55" s="20">
        <f t="shared" si="40"/>
        <v>0</v>
      </c>
      <c r="AI55" s="20">
        <f t="shared" si="40"/>
        <v>0</v>
      </c>
      <c r="AJ55" s="20">
        <f t="shared" si="40"/>
        <v>0</v>
      </c>
      <c r="AK55" s="20">
        <f t="shared" si="40"/>
        <v>0</v>
      </c>
      <c r="AL55" s="20">
        <f t="shared" si="40"/>
        <v>0</v>
      </c>
      <c r="AM55" s="20">
        <f t="shared" si="40"/>
        <v>0</v>
      </c>
      <c r="AN55" s="20">
        <f t="shared" si="40"/>
        <v>0</v>
      </c>
      <c r="AO55" s="20">
        <f t="shared" si="40"/>
        <v>0</v>
      </c>
      <c r="AP55" s="20">
        <f t="shared" si="40"/>
        <v>0</v>
      </c>
      <c r="AQ55" s="20">
        <f t="shared" si="40"/>
        <v>0</v>
      </c>
      <c r="AR55" s="20">
        <f t="shared" si="40"/>
        <v>0</v>
      </c>
      <c r="AS55" s="20">
        <f t="shared" si="40"/>
        <v>0</v>
      </c>
      <c r="AT55" s="20">
        <f t="shared" si="40"/>
        <v>0</v>
      </c>
      <c r="AU55" s="20">
        <f t="shared" si="40"/>
        <v>0</v>
      </c>
      <c r="AV55" s="20">
        <f t="shared" si="40"/>
        <v>0</v>
      </c>
      <c r="AW55" s="20">
        <f t="shared" si="40"/>
        <v>0</v>
      </c>
      <c r="AX55" s="20">
        <f t="shared" si="40"/>
        <v>0</v>
      </c>
      <c r="AY55" s="20">
        <f t="shared" si="40"/>
        <v>0</v>
      </c>
      <c r="AZ55" s="20">
        <f t="shared" si="40"/>
        <v>0</v>
      </c>
      <c r="BA55" s="20">
        <f t="shared" si="40"/>
        <v>0</v>
      </c>
      <c r="BB55" s="20">
        <f t="shared" si="40"/>
        <v>0</v>
      </c>
      <c r="BC55" s="20">
        <f t="shared" si="40"/>
        <v>0</v>
      </c>
      <c r="BD55" s="20">
        <f t="shared" si="40"/>
        <v>0</v>
      </c>
      <c r="BE55" s="20">
        <f t="shared" si="40"/>
        <v>0</v>
      </c>
      <c r="BF55" s="20">
        <f t="shared" si="40"/>
        <v>0</v>
      </c>
      <c r="BG55" s="20">
        <f t="shared" si="40"/>
        <v>0</v>
      </c>
      <c r="BH55" s="20">
        <f t="shared" si="40"/>
        <v>0</v>
      </c>
      <c r="BI55" s="20">
        <f t="shared" si="40"/>
        <v>0</v>
      </c>
      <c r="BJ55" s="20">
        <f t="shared" si="40"/>
        <v>0</v>
      </c>
      <c r="BK55" s="20">
        <f t="shared" si="40"/>
        <v>0</v>
      </c>
      <c r="BL55" s="20">
        <f t="shared" si="40"/>
        <v>0</v>
      </c>
      <c r="BM55" s="20">
        <f t="shared" si="40"/>
        <v>0</v>
      </c>
      <c r="BN55" s="20">
        <f t="shared" si="40"/>
        <v>0</v>
      </c>
      <c r="BO55" s="20">
        <f t="shared" si="40"/>
        <v>0</v>
      </c>
      <c r="BP55" s="20">
        <f t="shared" si="40"/>
        <v>0</v>
      </c>
      <c r="BQ55" s="20">
        <f t="shared" si="40"/>
        <v>0</v>
      </c>
    </row>
    <row r="56" spans="1:69" s="27" customFormat="1" ht="10.199999999999999">
      <c r="A56" s="1"/>
      <c r="B56" s="49" t="s">
        <v>131</v>
      </c>
      <c r="C56" s="50">
        <f t="shared" si="32"/>
        <v>43131</v>
      </c>
      <c r="D56" s="50">
        <f t="shared" si="33"/>
        <v>44926</v>
      </c>
      <c r="E56" s="61">
        <v>0</v>
      </c>
      <c r="F56" s="62">
        <f t="shared" si="39"/>
        <v>0</v>
      </c>
      <c r="G56" s="62">
        <f t="shared" si="35"/>
        <v>0</v>
      </c>
      <c r="H56" s="62">
        <f t="shared" si="36"/>
        <v>0</v>
      </c>
      <c r="I56" s="63">
        <f t="shared" si="37"/>
        <v>0</v>
      </c>
      <c r="J56" s="21">
        <f t="shared" si="30"/>
        <v>0</v>
      </c>
      <c r="K56" s="22">
        <f t="shared" si="41"/>
        <v>0</v>
      </c>
      <c r="L56" s="22">
        <f t="shared" si="41"/>
        <v>0</v>
      </c>
      <c r="M56" s="22">
        <f t="shared" si="41"/>
        <v>0</v>
      </c>
      <c r="N56" s="22">
        <f t="shared" si="41"/>
        <v>0</v>
      </c>
      <c r="O56" s="22">
        <f t="shared" si="41"/>
        <v>0</v>
      </c>
      <c r="P56" s="22">
        <f t="shared" si="41"/>
        <v>0</v>
      </c>
      <c r="Q56" s="22">
        <f t="shared" si="41"/>
        <v>0</v>
      </c>
      <c r="R56" s="22">
        <f t="shared" si="41"/>
        <v>0</v>
      </c>
      <c r="S56" s="22">
        <f t="shared" si="41"/>
        <v>0</v>
      </c>
      <c r="T56" s="22">
        <f t="shared" si="41"/>
        <v>0</v>
      </c>
      <c r="U56" s="22">
        <f t="shared" si="41"/>
        <v>0</v>
      </c>
      <c r="V56" s="22">
        <f t="shared" si="41"/>
        <v>0</v>
      </c>
      <c r="W56" s="22">
        <f t="shared" si="41"/>
        <v>0</v>
      </c>
      <c r="X56" s="22">
        <f t="shared" si="41"/>
        <v>0</v>
      </c>
      <c r="Y56" s="22">
        <f t="shared" si="41"/>
        <v>0</v>
      </c>
      <c r="Z56" s="22">
        <f t="shared" si="41"/>
        <v>0</v>
      </c>
      <c r="AA56" s="22">
        <f t="shared" si="41"/>
        <v>0</v>
      </c>
      <c r="AB56" s="22">
        <f t="shared" si="41"/>
        <v>0</v>
      </c>
      <c r="AC56" s="22">
        <f t="shared" si="41"/>
        <v>0</v>
      </c>
      <c r="AD56" s="22">
        <f t="shared" si="40"/>
        <v>0</v>
      </c>
      <c r="AE56" s="22">
        <f t="shared" si="40"/>
        <v>0</v>
      </c>
      <c r="AF56" s="22">
        <f t="shared" si="40"/>
        <v>0</v>
      </c>
      <c r="AG56" s="22">
        <f t="shared" si="40"/>
        <v>0</v>
      </c>
      <c r="AH56" s="22">
        <f t="shared" si="40"/>
        <v>0</v>
      </c>
      <c r="AI56" s="22">
        <f t="shared" si="40"/>
        <v>0</v>
      </c>
      <c r="AJ56" s="22">
        <f t="shared" si="40"/>
        <v>0</v>
      </c>
      <c r="AK56" s="22">
        <f t="shared" si="40"/>
        <v>0</v>
      </c>
      <c r="AL56" s="22">
        <f t="shared" si="40"/>
        <v>0</v>
      </c>
      <c r="AM56" s="22">
        <f t="shared" si="40"/>
        <v>0</v>
      </c>
      <c r="AN56" s="22">
        <f t="shared" si="40"/>
        <v>0</v>
      </c>
      <c r="AO56" s="22">
        <f t="shared" si="40"/>
        <v>0</v>
      </c>
      <c r="AP56" s="22">
        <f t="shared" si="40"/>
        <v>0</v>
      </c>
      <c r="AQ56" s="22">
        <f t="shared" si="40"/>
        <v>0</v>
      </c>
      <c r="AR56" s="22">
        <f t="shared" si="40"/>
        <v>0</v>
      </c>
      <c r="AS56" s="22">
        <f t="shared" si="40"/>
        <v>0</v>
      </c>
      <c r="AT56" s="22">
        <f t="shared" si="40"/>
        <v>0</v>
      </c>
      <c r="AU56" s="22">
        <f t="shared" si="40"/>
        <v>0</v>
      </c>
      <c r="AV56" s="22">
        <f t="shared" si="40"/>
        <v>0</v>
      </c>
      <c r="AW56" s="22">
        <f t="shared" si="40"/>
        <v>0</v>
      </c>
      <c r="AX56" s="22">
        <f t="shared" si="40"/>
        <v>0</v>
      </c>
      <c r="AY56" s="22">
        <f t="shared" si="40"/>
        <v>0</v>
      </c>
      <c r="AZ56" s="22">
        <f t="shared" si="40"/>
        <v>0</v>
      </c>
      <c r="BA56" s="22">
        <f t="shared" si="40"/>
        <v>0</v>
      </c>
      <c r="BB56" s="22">
        <f t="shared" si="40"/>
        <v>0</v>
      </c>
      <c r="BC56" s="22">
        <f t="shared" si="40"/>
        <v>0</v>
      </c>
      <c r="BD56" s="22">
        <f t="shared" si="40"/>
        <v>0</v>
      </c>
      <c r="BE56" s="22">
        <f t="shared" si="40"/>
        <v>0</v>
      </c>
      <c r="BF56" s="22">
        <f t="shared" si="40"/>
        <v>0</v>
      </c>
      <c r="BG56" s="22">
        <f t="shared" si="40"/>
        <v>0</v>
      </c>
      <c r="BH56" s="22">
        <f t="shared" si="40"/>
        <v>0</v>
      </c>
      <c r="BI56" s="22">
        <f t="shared" si="40"/>
        <v>0</v>
      </c>
      <c r="BJ56" s="22">
        <f t="shared" si="40"/>
        <v>0</v>
      </c>
      <c r="BK56" s="22">
        <f t="shared" si="40"/>
        <v>0</v>
      </c>
      <c r="BL56" s="22">
        <f t="shared" si="40"/>
        <v>0</v>
      </c>
      <c r="BM56" s="22">
        <f t="shared" si="40"/>
        <v>0</v>
      </c>
      <c r="BN56" s="22">
        <f t="shared" si="40"/>
        <v>0</v>
      </c>
      <c r="BO56" s="22">
        <f t="shared" si="40"/>
        <v>0</v>
      </c>
      <c r="BP56" s="22">
        <f t="shared" si="40"/>
        <v>0</v>
      </c>
      <c r="BQ56" s="22">
        <f t="shared" si="40"/>
        <v>0</v>
      </c>
    </row>
    <row r="57" spans="1:69" s="32" customFormat="1" ht="10.8" thickBot="1">
      <c r="A57" s="1"/>
      <c r="B57" s="31" t="s">
        <v>145</v>
      </c>
      <c r="E57" s="37">
        <f>SUM(E47:E56)</f>
        <v>20000</v>
      </c>
      <c r="F57" s="37">
        <f t="shared" ref="F57" si="42">SUM(F47:F56)</f>
        <v>21000</v>
      </c>
      <c r="G57" s="37">
        <f t="shared" ref="G57" si="43">SUM(G47:G56)</f>
        <v>22050</v>
      </c>
      <c r="H57" s="37">
        <f t="shared" ref="H57" si="44">SUM(H47:H56)</f>
        <v>23152.5</v>
      </c>
      <c r="I57" s="37">
        <f t="shared" ref="I57" si="45">SUM(I47:I56)</f>
        <v>24310.125</v>
      </c>
      <c r="J57" s="37">
        <f t="shared" ref="J57" si="46">SUM(J47:J56)</f>
        <v>1666.6666666666667</v>
      </c>
      <c r="K57" s="37">
        <f t="shared" ref="K57:BQ57" si="47">SUM(K47:K56)</f>
        <v>1666.6666666666667</v>
      </c>
      <c r="L57" s="37">
        <f t="shared" si="47"/>
        <v>1666.6666666666667</v>
      </c>
      <c r="M57" s="37">
        <f t="shared" si="47"/>
        <v>1666.6666666666667</v>
      </c>
      <c r="N57" s="37">
        <f t="shared" si="47"/>
        <v>1666.6666666666667</v>
      </c>
      <c r="O57" s="37">
        <f t="shared" si="47"/>
        <v>1666.6666666666667</v>
      </c>
      <c r="P57" s="37">
        <f t="shared" si="47"/>
        <v>1666.6666666666667</v>
      </c>
      <c r="Q57" s="37">
        <f t="shared" si="47"/>
        <v>1666.6666666666667</v>
      </c>
      <c r="R57" s="37">
        <f t="shared" si="47"/>
        <v>1666.6666666666667</v>
      </c>
      <c r="S57" s="37">
        <f t="shared" si="47"/>
        <v>1666.6666666666667</v>
      </c>
      <c r="T57" s="37">
        <f t="shared" si="47"/>
        <v>1666.6666666666667</v>
      </c>
      <c r="U57" s="37">
        <f t="shared" si="47"/>
        <v>1666.6666666666667</v>
      </c>
      <c r="V57" s="37">
        <f t="shared" si="47"/>
        <v>1750</v>
      </c>
      <c r="W57" s="37">
        <f t="shared" si="47"/>
        <v>1750</v>
      </c>
      <c r="X57" s="37">
        <f t="shared" si="47"/>
        <v>1750</v>
      </c>
      <c r="Y57" s="37">
        <f t="shared" si="47"/>
        <v>1750</v>
      </c>
      <c r="Z57" s="37">
        <f t="shared" si="47"/>
        <v>1750</v>
      </c>
      <c r="AA57" s="37">
        <f t="shared" si="47"/>
        <v>1750</v>
      </c>
      <c r="AB57" s="37">
        <f t="shared" si="47"/>
        <v>1750</v>
      </c>
      <c r="AC57" s="37">
        <f t="shared" si="47"/>
        <v>1750</v>
      </c>
      <c r="AD57" s="37">
        <f t="shared" si="47"/>
        <v>1750</v>
      </c>
      <c r="AE57" s="37">
        <f t="shared" si="47"/>
        <v>1750</v>
      </c>
      <c r="AF57" s="37">
        <f t="shared" si="47"/>
        <v>1750</v>
      </c>
      <c r="AG57" s="37">
        <f t="shared" si="47"/>
        <v>1750</v>
      </c>
      <c r="AH57" s="37">
        <f t="shared" si="47"/>
        <v>1837.5</v>
      </c>
      <c r="AI57" s="37">
        <f t="shared" si="47"/>
        <v>1837.5</v>
      </c>
      <c r="AJ57" s="37">
        <f t="shared" si="47"/>
        <v>1837.5</v>
      </c>
      <c r="AK57" s="37">
        <f t="shared" si="47"/>
        <v>1837.5</v>
      </c>
      <c r="AL57" s="37">
        <f t="shared" si="47"/>
        <v>1837.5</v>
      </c>
      <c r="AM57" s="37">
        <f t="shared" si="47"/>
        <v>1837.5</v>
      </c>
      <c r="AN57" s="37">
        <f t="shared" si="47"/>
        <v>1837.5</v>
      </c>
      <c r="AO57" s="37">
        <f t="shared" si="47"/>
        <v>1837.5</v>
      </c>
      <c r="AP57" s="37">
        <f t="shared" si="47"/>
        <v>1837.5</v>
      </c>
      <c r="AQ57" s="37">
        <f t="shared" si="47"/>
        <v>1837.5</v>
      </c>
      <c r="AR57" s="37">
        <f t="shared" si="47"/>
        <v>1837.5</v>
      </c>
      <c r="AS57" s="37">
        <f t="shared" si="47"/>
        <v>1837.5</v>
      </c>
      <c r="AT57" s="37">
        <f t="shared" si="47"/>
        <v>1929.375</v>
      </c>
      <c r="AU57" s="37">
        <f t="shared" si="47"/>
        <v>1929.375</v>
      </c>
      <c r="AV57" s="37">
        <f t="shared" si="47"/>
        <v>1929.375</v>
      </c>
      <c r="AW57" s="37">
        <f t="shared" si="47"/>
        <v>1929.375</v>
      </c>
      <c r="AX57" s="37">
        <f t="shared" si="47"/>
        <v>1929.375</v>
      </c>
      <c r="AY57" s="37">
        <f t="shared" si="47"/>
        <v>1929.375</v>
      </c>
      <c r="AZ57" s="37">
        <f t="shared" si="47"/>
        <v>1929.375</v>
      </c>
      <c r="BA57" s="37">
        <f t="shared" si="47"/>
        <v>1929.375</v>
      </c>
      <c r="BB57" s="37">
        <f t="shared" si="47"/>
        <v>1929.375</v>
      </c>
      <c r="BC57" s="37">
        <f t="shared" si="47"/>
        <v>1929.375</v>
      </c>
      <c r="BD57" s="37">
        <f t="shared" si="47"/>
        <v>1929.375</v>
      </c>
      <c r="BE57" s="37">
        <f t="shared" si="47"/>
        <v>1929.375</v>
      </c>
      <c r="BF57" s="37">
        <f t="shared" si="47"/>
        <v>2025.84375</v>
      </c>
      <c r="BG57" s="37">
        <f t="shared" si="47"/>
        <v>2025.84375</v>
      </c>
      <c r="BH57" s="37">
        <f t="shared" si="47"/>
        <v>2025.84375</v>
      </c>
      <c r="BI57" s="37">
        <f t="shared" si="47"/>
        <v>2025.84375</v>
      </c>
      <c r="BJ57" s="37">
        <f t="shared" si="47"/>
        <v>2025.84375</v>
      </c>
      <c r="BK57" s="37">
        <f t="shared" si="47"/>
        <v>2025.84375</v>
      </c>
      <c r="BL57" s="37">
        <f t="shared" si="47"/>
        <v>2025.84375</v>
      </c>
      <c r="BM57" s="37">
        <f t="shared" si="47"/>
        <v>2025.84375</v>
      </c>
      <c r="BN57" s="37">
        <f t="shared" si="47"/>
        <v>2025.84375</v>
      </c>
      <c r="BO57" s="37">
        <f t="shared" si="47"/>
        <v>2025.84375</v>
      </c>
      <c r="BP57" s="37">
        <f t="shared" si="47"/>
        <v>2025.84375</v>
      </c>
      <c r="BQ57" s="37">
        <f t="shared" si="47"/>
        <v>2025.84375</v>
      </c>
    </row>
    <row r="58" spans="1:69" ht="10.199999999999999">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row>
    <row r="59" spans="1:69" ht="10.199999999999999">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row>
  </sheetData>
  <mergeCells count="3">
    <mergeCell ref="E46:I46"/>
    <mergeCell ref="E19:I19"/>
    <mergeCell ref="E30:I30"/>
  </mergeCells>
  <phoneticPr fontId="0" type="noConversion"/>
  <conditionalFormatting sqref="D31:D40">
    <cfRule type="expression" dxfId="3" priority="16">
      <formula>#REF!="One time"</formula>
    </cfRule>
  </conditionalFormatting>
  <conditionalFormatting sqref="D20:D24">
    <cfRule type="expression" dxfId="2" priority="2">
      <formula>#REF!="One time"</formula>
    </cfRule>
  </conditionalFormatting>
  <conditionalFormatting sqref="D47:D56">
    <cfRule type="expression" dxfId="1" priority="1">
      <formula>#REF!="One time"</formula>
    </cfRule>
  </conditionalFormatting>
  <dataValidations xWindow="184" yWindow="573" count="2">
    <dataValidation type="custom" showErrorMessage="1" errorTitle="Invalid Assumption" error="Assumption must be a number." sqref="J47:BQ56 J31:BQ40 J20:BQ24" xr:uid="{00000000-0002-0000-1200-000000000000}">
      <formula1>NOT(ISERROR(J20/1))</formula1>
    </dataValidation>
    <dataValidation type="textLength" operator="greaterThan" allowBlank="1" showInputMessage="1" showErrorMessage="1" errorTitle="NOT ALLOWED" error="The name of the category must be a text." sqref="B31:B40" xr:uid="{00000000-0002-0000-1300-000002000000}">
      <formula1>0</formula1>
    </dataValidation>
  </dataValidations>
  <pageMargins left="0.5" right="0.5" top="0.25" bottom="0.25" header="0" footer="0.25"/>
  <pageSetup paperSize="9" fitToHeight="5" orientation="landscape" r:id="rId1"/>
  <headerFooter>
    <oddFooter>&amp;L&amp;12Built with finmodelslab.com template&amp;C&amp;12Variable Expenses&amp;R&amp;D</oddFooter>
  </headerFooter>
  <colBreaks count="4" manualBreakCount="4">
    <brk id="21" max="1048575" man="1"/>
    <brk id="33" max="1048575" man="1"/>
    <brk id="45" max="1048575" man="1"/>
    <brk id="57" max="1048575" man="1"/>
  </colBreaks>
  <ignoredErrors>
    <ignoredError sqref="C20:D30 E21:I56 E20 G20:I20 C32:D56 D31" unlockedFormula="1"/>
  </ignoredErrors>
  <legacyDrawing r:id="rId2"/>
  <extLst>
    <ext xmlns:x14="http://schemas.microsoft.com/office/spreadsheetml/2009/9/main" uri="{CCE6A557-97BC-4b89-ADB6-D9C93CAAB3DF}">
      <x14:dataValidations xmlns:xm="http://schemas.microsoft.com/office/excel/2006/main" xWindow="184" yWindow="573" count="2">
        <x14:dataValidation type="list" allowBlank="1" showInputMessage="1" showErrorMessage="1" errorTitle="NOT ALLOWED" error="You may pick one from the list only." xr:uid="{00000000-0002-0000-1300-000006000000}">
          <x14:formula1>
            <xm:f>IS!$J$6:$BQ$6</xm:f>
          </x14:formula1>
          <xm:sqref>C31:C40 C47:C56 C20:C24</xm:sqref>
        </x14:dataValidation>
        <x14:dataValidation type="list" allowBlank="1" showInputMessage="1" showErrorMessage="1" errorTitle="NOT ALLOWED" error="_x000a_You may pick one from the list only." xr:uid="{00000000-0002-0000-1300-000005000000}">
          <x14:formula1>
            <xm:f>IS!$J$6:$BQ$6</xm:f>
          </x14:formula1>
          <xm:sqref>D31:D40 D47:D56 D20:D24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1">
    <tabColor rgb="FF0069B3"/>
    <pageSetUpPr autoPageBreaks="0"/>
  </sheetPr>
  <dimension ref="A1:BQ37"/>
  <sheetViews>
    <sheetView showGridLines="0" zoomScale="115" zoomScaleNormal="115" zoomScaleSheetLayoutView="47" workbookViewId="0">
      <pane xSplit="9" ySplit="6" topLeftCell="J7" activePane="bottomRight" state="frozen"/>
      <selection sqref="A1:A1048576"/>
      <selection pane="topRight" sqref="A1:A1048576"/>
      <selection pane="bottomLeft" sqref="A1:A1048576"/>
      <selection pane="bottomRight" activeCell="J16" sqref="J16"/>
    </sheetView>
  </sheetViews>
  <sheetFormatPr defaultColWidth="11.7109375" defaultRowHeight="10.5" customHeight="1"/>
  <cols>
    <col min="1" max="1" width="2.140625" style="1" customWidth="1"/>
    <col min="2" max="2" width="1.85546875" style="1" customWidth="1"/>
    <col min="3" max="4" width="3.7109375" style="1" customWidth="1"/>
    <col min="5" max="6" width="11.42578125" style="1" customWidth="1"/>
    <col min="7" max="8" width="8.85546875" style="1" customWidth="1"/>
    <col min="9" max="9" width="8.42578125" style="1" bestFit="1" customWidth="1"/>
    <col min="10" max="69" width="13.7109375" style="1" customWidth="1"/>
    <col min="70" max="71" width="11.7109375" style="1" customWidth="1"/>
    <col min="72" max="16384" width="11.7109375" style="1"/>
  </cols>
  <sheetData>
    <row r="1" spans="1:69" ht="17.399999999999999">
      <c r="B1" s="2" t="s">
        <v>115</v>
      </c>
    </row>
    <row r="2" spans="1:69" ht="15">
      <c r="B2" s="64"/>
      <c r="C2" s="3" t="s">
        <v>163</v>
      </c>
    </row>
    <row r="3" spans="1:69" ht="10.199999999999999">
      <c r="B3" s="4"/>
      <c r="C3" s="5"/>
      <c r="D3" s="5"/>
      <c r="E3" s="5"/>
      <c r="F3" s="5"/>
      <c r="G3" s="6"/>
      <c r="H3" s="6"/>
      <c r="I3" s="5"/>
    </row>
    <row r="4" spans="1:69" ht="10.5" customHeight="1">
      <c r="A4" s="7"/>
      <c r="B4" s="8" t="s">
        <v>72</v>
      </c>
      <c r="C4" s="7"/>
      <c r="D4" s="7"/>
      <c r="E4" s="7"/>
      <c r="F4" s="7"/>
      <c r="G4" s="7"/>
      <c r="H4" s="7"/>
      <c r="I4" s="7"/>
      <c r="J4" s="7">
        <f>YEAR(J5)</f>
        <v>2018</v>
      </c>
      <c r="K4" s="7">
        <f t="shared" ref="K4:BQ4" si="0">YEAR(K5)</f>
        <v>2018</v>
      </c>
      <c r="L4" s="7">
        <f t="shared" si="0"/>
        <v>2018</v>
      </c>
      <c r="M4" s="7">
        <f t="shared" si="0"/>
        <v>2018</v>
      </c>
      <c r="N4" s="7">
        <f t="shared" si="0"/>
        <v>2018</v>
      </c>
      <c r="O4" s="7">
        <f t="shared" si="0"/>
        <v>2018</v>
      </c>
      <c r="P4" s="7">
        <f t="shared" si="0"/>
        <v>2018</v>
      </c>
      <c r="Q4" s="7">
        <f t="shared" si="0"/>
        <v>2018</v>
      </c>
      <c r="R4" s="7">
        <f t="shared" si="0"/>
        <v>2018</v>
      </c>
      <c r="S4" s="7">
        <f t="shared" si="0"/>
        <v>2018</v>
      </c>
      <c r="T4" s="7">
        <f t="shared" si="0"/>
        <v>2018</v>
      </c>
      <c r="U4" s="7">
        <f t="shared" si="0"/>
        <v>2018</v>
      </c>
      <c r="V4" s="7">
        <f t="shared" si="0"/>
        <v>2019</v>
      </c>
      <c r="W4" s="7">
        <f t="shared" si="0"/>
        <v>2019</v>
      </c>
      <c r="X4" s="7">
        <f t="shared" si="0"/>
        <v>2019</v>
      </c>
      <c r="Y4" s="7">
        <f t="shared" si="0"/>
        <v>2019</v>
      </c>
      <c r="Z4" s="7">
        <f t="shared" si="0"/>
        <v>2019</v>
      </c>
      <c r="AA4" s="7">
        <f t="shared" si="0"/>
        <v>2019</v>
      </c>
      <c r="AB4" s="7">
        <f t="shared" si="0"/>
        <v>2019</v>
      </c>
      <c r="AC4" s="7">
        <f t="shared" si="0"/>
        <v>2019</v>
      </c>
      <c r="AD4" s="7">
        <f t="shared" si="0"/>
        <v>2019</v>
      </c>
      <c r="AE4" s="7">
        <f t="shared" si="0"/>
        <v>2019</v>
      </c>
      <c r="AF4" s="7">
        <f t="shared" si="0"/>
        <v>2019</v>
      </c>
      <c r="AG4" s="7">
        <f t="shared" si="0"/>
        <v>2019</v>
      </c>
      <c r="AH4" s="7">
        <f t="shared" si="0"/>
        <v>2020</v>
      </c>
      <c r="AI4" s="7">
        <f t="shared" si="0"/>
        <v>2020</v>
      </c>
      <c r="AJ4" s="7">
        <f t="shared" si="0"/>
        <v>2020</v>
      </c>
      <c r="AK4" s="7">
        <f t="shared" si="0"/>
        <v>2020</v>
      </c>
      <c r="AL4" s="7">
        <f t="shared" si="0"/>
        <v>2020</v>
      </c>
      <c r="AM4" s="7">
        <f t="shared" si="0"/>
        <v>2020</v>
      </c>
      <c r="AN4" s="7">
        <f t="shared" si="0"/>
        <v>2020</v>
      </c>
      <c r="AO4" s="7">
        <f t="shared" si="0"/>
        <v>2020</v>
      </c>
      <c r="AP4" s="7">
        <f t="shared" si="0"/>
        <v>2020</v>
      </c>
      <c r="AQ4" s="7">
        <f t="shared" si="0"/>
        <v>2020</v>
      </c>
      <c r="AR4" s="7">
        <f t="shared" si="0"/>
        <v>2020</v>
      </c>
      <c r="AS4" s="7">
        <f t="shared" si="0"/>
        <v>2020</v>
      </c>
      <c r="AT4" s="7">
        <f t="shared" si="0"/>
        <v>2021</v>
      </c>
      <c r="AU4" s="7">
        <f t="shared" si="0"/>
        <v>2021</v>
      </c>
      <c r="AV4" s="7">
        <f t="shared" si="0"/>
        <v>2021</v>
      </c>
      <c r="AW4" s="7">
        <f t="shared" si="0"/>
        <v>2021</v>
      </c>
      <c r="AX4" s="7">
        <f t="shared" si="0"/>
        <v>2021</v>
      </c>
      <c r="AY4" s="7">
        <f t="shared" si="0"/>
        <v>2021</v>
      </c>
      <c r="AZ4" s="7">
        <f t="shared" si="0"/>
        <v>2021</v>
      </c>
      <c r="BA4" s="7">
        <f t="shared" si="0"/>
        <v>2021</v>
      </c>
      <c r="BB4" s="7">
        <f t="shared" si="0"/>
        <v>2021</v>
      </c>
      <c r="BC4" s="7">
        <f t="shared" si="0"/>
        <v>2021</v>
      </c>
      <c r="BD4" s="7">
        <f t="shared" si="0"/>
        <v>2021</v>
      </c>
      <c r="BE4" s="7">
        <f t="shared" si="0"/>
        <v>2021</v>
      </c>
      <c r="BF4" s="7">
        <f t="shared" si="0"/>
        <v>2022</v>
      </c>
      <c r="BG4" s="7">
        <f t="shared" si="0"/>
        <v>2022</v>
      </c>
      <c r="BH4" s="7">
        <f t="shared" si="0"/>
        <v>2022</v>
      </c>
      <c r="BI4" s="7">
        <f t="shared" si="0"/>
        <v>2022</v>
      </c>
      <c r="BJ4" s="7">
        <f t="shared" si="0"/>
        <v>2022</v>
      </c>
      <c r="BK4" s="7">
        <f t="shared" si="0"/>
        <v>2022</v>
      </c>
      <c r="BL4" s="7">
        <f t="shared" si="0"/>
        <v>2022</v>
      </c>
      <c r="BM4" s="7">
        <f t="shared" si="0"/>
        <v>2022</v>
      </c>
      <c r="BN4" s="7">
        <f t="shared" si="0"/>
        <v>2022</v>
      </c>
      <c r="BO4" s="7">
        <f t="shared" si="0"/>
        <v>2022</v>
      </c>
      <c r="BP4" s="7">
        <f t="shared" si="0"/>
        <v>2022</v>
      </c>
      <c r="BQ4" s="7">
        <f t="shared" si="0"/>
        <v>2022</v>
      </c>
    </row>
    <row r="5" spans="1:69" ht="10.199999999999999">
      <c r="B5" s="8" t="s">
        <v>45</v>
      </c>
      <c r="I5" s="10">
        <f>EOMONTH(J5,-1)</f>
        <v>43100</v>
      </c>
      <c r="J5" s="11">
        <f>DATE(First_Fin_Year,1,31)</f>
        <v>43131</v>
      </c>
      <c r="K5" s="11">
        <f>EOMONTH(J5,1)</f>
        <v>43159</v>
      </c>
      <c r="L5" s="11">
        <f t="shared" ref="L5:BQ5" si="1">EOMONTH(K5,1)</f>
        <v>43190</v>
      </c>
      <c r="M5" s="11">
        <f t="shared" si="1"/>
        <v>43220</v>
      </c>
      <c r="N5" s="11">
        <f t="shared" si="1"/>
        <v>43251</v>
      </c>
      <c r="O5" s="11">
        <f t="shared" si="1"/>
        <v>43281</v>
      </c>
      <c r="P5" s="11">
        <f t="shared" si="1"/>
        <v>43312</v>
      </c>
      <c r="Q5" s="11">
        <f t="shared" si="1"/>
        <v>43343</v>
      </c>
      <c r="R5" s="11">
        <f t="shared" si="1"/>
        <v>43373</v>
      </c>
      <c r="S5" s="11">
        <f t="shared" si="1"/>
        <v>43404</v>
      </c>
      <c r="T5" s="11">
        <f t="shared" si="1"/>
        <v>43434</v>
      </c>
      <c r="U5" s="11">
        <f t="shared" si="1"/>
        <v>43465</v>
      </c>
      <c r="V5" s="11">
        <f t="shared" si="1"/>
        <v>43496</v>
      </c>
      <c r="W5" s="11">
        <f t="shared" si="1"/>
        <v>43524</v>
      </c>
      <c r="X5" s="11">
        <f t="shared" si="1"/>
        <v>43555</v>
      </c>
      <c r="Y5" s="11">
        <f t="shared" si="1"/>
        <v>43585</v>
      </c>
      <c r="Z5" s="11">
        <f t="shared" si="1"/>
        <v>43616</v>
      </c>
      <c r="AA5" s="11">
        <f t="shared" si="1"/>
        <v>43646</v>
      </c>
      <c r="AB5" s="11">
        <f t="shared" si="1"/>
        <v>43677</v>
      </c>
      <c r="AC5" s="11">
        <f t="shared" si="1"/>
        <v>43708</v>
      </c>
      <c r="AD5" s="11">
        <f t="shared" si="1"/>
        <v>43738</v>
      </c>
      <c r="AE5" s="11">
        <f t="shared" si="1"/>
        <v>43769</v>
      </c>
      <c r="AF5" s="11">
        <f t="shared" si="1"/>
        <v>43799</v>
      </c>
      <c r="AG5" s="11">
        <f t="shared" si="1"/>
        <v>43830</v>
      </c>
      <c r="AH5" s="11">
        <f t="shared" si="1"/>
        <v>43861</v>
      </c>
      <c r="AI5" s="11">
        <f t="shared" si="1"/>
        <v>43890</v>
      </c>
      <c r="AJ5" s="11">
        <f t="shared" si="1"/>
        <v>43921</v>
      </c>
      <c r="AK5" s="11">
        <f t="shared" si="1"/>
        <v>43951</v>
      </c>
      <c r="AL5" s="11">
        <f t="shared" si="1"/>
        <v>43982</v>
      </c>
      <c r="AM5" s="11">
        <f t="shared" si="1"/>
        <v>44012</v>
      </c>
      <c r="AN5" s="11">
        <f t="shared" si="1"/>
        <v>44043</v>
      </c>
      <c r="AO5" s="11">
        <f t="shared" si="1"/>
        <v>44074</v>
      </c>
      <c r="AP5" s="11">
        <f t="shared" si="1"/>
        <v>44104</v>
      </c>
      <c r="AQ5" s="11">
        <f t="shared" si="1"/>
        <v>44135</v>
      </c>
      <c r="AR5" s="11">
        <f t="shared" si="1"/>
        <v>44165</v>
      </c>
      <c r="AS5" s="11">
        <f t="shared" si="1"/>
        <v>44196</v>
      </c>
      <c r="AT5" s="11">
        <f t="shared" si="1"/>
        <v>44227</v>
      </c>
      <c r="AU5" s="11">
        <f t="shared" si="1"/>
        <v>44255</v>
      </c>
      <c r="AV5" s="11">
        <f t="shared" si="1"/>
        <v>44286</v>
      </c>
      <c r="AW5" s="11">
        <f t="shared" si="1"/>
        <v>44316</v>
      </c>
      <c r="AX5" s="11">
        <f t="shared" si="1"/>
        <v>44347</v>
      </c>
      <c r="AY5" s="11">
        <f t="shared" si="1"/>
        <v>44377</v>
      </c>
      <c r="AZ5" s="11">
        <f t="shared" si="1"/>
        <v>44408</v>
      </c>
      <c r="BA5" s="11">
        <f t="shared" si="1"/>
        <v>44439</v>
      </c>
      <c r="BB5" s="11">
        <f t="shared" si="1"/>
        <v>44469</v>
      </c>
      <c r="BC5" s="11">
        <f t="shared" si="1"/>
        <v>44500</v>
      </c>
      <c r="BD5" s="11">
        <f t="shared" si="1"/>
        <v>44530</v>
      </c>
      <c r="BE5" s="11">
        <f t="shared" si="1"/>
        <v>44561</v>
      </c>
      <c r="BF5" s="11">
        <f t="shared" si="1"/>
        <v>44592</v>
      </c>
      <c r="BG5" s="11">
        <f t="shared" si="1"/>
        <v>44620</v>
      </c>
      <c r="BH5" s="11">
        <f t="shared" si="1"/>
        <v>44651</v>
      </c>
      <c r="BI5" s="11">
        <f t="shared" si="1"/>
        <v>44681</v>
      </c>
      <c r="BJ5" s="11">
        <f t="shared" si="1"/>
        <v>44712</v>
      </c>
      <c r="BK5" s="11">
        <f t="shared" si="1"/>
        <v>44742</v>
      </c>
      <c r="BL5" s="11">
        <f t="shared" si="1"/>
        <v>44773</v>
      </c>
      <c r="BM5" s="11">
        <f t="shared" si="1"/>
        <v>44804</v>
      </c>
      <c r="BN5" s="11">
        <f t="shared" si="1"/>
        <v>44834</v>
      </c>
      <c r="BO5" s="11">
        <f t="shared" si="1"/>
        <v>44865</v>
      </c>
      <c r="BP5" s="11">
        <f t="shared" si="1"/>
        <v>44895</v>
      </c>
      <c r="BQ5" s="11">
        <f t="shared" si="1"/>
        <v>44926</v>
      </c>
    </row>
    <row r="6" spans="1:69" ht="10.199999999999999">
      <c r="B6" s="8" t="s">
        <v>157</v>
      </c>
      <c r="I6" s="10"/>
      <c r="J6" s="7">
        <v>1</v>
      </c>
      <c r="K6" s="7">
        <f>J6+1</f>
        <v>2</v>
      </c>
      <c r="L6" s="7">
        <f t="shared" ref="L6:BQ6" si="2">K6+1</f>
        <v>3</v>
      </c>
      <c r="M6" s="7">
        <f t="shared" si="2"/>
        <v>4</v>
      </c>
      <c r="N6" s="7">
        <f t="shared" si="2"/>
        <v>5</v>
      </c>
      <c r="O6" s="7">
        <f t="shared" si="2"/>
        <v>6</v>
      </c>
      <c r="P6" s="7">
        <f t="shared" si="2"/>
        <v>7</v>
      </c>
      <c r="Q6" s="7">
        <f t="shared" si="2"/>
        <v>8</v>
      </c>
      <c r="R6" s="7">
        <f t="shared" si="2"/>
        <v>9</v>
      </c>
      <c r="S6" s="7">
        <f t="shared" si="2"/>
        <v>10</v>
      </c>
      <c r="T6" s="7">
        <f t="shared" si="2"/>
        <v>11</v>
      </c>
      <c r="U6" s="7">
        <f t="shared" si="2"/>
        <v>12</v>
      </c>
      <c r="V6" s="7">
        <f t="shared" si="2"/>
        <v>13</v>
      </c>
      <c r="W6" s="7">
        <f t="shared" si="2"/>
        <v>14</v>
      </c>
      <c r="X6" s="7">
        <f t="shared" si="2"/>
        <v>15</v>
      </c>
      <c r="Y6" s="7">
        <f t="shared" si="2"/>
        <v>16</v>
      </c>
      <c r="Z6" s="7">
        <f t="shared" si="2"/>
        <v>17</v>
      </c>
      <c r="AA6" s="7">
        <f t="shared" si="2"/>
        <v>18</v>
      </c>
      <c r="AB6" s="7">
        <f t="shared" si="2"/>
        <v>19</v>
      </c>
      <c r="AC6" s="7">
        <f t="shared" si="2"/>
        <v>20</v>
      </c>
      <c r="AD6" s="7">
        <f t="shared" si="2"/>
        <v>21</v>
      </c>
      <c r="AE6" s="7">
        <f t="shared" si="2"/>
        <v>22</v>
      </c>
      <c r="AF6" s="7">
        <f t="shared" si="2"/>
        <v>23</v>
      </c>
      <c r="AG6" s="7">
        <f t="shared" si="2"/>
        <v>24</v>
      </c>
      <c r="AH6" s="7">
        <f t="shared" si="2"/>
        <v>25</v>
      </c>
      <c r="AI6" s="7">
        <f t="shared" si="2"/>
        <v>26</v>
      </c>
      <c r="AJ6" s="7">
        <f t="shared" si="2"/>
        <v>27</v>
      </c>
      <c r="AK6" s="7">
        <f t="shared" si="2"/>
        <v>28</v>
      </c>
      <c r="AL6" s="7">
        <f t="shared" si="2"/>
        <v>29</v>
      </c>
      <c r="AM6" s="7">
        <f t="shared" si="2"/>
        <v>30</v>
      </c>
      <c r="AN6" s="7">
        <f t="shared" si="2"/>
        <v>31</v>
      </c>
      <c r="AO6" s="7">
        <f t="shared" si="2"/>
        <v>32</v>
      </c>
      <c r="AP6" s="7">
        <f t="shared" si="2"/>
        <v>33</v>
      </c>
      <c r="AQ6" s="7">
        <f t="shared" si="2"/>
        <v>34</v>
      </c>
      <c r="AR6" s="7">
        <f t="shared" si="2"/>
        <v>35</v>
      </c>
      <c r="AS6" s="7">
        <f t="shared" si="2"/>
        <v>36</v>
      </c>
      <c r="AT6" s="7">
        <f t="shared" si="2"/>
        <v>37</v>
      </c>
      <c r="AU6" s="7">
        <f t="shared" si="2"/>
        <v>38</v>
      </c>
      <c r="AV6" s="7">
        <f t="shared" si="2"/>
        <v>39</v>
      </c>
      <c r="AW6" s="7">
        <f t="shared" si="2"/>
        <v>40</v>
      </c>
      <c r="AX6" s="7">
        <f t="shared" si="2"/>
        <v>41</v>
      </c>
      <c r="AY6" s="7">
        <f t="shared" si="2"/>
        <v>42</v>
      </c>
      <c r="AZ6" s="7">
        <f t="shared" si="2"/>
        <v>43</v>
      </c>
      <c r="BA6" s="7">
        <f t="shared" si="2"/>
        <v>44</v>
      </c>
      <c r="BB6" s="7">
        <f t="shared" si="2"/>
        <v>45</v>
      </c>
      <c r="BC6" s="7">
        <f t="shared" si="2"/>
        <v>46</v>
      </c>
      <c r="BD6" s="7">
        <f t="shared" si="2"/>
        <v>47</v>
      </c>
      <c r="BE6" s="7">
        <f t="shared" si="2"/>
        <v>48</v>
      </c>
      <c r="BF6" s="7">
        <f t="shared" si="2"/>
        <v>49</v>
      </c>
      <c r="BG6" s="7">
        <f t="shared" si="2"/>
        <v>50</v>
      </c>
      <c r="BH6" s="7">
        <f t="shared" si="2"/>
        <v>51</v>
      </c>
      <c r="BI6" s="7">
        <f t="shared" si="2"/>
        <v>52</v>
      </c>
      <c r="BJ6" s="7">
        <f t="shared" si="2"/>
        <v>53</v>
      </c>
      <c r="BK6" s="7">
        <f t="shared" si="2"/>
        <v>54</v>
      </c>
      <c r="BL6" s="7">
        <f t="shared" si="2"/>
        <v>55</v>
      </c>
      <c r="BM6" s="7">
        <f t="shared" si="2"/>
        <v>56</v>
      </c>
      <c r="BN6" s="7">
        <f t="shared" si="2"/>
        <v>57</v>
      </c>
      <c r="BO6" s="7">
        <f t="shared" si="2"/>
        <v>58</v>
      </c>
      <c r="BP6" s="7">
        <f t="shared" si="2"/>
        <v>59</v>
      </c>
      <c r="BQ6" s="7">
        <f t="shared" si="2"/>
        <v>60</v>
      </c>
    </row>
    <row r="7" spans="1:69" ht="10.199999999999999">
      <c r="A7" s="7"/>
      <c r="B7" s="8"/>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row>
    <row r="8" spans="1:69" ht="13.8">
      <c r="A8" s="65"/>
      <c r="B8" s="66"/>
      <c r="C8" s="12" t="str">
        <f>"CAPEX - Assumptions, "&amp;Currency</f>
        <v>CAPEX - Assumptions, $</v>
      </c>
      <c r="D8" s="66"/>
      <c r="E8" s="66"/>
      <c r="F8" s="66"/>
      <c r="G8" s="66"/>
      <c r="H8" s="66"/>
      <c r="I8" s="66"/>
      <c r="J8" s="67"/>
      <c r="K8" s="67"/>
      <c r="L8" s="67"/>
      <c r="M8" s="67"/>
      <c r="N8" s="67"/>
      <c r="O8" s="67"/>
      <c r="P8" s="67"/>
      <c r="Q8" s="67"/>
      <c r="R8" s="67"/>
      <c r="S8" s="67"/>
      <c r="T8" s="67"/>
      <c r="U8" s="67"/>
      <c r="V8" s="67"/>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c r="BJ8" s="67"/>
      <c r="BK8" s="67"/>
      <c r="BL8" s="67"/>
      <c r="BM8" s="67"/>
      <c r="BN8" s="67"/>
      <c r="BO8" s="67"/>
      <c r="BP8" s="67"/>
      <c r="BQ8" s="67"/>
    </row>
    <row r="9" spans="1:69" ht="10.5" customHeight="1">
      <c r="A9" s="65"/>
      <c r="B9" s="66"/>
      <c r="C9" s="66"/>
      <c r="D9" s="66"/>
      <c r="E9" s="66"/>
      <c r="F9" s="66"/>
      <c r="G9" s="66"/>
      <c r="H9" s="66"/>
      <c r="I9" s="66"/>
      <c r="J9" s="67"/>
      <c r="K9" s="67"/>
      <c r="L9" s="67"/>
      <c r="M9" s="67"/>
      <c r="N9" s="67"/>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row>
    <row r="10" spans="1:69" ht="10.5" customHeight="1">
      <c r="A10" s="65"/>
      <c r="B10" s="66"/>
      <c r="C10" s="66"/>
      <c r="D10" s="66"/>
      <c r="E10" s="66"/>
      <c r="F10" s="66"/>
      <c r="G10" s="66"/>
      <c r="H10" s="66"/>
      <c r="I10" s="66"/>
      <c r="J10" s="67"/>
      <c r="K10" s="67"/>
      <c r="L10" s="67"/>
      <c r="M10" s="67"/>
      <c r="N10" s="67"/>
      <c r="O10" s="67"/>
      <c r="P10" s="67"/>
      <c r="Q10" s="67"/>
      <c r="R10" s="67"/>
      <c r="S10" s="67"/>
      <c r="T10" s="67"/>
      <c r="U10" s="67"/>
      <c r="V10" s="67"/>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row>
    <row r="11" spans="1:69" ht="10.199999999999999">
      <c r="A11" s="65"/>
      <c r="B11" s="66"/>
      <c r="C11" s="66"/>
      <c r="D11" s="68" t="s">
        <v>69</v>
      </c>
      <c r="E11" s="66"/>
      <c r="F11" s="66"/>
      <c r="G11" s="79" t="s">
        <v>149</v>
      </c>
      <c r="H11" s="80"/>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7"/>
      <c r="BJ11" s="67"/>
      <c r="BK11" s="67"/>
      <c r="BL11" s="67"/>
      <c r="BM11" s="67"/>
      <c r="BN11" s="67"/>
      <c r="BO11" s="67"/>
      <c r="BP11" s="67"/>
      <c r="BQ11" s="67"/>
    </row>
    <row r="12" spans="1:69" ht="10.199999999999999">
      <c r="A12" s="65"/>
      <c r="B12" s="66"/>
      <c r="C12" s="66"/>
      <c r="D12" s="69" t="s">
        <v>122</v>
      </c>
      <c r="E12" s="66"/>
      <c r="F12" s="66"/>
      <c r="G12" s="81">
        <v>60</v>
      </c>
      <c r="H12" s="82"/>
      <c r="I12" s="66"/>
      <c r="J12" s="70"/>
      <c r="K12" s="70"/>
      <c r="L12" s="70"/>
      <c r="M12" s="70"/>
      <c r="N12" s="70"/>
      <c r="O12" s="70"/>
      <c r="P12" s="70"/>
      <c r="Q12" s="70"/>
      <c r="R12" s="70"/>
      <c r="S12" s="70"/>
      <c r="T12" s="70"/>
      <c r="U12" s="70"/>
      <c r="V12" s="70"/>
      <c r="W12" s="70"/>
      <c r="X12" s="70"/>
      <c r="Y12" s="70"/>
      <c r="Z12" s="70"/>
      <c r="AA12" s="70"/>
      <c r="AB12" s="70"/>
      <c r="AC12" s="70"/>
      <c r="AD12" s="70"/>
      <c r="AE12" s="70"/>
      <c r="AF12" s="70"/>
      <c r="AG12" s="70"/>
      <c r="AH12" s="70"/>
      <c r="AI12" s="70"/>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row>
    <row r="13" spans="1:69" ht="7.5" customHeight="1">
      <c r="A13" s="65"/>
      <c r="B13" s="66"/>
      <c r="C13" s="66"/>
      <c r="D13" s="66"/>
      <c r="E13" s="66"/>
      <c r="F13" s="66"/>
      <c r="H13" s="66"/>
      <c r="I13" s="66"/>
      <c r="J13" s="67"/>
      <c r="K13" s="67"/>
      <c r="L13" s="67"/>
      <c r="M13" s="67"/>
      <c r="N13" s="67"/>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c r="BL13" s="67"/>
      <c r="BM13" s="67"/>
      <c r="BN13" s="67"/>
      <c r="BO13" s="67"/>
      <c r="BP13" s="67"/>
      <c r="BQ13" s="67"/>
    </row>
    <row r="14" spans="1:69" ht="10.199999999999999">
      <c r="A14" s="71"/>
      <c r="B14" s="71"/>
      <c r="C14" s="71"/>
      <c r="D14" s="72" t="s">
        <v>28</v>
      </c>
      <c r="E14" s="71"/>
      <c r="F14" s="71"/>
      <c r="G14" s="71"/>
      <c r="H14" s="71"/>
      <c r="I14" s="71"/>
      <c r="J14" s="73">
        <f>I17</f>
        <v>0</v>
      </c>
      <c r="K14" s="73">
        <f>J17</f>
        <v>49166.666666666664</v>
      </c>
      <c r="L14" s="73">
        <f t="shared" ref="L14:AO14" si="3">K17</f>
        <v>97499.999999999985</v>
      </c>
      <c r="M14" s="73">
        <f t="shared" si="3"/>
        <v>145000</v>
      </c>
      <c r="N14" s="73">
        <f t="shared" si="3"/>
        <v>142500</v>
      </c>
      <c r="O14" s="73">
        <f t="shared" si="3"/>
        <v>140000</v>
      </c>
      <c r="P14" s="73">
        <f t="shared" si="3"/>
        <v>137500</v>
      </c>
      <c r="Q14" s="73">
        <f t="shared" si="3"/>
        <v>135000</v>
      </c>
      <c r="R14" s="73">
        <f t="shared" si="3"/>
        <v>132500</v>
      </c>
      <c r="S14" s="73">
        <f t="shared" si="3"/>
        <v>130000</v>
      </c>
      <c r="T14" s="73">
        <f t="shared" si="3"/>
        <v>127500</v>
      </c>
      <c r="U14" s="73">
        <f t="shared" si="3"/>
        <v>125000</v>
      </c>
      <c r="V14" s="73">
        <f t="shared" si="3"/>
        <v>122500</v>
      </c>
      <c r="W14" s="73">
        <f t="shared" si="3"/>
        <v>120000</v>
      </c>
      <c r="X14" s="73">
        <f t="shared" si="3"/>
        <v>117500</v>
      </c>
      <c r="Y14" s="73">
        <f t="shared" si="3"/>
        <v>115000</v>
      </c>
      <c r="Z14" s="73">
        <f t="shared" si="3"/>
        <v>112500</v>
      </c>
      <c r="AA14" s="73">
        <f t="shared" si="3"/>
        <v>110000</v>
      </c>
      <c r="AB14" s="73">
        <f t="shared" si="3"/>
        <v>107500</v>
      </c>
      <c r="AC14" s="73">
        <f t="shared" si="3"/>
        <v>105000</v>
      </c>
      <c r="AD14" s="73">
        <f t="shared" si="3"/>
        <v>102500</v>
      </c>
      <c r="AE14" s="73">
        <f t="shared" si="3"/>
        <v>100000</v>
      </c>
      <c r="AF14" s="73">
        <f t="shared" si="3"/>
        <v>97500</v>
      </c>
      <c r="AG14" s="73">
        <f t="shared" si="3"/>
        <v>95000</v>
      </c>
      <c r="AH14" s="73">
        <f t="shared" si="3"/>
        <v>92500</v>
      </c>
      <c r="AI14" s="73">
        <f t="shared" si="3"/>
        <v>90000</v>
      </c>
      <c r="AJ14" s="73">
        <f t="shared" si="3"/>
        <v>87500</v>
      </c>
      <c r="AK14" s="73">
        <f t="shared" si="3"/>
        <v>85000</v>
      </c>
      <c r="AL14" s="73">
        <f t="shared" si="3"/>
        <v>82500</v>
      </c>
      <c r="AM14" s="73">
        <f t="shared" si="3"/>
        <v>80000</v>
      </c>
      <c r="AN14" s="73">
        <f t="shared" si="3"/>
        <v>77500</v>
      </c>
      <c r="AO14" s="73">
        <f t="shared" si="3"/>
        <v>75000</v>
      </c>
      <c r="AP14" s="73">
        <f t="shared" ref="AP14:BQ14" si="4">AO17</f>
        <v>72500</v>
      </c>
      <c r="AQ14" s="73">
        <f t="shared" si="4"/>
        <v>70000</v>
      </c>
      <c r="AR14" s="73">
        <f t="shared" si="4"/>
        <v>67500</v>
      </c>
      <c r="AS14" s="73">
        <f t="shared" si="4"/>
        <v>65000</v>
      </c>
      <c r="AT14" s="73">
        <f t="shared" si="4"/>
        <v>62500</v>
      </c>
      <c r="AU14" s="73">
        <f t="shared" si="4"/>
        <v>60000</v>
      </c>
      <c r="AV14" s="73">
        <f t="shared" si="4"/>
        <v>57500</v>
      </c>
      <c r="AW14" s="73">
        <f t="shared" si="4"/>
        <v>55000</v>
      </c>
      <c r="AX14" s="73">
        <f t="shared" si="4"/>
        <v>52500</v>
      </c>
      <c r="AY14" s="73">
        <f t="shared" si="4"/>
        <v>50000</v>
      </c>
      <c r="AZ14" s="73">
        <f t="shared" si="4"/>
        <v>47500</v>
      </c>
      <c r="BA14" s="73">
        <f t="shared" si="4"/>
        <v>45000</v>
      </c>
      <c r="BB14" s="73">
        <f t="shared" si="4"/>
        <v>42500</v>
      </c>
      <c r="BC14" s="73">
        <f t="shared" si="4"/>
        <v>40000</v>
      </c>
      <c r="BD14" s="73">
        <f t="shared" si="4"/>
        <v>37500</v>
      </c>
      <c r="BE14" s="73">
        <f t="shared" si="4"/>
        <v>35000</v>
      </c>
      <c r="BF14" s="73">
        <f t="shared" si="4"/>
        <v>32500</v>
      </c>
      <c r="BG14" s="73">
        <f t="shared" si="4"/>
        <v>30000</v>
      </c>
      <c r="BH14" s="73">
        <f t="shared" si="4"/>
        <v>27500</v>
      </c>
      <c r="BI14" s="73">
        <f t="shared" si="4"/>
        <v>25000</v>
      </c>
      <c r="BJ14" s="73">
        <f t="shared" si="4"/>
        <v>22500</v>
      </c>
      <c r="BK14" s="73">
        <f t="shared" si="4"/>
        <v>20000</v>
      </c>
      <c r="BL14" s="73">
        <f t="shared" si="4"/>
        <v>17500</v>
      </c>
      <c r="BM14" s="73">
        <f t="shared" si="4"/>
        <v>15000</v>
      </c>
      <c r="BN14" s="73">
        <f t="shared" si="4"/>
        <v>12500</v>
      </c>
      <c r="BO14" s="73">
        <f t="shared" si="4"/>
        <v>10000</v>
      </c>
      <c r="BP14" s="73">
        <f t="shared" si="4"/>
        <v>7500</v>
      </c>
      <c r="BQ14" s="73">
        <f t="shared" si="4"/>
        <v>5000</v>
      </c>
    </row>
    <row r="15" spans="1:69" ht="10.199999999999999">
      <c r="A15" s="65"/>
      <c r="B15" s="66"/>
      <c r="C15" s="66"/>
      <c r="D15" s="74" t="s">
        <v>155</v>
      </c>
      <c r="E15" s="66"/>
      <c r="F15" s="66"/>
      <c r="G15" s="66"/>
      <c r="H15" s="66"/>
      <c r="I15" s="66"/>
      <c r="J15" s="83">
        <v>50000</v>
      </c>
      <c r="K15" s="83">
        <v>50000</v>
      </c>
      <c r="L15" s="83">
        <v>50000</v>
      </c>
      <c r="M15" s="83">
        <v>0</v>
      </c>
      <c r="N15" s="83">
        <v>0</v>
      </c>
      <c r="O15" s="83">
        <v>0</v>
      </c>
      <c r="P15" s="83">
        <v>0</v>
      </c>
      <c r="Q15" s="83">
        <v>0</v>
      </c>
      <c r="R15" s="83">
        <v>0</v>
      </c>
      <c r="S15" s="83">
        <v>0</v>
      </c>
      <c r="T15" s="83">
        <v>0</v>
      </c>
      <c r="U15" s="83">
        <v>0</v>
      </c>
      <c r="V15" s="83">
        <v>0</v>
      </c>
      <c r="W15" s="83">
        <v>0</v>
      </c>
      <c r="X15" s="83">
        <v>0</v>
      </c>
      <c r="Y15" s="83">
        <v>0</v>
      </c>
      <c r="Z15" s="83">
        <v>0</v>
      </c>
      <c r="AA15" s="83">
        <v>0</v>
      </c>
      <c r="AB15" s="83">
        <v>0</v>
      </c>
      <c r="AC15" s="83">
        <v>0</v>
      </c>
      <c r="AD15" s="83">
        <v>0</v>
      </c>
      <c r="AE15" s="83">
        <v>0</v>
      </c>
      <c r="AF15" s="83">
        <v>0</v>
      </c>
      <c r="AG15" s="83">
        <v>0</v>
      </c>
      <c r="AH15" s="83">
        <v>0</v>
      </c>
      <c r="AI15" s="83">
        <v>0</v>
      </c>
      <c r="AJ15" s="83">
        <v>0</v>
      </c>
      <c r="AK15" s="83">
        <v>0</v>
      </c>
      <c r="AL15" s="83">
        <v>0</v>
      </c>
      <c r="AM15" s="83">
        <v>0</v>
      </c>
      <c r="AN15" s="83">
        <v>0</v>
      </c>
      <c r="AO15" s="83">
        <v>0</v>
      </c>
      <c r="AP15" s="83">
        <v>0</v>
      </c>
      <c r="AQ15" s="83">
        <v>0</v>
      </c>
      <c r="AR15" s="83">
        <v>0</v>
      </c>
      <c r="AS15" s="83">
        <v>0</v>
      </c>
      <c r="AT15" s="83">
        <v>0</v>
      </c>
      <c r="AU15" s="83">
        <v>0</v>
      </c>
      <c r="AV15" s="83">
        <v>0</v>
      </c>
      <c r="AW15" s="83">
        <v>0</v>
      </c>
      <c r="AX15" s="83">
        <v>0</v>
      </c>
      <c r="AY15" s="83">
        <v>0</v>
      </c>
      <c r="AZ15" s="83">
        <v>0</v>
      </c>
      <c r="BA15" s="83">
        <v>0</v>
      </c>
      <c r="BB15" s="83">
        <v>0</v>
      </c>
      <c r="BC15" s="83">
        <v>0</v>
      </c>
      <c r="BD15" s="83">
        <v>0</v>
      </c>
      <c r="BE15" s="83">
        <v>0</v>
      </c>
      <c r="BF15" s="83">
        <v>0</v>
      </c>
      <c r="BG15" s="83">
        <v>0</v>
      </c>
      <c r="BH15" s="83">
        <v>0</v>
      </c>
      <c r="BI15" s="83">
        <v>0</v>
      </c>
      <c r="BJ15" s="83">
        <v>0</v>
      </c>
      <c r="BK15" s="83">
        <v>0</v>
      </c>
      <c r="BL15" s="83">
        <v>0</v>
      </c>
      <c r="BM15" s="83">
        <v>0</v>
      </c>
      <c r="BN15" s="83">
        <v>0</v>
      </c>
      <c r="BO15" s="83">
        <v>0</v>
      </c>
      <c r="BP15" s="83">
        <v>0</v>
      </c>
      <c r="BQ15" s="83">
        <v>0</v>
      </c>
    </row>
    <row r="16" spans="1:69" ht="10.199999999999999">
      <c r="A16" s="65"/>
      <c r="B16" s="66"/>
      <c r="C16" s="66"/>
      <c r="D16" s="74" t="s">
        <v>29</v>
      </c>
      <c r="E16" s="66"/>
      <c r="F16" s="66"/>
      <c r="G16" s="66"/>
      <c r="H16" s="66"/>
      <c r="I16" s="66"/>
      <c r="J16" s="17">
        <f>-SUMIFS($J15:J15,$J$6:J$6,"&gt;"&amp;(J$6-$G12))/$G12</f>
        <v>-833.33333333333337</v>
      </c>
      <c r="K16" s="17">
        <f>-SUMIFS($J15:K15,$J$6:K$6,"&gt;"&amp;(K$6-$G12))/$G12</f>
        <v>-1666.6666666666667</v>
      </c>
      <c r="L16" s="17">
        <f>-SUMIFS($J15:L15,$J$6:L$6,"&gt;"&amp;(L$6-$G12))/$G12</f>
        <v>-2500</v>
      </c>
      <c r="M16" s="17">
        <f>-SUMIFS($J15:M15,$J$6:M$6,"&gt;"&amp;(M$6-$G12))/$G12</f>
        <v>-2500</v>
      </c>
      <c r="N16" s="17">
        <f>-SUMIFS($J15:N15,$J$6:N$6,"&gt;"&amp;(N$6-$G12))/$G12</f>
        <v>-2500</v>
      </c>
      <c r="O16" s="17">
        <f>-SUMIFS($J15:O15,$J$6:O$6,"&gt;"&amp;(O$6-$G12))/$G12</f>
        <v>-2500</v>
      </c>
      <c r="P16" s="17">
        <f>-SUMIFS($J15:P15,$J$6:P$6,"&gt;"&amp;(P$6-$G12))/$G12</f>
        <v>-2500</v>
      </c>
      <c r="Q16" s="17">
        <f>-SUMIFS($J15:Q15,$J$6:Q$6,"&gt;"&amp;(Q$6-$G12))/$G12</f>
        <v>-2500</v>
      </c>
      <c r="R16" s="17">
        <f>-SUMIFS($J15:R15,$J$6:R$6,"&gt;"&amp;(R$6-$G12))/$G12</f>
        <v>-2500</v>
      </c>
      <c r="S16" s="17">
        <f>-SUMIFS($J15:S15,$J$6:S$6,"&gt;"&amp;(S$6-$G12))/$G12</f>
        <v>-2500</v>
      </c>
      <c r="T16" s="17">
        <f>-SUMIFS($J15:T15,$J$6:T$6,"&gt;"&amp;(T$6-$G12))/$G12</f>
        <v>-2500</v>
      </c>
      <c r="U16" s="17">
        <f>-SUMIFS($J15:U15,$J$6:U$6,"&gt;"&amp;(U$6-$G12))/$G12</f>
        <v>-2500</v>
      </c>
      <c r="V16" s="17">
        <f>-SUMIFS($J15:V15,$J$6:V$6,"&gt;"&amp;(V$6-$G12))/$G12</f>
        <v>-2500</v>
      </c>
      <c r="W16" s="17">
        <f>-SUMIFS($J15:W15,$J$6:W$6,"&gt;"&amp;(W$6-$G12))/$G12</f>
        <v>-2500</v>
      </c>
      <c r="X16" s="17">
        <f>-SUMIFS($J15:X15,$J$6:X$6,"&gt;"&amp;(X$6-$G12))/$G12</f>
        <v>-2500</v>
      </c>
      <c r="Y16" s="17">
        <f>-SUMIFS($J15:Y15,$J$6:Y$6,"&gt;"&amp;(Y$6-$G12))/$G12</f>
        <v>-2500</v>
      </c>
      <c r="Z16" s="17">
        <f>-SUMIFS($J15:Z15,$J$6:Z$6,"&gt;"&amp;(Z$6-$G12))/$G12</f>
        <v>-2500</v>
      </c>
      <c r="AA16" s="17">
        <f>-SUMIFS($J15:AA15,$J$6:AA$6,"&gt;"&amp;(AA$6-$G12))/$G12</f>
        <v>-2500</v>
      </c>
      <c r="AB16" s="17">
        <f>-SUMIFS($J15:AB15,$J$6:AB$6,"&gt;"&amp;(AB$6-$G12))/$G12</f>
        <v>-2500</v>
      </c>
      <c r="AC16" s="17">
        <f>-SUMIFS($J15:AC15,$J$6:AC$6,"&gt;"&amp;(AC$6-$G12))/$G12</f>
        <v>-2500</v>
      </c>
      <c r="AD16" s="17">
        <f>-SUMIFS($J15:AD15,$J$6:AD$6,"&gt;"&amp;(AD$6-$G12))/$G12</f>
        <v>-2500</v>
      </c>
      <c r="AE16" s="17">
        <f>-SUMIFS($J15:AE15,$J$6:AE$6,"&gt;"&amp;(AE$6-$G12))/$G12</f>
        <v>-2500</v>
      </c>
      <c r="AF16" s="17">
        <f>-SUMIFS($J15:AF15,$J$6:AF$6,"&gt;"&amp;(AF$6-$G12))/$G12</f>
        <v>-2500</v>
      </c>
      <c r="AG16" s="17">
        <f>-SUMIFS($J15:AG15,$J$6:AG$6,"&gt;"&amp;(AG$6-$G12))/$G12</f>
        <v>-2500</v>
      </c>
      <c r="AH16" s="17">
        <f>-SUMIFS($J15:AH15,$J$6:AH$6,"&gt;"&amp;(AH$6-$G12))/$G12</f>
        <v>-2500</v>
      </c>
      <c r="AI16" s="17">
        <f>-SUMIFS($J15:AI15,$J$6:AI$6,"&gt;"&amp;(AI$6-$G12))/$G12</f>
        <v>-2500</v>
      </c>
      <c r="AJ16" s="17">
        <f>-SUMIFS($J15:AJ15,$J$6:AJ$6,"&gt;"&amp;(AJ$6-$G12))/$G12</f>
        <v>-2500</v>
      </c>
      <c r="AK16" s="17">
        <f>-SUMIFS($J15:AK15,$J$6:AK$6,"&gt;"&amp;(AK$6-$G12))/$G12</f>
        <v>-2500</v>
      </c>
      <c r="AL16" s="17">
        <f>-SUMIFS($J15:AL15,$J$6:AL$6,"&gt;"&amp;(AL$6-$G12))/$G12</f>
        <v>-2500</v>
      </c>
      <c r="AM16" s="17">
        <f>-SUMIFS($J15:AM15,$J$6:AM$6,"&gt;"&amp;(AM$6-$G12))/$G12</f>
        <v>-2500</v>
      </c>
      <c r="AN16" s="17">
        <f>-SUMIFS($J15:AN15,$J$6:AN$6,"&gt;"&amp;(AN$6-$G12))/$G12</f>
        <v>-2500</v>
      </c>
      <c r="AO16" s="17">
        <f>-SUMIFS($J15:AO15,$J$6:AO$6,"&gt;"&amp;(AO$6-$G12))/$G12</f>
        <v>-2500</v>
      </c>
      <c r="AP16" s="17">
        <f>-SUMIFS($J15:AP15,$J$6:AP$6,"&gt;"&amp;(AP$6-$G12))/$G12</f>
        <v>-2500</v>
      </c>
      <c r="AQ16" s="17">
        <f>-SUMIFS($J15:AQ15,$J$6:AQ$6,"&gt;"&amp;(AQ$6-$G12))/$G12</f>
        <v>-2500</v>
      </c>
      <c r="AR16" s="17">
        <f>-SUMIFS($J15:AR15,$J$6:AR$6,"&gt;"&amp;(AR$6-$G12))/$G12</f>
        <v>-2500</v>
      </c>
      <c r="AS16" s="17">
        <f>-SUMIFS($J15:AS15,$J$6:AS$6,"&gt;"&amp;(AS$6-$G12))/$G12</f>
        <v>-2500</v>
      </c>
      <c r="AT16" s="17">
        <f>-SUMIFS($J15:AT15,$J$6:AT$6,"&gt;"&amp;(AT$6-$G12))/$G12</f>
        <v>-2500</v>
      </c>
      <c r="AU16" s="17">
        <f>-SUMIFS($J15:AU15,$J$6:AU$6,"&gt;"&amp;(AU$6-$G12))/$G12</f>
        <v>-2500</v>
      </c>
      <c r="AV16" s="17">
        <f>-SUMIFS($J15:AV15,$J$6:AV$6,"&gt;"&amp;(AV$6-$G12))/$G12</f>
        <v>-2500</v>
      </c>
      <c r="AW16" s="17">
        <f>-SUMIFS($J15:AW15,$J$6:AW$6,"&gt;"&amp;(AW$6-$G12))/$G12</f>
        <v>-2500</v>
      </c>
      <c r="AX16" s="17">
        <f>-SUMIFS($J15:AX15,$J$6:AX$6,"&gt;"&amp;(AX$6-$G12))/$G12</f>
        <v>-2500</v>
      </c>
      <c r="AY16" s="17">
        <f>-SUMIFS($J15:AY15,$J$6:AY$6,"&gt;"&amp;(AY$6-$G12))/$G12</f>
        <v>-2500</v>
      </c>
      <c r="AZ16" s="17">
        <f>-SUMIFS($J15:AZ15,$J$6:AZ$6,"&gt;"&amp;(AZ$6-$G12))/$G12</f>
        <v>-2500</v>
      </c>
      <c r="BA16" s="17">
        <f>-SUMIFS($J15:BA15,$J$6:BA$6,"&gt;"&amp;(BA$6-$G12))/$G12</f>
        <v>-2500</v>
      </c>
      <c r="BB16" s="17">
        <f>-SUMIFS($J15:BB15,$J$6:BB$6,"&gt;"&amp;(BB$6-$G12))/$G12</f>
        <v>-2500</v>
      </c>
      <c r="BC16" s="17">
        <f>-SUMIFS($J15:BC15,$J$6:BC$6,"&gt;"&amp;(BC$6-$G12))/$G12</f>
        <v>-2500</v>
      </c>
      <c r="BD16" s="17">
        <f>-SUMIFS($J15:BD15,$J$6:BD$6,"&gt;"&amp;(BD$6-$G12))/$G12</f>
        <v>-2500</v>
      </c>
      <c r="BE16" s="17">
        <f>-SUMIFS($J15:BE15,$J$6:BE$6,"&gt;"&amp;(BE$6-$G12))/$G12</f>
        <v>-2500</v>
      </c>
      <c r="BF16" s="17">
        <f>-SUMIFS($J15:BF15,$J$6:BF$6,"&gt;"&amp;(BF$6-$G12))/$G12</f>
        <v>-2500</v>
      </c>
      <c r="BG16" s="17">
        <f>-SUMIFS($J15:BG15,$J$6:BG$6,"&gt;"&amp;(BG$6-$G12))/$G12</f>
        <v>-2500</v>
      </c>
      <c r="BH16" s="17">
        <f>-SUMIFS($J15:BH15,$J$6:BH$6,"&gt;"&amp;(BH$6-$G12))/$G12</f>
        <v>-2500</v>
      </c>
      <c r="BI16" s="17">
        <f>-SUMIFS($J15:BI15,$J$6:BI$6,"&gt;"&amp;(BI$6-$G12))/$G12</f>
        <v>-2500</v>
      </c>
      <c r="BJ16" s="17">
        <f>-SUMIFS($J15:BJ15,$J$6:BJ$6,"&gt;"&amp;(BJ$6-$G12))/$G12</f>
        <v>-2500</v>
      </c>
      <c r="BK16" s="17">
        <f>-SUMIFS($J15:BK15,$J$6:BK$6,"&gt;"&amp;(BK$6-$G12))/$G12</f>
        <v>-2500</v>
      </c>
      <c r="BL16" s="17">
        <f>-SUMIFS($J15:BL15,$J$6:BL$6,"&gt;"&amp;(BL$6-$G12))/$G12</f>
        <v>-2500</v>
      </c>
      <c r="BM16" s="17">
        <f>-SUMIFS($J15:BM15,$J$6:BM$6,"&gt;"&amp;(BM$6-$G12))/$G12</f>
        <v>-2500</v>
      </c>
      <c r="BN16" s="17">
        <f>-SUMIFS($J15:BN15,$J$6:BN$6,"&gt;"&amp;(BN$6-$G12))/$G12</f>
        <v>-2500</v>
      </c>
      <c r="BO16" s="17">
        <f>-SUMIFS($J15:BO15,$J$6:BO$6,"&gt;"&amp;(BO$6-$G12))/$G12</f>
        <v>-2500</v>
      </c>
      <c r="BP16" s="17">
        <f>-SUMIFS($J15:BP15,$J$6:BP$6,"&gt;"&amp;(BP$6-$G12))/$G12</f>
        <v>-2500</v>
      </c>
      <c r="BQ16" s="17">
        <f>-SUMIFS($J15:BQ15,$J$6:BQ$6,"&gt;"&amp;(BQ$6-$G12))/$G12</f>
        <v>-2500</v>
      </c>
    </row>
    <row r="17" spans="1:69" ht="10.199999999999999">
      <c r="A17" s="65"/>
      <c r="B17" s="66"/>
      <c r="C17" s="66"/>
      <c r="D17" s="68" t="s">
        <v>30</v>
      </c>
      <c r="E17" s="66"/>
      <c r="F17" s="66"/>
      <c r="G17" s="66"/>
      <c r="H17" s="66"/>
      <c r="I17" s="66"/>
      <c r="J17" s="75">
        <f>J14+J15+J16</f>
        <v>49166.666666666664</v>
      </c>
      <c r="K17" s="75">
        <f t="shared" ref="K17:BQ17" si="5">K14+K15+K16</f>
        <v>97499.999999999985</v>
      </c>
      <c r="L17" s="75">
        <f t="shared" si="5"/>
        <v>145000</v>
      </c>
      <c r="M17" s="75">
        <f t="shared" si="5"/>
        <v>142500</v>
      </c>
      <c r="N17" s="75">
        <f t="shared" si="5"/>
        <v>140000</v>
      </c>
      <c r="O17" s="75">
        <f t="shared" si="5"/>
        <v>137500</v>
      </c>
      <c r="P17" s="75">
        <f t="shared" si="5"/>
        <v>135000</v>
      </c>
      <c r="Q17" s="75">
        <f t="shared" si="5"/>
        <v>132500</v>
      </c>
      <c r="R17" s="75">
        <f t="shared" si="5"/>
        <v>130000</v>
      </c>
      <c r="S17" s="75">
        <f t="shared" si="5"/>
        <v>127500</v>
      </c>
      <c r="T17" s="75">
        <f t="shared" si="5"/>
        <v>125000</v>
      </c>
      <c r="U17" s="75">
        <f t="shared" si="5"/>
        <v>122500</v>
      </c>
      <c r="V17" s="75">
        <f t="shared" si="5"/>
        <v>120000</v>
      </c>
      <c r="W17" s="75">
        <f t="shared" si="5"/>
        <v>117500</v>
      </c>
      <c r="X17" s="75">
        <f t="shared" si="5"/>
        <v>115000</v>
      </c>
      <c r="Y17" s="75">
        <f t="shared" si="5"/>
        <v>112500</v>
      </c>
      <c r="Z17" s="75">
        <f t="shared" si="5"/>
        <v>110000</v>
      </c>
      <c r="AA17" s="75">
        <f t="shared" si="5"/>
        <v>107500</v>
      </c>
      <c r="AB17" s="75">
        <f t="shared" si="5"/>
        <v>105000</v>
      </c>
      <c r="AC17" s="75">
        <f t="shared" si="5"/>
        <v>102500</v>
      </c>
      <c r="AD17" s="75">
        <f t="shared" si="5"/>
        <v>100000</v>
      </c>
      <c r="AE17" s="75">
        <f t="shared" si="5"/>
        <v>97500</v>
      </c>
      <c r="AF17" s="75">
        <f t="shared" si="5"/>
        <v>95000</v>
      </c>
      <c r="AG17" s="75">
        <f t="shared" si="5"/>
        <v>92500</v>
      </c>
      <c r="AH17" s="75">
        <f t="shared" si="5"/>
        <v>90000</v>
      </c>
      <c r="AI17" s="75">
        <f t="shared" si="5"/>
        <v>87500</v>
      </c>
      <c r="AJ17" s="75">
        <f t="shared" si="5"/>
        <v>85000</v>
      </c>
      <c r="AK17" s="75">
        <f t="shared" si="5"/>
        <v>82500</v>
      </c>
      <c r="AL17" s="75">
        <f t="shared" si="5"/>
        <v>80000</v>
      </c>
      <c r="AM17" s="75">
        <f t="shared" si="5"/>
        <v>77500</v>
      </c>
      <c r="AN17" s="75">
        <f t="shared" si="5"/>
        <v>75000</v>
      </c>
      <c r="AO17" s="75">
        <f t="shared" si="5"/>
        <v>72500</v>
      </c>
      <c r="AP17" s="75">
        <f t="shared" si="5"/>
        <v>70000</v>
      </c>
      <c r="AQ17" s="75">
        <f t="shared" si="5"/>
        <v>67500</v>
      </c>
      <c r="AR17" s="75">
        <f t="shared" si="5"/>
        <v>65000</v>
      </c>
      <c r="AS17" s="75">
        <f t="shared" si="5"/>
        <v>62500</v>
      </c>
      <c r="AT17" s="75">
        <f t="shared" si="5"/>
        <v>60000</v>
      </c>
      <c r="AU17" s="75">
        <f t="shared" si="5"/>
        <v>57500</v>
      </c>
      <c r="AV17" s="75">
        <f t="shared" si="5"/>
        <v>55000</v>
      </c>
      <c r="AW17" s="75">
        <f t="shared" si="5"/>
        <v>52500</v>
      </c>
      <c r="AX17" s="75">
        <f t="shared" si="5"/>
        <v>50000</v>
      </c>
      <c r="AY17" s="75">
        <f t="shared" si="5"/>
        <v>47500</v>
      </c>
      <c r="AZ17" s="75">
        <f t="shared" si="5"/>
        <v>45000</v>
      </c>
      <c r="BA17" s="75">
        <f t="shared" si="5"/>
        <v>42500</v>
      </c>
      <c r="BB17" s="75">
        <f t="shared" si="5"/>
        <v>40000</v>
      </c>
      <c r="BC17" s="75">
        <f t="shared" si="5"/>
        <v>37500</v>
      </c>
      <c r="BD17" s="75">
        <f t="shared" si="5"/>
        <v>35000</v>
      </c>
      <c r="BE17" s="75">
        <f t="shared" si="5"/>
        <v>32500</v>
      </c>
      <c r="BF17" s="75">
        <f t="shared" si="5"/>
        <v>30000</v>
      </c>
      <c r="BG17" s="75">
        <f t="shared" si="5"/>
        <v>27500</v>
      </c>
      <c r="BH17" s="75">
        <f t="shared" si="5"/>
        <v>25000</v>
      </c>
      <c r="BI17" s="75">
        <f t="shared" si="5"/>
        <v>22500</v>
      </c>
      <c r="BJ17" s="75">
        <f t="shared" si="5"/>
        <v>20000</v>
      </c>
      <c r="BK17" s="75">
        <f t="shared" si="5"/>
        <v>17500</v>
      </c>
      <c r="BL17" s="75">
        <f t="shared" si="5"/>
        <v>15000</v>
      </c>
      <c r="BM17" s="75">
        <f t="shared" si="5"/>
        <v>12500</v>
      </c>
      <c r="BN17" s="75">
        <f t="shared" si="5"/>
        <v>10000</v>
      </c>
      <c r="BO17" s="75">
        <f t="shared" si="5"/>
        <v>7500</v>
      </c>
      <c r="BP17" s="75">
        <f t="shared" si="5"/>
        <v>5000</v>
      </c>
      <c r="BQ17" s="75">
        <f t="shared" si="5"/>
        <v>2500</v>
      </c>
    </row>
    <row r="18" spans="1:69" ht="10.199999999999999">
      <c r="A18" s="65"/>
      <c r="B18" s="66"/>
      <c r="C18" s="66"/>
      <c r="D18" s="68"/>
      <c r="E18" s="66"/>
      <c r="F18" s="66"/>
      <c r="G18" s="66"/>
      <c r="H18" s="66"/>
      <c r="I18" s="6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row>
    <row r="19" spans="1:69" ht="10.5" customHeight="1">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row>
    <row r="20" spans="1:69" ht="10.5" customHeight="1">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row>
    <row r="21" spans="1:69" ht="10.199999999999999">
      <c r="A21" s="65"/>
      <c r="B21" s="66"/>
      <c r="C21" s="66"/>
      <c r="D21" s="68" t="s">
        <v>69</v>
      </c>
      <c r="E21" s="66"/>
      <c r="F21" s="66"/>
      <c r="G21" s="79" t="s">
        <v>146</v>
      </c>
      <c r="H21" s="80"/>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c r="BE21" s="77"/>
      <c r="BF21" s="77"/>
      <c r="BG21" s="77"/>
      <c r="BH21" s="77"/>
      <c r="BI21" s="77"/>
      <c r="BJ21" s="77"/>
      <c r="BK21" s="77"/>
      <c r="BL21" s="77"/>
      <c r="BM21" s="77"/>
      <c r="BN21" s="77"/>
      <c r="BO21" s="77"/>
      <c r="BP21" s="77"/>
      <c r="BQ21" s="77"/>
    </row>
    <row r="22" spans="1:69" ht="10.199999999999999">
      <c r="A22" s="65"/>
      <c r="B22" s="66"/>
      <c r="C22" s="66"/>
      <c r="D22" s="69" t="s">
        <v>122</v>
      </c>
      <c r="E22" s="66"/>
      <c r="F22" s="66"/>
      <c r="G22" s="81">
        <v>12</v>
      </c>
      <c r="H22" s="82"/>
      <c r="I22" s="66"/>
      <c r="J22" s="78"/>
      <c r="K22" s="78"/>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c r="AZ22" s="78"/>
      <c r="BA22" s="78"/>
      <c r="BB22" s="78"/>
      <c r="BC22" s="78"/>
      <c r="BD22" s="78"/>
      <c r="BE22" s="78"/>
      <c r="BF22" s="78"/>
      <c r="BG22" s="78"/>
      <c r="BH22" s="78"/>
      <c r="BI22" s="78"/>
      <c r="BJ22" s="78"/>
      <c r="BK22" s="78"/>
      <c r="BL22" s="78"/>
      <c r="BM22" s="78"/>
      <c r="BN22" s="78"/>
      <c r="BO22" s="78"/>
      <c r="BP22" s="78"/>
      <c r="BQ22" s="78"/>
    </row>
    <row r="23" spans="1:69" ht="7.5" customHeight="1">
      <c r="A23" s="65"/>
      <c r="B23" s="66"/>
      <c r="C23" s="66"/>
      <c r="D23" s="66"/>
      <c r="E23" s="66"/>
      <c r="F23" s="66"/>
      <c r="H23" s="66"/>
      <c r="I23" s="66"/>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c r="BA23" s="77"/>
      <c r="BB23" s="77"/>
      <c r="BC23" s="77"/>
      <c r="BD23" s="77"/>
      <c r="BE23" s="77"/>
      <c r="BF23" s="77"/>
      <c r="BG23" s="77"/>
      <c r="BH23" s="77"/>
      <c r="BI23" s="77"/>
      <c r="BJ23" s="77"/>
      <c r="BK23" s="77"/>
      <c r="BL23" s="77"/>
      <c r="BM23" s="77"/>
      <c r="BN23" s="77"/>
      <c r="BO23" s="77"/>
      <c r="BP23" s="77"/>
      <c r="BQ23" s="77"/>
    </row>
    <row r="24" spans="1:69" ht="10.199999999999999">
      <c r="A24" s="71"/>
      <c r="B24" s="71"/>
      <c r="C24" s="71"/>
      <c r="D24" s="72" t="s">
        <v>28</v>
      </c>
      <c r="E24" s="71"/>
      <c r="F24" s="71"/>
      <c r="G24" s="71"/>
      <c r="H24" s="71"/>
      <c r="I24" s="71"/>
      <c r="J24" s="73">
        <f>I27</f>
        <v>0</v>
      </c>
      <c r="K24" s="73">
        <f>J27</f>
        <v>0</v>
      </c>
      <c r="L24" s="73">
        <f t="shared" ref="L24" si="6">K27</f>
        <v>0</v>
      </c>
      <c r="M24" s="73">
        <f t="shared" ref="M24" si="7">L27</f>
        <v>0</v>
      </c>
      <c r="N24" s="73">
        <f t="shared" ref="N24" si="8">M27</f>
        <v>0</v>
      </c>
      <c r="O24" s="73">
        <f t="shared" ref="O24" si="9">N27</f>
        <v>0</v>
      </c>
      <c r="P24" s="73">
        <f t="shared" ref="P24" si="10">O27</f>
        <v>0</v>
      </c>
      <c r="Q24" s="73">
        <f t="shared" ref="Q24" si="11">P27</f>
        <v>0</v>
      </c>
      <c r="R24" s="73">
        <f t="shared" ref="R24" si="12">Q27</f>
        <v>0</v>
      </c>
      <c r="S24" s="73">
        <f t="shared" ref="S24" si="13">R27</f>
        <v>0</v>
      </c>
      <c r="T24" s="73">
        <f t="shared" ref="T24" si="14">S27</f>
        <v>0</v>
      </c>
      <c r="U24" s="73">
        <f t="shared" ref="U24" si="15">T27</f>
        <v>0</v>
      </c>
      <c r="V24" s="73">
        <f t="shared" ref="V24" si="16">U27</f>
        <v>0</v>
      </c>
      <c r="W24" s="73">
        <f t="shared" ref="W24" si="17">V27</f>
        <v>0</v>
      </c>
      <c r="X24" s="73">
        <f t="shared" ref="X24" si="18">W27</f>
        <v>0</v>
      </c>
      <c r="Y24" s="73">
        <f t="shared" ref="Y24" si="19">X27</f>
        <v>0</v>
      </c>
      <c r="Z24" s="73">
        <f t="shared" ref="Z24" si="20">Y27</f>
        <v>0</v>
      </c>
      <c r="AA24" s="73">
        <f t="shared" ref="AA24" si="21">Z27</f>
        <v>0</v>
      </c>
      <c r="AB24" s="73">
        <f t="shared" ref="AB24" si="22">AA27</f>
        <v>0</v>
      </c>
      <c r="AC24" s="73">
        <f t="shared" ref="AC24" si="23">AB27</f>
        <v>0</v>
      </c>
      <c r="AD24" s="73">
        <f t="shared" ref="AD24" si="24">AC27</f>
        <v>0</v>
      </c>
      <c r="AE24" s="73">
        <f t="shared" ref="AE24" si="25">AD27</f>
        <v>0</v>
      </c>
      <c r="AF24" s="73">
        <f t="shared" ref="AF24" si="26">AE27</f>
        <v>0</v>
      </c>
      <c r="AG24" s="73">
        <f t="shared" ref="AG24" si="27">AF27</f>
        <v>0</v>
      </c>
      <c r="AH24" s="73">
        <f t="shared" ref="AH24" si="28">AG27</f>
        <v>0</v>
      </c>
      <c r="AI24" s="73">
        <f t="shared" ref="AI24" si="29">AH27</f>
        <v>0</v>
      </c>
      <c r="AJ24" s="73">
        <f t="shared" ref="AJ24" si="30">AI27</f>
        <v>0</v>
      </c>
      <c r="AK24" s="73">
        <f t="shared" ref="AK24" si="31">AJ27</f>
        <v>0</v>
      </c>
      <c r="AL24" s="73">
        <f t="shared" ref="AL24" si="32">AK27</f>
        <v>0</v>
      </c>
      <c r="AM24" s="73">
        <f t="shared" ref="AM24" si="33">AL27</f>
        <v>0</v>
      </c>
      <c r="AN24" s="73">
        <f t="shared" ref="AN24" si="34">AM27</f>
        <v>0</v>
      </c>
      <c r="AO24" s="73">
        <f t="shared" ref="AO24" si="35">AN27</f>
        <v>0</v>
      </c>
      <c r="AP24" s="73">
        <f t="shared" ref="AP24" si="36">AO27</f>
        <v>0</v>
      </c>
      <c r="AQ24" s="73">
        <f t="shared" ref="AQ24" si="37">AP27</f>
        <v>0</v>
      </c>
      <c r="AR24" s="73">
        <f t="shared" ref="AR24" si="38">AQ27</f>
        <v>0</v>
      </c>
      <c r="AS24" s="73">
        <f t="shared" ref="AS24" si="39">AR27</f>
        <v>0</v>
      </c>
      <c r="AT24" s="73">
        <f t="shared" ref="AT24" si="40">AS27</f>
        <v>0</v>
      </c>
      <c r="AU24" s="73">
        <f t="shared" ref="AU24" si="41">AT27</f>
        <v>0</v>
      </c>
      <c r="AV24" s="73">
        <f t="shared" ref="AV24" si="42">AU27</f>
        <v>0</v>
      </c>
      <c r="AW24" s="73">
        <f t="shared" ref="AW24" si="43">AV27</f>
        <v>0</v>
      </c>
      <c r="AX24" s="73">
        <f t="shared" ref="AX24" si="44">AW27</f>
        <v>0</v>
      </c>
      <c r="AY24" s="73">
        <f t="shared" ref="AY24" si="45">AX27</f>
        <v>0</v>
      </c>
      <c r="AZ24" s="73">
        <f t="shared" ref="AZ24" si="46">AY27</f>
        <v>0</v>
      </c>
      <c r="BA24" s="73">
        <f t="shared" ref="BA24" si="47">AZ27</f>
        <v>0</v>
      </c>
      <c r="BB24" s="73">
        <f t="shared" ref="BB24" si="48">BA27</f>
        <v>0</v>
      </c>
      <c r="BC24" s="73">
        <f t="shared" ref="BC24" si="49">BB27</f>
        <v>0</v>
      </c>
      <c r="BD24" s="73">
        <f t="shared" ref="BD24" si="50">BC27</f>
        <v>0</v>
      </c>
      <c r="BE24" s="73">
        <f t="shared" ref="BE24" si="51">BD27</f>
        <v>0</v>
      </c>
      <c r="BF24" s="73">
        <f t="shared" ref="BF24" si="52">BE27</f>
        <v>0</v>
      </c>
      <c r="BG24" s="73">
        <f t="shared" ref="BG24" si="53">BF27</f>
        <v>0</v>
      </c>
      <c r="BH24" s="73">
        <f t="shared" ref="BH24" si="54">BG27</f>
        <v>0</v>
      </c>
      <c r="BI24" s="73">
        <f t="shared" ref="BI24" si="55">BH27</f>
        <v>0</v>
      </c>
      <c r="BJ24" s="73">
        <f t="shared" ref="BJ24" si="56">BI27</f>
        <v>0</v>
      </c>
      <c r="BK24" s="73">
        <f t="shared" ref="BK24" si="57">BJ27</f>
        <v>0</v>
      </c>
      <c r="BL24" s="73">
        <f t="shared" ref="BL24" si="58">BK27</f>
        <v>0</v>
      </c>
      <c r="BM24" s="73">
        <f t="shared" ref="BM24" si="59">BL27</f>
        <v>0</v>
      </c>
      <c r="BN24" s="73">
        <f t="shared" ref="BN24" si="60">BM27</f>
        <v>0</v>
      </c>
      <c r="BO24" s="73">
        <f t="shared" ref="BO24" si="61">BN27</f>
        <v>0</v>
      </c>
      <c r="BP24" s="73">
        <f t="shared" ref="BP24" si="62">BO27</f>
        <v>0</v>
      </c>
      <c r="BQ24" s="73">
        <f t="shared" ref="BQ24" si="63">BP27</f>
        <v>0</v>
      </c>
    </row>
    <row r="25" spans="1:69" ht="10.199999999999999">
      <c r="A25" s="65"/>
      <c r="B25" s="66"/>
      <c r="C25" s="66"/>
      <c r="D25" s="74" t="s">
        <v>155</v>
      </c>
      <c r="E25" s="66"/>
      <c r="F25" s="66"/>
      <c r="G25" s="66"/>
      <c r="H25" s="66"/>
      <c r="I25" s="66"/>
      <c r="J25" s="83">
        <v>0</v>
      </c>
      <c r="K25" s="83">
        <v>0</v>
      </c>
      <c r="L25" s="83">
        <v>0</v>
      </c>
      <c r="M25" s="83">
        <v>0</v>
      </c>
      <c r="N25" s="83">
        <v>0</v>
      </c>
      <c r="O25" s="83">
        <v>0</v>
      </c>
      <c r="P25" s="83">
        <v>0</v>
      </c>
      <c r="Q25" s="83">
        <v>0</v>
      </c>
      <c r="R25" s="83">
        <v>0</v>
      </c>
      <c r="S25" s="83">
        <v>0</v>
      </c>
      <c r="T25" s="83">
        <v>0</v>
      </c>
      <c r="U25" s="83">
        <v>0</v>
      </c>
      <c r="V25" s="83">
        <v>0</v>
      </c>
      <c r="W25" s="83">
        <v>0</v>
      </c>
      <c r="X25" s="83">
        <v>0</v>
      </c>
      <c r="Y25" s="83">
        <v>0</v>
      </c>
      <c r="Z25" s="83">
        <v>0</v>
      </c>
      <c r="AA25" s="83">
        <v>0</v>
      </c>
      <c r="AB25" s="83">
        <v>0</v>
      </c>
      <c r="AC25" s="83">
        <v>0</v>
      </c>
      <c r="AD25" s="83">
        <v>0</v>
      </c>
      <c r="AE25" s="83">
        <v>0</v>
      </c>
      <c r="AF25" s="83">
        <v>0</v>
      </c>
      <c r="AG25" s="83">
        <v>0</v>
      </c>
      <c r="AH25" s="83">
        <v>0</v>
      </c>
      <c r="AI25" s="83">
        <v>0</v>
      </c>
      <c r="AJ25" s="83">
        <v>0</v>
      </c>
      <c r="AK25" s="83">
        <v>0</v>
      </c>
      <c r="AL25" s="83">
        <v>0</v>
      </c>
      <c r="AM25" s="83">
        <v>0</v>
      </c>
      <c r="AN25" s="83">
        <v>0</v>
      </c>
      <c r="AO25" s="83">
        <v>0</v>
      </c>
      <c r="AP25" s="83">
        <v>0</v>
      </c>
      <c r="AQ25" s="83">
        <v>0</v>
      </c>
      <c r="AR25" s="83">
        <v>0</v>
      </c>
      <c r="AS25" s="83">
        <v>0</v>
      </c>
      <c r="AT25" s="83">
        <v>0</v>
      </c>
      <c r="AU25" s="83">
        <v>0</v>
      </c>
      <c r="AV25" s="83">
        <v>0</v>
      </c>
      <c r="AW25" s="83">
        <v>0</v>
      </c>
      <c r="AX25" s="83">
        <v>0</v>
      </c>
      <c r="AY25" s="83">
        <v>0</v>
      </c>
      <c r="AZ25" s="83">
        <v>0</v>
      </c>
      <c r="BA25" s="83">
        <v>0</v>
      </c>
      <c r="BB25" s="83">
        <v>0</v>
      </c>
      <c r="BC25" s="83">
        <v>0</v>
      </c>
      <c r="BD25" s="83">
        <v>0</v>
      </c>
      <c r="BE25" s="83">
        <v>0</v>
      </c>
      <c r="BF25" s="83">
        <v>0</v>
      </c>
      <c r="BG25" s="83">
        <v>0</v>
      </c>
      <c r="BH25" s="83">
        <v>0</v>
      </c>
      <c r="BI25" s="83">
        <v>0</v>
      </c>
      <c r="BJ25" s="83">
        <v>0</v>
      </c>
      <c r="BK25" s="83">
        <v>0</v>
      </c>
      <c r="BL25" s="83">
        <v>0</v>
      </c>
      <c r="BM25" s="83">
        <v>0</v>
      </c>
      <c r="BN25" s="83">
        <v>0</v>
      </c>
      <c r="BO25" s="83">
        <v>0</v>
      </c>
      <c r="BP25" s="83">
        <v>0</v>
      </c>
      <c r="BQ25" s="83">
        <v>0</v>
      </c>
    </row>
    <row r="26" spans="1:69" ht="10.199999999999999">
      <c r="A26" s="65"/>
      <c r="B26" s="66"/>
      <c r="C26" s="66"/>
      <c r="D26" s="74" t="s">
        <v>29</v>
      </c>
      <c r="E26" s="66"/>
      <c r="F26" s="66"/>
      <c r="G26" s="66"/>
      <c r="H26" s="66"/>
      <c r="I26" s="66"/>
      <c r="J26" s="17">
        <f>-SUMIFS($J25:J25,$J$6:J$6,"&gt;"&amp;(J$6-$G22))/$G22</f>
        <v>0</v>
      </c>
      <c r="K26" s="17">
        <f>-SUMIFS($J25:K25,$J$6:K$6,"&gt;"&amp;(K$6-$G22))/$G22</f>
        <v>0</v>
      </c>
      <c r="L26" s="17">
        <f>-SUMIFS($J25:L25,$J$6:L$6,"&gt;"&amp;(L$6-$G22))/$G22</f>
        <v>0</v>
      </c>
      <c r="M26" s="17">
        <f>-SUMIFS($J25:M25,$J$6:M$6,"&gt;"&amp;(M$6-$G22))/$G22</f>
        <v>0</v>
      </c>
      <c r="N26" s="17">
        <f>-SUMIFS($J25:N25,$J$6:N$6,"&gt;"&amp;(N$6-$G22))/$G22</f>
        <v>0</v>
      </c>
      <c r="O26" s="17">
        <f>-SUMIFS($J25:O25,$J$6:O$6,"&gt;"&amp;(O$6-$G22))/$G22</f>
        <v>0</v>
      </c>
      <c r="P26" s="17">
        <f>-SUMIFS($J25:P25,$J$6:P$6,"&gt;"&amp;(P$6-$G22))/$G22</f>
        <v>0</v>
      </c>
      <c r="Q26" s="17">
        <f>-SUMIFS($J25:Q25,$J$6:Q$6,"&gt;"&amp;(Q$6-$G22))/$G22</f>
        <v>0</v>
      </c>
      <c r="R26" s="17">
        <f>-SUMIFS($J25:R25,$J$6:R$6,"&gt;"&amp;(R$6-$G22))/$G22</f>
        <v>0</v>
      </c>
      <c r="S26" s="17">
        <f>-SUMIFS($J25:S25,$J$6:S$6,"&gt;"&amp;(S$6-$G22))/$G22</f>
        <v>0</v>
      </c>
      <c r="T26" s="17">
        <f>-SUMIFS($J25:T25,$J$6:T$6,"&gt;"&amp;(T$6-$G22))/$G22</f>
        <v>0</v>
      </c>
      <c r="U26" s="17">
        <f>-SUMIFS($J25:U25,$J$6:U$6,"&gt;"&amp;(U$6-$G22))/$G22</f>
        <v>0</v>
      </c>
      <c r="V26" s="17">
        <f>-SUMIFS($J25:V25,$J$6:V$6,"&gt;"&amp;(V$6-$G22))/$G22</f>
        <v>0</v>
      </c>
      <c r="W26" s="17">
        <f>-SUMIFS($J25:W25,$J$6:W$6,"&gt;"&amp;(W$6-$G22))/$G22</f>
        <v>0</v>
      </c>
      <c r="X26" s="17">
        <f>-SUMIFS($J25:X25,$J$6:X$6,"&gt;"&amp;(X$6-$G22))/$G22</f>
        <v>0</v>
      </c>
      <c r="Y26" s="17">
        <f>-SUMIFS($J25:Y25,$J$6:Y$6,"&gt;"&amp;(Y$6-$G22))/$G22</f>
        <v>0</v>
      </c>
      <c r="Z26" s="17">
        <f>-SUMIFS($J25:Z25,$J$6:Z$6,"&gt;"&amp;(Z$6-$G22))/$G22</f>
        <v>0</v>
      </c>
      <c r="AA26" s="17">
        <f>-SUMIFS($J25:AA25,$J$6:AA$6,"&gt;"&amp;(AA$6-$G22))/$G22</f>
        <v>0</v>
      </c>
      <c r="AB26" s="17">
        <f>-SUMIFS($J25:AB25,$J$6:AB$6,"&gt;"&amp;(AB$6-$G22))/$G22</f>
        <v>0</v>
      </c>
      <c r="AC26" s="17">
        <f>-SUMIFS($J25:AC25,$J$6:AC$6,"&gt;"&amp;(AC$6-$G22))/$G22</f>
        <v>0</v>
      </c>
      <c r="AD26" s="17">
        <f>-SUMIFS($J25:AD25,$J$6:AD$6,"&gt;"&amp;(AD$6-$G22))/$G22</f>
        <v>0</v>
      </c>
      <c r="AE26" s="17">
        <f>-SUMIFS($J25:AE25,$J$6:AE$6,"&gt;"&amp;(AE$6-$G22))/$G22</f>
        <v>0</v>
      </c>
      <c r="AF26" s="17">
        <f>-SUMIFS($J25:AF25,$J$6:AF$6,"&gt;"&amp;(AF$6-$G22))/$G22</f>
        <v>0</v>
      </c>
      <c r="AG26" s="17">
        <f>-SUMIFS($J25:AG25,$J$6:AG$6,"&gt;"&amp;(AG$6-$G22))/$G22</f>
        <v>0</v>
      </c>
      <c r="AH26" s="17">
        <f>-SUMIFS($J25:AH25,$J$6:AH$6,"&gt;"&amp;(AH$6-$G22))/$G22</f>
        <v>0</v>
      </c>
      <c r="AI26" s="17">
        <f>-SUMIFS($J25:AI25,$J$6:AI$6,"&gt;"&amp;(AI$6-$G22))/$G22</f>
        <v>0</v>
      </c>
      <c r="AJ26" s="17">
        <f>-SUMIFS($J25:AJ25,$J$6:AJ$6,"&gt;"&amp;(AJ$6-$G22))/$G22</f>
        <v>0</v>
      </c>
      <c r="AK26" s="17">
        <f>-SUMIFS($J25:AK25,$J$6:AK$6,"&gt;"&amp;(AK$6-$G22))/$G22</f>
        <v>0</v>
      </c>
      <c r="AL26" s="17">
        <f>-SUMIFS($J25:AL25,$J$6:AL$6,"&gt;"&amp;(AL$6-$G22))/$G22</f>
        <v>0</v>
      </c>
      <c r="AM26" s="17">
        <f>-SUMIFS($J25:AM25,$J$6:AM$6,"&gt;"&amp;(AM$6-$G22))/$G22</f>
        <v>0</v>
      </c>
      <c r="AN26" s="17">
        <f>-SUMIFS($J25:AN25,$J$6:AN$6,"&gt;"&amp;(AN$6-$G22))/$G22</f>
        <v>0</v>
      </c>
      <c r="AO26" s="17">
        <f>-SUMIFS($J25:AO25,$J$6:AO$6,"&gt;"&amp;(AO$6-$G22))/$G22</f>
        <v>0</v>
      </c>
      <c r="AP26" s="17">
        <f>-SUMIFS($J25:AP25,$J$6:AP$6,"&gt;"&amp;(AP$6-$G22))/$G22</f>
        <v>0</v>
      </c>
      <c r="AQ26" s="17">
        <f>-SUMIFS($J25:AQ25,$J$6:AQ$6,"&gt;"&amp;(AQ$6-$G22))/$G22</f>
        <v>0</v>
      </c>
      <c r="AR26" s="17">
        <f>-SUMIFS($J25:AR25,$J$6:AR$6,"&gt;"&amp;(AR$6-$G22))/$G22</f>
        <v>0</v>
      </c>
      <c r="AS26" s="17">
        <f>-SUMIFS($J25:AS25,$J$6:AS$6,"&gt;"&amp;(AS$6-$G22))/$G22</f>
        <v>0</v>
      </c>
      <c r="AT26" s="17">
        <f>-SUMIFS($J25:AT25,$J$6:AT$6,"&gt;"&amp;(AT$6-$G22))/$G22</f>
        <v>0</v>
      </c>
      <c r="AU26" s="17">
        <f>-SUMIFS($J25:AU25,$J$6:AU$6,"&gt;"&amp;(AU$6-$G22))/$G22</f>
        <v>0</v>
      </c>
      <c r="AV26" s="17">
        <f>-SUMIFS($J25:AV25,$J$6:AV$6,"&gt;"&amp;(AV$6-$G22))/$G22</f>
        <v>0</v>
      </c>
      <c r="AW26" s="17">
        <f>-SUMIFS($J25:AW25,$J$6:AW$6,"&gt;"&amp;(AW$6-$G22))/$G22</f>
        <v>0</v>
      </c>
      <c r="AX26" s="17">
        <f>-SUMIFS($J25:AX25,$J$6:AX$6,"&gt;"&amp;(AX$6-$G22))/$G22</f>
        <v>0</v>
      </c>
      <c r="AY26" s="17">
        <f>-SUMIFS($J25:AY25,$J$6:AY$6,"&gt;"&amp;(AY$6-$G22))/$G22</f>
        <v>0</v>
      </c>
      <c r="AZ26" s="17">
        <f>-SUMIFS($J25:AZ25,$J$6:AZ$6,"&gt;"&amp;(AZ$6-$G22))/$G22</f>
        <v>0</v>
      </c>
      <c r="BA26" s="17">
        <f>-SUMIFS($J25:BA25,$J$6:BA$6,"&gt;"&amp;(BA$6-$G22))/$G22</f>
        <v>0</v>
      </c>
      <c r="BB26" s="17">
        <f>-SUMIFS($J25:BB25,$J$6:BB$6,"&gt;"&amp;(BB$6-$G22))/$G22</f>
        <v>0</v>
      </c>
      <c r="BC26" s="17">
        <f>-SUMIFS($J25:BC25,$J$6:BC$6,"&gt;"&amp;(BC$6-$G22))/$G22</f>
        <v>0</v>
      </c>
      <c r="BD26" s="17">
        <f>-SUMIFS($J25:BD25,$J$6:BD$6,"&gt;"&amp;(BD$6-$G22))/$G22</f>
        <v>0</v>
      </c>
      <c r="BE26" s="17">
        <f>-SUMIFS($J25:BE25,$J$6:BE$6,"&gt;"&amp;(BE$6-$G22))/$G22</f>
        <v>0</v>
      </c>
      <c r="BF26" s="17">
        <f>-SUMIFS($J25:BF25,$J$6:BF$6,"&gt;"&amp;(BF$6-$G22))/$G22</f>
        <v>0</v>
      </c>
      <c r="BG26" s="17">
        <f>-SUMIFS($J25:BG25,$J$6:BG$6,"&gt;"&amp;(BG$6-$G22))/$G22</f>
        <v>0</v>
      </c>
      <c r="BH26" s="17">
        <f>-SUMIFS($J25:BH25,$J$6:BH$6,"&gt;"&amp;(BH$6-$G22))/$G22</f>
        <v>0</v>
      </c>
      <c r="BI26" s="17">
        <f>-SUMIFS($J25:BI25,$J$6:BI$6,"&gt;"&amp;(BI$6-$G22))/$G22</f>
        <v>0</v>
      </c>
      <c r="BJ26" s="17">
        <f>-SUMIFS($J25:BJ25,$J$6:BJ$6,"&gt;"&amp;(BJ$6-$G22))/$G22</f>
        <v>0</v>
      </c>
      <c r="BK26" s="17">
        <f>-SUMIFS($J25:BK25,$J$6:BK$6,"&gt;"&amp;(BK$6-$G22))/$G22</f>
        <v>0</v>
      </c>
      <c r="BL26" s="17">
        <f>-SUMIFS($J25:BL25,$J$6:BL$6,"&gt;"&amp;(BL$6-$G22))/$G22</f>
        <v>0</v>
      </c>
      <c r="BM26" s="17">
        <f>-SUMIFS($J25:BM25,$J$6:BM$6,"&gt;"&amp;(BM$6-$G22))/$G22</f>
        <v>0</v>
      </c>
      <c r="BN26" s="17">
        <f>-SUMIFS($J25:BN25,$J$6:BN$6,"&gt;"&amp;(BN$6-$G22))/$G22</f>
        <v>0</v>
      </c>
      <c r="BO26" s="17">
        <f>-SUMIFS($J25:BO25,$J$6:BO$6,"&gt;"&amp;(BO$6-$G22))/$G22</f>
        <v>0</v>
      </c>
      <c r="BP26" s="17">
        <f>-SUMIFS($J25:BP25,$J$6:BP$6,"&gt;"&amp;(BP$6-$G22))/$G22</f>
        <v>0</v>
      </c>
      <c r="BQ26" s="17">
        <f>-SUMIFS($J25:BQ25,$J$6:BQ$6,"&gt;"&amp;(BQ$6-$G22))/$G22</f>
        <v>0</v>
      </c>
    </row>
    <row r="27" spans="1:69" ht="10.199999999999999">
      <c r="A27" s="65"/>
      <c r="B27" s="66"/>
      <c r="C27" s="66"/>
      <c r="D27" s="68" t="s">
        <v>30</v>
      </c>
      <c r="E27" s="66"/>
      <c r="F27" s="66"/>
      <c r="G27" s="66"/>
      <c r="H27" s="66"/>
      <c r="I27" s="66"/>
      <c r="J27" s="75">
        <f>J24+J25+J26</f>
        <v>0</v>
      </c>
      <c r="K27" s="75">
        <f t="shared" ref="K27" si="64">K24+K25+K26</f>
        <v>0</v>
      </c>
      <c r="L27" s="75">
        <f t="shared" ref="L27" si="65">L24+L25+L26</f>
        <v>0</v>
      </c>
      <c r="M27" s="75">
        <f t="shared" ref="M27" si="66">M24+M25+M26</f>
        <v>0</v>
      </c>
      <c r="N27" s="75">
        <f t="shared" ref="N27" si="67">N24+N25+N26</f>
        <v>0</v>
      </c>
      <c r="O27" s="75">
        <f t="shared" ref="O27" si="68">O24+O25+O26</f>
        <v>0</v>
      </c>
      <c r="P27" s="75">
        <f t="shared" ref="P27" si="69">P24+P25+P26</f>
        <v>0</v>
      </c>
      <c r="Q27" s="75">
        <f t="shared" ref="Q27" si="70">Q24+Q25+Q26</f>
        <v>0</v>
      </c>
      <c r="R27" s="75">
        <f t="shared" ref="R27" si="71">R24+R25+R26</f>
        <v>0</v>
      </c>
      <c r="S27" s="75">
        <f t="shared" ref="S27" si="72">S24+S25+S26</f>
        <v>0</v>
      </c>
      <c r="T27" s="75">
        <f t="shared" ref="T27" si="73">T24+T25+T26</f>
        <v>0</v>
      </c>
      <c r="U27" s="75">
        <f t="shared" ref="U27" si="74">U24+U25+U26</f>
        <v>0</v>
      </c>
      <c r="V27" s="75">
        <f t="shared" ref="V27" si="75">V24+V25+V26</f>
        <v>0</v>
      </c>
      <c r="W27" s="75">
        <f t="shared" ref="W27" si="76">W24+W25+W26</f>
        <v>0</v>
      </c>
      <c r="X27" s="75">
        <f t="shared" ref="X27" si="77">X24+X25+X26</f>
        <v>0</v>
      </c>
      <c r="Y27" s="75">
        <f t="shared" ref="Y27" si="78">Y24+Y25+Y26</f>
        <v>0</v>
      </c>
      <c r="Z27" s="75">
        <f t="shared" ref="Z27" si="79">Z24+Z25+Z26</f>
        <v>0</v>
      </c>
      <c r="AA27" s="75">
        <f t="shared" ref="AA27" si="80">AA24+AA25+AA26</f>
        <v>0</v>
      </c>
      <c r="AB27" s="75">
        <f t="shared" ref="AB27" si="81">AB24+AB25+AB26</f>
        <v>0</v>
      </c>
      <c r="AC27" s="75">
        <f t="shared" ref="AC27" si="82">AC24+AC25+AC26</f>
        <v>0</v>
      </c>
      <c r="AD27" s="75">
        <f t="shared" ref="AD27" si="83">AD24+AD25+AD26</f>
        <v>0</v>
      </c>
      <c r="AE27" s="75">
        <f t="shared" ref="AE27" si="84">AE24+AE25+AE26</f>
        <v>0</v>
      </c>
      <c r="AF27" s="75">
        <f t="shared" ref="AF27" si="85">AF24+AF25+AF26</f>
        <v>0</v>
      </c>
      <c r="AG27" s="75">
        <f t="shared" ref="AG27" si="86">AG24+AG25+AG26</f>
        <v>0</v>
      </c>
      <c r="AH27" s="75">
        <f t="shared" ref="AH27" si="87">AH24+AH25+AH26</f>
        <v>0</v>
      </c>
      <c r="AI27" s="75">
        <f t="shared" ref="AI27" si="88">AI24+AI25+AI26</f>
        <v>0</v>
      </c>
      <c r="AJ27" s="75">
        <f t="shared" ref="AJ27" si="89">AJ24+AJ25+AJ26</f>
        <v>0</v>
      </c>
      <c r="AK27" s="75">
        <f t="shared" ref="AK27" si="90">AK24+AK25+AK26</f>
        <v>0</v>
      </c>
      <c r="AL27" s="75">
        <f t="shared" ref="AL27" si="91">AL24+AL25+AL26</f>
        <v>0</v>
      </c>
      <c r="AM27" s="75">
        <f t="shared" ref="AM27" si="92">AM24+AM25+AM26</f>
        <v>0</v>
      </c>
      <c r="AN27" s="75">
        <f t="shared" ref="AN27" si="93">AN24+AN25+AN26</f>
        <v>0</v>
      </c>
      <c r="AO27" s="75">
        <f t="shared" ref="AO27" si="94">AO24+AO25+AO26</f>
        <v>0</v>
      </c>
      <c r="AP27" s="75">
        <f t="shared" ref="AP27" si="95">AP24+AP25+AP26</f>
        <v>0</v>
      </c>
      <c r="AQ27" s="75">
        <f t="shared" ref="AQ27" si="96">AQ24+AQ25+AQ26</f>
        <v>0</v>
      </c>
      <c r="AR27" s="75">
        <f t="shared" ref="AR27" si="97">AR24+AR25+AR26</f>
        <v>0</v>
      </c>
      <c r="AS27" s="75">
        <f t="shared" ref="AS27" si="98">AS24+AS25+AS26</f>
        <v>0</v>
      </c>
      <c r="AT27" s="75">
        <f t="shared" ref="AT27" si="99">AT24+AT25+AT26</f>
        <v>0</v>
      </c>
      <c r="AU27" s="75">
        <f t="shared" ref="AU27" si="100">AU24+AU25+AU26</f>
        <v>0</v>
      </c>
      <c r="AV27" s="75">
        <f t="shared" ref="AV27" si="101">AV24+AV25+AV26</f>
        <v>0</v>
      </c>
      <c r="AW27" s="75">
        <f t="shared" ref="AW27" si="102">AW24+AW25+AW26</f>
        <v>0</v>
      </c>
      <c r="AX27" s="75">
        <f t="shared" ref="AX27" si="103">AX24+AX25+AX26</f>
        <v>0</v>
      </c>
      <c r="AY27" s="75">
        <f t="shared" ref="AY27" si="104">AY24+AY25+AY26</f>
        <v>0</v>
      </c>
      <c r="AZ27" s="75">
        <f t="shared" ref="AZ27" si="105">AZ24+AZ25+AZ26</f>
        <v>0</v>
      </c>
      <c r="BA27" s="75">
        <f t="shared" ref="BA27" si="106">BA24+BA25+BA26</f>
        <v>0</v>
      </c>
      <c r="BB27" s="75">
        <f t="shared" ref="BB27" si="107">BB24+BB25+BB26</f>
        <v>0</v>
      </c>
      <c r="BC27" s="75">
        <f t="shared" ref="BC27" si="108">BC24+BC25+BC26</f>
        <v>0</v>
      </c>
      <c r="BD27" s="75">
        <f t="shared" ref="BD27" si="109">BD24+BD25+BD26</f>
        <v>0</v>
      </c>
      <c r="BE27" s="75">
        <f t="shared" ref="BE27" si="110">BE24+BE25+BE26</f>
        <v>0</v>
      </c>
      <c r="BF27" s="75">
        <f t="shared" ref="BF27" si="111">BF24+BF25+BF26</f>
        <v>0</v>
      </c>
      <c r="BG27" s="75">
        <f t="shared" ref="BG27" si="112">BG24+BG25+BG26</f>
        <v>0</v>
      </c>
      <c r="BH27" s="75">
        <f t="shared" ref="BH27" si="113">BH24+BH25+BH26</f>
        <v>0</v>
      </c>
      <c r="BI27" s="75">
        <f t="shared" ref="BI27" si="114">BI24+BI25+BI26</f>
        <v>0</v>
      </c>
      <c r="BJ27" s="75">
        <f t="shared" ref="BJ27" si="115">BJ24+BJ25+BJ26</f>
        <v>0</v>
      </c>
      <c r="BK27" s="75">
        <f t="shared" ref="BK27" si="116">BK24+BK25+BK26</f>
        <v>0</v>
      </c>
      <c r="BL27" s="75">
        <f t="shared" ref="BL27" si="117">BL24+BL25+BL26</f>
        <v>0</v>
      </c>
      <c r="BM27" s="75">
        <f t="shared" ref="BM27" si="118">BM24+BM25+BM26</f>
        <v>0</v>
      </c>
      <c r="BN27" s="75">
        <f t="shared" ref="BN27" si="119">BN24+BN25+BN26</f>
        <v>0</v>
      </c>
      <c r="BO27" s="75">
        <f t="shared" ref="BO27" si="120">BO24+BO25+BO26</f>
        <v>0</v>
      </c>
      <c r="BP27" s="75">
        <f t="shared" ref="BP27" si="121">BP24+BP25+BP26</f>
        <v>0</v>
      </c>
      <c r="BQ27" s="75">
        <f t="shared" ref="BQ27" si="122">BQ24+BQ25+BQ26</f>
        <v>0</v>
      </c>
    </row>
    <row r="28" spans="1:69" ht="10.5" customHeight="1">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row>
    <row r="29" spans="1:69" ht="10.5" customHeight="1">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row>
    <row r="30" spans="1:69" ht="10.5" customHeight="1">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row>
    <row r="31" spans="1:69" ht="10.199999999999999">
      <c r="A31" s="65"/>
      <c r="B31" s="66"/>
      <c r="C31" s="66"/>
      <c r="D31" s="68" t="s">
        <v>69</v>
      </c>
      <c r="E31" s="66"/>
      <c r="F31" s="66"/>
      <c r="G31" s="79" t="s">
        <v>147</v>
      </c>
      <c r="H31" s="80"/>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7"/>
      <c r="BL31" s="77"/>
      <c r="BM31" s="77"/>
      <c r="BN31" s="77"/>
      <c r="BO31" s="77"/>
      <c r="BP31" s="77"/>
      <c r="BQ31" s="77"/>
    </row>
    <row r="32" spans="1:69" ht="10.199999999999999">
      <c r="A32" s="65"/>
      <c r="B32" s="66"/>
      <c r="C32" s="66"/>
      <c r="D32" s="69" t="s">
        <v>122</v>
      </c>
      <c r="E32" s="66"/>
      <c r="F32" s="66"/>
      <c r="G32" s="81">
        <v>60</v>
      </c>
      <c r="H32" s="82"/>
      <c r="I32" s="66"/>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row>
    <row r="33" spans="1:69" ht="7.5" customHeight="1">
      <c r="A33" s="65"/>
      <c r="B33" s="66"/>
      <c r="C33" s="66"/>
      <c r="D33" s="66"/>
      <c r="E33" s="66"/>
      <c r="F33" s="66"/>
      <c r="H33" s="66"/>
      <c r="I33" s="66"/>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c r="AZ33" s="77"/>
      <c r="BA33" s="77"/>
      <c r="BB33" s="77"/>
      <c r="BC33" s="77"/>
      <c r="BD33" s="77"/>
      <c r="BE33" s="77"/>
      <c r="BF33" s="77"/>
      <c r="BG33" s="77"/>
      <c r="BH33" s="77"/>
      <c r="BI33" s="77"/>
      <c r="BJ33" s="77"/>
      <c r="BK33" s="77"/>
      <c r="BL33" s="77"/>
      <c r="BM33" s="77"/>
      <c r="BN33" s="77"/>
      <c r="BO33" s="77"/>
      <c r="BP33" s="77"/>
      <c r="BQ33" s="77"/>
    </row>
    <row r="34" spans="1:69" ht="10.199999999999999">
      <c r="A34" s="71"/>
      <c r="B34" s="71"/>
      <c r="C34" s="71"/>
      <c r="D34" s="72" t="s">
        <v>28</v>
      </c>
      <c r="E34" s="71"/>
      <c r="F34" s="71"/>
      <c r="G34" s="71"/>
      <c r="H34" s="71"/>
      <c r="I34" s="71"/>
      <c r="J34" s="73">
        <f>I37</f>
        <v>0</v>
      </c>
      <c r="K34" s="73">
        <f>J37</f>
        <v>0</v>
      </c>
      <c r="L34" s="73">
        <f t="shared" ref="L34" si="123">K37</f>
        <v>0</v>
      </c>
      <c r="M34" s="73">
        <f t="shared" ref="M34" si="124">L37</f>
        <v>0</v>
      </c>
      <c r="N34" s="73">
        <f t="shared" ref="N34" si="125">M37</f>
        <v>0</v>
      </c>
      <c r="O34" s="73">
        <f t="shared" ref="O34" si="126">N37</f>
        <v>0</v>
      </c>
      <c r="P34" s="73">
        <f t="shared" ref="P34" si="127">O37</f>
        <v>0</v>
      </c>
      <c r="Q34" s="73">
        <f t="shared" ref="Q34" si="128">P37</f>
        <v>0</v>
      </c>
      <c r="R34" s="73">
        <f t="shared" ref="R34" si="129">Q37</f>
        <v>0</v>
      </c>
      <c r="S34" s="73">
        <f t="shared" ref="S34" si="130">R37</f>
        <v>0</v>
      </c>
      <c r="T34" s="73">
        <f t="shared" ref="T34" si="131">S37</f>
        <v>0</v>
      </c>
      <c r="U34" s="73">
        <f t="shared" ref="U34" si="132">T37</f>
        <v>0</v>
      </c>
      <c r="V34" s="73">
        <f t="shared" ref="V34" si="133">U37</f>
        <v>0</v>
      </c>
      <c r="W34" s="73">
        <f t="shared" ref="W34" si="134">V37</f>
        <v>0</v>
      </c>
      <c r="X34" s="73">
        <f t="shared" ref="X34" si="135">W37</f>
        <v>0</v>
      </c>
      <c r="Y34" s="73">
        <f t="shared" ref="Y34" si="136">X37</f>
        <v>0</v>
      </c>
      <c r="Z34" s="73">
        <f t="shared" ref="Z34" si="137">Y37</f>
        <v>0</v>
      </c>
      <c r="AA34" s="73">
        <f t="shared" ref="AA34" si="138">Z37</f>
        <v>0</v>
      </c>
      <c r="AB34" s="73">
        <f t="shared" ref="AB34" si="139">AA37</f>
        <v>0</v>
      </c>
      <c r="AC34" s="73">
        <f t="shared" ref="AC34" si="140">AB37</f>
        <v>0</v>
      </c>
      <c r="AD34" s="73">
        <f t="shared" ref="AD34" si="141">AC37</f>
        <v>0</v>
      </c>
      <c r="AE34" s="73">
        <f t="shared" ref="AE34" si="142">AD37</f>
        <v>0</v>
      </c>
      <c r="AF34" s="73">
        <f t="shared" ref="AF34" si="143">AE37</f>
        <v>0</v>
      </c>
      <c r="AG34" s="73">
        <f t="shared" ref="AG34" si="144">AF37</f>
        <v>0</v>
      </c>
      <c r="AH34" s="73">
        <f t="shared" ref="AH34" si="145">AG37</f>
        <v>0</v>
      </c>
      <c r="AI34" s="73">
        <f t="shared" ref="AI34" si="146">AH37</f>
        <v>0</v>
      </c>
      <c r="AJ34" s="73">
        <f t="shared" ref="AJ34" si="147">AI37</f>
        <v>0</v>
      </c>
      <c r="AK34" s="73">
        <f t="shared" ref="AK34" si="148">AJ37</f>
        <v>0</v>
      </c>
      <c r="AL34" s="73">
        <f t="shared" ref="AL34" si="149">AK37</f>
        <v>0</v>
      </c>
      <c r="AM34" s="73">
        <f t="shared" ref="AM34" si="150">AL37</f>
        <v>0</v>
      </c>
      <c r="AN34" s="73">
        <f t="shared" ref="AN34" si="151">AM37</f>
        <v>0</v>
      </c>
      <c r="AO34" s="73">
        <f t="shared" ref="AO34" si="152">AN37</f>
        <v>0</v>
      </c>
      <c r="AP34" s="73">
        <f t="shared" ref="AP34" si="153">AO37</f>
        <v>0</v>
      </c>
      <c r="AQ34" s="73">
        <f t="shared" ref="AQ34" si="154">AP37</f>
        <v>0</v>
      </c>
      <c r="AR34" s="73">
        <f t="shared" ref="AR34" si="155">AQ37</f>
        <v>0</v>
      </c>
      <c r="AS34" s="73">
        <f t="shared" ref="AS34" si="156">AR37</f>
        <v>0</v>
      </c>
      <c r="AT34" s="73">
        <f t="shared" ref="AT34" si="157">AS37</f>
        <v>0</v>
      </c>
      <c r="AU34" s="73">
        <f t="shared" ref="AU34" si="158">AT37</f>
        <v>0</v>
      </c>
      <c r="AV34" s="73">
        <f t="shared" ref="AV34" si="159">AU37</f>
        <v>0</v>
      </c>
      <c r="AW34" s="73">
        <f t="shared" ref="AW34" si="160">AV37</f>
        <v>0</v>
      </c>
      <c r="AX34" s="73">
        <f t="shared" ref="AX34" si="161">AW37</f>
        <v>0</v>
      </c>
      <c r="AY34" s="73">
        <f t="shared" ref="AY34" si="162">AX37</f>
        <v>0</v>
      </c>
      <c r="AZ34" s="73">
        <f t="shared" ref="AZ34" si="163">AY37</f>
        <v>0</v>
      </c>
      <c r="BA34" s="73">
        <f t="shared" ref="BA34" si="164">AZ37</f>
        <v>0</v>
      </c>
      <c r="BB34" s="73">
        <f t="shared" ref="BB34" si="165">BA37</f>
        <v>0</v>
      </c>
      <c r="BC34" s="73">
        <f t="shared" ref="BC34" si="166">BB37</f>
        <v>0</v>
      </c>
      <c r="BD34" s="73">
        <f t="shared" ref="BD34" si="167">BC37</f>
        <v>0</v>
      </c>
      <c r="BE34" s="73">
        <f t="shared" ref="BE34" si="168">BD37</f>
        <v>0</v>
      </c>
      <c r="BF34" s="73">
        <f t="shared" ref="BF34" si="169">BE37</f>
        <v>0</v>
      </c>
      <c r="BG34" s="73">
        <f t="shared" ref="BG34" si="170">BF37</f>
        <v>0</v>
      </c>
      <c r="BH34" s="73">
        <f t="shared" ref="BH34" si="171">BG37</f>
        <v>0</v>
      </c>
      <c r="BI34" s="73">
        <f t="shared" ref="BI34" si="172">BH37</f>
        <v>0</v>
      </c>
      <c r="BJ34" s="73">
        <f t="shared" ref="BJ34" si="173">BI37</f>
        <v>0</v>
      </c>
      <c r="BK34" s="73">
        <f t="shared" ref="BK34" si="174">BJ37</f>
        <v>0</v>
      </c>
      <c r="BL34" s="73">
        <f t="shared" ref="BL34" si="175">BK37</f>
        <v>0</v>
      </c>
      <c r="BM34" s="73">
        <f t="shared" ref="BM34" si="176">BL37</f>
        <v>0</v>
      </c>
      <c r="BN34" s="73">
        <f t="shared" ref="BN34" si="177">BM37</f>
        <v>0</v>
      </c>
      <c r="BO34" s="73">
        <f t="shared" ref="BO34" si="178">BN37</f>
        <v>0</v>
      </c>
      <c r="BP34" s="73">
        <f t="shared" ref="BP34" si="179">BO37</f>
        <v>0</v>
      </c>
      <c r="BQ34" s="73">
        <f t="shared" ref="BQ34" si="180">BP37</f>
        <v>0</v>
      </c>
    </row>
    <row r="35" spans="1:69" ht="10.199999999999999">
      <c r="A35" s="65"/>
      <c r="B35" s="66"/>
      <c r="C35" s="66"/>
      <c r="D35" s="74" t="s">
        <v>155</v>
      </c>
      <c r="E35" s="66"/>
      <c r="F35" s="66"/>
      <c r="G35" s="66"/>
      <c r="H35" s="66"/>
      <c r="I35" s="66"/>
      <c r="J35" s="83">
        <v>0</v>
      </c>
      <c r="K35" s="83">
        <v>0</v>
      </c>
      <c r="L35" s="83">
        <v>0</v>
      </c>
      <c r="M35" s="83">
        <v>0</v>
      </c>
      <c r="N35" s="83">
        <v>0</v>
      </c>
      <c r="O35" s="83">
        <v>0</v>
      </c>
      <c r="P35" s="83">
        <v>0</v>
      </c>
      <c r="Q35" s="83">
        <v>0</v>
      </c>
      <c r="R35" s="83">
        <v>0</v>
      </c>
      <c r="S35" s="83">
        <v>0</v>
      </c>
      <c r="T35" s="83">
        <v>0</v>
      </c>
      <c r="U35" s="83">
        <v>0</v>
      </c>
      <c r="V35" s="83">
        <v>0</v>
      </c>
      <c r="W35" s="83">
        <v>0</v>
      </c>
      <c r="X35" s="83">
        <v>0</v>
      </c>
      <c r="Y35" s="83">
        <v>0</v>
      </c>
      <c r="Z35" s="83">
        <v>0</v>
      </c>
      <c r="AA35" s="83">
        <v>0</v>
      </c>
      <c r="AB35" s="83">
        <v>0</v>
      </c>
      <c r="AC35" s="83">
        <v>0</v>
      </c>
      <c r="AD35" s="83">
        <v>0</v>
      </c>
      <c r="AE35" s="83">
        <v>0</v>
      </c>
      <c r="AF35" s="83">
        <v>0</v>
      </c>
      <c r="AG35" s="83">
        <v>0</v>
      </c>
      <c r="AH35" s="83">
        <v>0</v>
      </c>
      <c r="AI35" s="83">
        <v>0</v>
      </c>
      <c r="AJ35" s="83">
        <v>0</v>
      </c>
      <c r="AK35" s="83">
        <v>0</v>
      </c>
      <c r="AL35" s="83">
        <v>0</v>
      </c>
      <c r="AM35" s="83">
        <v>0</v>
      </c>
      <c r="AN35" s="83">
        <v>0</v>
      </c>
      <c r="AO35" s="83">
        <v>0</v>
      </c>
      <c r="AP35" s="83">
        <v>0</v>
      </c>
      <c r="AQ35" s="83">
        <v>0</v>
      </c>
      <c r="AR35" s="83">
        <v>0</v>
      </c>
      <c r="AS35" s="83">
        <v>0</v>
      </c>
      <c r="AT35" s="83">
        <v>0</v>
      </c>
      <c r="AU35" s="83">
        <v>0</v>
      </c>
      <c r="AV35" s="83">
        <v>0</v>
      </c>
      <c r="AW35" s="83">
        <v>0</v>
      </c>
      <c r="AX35" s="83">
        <v>0</v>
      </c>
      <c r="AY35" s="83">
        <v>0</v>
      </c>
      <c r="AZ35" s="83">
        <v>0</v>
      </c>
      <c r="BA35" s="83">
        <v>0</v>
      </c>
      <c r="BB35" s="83">
        <v>0</v>
      </c>
      <c r="BC35" s="83">
        <v>0</v>
      </c>
      <c r="BD35" s="83">
        <v>0</v>
      </c>
      <c r="BE35" s="83">
        <v>0</v>
      </c>
      <c r="BF35" s="83">
        <v>0</v>
      </c>
      <c r="BG35" s="83">
        <v>0</v>
      </c>
      <c r="BH35" s="83">
        <v>0</v>
      </c>
      <c r="BI35" s="83">
        <v>0</v>
      </c>
      <c r="BJ35" s="83">
        <v>0</v>
      </c>
      <c r="BK35" s="83">
        <v>0</v>
      </c>
      <c r="BL35" s="83">
        <v>0</v>
      </c>
      <c r="BM35" s="83">
        <v>0</v>
      </c>
      <c r="BN35" s="83">
        <v>0</v>
      </c>
      <c r="BO35" s="83">
        <v>0</v>
      </c>
      <c r="BP35" s="83">
        <v>0</v>
      </c>
      <c r="BQ35" s="83">
        <v>0</v>
      </c>
    </row>
    <row r="36" spans="1:69" ht="10.199999999999999">
      <c r="A36" s="65"/>
      <c r="B36" s="66"/>
      <c r="C36" s="66"/>
      <c r="D36" s="74" t="s">
        <v>29</v>
      </c>
      <c r="E36" s="66"/>
      <c r="F36" s="66"/>
      <c r="G36" s="66"/>
      <c r="H36" s="66"/>
      <c r="I36" s="66"/>
      <c r="J36" s="17">
        <f>-SUMIFS($J35:J35,$J$6:J$6,"&gt;"&amp;(J$6-$G32))/$G32</f>
        <v>0</v>
      </c>
      <c r="K36" s="17">
        <f>-SUMIFS($J35:K35,$J$6:K$6,"&gt;"&amp;(K$6-$G32))/$G32</f>
        <v>0</v>
      </c>
      <c r="L36" s="17">
        <f>-SUMIFS($J35:L35,$J$6:L$6,"&gt;"&amp;(L$6-$G32))/$G32</f>
        <v>0</v>
      </c>
      <c r="M36" s="17">
        <f>-SUMIFS($J35:M35,$J$6:M$6,"&gt;"&amp;(M$6-$G32))/$G32</f>
        <v>0</v>
      </c>
      <c r="N36" s="17">
        <f>-SUMIFS($J35:N35,$J$6:N$6,"&gt;"&amp;(N$6-$G32))/$G32</f>
        <v>0</v>
      </c>
      <c r="O36" s="17">
        <f>-SUMIFS($J35:O35,$J$6:O$6,"&gt;"&amp;(O$6-$G32))/$G32</f>
        <v>0</v>
      </c>
      <c r="P36" s="17">
        <f>-SUMIFS($J35:P35,$J$6:P$6,"&gt;"&amp;(P$6-$G32))/$G32</f>
        <v>0</v>
      </c>
      <c r="Q36" s="17">
        <f>-SUMIFS($J35:Q35,$J$6:Q$6,"&gt;"&amp;(Q$6-$G32))/$G32</f>
        <v>0</v>
      </c>
      <c r="R36" s="17">
        <f>-SUMIFS($J35:R35,$J$6:R$6,"&gt;"&amp;(R$6-$G32))/$G32</f>
        <v>0</v>
      </c>
      <c r="S36" s="17">
        <f>-SUMIFS($J35:S35,$J$6:S$6,"&gt;"&amp;(S$6-$G32))/$G32</f>
        <v>0</v>
      </c>
      <c r="T36" s="17">
        <f>-SUMIFS($J35:T35,$J$6:T$6,"&gt;"&amp;(T$6-$G32))/$G32</f>
        <v>0</v>
      </c>
      <c r="U36" s="17">
        <f>-SUMIFS($J35:U35,$J$6:U$6,"&gt;"&amp;(U$6-$G32))/$G32</f>
        <v>0</v>
      </c>
      <c r="V36" s="17">
        <f>-SUMIFS($J35:V35,$J$6:V$6,"&gt;"&amp;(V$6-$G32))/$G32</f>
        <v>0</v>
      </c>
      <c r="W36" s="17">
        <f>-SUMIFS($J35:W35,$J$6:W$6,"&gt;"&amp;(W$6-$G32))/$G32</f>
        <v>0</v>
      </c>
      <c r="X36" s="17">
        <f>-SUMIFS($J35:X35,$J$6:X$6,"&gt;"&amp;(X$6-$G32))/$G32</f>
        <v>0</v>
      </c>
      <c r="Y36" s="17">
        <f>-SUMIFS($J35:Y35,$J$6:Y$6,"&gt;"&amp;(Y$6-$G32))/$G32</f>
        <v>0</v>
      </c>
      <c r="Z36" s="17">
        <f>-SUMIFS($J35:Z35,$J$6:Z$6,"&gt;"&amp;(Z$6-$G32))/$G32</f>
        <v>0</v>
      </c>
      <c r="AA36" s="17">
        <f>-SUMIFS($J35:AA35,$J$6:AA$6,"&gt;"&amp;(AA$6-$G32))/$G32</f>
        <v>0</v>
      </c>
      <c r="AB36" s="17">
        <f>-SUMIFS($J35:AB35,$J$6:AB$6,"&gt;"&amp;(AB$6-$G32))/$G32</f>
        <v>0</v>
      </c>
      <c r="AC36" s="17">
        <f>-SUMIFS($J35:AC35,$J$6:AC$6,"&gt;"&amp;(AC$6-$G32))/$G32</f>
        <v>0</v>
      </c>
      <c r="AD36" s="17">
        <f>-SUMIFS($J35:AD35,$J$6:AD$6,"&gt;"&amp;(AD$6-$G32))/$G32</f>
        <v>0</v>
      </c>
      <c r="AE36" s="17">
        <f>-SUMIFS($J35:AE35,$J$6:AE$6,"&gt;"&amp;(AE$6-$G32))/$G32</f>
        <v>0</v>
      </c>
      <c r="AF36" s="17">
        <f>-SUMIFS($J35:AF35,$J$6:AF$6,"&gt;"&amp;(AF$6-$G32))/$G32</f>
        <v>0</v>
      </c>
      <c r="AG36" s="17">
        <f>-SUMIFS($J35:AG35,$J$6:AG$6,"&gt;"&amp;(AG$6-$G32))/$G32</f>
        <v>0</v>
      </c>
      <c r="AH36" s="17">
        <f>-SUMIFS($J35:AH35,$J$6:AH$6,"&gt;"&amp;(AH$6-$G32))/$G32</f>
        <v>0</v>
      </c>
      <c r="AI36" s="17">
        <f>-SUMIFS($J35:AI35,$J$6:AI$6,"&gt;"&amp;(AI$6-$G32))/$G32</f>
        <v>0</v>
      </c>
      <c r="AJ36" s="17">
        <f>-SUMIFS($J35:AJ35,$J$6:AJ$6,"&gt;"&amp;(AJ$6-$G32))/$G32</f>
        <v>0</v>
      </c>
      <c r="AK36" s="17">
        <f>-SUMIFS($J35:AK35,$J$6:AK$6,"&gt;"&amp;(AK$6-$G32))/$G32</f>
        <v>0</v>
      </c>
      <c r="AL36" s="17">
        <f>-SUMIFS($J35:AL35,$J$6:AL$6,"&gt;"&amp;(AL$6-$G32))/$G32</f>
        <v>0</v>
      </c>
      <c r="AM36" s="17">
        <f>-SUMIFS($J35:AM35,$J$6:AM$6,"&gt;"&amp;(AM$6-$G32))/$G32</f>
        <v>0</v>
      </c>
      <c r="AN36" s="17">
        <f>-SUMIFS($J35:AN35,$J$6:AN$6,"&gt;"&amp;(AN$6-$G32))/$G32</f>
        <v>0</v>
      </c>
      <c r="AO36" s="17">
        <f>-SUMIFS($J35:AO35,$J$6:AO$6,"&gt;"&amp;(AO$6-$G32))/$G32</f>
        <v>0</v>
      </c>
      <c r="AP36" s="17">
        <f>-SUMIFS($J35:AP35,$J$6:AP$6,"&gt;"&amp;(AP$6-$G32))/$G32</f>
        <v>0</v>
      </c>
      <c r="AQ36" s="17">
        <f>-SUMIFS($J35:AQ35,$J$6:AQ$6,"&gt;"&amp;(AQ$6-$G32))/$G32</f>
        <v>0</v>
      </c>
      <c r="AR36" s="17">
        <f>-SUMIFS($J35:AR35,$J$6:AR$6,"&gt;"&amp;(AR$6-$G32))/$G32</f>
        <v>0</v>
      </c>
      <c r="AS36" s="17">
        <f>-SUMIFS($J35:AS35,$J$6:AS$6,"&gt;"&amp;(AS$6-$G32))/$G32</f>
        <v>0</v>
      </c>
      <c r="AT36" s="17">
        <f>-SUMIFS($J35:AT35,$J$6:AT$6,"&gt;"&amp;(AT$6-$G32))/$G32</f>
        <v>0</v>
      </c>
      <c r="AU36" s="17">
        <f>-SUMIFS($J35:AU35,$J$6:AU$6,"&gt;"&amp;(AU$6-$G32))/$G32</f>
        <v>0</v>
      </c>
      <c r="AV36" s="17">
        <f>-SUMIFS($J35:AV35,$J$6:AV$6,"&gt;"&amp;(AV$6-$G32))/$G32</f>
        <v>0</v>
      </c>
      <c r="AW36" s="17">
        <f>-SUMIFS($J35:AW35,$J$6:AW$6,"&gt;"&amp;(AW$6-$G32))/$G32</f>
        <v>0</v>
      </c>
      <c r="AX36" s="17">
        <f>-SUMIFS($J35:AX35,$J$6:AX$6,"&gt;"&amp;(AX$6-$G32))/$G32</f>
        <v>0</v>
      </c>
      <c r="AY36" s="17">
        <f>-SUMIFS($J35:AY35,$J$6:AY$6,"&gt;"&amp;(AY$6-$G32))/$G32</f>
        <v>0</v>
      </c>
      <c r="AZ36" s="17">
        <f>-SUMIFS($J35:AZ35,$J$6:AZ$6,"&gt;"&amp;(AZ$6-$G32))/$G32</f>
        <v>0</v>
      </c>
      <c r="BA36" s="17">
        <f>-SUMIFS($J35:BA35,$J$6:BA$6,"&gt;"&amp;(BA$6-$G32))/$G32</f>
        <v>0</v>
      </c>
      <c r="BB36" s="17">
        <f>-SUMIFS($J35:BB35,$J$6:BB$6,"&gt;"&amp;(BB$6-$G32))/$G32</f>
        <v>0</v>
      </c>
      <c r="BC36" s="17">
        <f>-SUMIFS($J35:BC35,$J$6:BC$6,"&gt;"&amp;(BC$6-$G32))/$G32</f>
        <v>0</v>
      </c>
      <c r="BD36" s="17">
        <f>-SUMIFS($J35:BD35,$J$6:BD$6,"&gt;"&amp;(BD$6-$G32))/$G32</f>
        <v>0</v>
      </c>
      <c r="BE36" s="17">
        <f>-SUMIFS($J35:BE35,$J$6:BE$6,"&gt;"&amp;(BE$6-$G32))/$G32</f>
        <v>0</v>
      </c>
      <c r="BF36" s="17">
        <f>-SUMIFS($J35:BF35,$J$6:BF$6,"&gt;"&amp;(BF$6-$G32))/$G32</f>
        <v>0</v>
      </c>
      <c r="BG36" s="17">
        <f>-SUMIFS($J35:BG35,$J$6:BG$6,"&gt;"&amp;(BG$6-$G32))/$G32</f>
        <v>0</v>
      </c>
      <c r="BH36" s="17">
        <f>-SUMIFS($J35:BH35,$J$6:BH$6,"&gt;"&amp;(BH$6-$G32))/$G32</f>
        <v>0</v>
      </c>
      <c r="BI36" s="17">
        <f>-SUMIFS($J35:BI35,$J$6:BI$6,"&gt;"&amp;(BI$6-$G32))/$G32</f>
        <v>0</v>
      </c>
      <c r="BJ36" s="17">
        <f>-SUMIFS($J35:BJ35,$J$6:BJ$6,"&gt;"&amp;(BJ$6-$G32))/$G32</f>
        <v>0</v>
      </c>
      <c r="BK36" s="17">
        <f>-SUMIFS($J35:BK35,$J$6:BK$6,"&gt;"&amp;(BK$6-$G32))/$G32</f>
        <v>0</v>
      </c>
      <c r="BL36" s="17">
        <f>-SUMIFS($J35:BL35,$J$6:BL$6,"&gt;"&amp;(BL$6-$G32))/$G32</f>
        <v>0</v>
      </c>
      <c r="BM36" s="17">
        <f>-SUMIFS($J35:BM35,$J$6:BM$6,"&gt;"&amp;(BM$6-$G32))/$G32</f>
        <v>0</v>
      </c>
      <c r="BN36" s="17">
        <f>-SUMIFS($J35:BN35,$J$6:BN$6,"&gt;"&amp;(BN$6-$G32))/$G32</f>
        <v>0</v>
      </c>
      <c r="BO36" s="17">
        <f>-SUMIFS($J35:BO35,$J$6:BO$6,"&gt;"&amp;(BO$6-$G32))/$G32</f>
        <v>0</v>
      </c>
      <c r="BP36" s="17">
        <f>-SUMIFS($J35:BP35,$J$6:BP$6,"&gt;"&amp;(BP$6-$G32))/$G32</f>
        <v>0</v>
      </c>
      <c r="BQ36" s="17">
        <f>-SUMIFS($J35:BQ35,$J$6:BQ$6,"&gt;"&amp;(BQ$6-$G32))/$G32</f>
        <v>0</v>
      </c>
    </row>
    <row r="37" spans="1:69" ht="10.199999999999999">
      <c r="A37" s="65"/>
      <c r="B37" s="66"/>
      <c r="C37" s="66"/>
      <c r="D37" s="68" t="s">
        <v>30</v>
      </c>
      <c r="E37" s="66"/>
      <c r="F37" s="66"/>
      <c r="G37" s="66"/>
      <c r="H37" s="66"/>
      <c r="I37" s="66"/>
      <c r="J37" s="75">
        <f>J34+J35+J36</f>
        <v>0</v>
      </c>
      <c r="K37" s="75">
        <f t="shared" ref="K37" si="181">K34+K35+K36</f>
        <v>0</v>
      </c>
      <c r="L37" s="75">
        <f t="shared" ref="L37" si="182">L34+L35+L36</f>
        <v>0</v>
      </c>
      <c r="M37" s="75">
        <f t="shared" ref="M37" si="183">M34+M35+M36</f>
        <v>0</v>
      </c>
      <c r="N37" s="75">
        <f t="shared" ref="N37" si="184">N34+N35+N36</f>
        <v>0</v>
      </c>
      <c r="O37" s="75">
        <f t="shared" ref="O37" si="185">O34+O35+O36</f>
        <v>0</v>
      </c>
      <c r="P37" s="75">
        <f t="shared" ref="P37" si="186">P34+P35+P36</f>
        <v>0</v>
      </c>
      <c r="Q37" s="75">
        <f t="shared" ref="Q37" si="187">Q34+Q35+Q36</f>
        <v>0</v>
      </c>
      <c r="R37" s="75">
        <f t="shared" ref="R37" si="188">R34+R35+R36</f>
        <v>0</v>
      </c>
      <c r="S37" s="75">
        <f t="shared" ref="S37" si="189">S34+S35+S36</f>
        <v>0</v>
      </c>
      <c r="T37" s="75">
        <f t="shared" ref="T37" si="190">T34+T35+T36</f>
        <v>0</v>
      </c>
      <c r="U37" s="75">
        <f t="shared" ref="U37" si="191">U34+U35+U36</f>
        <v>0</v>
      </c>
      <c r="V37" s="75">
        <f t="shared" ref="V37" si="192">V34+V35+V36</f>
        <v>0</v>
      </c>
      <c r="W37" s="75">
        <f t="shared" ref="W37" si="193">W34+W35+W36</f>
        <v>0</v>
      </c>
      <c r="X37" s="75">
        <f t="shared" ref="X37" si="194">X34+X35+X36</f>
        <v>0</v>
      </c>
      <c r="Y37" s="75">
        <f t="shared" ref="Y37" si="195">Y34+Y35+Y36</f>
        <v>0</v>
      </c>
      <c r="Z37" s="75">
        <f t="shared" ref="Z37" si="196">Z34+Z35+Z36</f>
        <v>0</v>
      </c>
      <c r="AA37" s="75">
        <f t="shared" ref="AA37" si="197">AA34+AA35+AA36</f>
        <v>0</v>
      </c>
      <c r="AB37" s="75">
        <f t="shared" ref="AB37" si="198">AB34+AB35+AB36</f>
        <v>0</v>
      </c>
      <c r="AC37" s="75">
        <f t="shared" ref="AC37" si="199">AC34+AC35+AC36</f>
        <v>0</v>
      </c>
      <c r="AD37" s="75">
        <f t="shared" ref="AD37" si="200">AD34+AD35+AD36</f>
        <v>0</v>
      </c>
      <c r="AE37" s="75">
        <f t="shared" ref="AE37" si="201">AE34+AE35+AE36</f>
        <v>0</v>
      </c>
      <c r="AF37" s="75">
        <f t="shared" ref="AF37" si="202">AF34+AF35+AF36</f>
        <v>0</v>
      </c>
      <c r="AG37" s="75">
        <f t="shared" ref="AG37" si="203">AG34+AG35+AG36</f>
        <v>0</v>
      </c>
      <c r="AH37" s="75">
        <f t="shared" ref="AH37" si="204">AH34+AH35+AH36</f>
        <v>0</v>
      </c>
      <c r="AI37" s="75">
        <f t="shared" ref="AI37" si="205">AI34+AI35+AI36</f>
        <v>0</v>
      </c>
      <c r="AJ37" s="75">
        <f t="shared" ref="AJ37" si="206">AJ34+AJ35+AJ36</f>
        <v>0</v>
      </c>
      <c r="AK37" s="75">
        <f t="shared" ref="AK37" si="207">AK34+AK35+AK36</f>
        <v>0</v>
      </c>
      <c r="AL37" s="75">
        <f t="shared" ref="AL37" si="208">AL34+AL35+AL36</f>
        <v>0</v>
      </c>
      <c r="AM37" s="75">
        <f t="shared" ref="AM37" si="209">AM34+AM35+AM36</f>
        <v>0</v>
      </c>
      <c r="AN37" s="75">
        <f t="shared" ref="AN37" si="210">AN34+AN35+AN36</f>
        <v>0</v>
      </c>
      <c r="AO37" s="75">
        <f t="shared" ref="AO37" si="211">AO34+AO35+AO36</f>
        <v>0</v>
      </c>
      <c r="AP37" s="75">
        <f t="shared" ref="AP37" si="212">AP34+AP35+AP36</f>
        <v>0</v>
      </c>
      <c r="AQ37" s="75">
        <f t="shared" ref="AQ37" si="213">AQ34+AQ35+AQ36</f>
        <v>0</v>
      </c>
      <c r="AR37" s="75">
        <f t="shared" ref="AR37" si="214">AR34+AR35+AR36</f>
        <v>0</v>
      </c>
      <c r="AS37" s="75">
        <f t="shared" ref="AS37" si="215">AS34+AS35+AS36</f>
        <v>0</v>
      </c>
      <c r="AT37" s="75">
        <f t="shared" ref="AT37" si="216">AT34+AT35+AT36</f>
        <v>0</v>
      </c>
      <c r="AU37" s="75">
        <f t="shared" ref="AU37" si="217">AU34+AU35+AU36</f>
        <v>0</v>
      </c>
      <c r="AV37" s="75">
        <f t="shared" ref="AV37" si="218">AV34+AV35+AV36</f>
        <v>0</v>
      </c>
      <c r="AW37" s="75">
        <f t="shared" ref="AW37" si="219">AW34+AW35+AW36</f>
        <v>0</v>
      </c>
      <c r="AX37" s="75">
        <f t="shared" ref="AX37" si="220">AX34+AX35+AX36</f>
        <v>0</v>
      </c>
      <c r="AY37" s="75">
        <f t="shared" ref="AY37" si="221">AY34+AY35+AY36</f>
        <v>0</v>
      </c>
      <c r="AZ37" s="75">
        <f t="shared" ref="AZ37" si="222">AZ34+AZ35+AZ36</f>
        <v>0</v>
      </c>
      <c r="BA37" s="75">
        <f t="shared" ref="BA37" si="223">BA34+BA35+BA36</f>
        <v>0</v>
      </c>
      <c r="BB37" s="75">
        <f t="shared" ref="BB37" si="224">BB34+BB35+BB36</f>
        <v>0</v>
      </c>
      <c r="BC37" s="75">
        <f t="shared" ref="BC37" si="225">BC34+BC35+BC36</f>
        <v>0</v>
      </c>
      <c r="BD37" s="75">
        <f t="shared" ref="BD37" si="226">BD34+BD35+BD36</f>
        <v>0</v>
      </c>
      <c r="BE37" s="75">
        <f t="shared" ref="BE37" si="227">BE34+BE35+BE36</f>
        <v>0</v>
      </c>
      <c r="BF37" s="75">
        <f t="shared" ref="BF37" si="228">BF34+BF35+BF36</f>
        <v>0</v>
      </c>
      <c r="BG37" s="75">
        <f t="shared" ref="BG37" si="229">BG34+BG35+BG36</f>
        <v>0</v>
      </c>
      <c r="BH37" s="75">
        <f t="shared" ref="BH37" si="230">BH34+BH35+BH36</f>
        <v>0</v>
      </c>
      <c r="BI37" s="75">
        <f t="shared" ref="BI37" si="231">BI34+BI35+BI36</f>
        <v>0</v>
      </c>
      <c r="BJ37" s="75">
        <f t="shared" ref="BJ37" si="232">BJ34+BJ35+BJ36</f>
        <v>0</v>
      </c>
      <c r="BK37" s="75">
        <f t="shared" ref="BK37" si="233">BK34+BK35+BK36</f>
        <v>0</v>
      </c>
      <c r="BL37" s="75">
        <f t="shared" ref="BL37" si="234">BL34+BL35+BL36</f>
        <v>0</v>
      </c>
      <c r="BM37" s="75">
        <f t="shared" ref="BM37" si="235">BM34+BM35+BM36</f>
        <v>0</v>
      </c>
      <c r="BN37" s="75">
        <f t="shared" ref="BN37" si="236">BN34+BN35+BN36</f>
        <v>0</v>
      </c>
      <c r="BO37" s="75">
        <f t="shared" ref="BO37" si="237">BO34+BO35+BO36</f>
        <v>0</v>
      </c>
      <c r="BP37" s="75">
        <f t="shared" ref="BP37" si="238">BP34+BP35+BP36</f>
        <v>0</v>
      </c>
      <c r="BQ37" s="75">
        <f t="shared" ref="BQ37" si="239">BQ34+BQ35+BQ36</f>
        <v>0</v>
      </c>
    </row>
  </sheetData>
  <mergeCells count="6">
    <mergeCell ref="G22:H22"/>
    <mergeCell ref="G31:H31"/>
    <mergeCell ref="G32:H32"/>
    <mergeCell ref="G11:H11"/>
    <mergeCell ref="G12:H12"/>
    <mergeCell ref="G21:H21"/>
  </mergeCells>
  <dataValidations count="2">
    <dataValidation type="custom" showErrorMessage="1" errorTitle="Invalid Assumption" error="Assumption must be a number." sqref="I18 J15:BQ16 J25:BQ26 J35:BQ36" xr:uid="{00000000-0002-0000-1700-000000000000}">
      <formula1>NOT(ISERROR(I15/1))</formula1>
    </dataValidation>
    <dataValidation type="whole" operator="greaterThan" allowBlank="1" showInputMessage="1" showErrorMessage="1" sqref="G12:H12 G22:H22 G32:H32" xr:uid="{7B01EA65-6111-4863-B417-BBC9BEAF732C}">
      <formula1>0</formula1>
    </dataValidation>
  </dataValidations>
  <pageMargins left="0.5" right="0.5" top="0.25" bottom="0.25" header="0" footer="0.25"/>
  <pageSetup paperSize="9" fitToHeight="5" orientation="landscape" r:id="rId1"/>
  <headerFooter>
    <oddFooter>&amp;L&amp;12Built with finmodelslab.com template&amp;C&amp;12BooK Assets&amp;R&amp;D</oddFooter>
  </headerFooter>
  <colBreaks count="4" manualBreakCount="4">
    <brk id="21" max="1048575" man="1"/>
    <brk id="33" max="1048575" man="1"/>
    <brk id="45" max="1048575" man="1"/>
    <brk id="57" max="1048575" man="1"/>
  </col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6">
    <tabColor rgb="FF0069B3"/>
    <pageSetUpPr autoPageBreaks="0"/>
  </sheetPr>
  <dimension ref="A1:BQ41"/>
  <sheetViews>
    <sheetView showGridLines="0" zoomScaleNormal="100" workbookViewId="0">
      <pane xSplit="9" ySplit="5" topLeftCell="AY6" activePane="bottomRight" state="frozen"/>
      <selection sqref="A1:A1048576"/>
      <selection pane="topRight" sqref="A1:A1048576"/>
      <selection pane="bottomLeft" sqref="A1:A1048576"/>
      <selection pane="bottomRight" activeCell="AY50" sqref="AY50"/>
    </sheetView>
  </sheetViews>
  <sheetFormatPr defaultColWidth="11.7109375" defaultRowHeight="10.5" customHeight="1"/>
  <cols>
    <col min="1" max="1" width="2.140625" style="84" customWidth="1"/>
    <col min="2" max="2" width="1.85546875" style="84" customWidth="1"/>
    <col min="3" max="4" width="3.7109375" style="84" customWidth="1"/>
    <col min="5" max="5" width="5.85546875" style="84" customWidth="1"/>
    <col min="6" max="9" width="6.7109375" style="84" customWidth="1"/>
    <col min="10" max="69" width="14.85546875" style="84" customWidth="1"/>
    <col min="70" max="16384" width="11.7109375" style="84"/>
  </cols>
  <sheetData>
    <row r="1" spans="1:69" ht="17.399999999999999">
      <c r="B1" s="85" t="s">
        <v>35</v>
      </c>
    </row>
    <row r="2" spans="1:69" ht="15">
      <c r="B2" s="86"/>
      <c r="C2" s="87" t="s">
        <v>163</v>
      </c>
    </row>
    <row r="3" spans="1:69" ht="10.199999999999999">
      <c r="B3" s="88"/>
      <c r="C3" s="89"/>
      <c r="D3" s="89"/>
      <c r="E3" s="89"/>
      <c r="F3" s="89"/>
      <c r="G3" s="90"/>
      <c r="H3" s="90"/>
    </row>
    <row r="4" spans="1:69" ht="10.199999999999999">
      <c r="A4" s="91"/>
      <c r="B4" s="92" t="s">
        <v>72</v>
      </c>
      <c r="C4" s="91"/>
      <c r="D4" s="91"/>
      <c r="E4" s="91"/>
      <c r="F4" s="91"/>
      <c r="G4" s="91"/>
      <c r="H4" s="91"/>
      <c r="J4" s="91">
        <f>YEAR(J5)</f>
        <v>2018</v>
      </c>
      <c r="K4" s="91">
        <f t="shared" ref="K4:BQ4" si="0">YEAR(K5)</f>
        <v>2018</v>
      </c>
      <c r="L4" s="91">
        <f t="shared" si="0"/>
        <v>2018</v>
      </c>
      <c r="M4" s="91">
        <f t="shared" si="0"/>
        <v>2018</v>
      </c>
      <c r="N4" s="91">
        <f t="shared" si="0"/>
        <v>2018</v>
      </c>
      <c r="O4" s="91">
        <f t="shared" si="0"/>
        <v>2018</v>
      </c>
      <c r="P4" s="91">
        <f t="shared" si="0"/>
        <v>2018</v>
      </c>
      <c r="Q4" s="91">
        <f t="shared" si="0"/>
        <v>2018</v>
      </c>
      <c r="R4" s="91">
        <f t="shared" si="0"/>
        <v>2018</v>
      </c>
      <c r="S4" s="91">
        <f t="shared" si="0"/>
        <v>2018</v>
      </c>
      <c r="T4" s="91">
        <f t="shared" si="0"/>
        <v>2018</v>
      </c>
      <c r="U4" s="91">
        <f t="shared" si="0"/>
        <v>2018</v>
      </c>
      <c r="V4" s="91">
        <f t="shared" si="0"/>
        <v>2019</v>
      </c>
      <c r="W4" s="91">
        <f t="shared" si="0"/>
        <v>2019</v>
      </c>
      <c r="X4" s="91">
        <f t="shared" si="0"/>
        <v>2019</v>
      </c>
      <c r="Y4" s="91">
        <f t="shared" si="0"/>
        <v>2019</v>
      </c>
      <c r="Z4" s="91">
        <f t="shared" si="0"/>
        <v>2019</v>
      </c>
      <c r="AA4" s="91">
        <f t="shared" si="0"/>
        <v>2019</v>
      </c>
      <c r="AB4" s="91">
        <f t="shared" si="0"/>
        <v>2019</v>
      </c>
      <c r="AC4" s="91">
        <f t="shared" si="0"/>
        <v>2019</v>
      </c>
      <c r="AD4" s="91">
        <f t="shared" si="0"/>
        <v>2019</v>
      </c>
      <c r="AE4" s="91">
        <f t="shared" si="0"/>
        <v>2019</v>
      </c>
      <c r="AF4" s="91">
        <f t="shared" si="0"/>
        <v>2019</v>
      </c>
      <c r="AG4" s="91">
        <f t="shared" si="0"/>
        <v>2019</v>
      </c>
      <c r="AH4" s="91">
        <f t="shared" si="0"/>
        <v>2020</v>
      </c>
      <c r="AI4" s="91">
        <f t="shared" si="0"/>
        <v>2020</v>
      </c>
      <c r="AJ4" s="91">
        <f t="shared" si="0"/>
        <v>2020</v>
      </c>
      <c r="AK4" s="91">
        <f t="shared" si="0"/>
        <v>2020</v>
      </c>
      <c r="AL4" s="91">
        <f t="shared" si="0"/>
        <v>2020</v>
      </c>
      <c r="AM4" s="91">
        <f t="shared" si="0"/>
        <v>2020</v>
      </c>
      <c r="AN4" s="91">
        <f t="shared" si="0"/>
        <v>2020</v>
      </c>
      <c r="AO4" s="91">
        <f t="shared" si="0"/>
        <v>2020</v>
      </c>
      <c r="AP4" s="91">
        <f t="shared" si="0"/>
        <v>2020</v>
      </c>
      <c r="AQ4" s="91">
        <f t="shared" si="0"/>
        <v>2020</v>
      </c>
      <c r="AR4" s="91">
        <f t="shared" si="0"/>
        <v>2020</v>
      </c>
      <c r="AS4" s="91">
        <f t="shared" si="0"/>
        <v>2020</v>
      </c>
      <c r="AT4" s="91">
        <f t="shared" si="0"/>
        <v>2021</v>
      </c>
      <c r="AU4" s="91">
        <f t="shared" si="0"/>
        <v>2021</v>
      </c>
      <c r="AV4" s="91">
        <f t="shared" si="0"/>
        <v>2021</v>
      </c>
      <c r="AW4" s="91">
        <f t="shared" si="0"/>
        <v>2021</v>
      </c>
      <c r="AX4" s="91">
        <f t="shared" si="0"/>
        <v>2021</v>
      </c>
      <c r="AY4" s="91">
        <f t="shared" si="0"/>
        <v>2021</v>
      </c>
      <c r="AZ4" s="91">
        <f t="shared" si="0"/>
        <v>2021</v>
      </c>
      <c r="BA4" s="91">
        <f t="shared" si="0"/>
        <v>2021</v>
      </c>
      <c r="BB4" s="91">
        <f t="shared" si="0"/>
        <v>2021</v>
      </c>
      <c r="BC4" s="91">
        <f t="shared" si="0"/>
        <v>2021</v>
      </c>
      <c r="BD4" s="91">
        <f t="shared" si="0"/>
        <v>2021</v>
      </c>
      <c r="BE4" s="91">
        <f t="shared" si="0"/>
        <v>2021</v>
      </c>
      <c r="BF4" s="91">
        <f t="shared" si="0"/>
        <v>2022</v>
      </c>
      <c r="BG4" s="91">
        <f t="shared" si="0"/>
        <v>2022</v>
      </c>
      <c r="BH4" s="91">
        <f t="shared" si="0"/>
        <v>2022</v>
      </c>
      <c r="BI4" s="91">
        <f t="shared" si="0"/>
        <v>2022</v>
      </c>
      <c r="BJ4" s="91">
        <f t="shared" si="0"/>
        <v>2022</v>
      </c>
      <c r="BK4" s="91">
        <f t="shared" si="0"/>
        <v>2022</v>
      </c>
      <c r="BL4" s="91">
        <f t="shared" si="0"/>
        <v>2022</v>
      </c>
      <c r="BM4" s="91">
        <f t="shared" si="0"/>
        <v>2022</v>
      </c>
      <c r="BN4" s="91">
        <f t="shared" si="0"/>
        <v>2022</v>
      </c>
      <c r="BO4" s="91">
        <f t="shared" si="0"/>
        <v>2022</v>
      </c>
      <c r="BP4" s="91">
        <f t="shared" si="0"/>
        <v>2022</v>
      </c>
      <c r="BQ4" s="91">
        <f t="shared" si="0"/>
        <v>2022</v>
      </c>
    </row>
    <row r="5" spans="1:69" ht="10.199999999999999">
      <c r="B5" s="92" t="s">
        <v>45</v>
      </c>
      <c r="J5" s="93">
        <f>DATE(First_Fin_Year,1,31)</f>
        <v>43131</v>
      </c>
      <c r="K5" s="93">
        <f>EOMONTH(J5,1)</f>
        <v>43159</v>
      </c>
      <c r="L5" s="93">
        <f t="shared" ref="L5:BQ5" si="1">EOMONTH(K5,1)</f>
        <v>43190</v>
      </c>
      <c r="M5" s="93">
        <f t="shared" si="1"/>
        <v>43220</v>
      </c>
      <c r="N5" s="93">
        <f t="shared" si="1"/>
        <v>43251</v>
      </c>
      <c r="O5" s="93">
        <f t="shared" si="1"/>
        <v>43281</v>
      </c>
      <c r="P5" s="93">
        <f t="shared" si="1"/>
        <v>43312</v>
      </c>
      <c r="Q5" s="93">
        <f t="shared" si="1"/>
        <v>43343</v>
      </c>
      <c r="R5" s="93">
        <f t="shared" si="1"/>
        <v>43373</v>
      </c>
      <c r="S5" s="93">
        <f t="shared" si="1"/>
        <v>43404</v>
      </c>
      <c r="T5" s="93">
        <f t="shared" si="1"/>
        <v>43434</v>
      </c>
      <c r="U5" s="93">
        <f t="shared" si="1"/>
        <v>43465</v>
      </c>
      <c r="V5" s="93">
        <f t="shared" si="1"/>
        <v>43496</v>
      </c>
      <c r="W5" s="93">
        <f t="shared" si="1"/>
        <v>43524</v>
      </c>
      <c r="X5" s="93">
        <f t="shared" si="1"/>
        <v>43555</v>
      </c>
      <c r="Y5" s="93">
        <f t="shared" si="1"/>
        <v>43585</v>
      </c>
      <c r="Z5" s="93">
        <f t="shared" si="1"/>
        <v>43616</v>
      </c>
      <c r="AA5" s="93">
        <f t="shared" si="1"/>
        <v>43646</v>
      </c>
      <c r="AB5" s="93">
        <f t="shared" si="1"/>
        <v>43677</v>
      </c>
      <c r="AC5" s="93">
        <f t="shared" si="1"/>
        <v>43708</v>
      </c>
      <c r="AD5" s="93">
        <f t="shared" si="1"/>
        <v>43738</v>
      </c>
      <c r="AE5" s="93">
        <f t="shared" si="1"/>
        <v>43769</v>
      </c>
      <c r="AF5" s="93">
        <f t="shared" si="1"/>
        <v>43799</v>
      </c>
      <c r="AG5" s="93">
        <f t="shared" si="1"/>
        <v>43830</v>
      </c>
      <c r="AH5" s="93">
        <f t="shared" si="1"/>
        <v>43861</v>
      </c>
      <c r="AI5" s="93">
        <f t="shared" si="1"/>
        <v>43890</v>
      </c>
      <c r="AJ5" s="93">
        <f t="shared" si="1"/>
        <v>43921</v>
      </c>
      <c r="AK5" s="93">
        <f t="shared" si="1"/>
        <v>43951</v>
      </c>
      <c r="AL5" s="93">
        <f t="shared" si="1"/>
        <v>43982</v>
      </c>
      <c r="AM5" s="93">
        <f t="shared" si="1"/>
        <v>44012</v>
      </c>
      <c r="AN5" s="93">
        <f t="shared" si="1"/>
        <v>44043</v>
      </c>
      <c r="AO5" s="93">
        <f t="shared" si="1"/>
        <v>44074</v>
      </c>
      <c r="AP5" s="93">
        <f t="shared" si="1"/>
        <v>44104</v>
      </c>
      <c r="AQ5" s="93">
        <f t="shared" si="1"/>
        <v>44135</v>
      </c>
      <c r="AR5" s="93">
        <f t="shared" si="1"/>
        <v>44165</v>
      </c>
      <c r="AS5" s="93">
        <f t="shared" si="1"/>
        <v>44196</v>
      </c>
      <c r="AT5" s="93">
        <f t="shared" si="1"/>
        <v>44227</v>
      </c>
      <c r="AU5" s="93">
        <f t="shared" si="1"/>
        <v>44255</v>
      </c>
      <c r="AV5" s="93">
        <f t="shared" si="1"/>
        <v>44286</v>
      </c>
      <c r="AW5" s="93">
        <f t="shared" si="1"/>
        <v>44316</v>
      </c>
      <c r="AX5" s="93">
        <f t="shared" si="1"/>
        <v>44347</v>
      </c>
      <c r="AY5" s="93">
        <f t="shared" si="1"/>
        <v>44377</v>
      </c>
      <c r="AZ5" s="93">
        <f t="shared" si="1"/>
        <v>44408</v>
      </c>
      <c r="BA5" s="93">
        <f t="shared" si="1"/>
        <v>44439</v>
      </c>
      <c r="BB5" s="93">
        <f t="shared" si="1"/>
        <v>44469</v>
      </c>
      <c r="BC5" s="93">
        <f t="shared" si="1"/>
        <v>44500</v>
      </c>
      <c r="BD5" s="93">
        <f t="shared" si="1"/>
        <v>44530</v>
      </c>
      <c r="BE5" s="93">
        <f t="shared" si="1"/>
        <v>44561</v>
      </c>
      <c r="BF5" s="93">
        <f t="shared" si="1"/>
        <v>44592</v>
      </c>
      <c r="BG5" s="93">
        <f t="shared" si="1"/>
        <v>44620</v>
      </c>
      <c r="BH5" s="93">
        <f t="shared" si="1"/>
        <v>44651</v>
      </c>
      <c r="BI5" s="93">
        <f t="shared" si="1"/>
        <v>44681</v>
      </c>
      <c r="BJ5" s="93">
        <f t="shared" si="1"/>
        <v>44712</v>
      </c>
      <c r="BK5" s="93">
        <f t="shared" si="1"/>
        <v>44742</v>
      </c>
      <c r="BL5" s="93">
        <f t="shared" si="1"/>
        <v>44773</v>
      </c>
      <c r="BM5" s="93">
        <f t="shared" si="1"/>
        <v>44804</v>
      </c>
      <c r="BN5" s="93">
        <f t="shared" si="1"/>
        <v>44834</v>
      </c>
      <c r="BO5" s="93">
        <f t="shared" si="1"/>
        <v>44865</v>
      </c>
      <c r="BP5" s="93">
        <f t="shared" si="1"/>
        <v>44895</v>
      </c>
      <c r="BQ5" s="93">
        <f t="shared" si="1"/>
        <v>44926</v>
      </c>
    </row>
    <row r="6" spans="1:69" ht="10.199999999999999">
      <c r="A6" s="91"/>
      <c r="B6" s="92"/>
      <c r="C6" s="91"/>
      <c r="D6" s="91"/>
      <c r="E6" s="91"/>
      <c r="F6" s="91"/>
      <c r="G6" s="91"/>
      <c r="H6" s="91"/>
      <c r="J6" s="91"/>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c r="BD6" s="91"/>
      <c r="BE6" s="91"/>
      <c r="BF6" s="91"/>
      <c r="BG6" s="91"/>
      <c r="BH6" s="91"/>
      <c r="BI6" s="91"/>
      <c r="BJ6" s="91"/>
      <c r="BK6" s="91"/>
      <c r="BL6" s="91"/>
      <c r="BM6" s="91"/>
      <c r="BN6" s="91"/>
      <c r="BO6" s="91"/>
      <c r="BP6" s="91"/>
      <c r="BQ6" s="91"/>
    </row>
    <row r="7" spans="1:69" ht="13.8">
      <c r="A7" s="91"/>
      <c r="B7" s="92"/>
      <c r="C7" s="94" t="str">
        <f>"Inventory, "&amp;Currency</f>
        <v>Inventory, $</v>
      </c>
      <c r="D7" s="91"/>
      <c r="E7" s="91"/>
      <c r="F7" s="91"/>
      <c r="G7" s="91"/>
      <c r="H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1"/>
      <c r="AP7" s="91"/>
      <c r="AQ7" s="91"/>
      <c r="AR7" s="91"/>
      <c r="AS7" s="91"/>
      <c r="AT7" s="91"/>
      <c r="AU7" s="91"/>
      <c r="AV7" s="91"/>
      <c r="AW7" s="91"/>
      <c r="AX7" s="91"/>
      <c r="AY7" s="91"/>
      <c r="AZ7" s="91"/>
      <c r="BA7" s="91"/>
      <c r="BB7" s="91"/>
      <c r="BC7" s="91"/>
      <c r="BD7" s="91"/>
      <c r="BE7" s="91"/>
      <c r="BF7" s="91"/>
      <c r="BG7" s="91"/>
      <c r="BH7" s="91"/>
      <c r="BI7" s="91"/>
      <c r="BJ7" s="91"/>
      <c r="BK7" s="91"/>
      <c r="BL7" s="91"/>
      <c r="BM7" s="91"/>
      <c r="BN7" s="91"/>
      <c r="BO7" s="91"/>
      <c r="BP7" s="91"/>
      <c r="BQ7" s="91"/>
    </row>
    <row r="8" spans="1:69" ht="10.199999999999999">
      <c r="A8" s="91"/>
      <c r="B8" s="92"/>
      <c r="C8" s="91"/>
      <c r="D8" s="91"/>
      <c r="E8" s="91"/>
      <c r="F8" s="91"/>
      <c r="G8" s="91"/>
      <c r="H8" s="91"/>
      <c r="J8" s="91"/>
      <c r="K8" s="91"/>
      <c r="L8" s="91"/>
      <c r="M8" s="91"/>
      <c r="N8" s="91"/>
      <c r="O8" s="91"/>
      <c r="P8" s="91"/>
      <c r="Q8" s="91"/>
      <c r="R8" s="91"/>
      <c r="S8" s="91"/>
      <c r="T8" s="91"/>
      <c r="U8" s="91"/>
      <c r="V8" s="91"/>
      <c r="W8" s="91"/>
      <c r="X8" s="91"/>
      <c r="Y8" s="91"/>
      <c r="Z8" s="91"/>
      <c r="AA8" s="91"/>
      <c r="AB8" s="91"/>
      <c r="AC8" s="91"/>
      <c r="AD8" s="91"/>
      <c r="AE8" s="91"/>
      <c r="AF8" s="91"/>
      <c r="AG8" s="91"/>
      <c r="AH8" s="91"/>
      <c r="AI8" s="91"/>
      <c r="AJ8" s="91"/>
      <c r="AK8" s="91"/>
      <c r="AL8" s="91"/>
      <c r="AM8" s="91"/>
      <c r="AN8" s="91"/>
      <c r="AO8" s="91"/>
      <c r="AP8" s="91"/>
      <c r="AQ8" s="91"/>
      <c r="AR8" s="91"/>
      <c r="AS8" s="91"/>
      <c r="AT8" s="91"/>
      <c r="AU8" s="91"/>
      <c r="AV8" s="91"/>
      <c r="AW8" s="91"/>
      <c r="AX8" s="91"/>
      <c r="AY8" s="91"/>
      <c r="AZ8" s="91"/>
      <c r="BA8" s="91"/>
      <c r="BB8" s="91"/>
      <c r="BC8" s="91"/>
      <c r="BD8" s="91"/>
      <c r="BE8" s="91"/>
      <c r="BF8" s="91"/>
      <c r="BG8" s="91"/>
      <c r="BH8" s="91"/>
      <c r="BI8" s="91"/>
      <c r="BJ8" s="91"/>
      <c r="BK8" s="91"/>
      <c r="BL8" s="91"/>
      <c r="BM8" s="91"/>
      <c r="BN8" s="91"/>
      <c r="BO8" s="91"/>
      <c r="BP8" s="91"/>
      <c r="BQ8" s="91"/>
    </row>
    <row r="9" spans="1:69" s="91" customFormat="1" ht="10.5" customHeight="1">
      <c r="E9" s="95" t="s">
        <v>50</v>
      </c>
      <c r="J9" s="96">
        <f>IS!J27</f>
        <v>-625</v>
      </c>
      <c r="K9" s="96">
        <f>IS!K27</f>
        <v>-1988.6363636363635</v>
      </c>
      <c r="L9" s="96">
        <f>IS!L27</f>
        <v>-3038.6363636363635</v>
      </c>
      <c r="M9" s="96">
        <f>IS!M27</f>
        <v>-3038.6363636363635</v>
      </c>
      <c r="N9" s="96">
        <f>IS!N27</f>
        <v>-3038.6363636363635</v>
      </c>
      <c r="O9" s="96">
        <f>IS!O27</f>
        <v>-3038.6363636363635</v>
      </c>
      <c r="P9" s="96">
        <f>IS!P27</f>
        <v>-3038.6363636363635</v>
      </c>
      <c r="Q9" s="96">
        <f>IS!Q27</f>
        <v>-3038.6363636363635</v>
      </c>
      <c r="R9" s="96">
        <f>IS!R27</f>
        <v>-3038.6363636363635</v>
      </c>
      <c r="S9" s="96">
        <f>IS!S27</f>
        <v>-3038.6363636363635</v>
      </c>
      <c r="T9" s="96">
        <f>IS!T27</f>
        <v>-3038.6363636363635</v>
      </c>
      <c r="U9" s="96">
        <f>IS!U27</f>
        <v>-3038.6363636363635</v>
      </c>
      <c r="V9" s="96">
        <f>IS!V27</f>
        <v>-3630</v>
      </c>
      <c r="W9" s="96">
        <f>IS!W27</f>
        <v>-3630</v>
      </c>
      <c r="X9" s="96">
        <f>IS!X27</f>
        <v>-3630</v>
      </c>
      <c r="Y9" s="96">
        <f>IS!Y27</f>
        <v>-3630</v>
      </c>
      <c r="Z9" s="96">
        <f>IS!Z27</f>
        <v>-3630</v>
      </c>
      <c r="AA9" s="96">
        <f>IS!AA27</f>
        <v>-3630</v>
      </c>
      <c r="AB9" s="96">
        <f>IS!AB27</f>
        <v>-3630</v>
      </c>
      <c r="AC9" s="96">
        <f>IS!AC27</f>
        <v>-3630</v>
      </c>
      <c r="AD9" s="96">
        <f>IS!AD27</f>
        <v>-3630</v>
      </c>
      <c r="AE9" s="96">
        <f>IS!AE27</f>
        <v>-3630</v>
      </c>
      <c r="AF9" s="96">
        <f>IS!AF27</f>
        <v>-3630</v>
      </c>
      <c r="AG9" s="96">
        <f>IS!AG27</f>
        <v>-3630</v>
      </c>
      <c r="AH9" s="96">
        <f>IS!AH27</f>
        <v>-4791.6000000000013</v>
      </c>
      <c r="AI9" s="96">
        <f>IS!AI27</f>
        <v>-4791.6000000000013</v>
      </c>
      <c r="AJ9" s="96">
        <f>IS!AJ27</f>
        <v>-4791.6000000000013</v>
      </c>
      <c r="AK9" s="96">
        <f>IS!AK27</f>
        <v>-4791.6000000000013</v>
      </c>
      <c r="AL9" s="96">
        <f>IS!AL27</f>
        <v>-4791.6000000000013</v>
      </c>
      <c r="AM9" s="96">
        <f>IS!AM27</f>
        <v>-4791.6000000000013</v>
      </c>
      <c r="AN9" s="96">
        <f>IS!AN27</f>
        <v>-4791.6000000000013</v>
      </c>
      <c r="AO9" s="96">
        <f>IS!AO27</f>
        <v>-4791.6000000000013</v>
      </c>
      <c r="AP9" s="96">
        <f>IS!AP27</f>
        <v>-4791.6000000000013</v>
      </c>
      <c r="AQ9" s="96">
        <f>IS!AQ27</f>
        <v>-4791.6000000000013</v>
      </c>
      <c r="AR9" s="96">
        <f>IS!AR27</f>
        <v>-4791.6000000000013</v>
      </c>
      <c r="AS9" s="96">
        <f>IS!AS27</f>
        <v>-4791.6000000000013</v>
      </c>
      <c r="AT9" s="96">
        <f>IS!AT27</f>
        <v>-6324.9120000000021</v>
      </c>
      <c r="AU9" s="96">
        <f>IS!AU27</f>
        <v>-6324.9120000000021</v>
      </c>
      <c r="AV9" s="96">
        <f>IS!AV27</f>
        <v>-6324.9120000000021</v>
      </c>
      <c r="AW9" s="96">
        <f>IS!AW27</f>
        <v>-6324.9120000000021</v>
      </c>
      <c r="AX9" s="96">
        <f>IS!AX27</f>
        <v>-6324.9120000000021</v>
      </c>
      <c r="AY9" s="96">
        <f>IS!AY27</f>
        <v>-6324.9120000000021</v>
      </c>
      <c r="AZ9" s="96">
        <f>IS!AZ27</f>
        <v>-6324.9120000000021</v>
      </c>
      <c r="BA9" s="96">
        <f>IS!BA27</f>
        <v>-6324.9120000000021</v>
      </c>
      <c r="BB9" s="96">
        <f>IS!BB27</f>
        <v>-6324.9120000000021</v>
      </c>
      <c r="BC9" s="96">
        <f>IS!BC27</f>
        <v>-6324.9120000000021</v>
      </c>
      <c r="BD9" s="96">
        <f>IS!BD27</f>
        <v>-6324.9120000000021</v>
      </c>
      <c r="BE9" s="96">
        <f>IS!BE27</f>
        <v>-6324.9120000000021</v>
      </c>
      <c r="BF9" s="96">
        <f>IS!BF27</f>
        <v>-8348.8838400000022</v>
      </c>
      <c r="BG9" s="96">
        <f>IS!BG27</f>
        <v>-8348.8838400000022</v>
      </c>
      <c r="BH9" s="96">
        <f>IS!BH27</f>
        <v>-8348.8838400000022</v>
      </c>
      <c r="BI9" s="96">
        <f>IS!BI27</f>
        <v>-8348.8838400000022</v>
      </c>
      <c r="BJ9" s="96">
        <f>IS!BJ27</f>
        <v>-8348.8838400000022</v>
      </c>
      <c r="BK9" s="96">
        <f>IS!BK27</f>
        <v>-8348.8838400000022</v>
      </c>
      <c r="BL9" s="96">
        <f>IS!BL27</f>
        <v>-8348.8838400000022</v>
      </c>
      <c r="BM9" s="96">
        <f>IS!BM27</f>
        <v>-8348.8838400000022</v>
      </c>
      <c r="BN9" s="96">
        <f>IS!BN27</f>
        <v>-8348.8838400000022</v>
      </c>
      <c r="BO9" s="96">
        <f>IS!BO27</f>
        <v>-8348.8838400000022</v>
      </c>
      <c r="BP9" s="96">
        <f>IS!BP27</f>
        <v>-8348.8838400000022</v>
      </c>
      <c r="BQ9" s="96">
        <f>IS!BQ27</f>
        <v>-8348.8838400000022</v>
      </c>
    </row>
    <row r="10" spans="1:69" s="91" customFormat="1" ht="10.5" customHeight="1">
      <c r="E10" s="95" t="s">
        <v>161</v>
      </c>
      <c r="J10" s="96">
        <f t="shared" ref="J10:AO10" si="2">J9*Inventory</f>
        <v>-125</v>
      </c>
      <c r="K10" s="96">
        <f t="shared" si="2"/>
        <v>-397.72727272727275</v>
      </c>
      <c r="L10" s="96">
        <f t="shared" si="2"/>
        <v>-607.72727272727275</v>
      </c>
      <c r="M10" s="96">
        <f t="shared" si="2"/>
        <v>-607.72727272727275</v>
      </c>
      <c r="N10" s="96">
        <f t="shared" si="2"/>
        <v>-607.72727272727275</v>
      </c>
      <c r="O10" s="96">
        <f t="shared" si="2"/>
        <v>-607.72727272727275</v>
      </c>
      <c r="P10" s="96">
        <f t="shared" si="2"/>
        <v>-607.72727272727275</v>
      </c>
      <c r="Q10" s="96">
        <f t="shared" si="2"/>
        <v>-607.72727272727275</v>
      </c>
      <c r="R10" s="96">
        <f t="shared" si="2"/>
        <v>-607.72727272727275</v>
      </c>
      <c r="S10" s="96">
        <f t="shared" si="2"/>
        <v>-607.72727272727275</v>
      </c>
      <c r="T10" s="96">
        <f t="shared" si="2"/>
        <v>-607.72727272727275</v>
      </c>
      <c r="U10" s="96">
        <f t="shared" si="2"/>
        <v>-607.72727272727275</v>
      </c>
      <c r="V10" s="96">
        <f t="shared" si="2"/>
        <v>-726</v>
      </c>
      <c r="W10" s="96">
        <f t="shared" si="2"/>
        <v>-726</v>
      </c>
      <c r="X10" s="96">
        <f t="shared" si="2"/>
        <v>-726</v>
      </c>
      <c r="Y10" s="96">
        <f t="shared" si="2"/>
        <v>-726</v>
      </c>
      <c r="Z10" s="96">
        <f t="shared" si="2"/>
        <v>-726</v>
      </c>
      <c r="AA10" s="96">
        <f t="shared" si="2"/>
        <v>-726</v>
      </c>
      <c r="AB10" s="96">
        <f t="shared" si="2"/>
        <v>-726</v>
      </c>
      <c r="AC10" s="96">
        <f t="shared" si="2"/>
        <v>-726</v>
      </c>
      <c r="AD10" s="96">
        <f t="shared" si="2"/>
        <v>-726</v>
      </c>
      <c r="AE10" s="96">
        <f t="shared" si="2"/>
        <v>-726</v>
      </c>
      <c r="AF10" s="96">
        <f t="shared" si="2"/>
        <v>-726</v>
      </c>
      <c r="AG10" s="96">
        <f t="shared" si="2"/>
        <v>-726</v>
      </c>
      <c r="AH10" s="96">
        <f t="shared" si="2"/>
        <v>-958.32000000000028</v>
      </c>
      <c r="AI10" s="96">
        <f t="shared" si="2"/>
        <v>-958.32000000000028</v>
      </c>
      <c r="AJ10" s="96">
        <f t="shared" si="2"/>
        <v>-958.32000000000028</v>
      </c>
      <c r="AK10" s="96">
        <f t="shared" si="2"/>
        <v>-958.32000000000028</v>
      </c>
      <c r="AL10" s="96">
        <f t="shared" si="2"/>
        <v>-958.32000000000028</v>
      </c>
      <c r="AM10" s="96">
        <f t="shared" si="2"/>
        <v>-958.32000000000028</v>
      </c>
      <c r="AN10" s="96">
        <f t="shared" si="2"/>
        <v>-958.32000000000028</v>
      </c>
      <c r="AO10" s="96">
        <f t="shared" si="2"/>
        <v>-958.32000000000028</v>
      </c>
      <c r="AP10" s="96">
        <f t="shared" ref="AP10:BQ10" si="3">AP9*Inventory</f>
        <v>-958.32000000000028</v>
      </c>
      <c r="AQ10" s="96">
        <f t="shared" si="3"/>
        <v>-958.32000000000028</v>
      </c>
      <c r="AR10" s="96">
        <f t="shared" si="3"/>
        <v>-958.32000000000028</v>
      </c>
      <c r="AS10" s="96">
        <f t="shared" si="3"/>
        <v>-958.32000000000028</v>
      </c>
      <c r="AT10" s="96">
        <f t="shared" si="3"/>
        <v>-1264.9824000000006</v>
      </c>
      <c r="AU10" s="96">
        <f t="shared" si="3"/>
        <v>-1264.9824000000006</v>
      </c>
      <c r="AV10" s="96">
        <f t="shared" si="3"/>
        <v>-1264.9824000000006</v>
      </c>
      <c r="AW10" s="96">
        <f t="shared" si="3"/>
        <v>-1264.9824000000006</v>
      </c>
      <c r="AX10" s="96">
        <f t="shared" si="3"/>
        <v>-1264.9824000000006</v>
      </c>
      <c r="AY10" s="96">
        <f t="shared" si="3"/>
        <v>-1264.9824000000006</v>
      </c>
      <c r="AZ10" s="96">
        <f t="shared" si="3"/>
        <v>-1264.9824000000006</v>
      </c>
      <c r="BA10" s="96">
        <f t="shared" si="3"/>
        <v>-1264.9824000000006</v>
      </c>
      <c r="BB10" s="96">
        <f t="shared" si="3"/>
        <v>-1264.9824000000006</v>
      </c>
      <c r="BC10" s="96">
        <f t="shared" si="3"/>
        <v>-1264.9824000000006</v>
      </c>
      <c r="BD10" s="96">
        <f t="shared" si="3"/>
        <v>-1264.9824000000006</v>
      </c>
      <c r="BE10" s="96">
        <f t="shared" si="3"/>
        <v>-1264.9824000000006</v>
      </c>
      <c r="BF10" s="96">
        <f t="shared" si="3"/>
        <v>-1669.7767680000006</v>
      </c>
      <c r="BG10" s="96">
        <f t="shared" si="3"/>
        <v>-1669.7767680000006</v>
      </c>
      <c r="BH10" s="96">
        <f t="shared" si="3"/>
        <v>-1669.7767680000006</v>
      </c>
      <c r="BI10" s="96">
        <f t="shared" si="3"/>
        <v>-1669.7767680000006</v>
      </c>
      <c r="BJ10" s="96">
        <f t="shared" si="3"/>
        <v>-1669.7767680000006</v>
      </c>
      <c r="BK10" s="96">
        <f t="shared" si="3"/>
        <v>-1669.7767680000006</v>
      </c>
      <c r="BL10" s="96">
        <f t="shared" si="3"/>
        <v>-1669.7767680000006</v>
      </c>
      <c r="BM10" s="96">
        <f t="shared" si="3"/>
        <v>-1669.7767680000006</v>
      </c>
      <c r="BN10" s="96">
        <f t="shared" si="3"/>
        <v>-1669.7767680000006</v>
      </c>
      <c r="BO10" s="96">
        <f t="shared" si="3"/>
        <v>-1669.7767680000006</v>
      </c>
      <c r="BP10" s="96">
        <f t="shared" si="3"/>
        <v>-1669.7767680000006</v>
      </c>
      <c r="BQ10" s="96">
        <f t="shared" si="3"/>
        <v>-1669.7767680000006</v>
      </c>
    </row>
    <row r="11" spans="1:69" s="91" customFormat="1" ht="10.5" customHeight="1">
      <c r="E11" s="95" t="s">
        <v>159</v>
      </c>
      <c r="J11" s="97">
        <f>J10-I10</f>
        <v>-125</v>
      </c>
      <c r="K11" s="97">
        <f t="shared" ref="K11:BQ11" si="4">K10-J10</f>
        <v>-272.72727272727275</v>
      </c>
      <c r="L11" s="97">
        <f t="shared" si="4"/>
        <v>-210</v>
      </c>
      <c r="M11" s="97">
        <f t="shared" si="4"/>
        <v>0</v>
      </c>
      <c r="N11" s="97">
        <f t="shared" si="4"/>
        <v>0</v>
      </c>
      <c r="O11" s="97">
        <f t="shared" si="4"/>
        <v>0</v>
      </c>
      <c r="P11" s="97">
        <f t="shared" si="4"/>
        <v>0</v>
      </c>
      <c r="Q11" s="97">
        <f t="shared" si="4"/>
        <v>0</v>
      </c>
      <c r="R11" s="97">
        <f t="shared" si="4"/>
        <v>0</v>
      </c>
      <c r="S11" s="97">
        <f t="shared" si="4"/>
        <v>0</v>
      </c>
      <c r="T11" s="97">
        <f t="shared" si="4"/>
        <v>0</v>
      </c>
      <c r="U11" s="97">
        <f t="shared" si="4"/>
        <v>0</v>
      </c>
      <c r="V11" s="97">
        <f t="shared" si="4"/>
        <v>-118.27272727272725</v>
      </c>
      <c r="W11" s="97">
        <f t="shared" si="4"/>
        <v>0</v>
      </c>
      <c r="X11" s="97">
        <f t="shared" si="4"/>
        <v>0</v>
      </c>
      <c r="Y11" s="97">
        <f t="shared" si="4"/>
        <v>0</v>
      </c>
      <c r="Z11" s="97">
        <f t="shared" si="4"/>
        <v>0</v>
      </c>
      <c r="AA11" s="97">
        <f t="shared" si="4"/>
        <v>0</v>
      </c>
      <c r="AB11" s="97">
        <f t="shared" si="4"/>
        <v>0</v>
      </c>
      <c r="AC11" s="97">
        <f t="shared" si="4"/>
        <v>0</v>
      </c>
      <c r="AD11" s="97">
        <f t="shared" si="4"/>
        <v>0</v>
      </c>
      <c r="AE11" s="97">
        <f t="shared" si="4"/>
        <v>0</v>
      </c>
      <c r="AF11" s="97">
        <f t="shared" si="4"/>
        <v>0</v>
      </c>
      <c r="AG11" s="97">
        <f t="shared" si="4"/>
        <v>0</v>
      </c>
      <c r="AH11" s="97">
        <f t="shared" si="4"/>
        <v>-232.32000000000028</v>
      </c>
      <c r="AI11" s="97">
        <f t="shared" si="4"/>
        <v>0</v>
      </c>
      <c r="AJ11" s="97">
        <f t="shared" si="4"/>
        <v>0</v>
      </c>
      <c r="AK11" s="97">
        <f t="shared" si="4"/>
        <v>0</v>
      </c>
      <c r="AL11" s="97">
        <f t="shared" si="4"/>
        <v>0</v>
      </c>
      <c r="AM11" s="97">
        <f t="shared" si="4"/>
        <v>0</v>
      </c>
      <c r="AN11" s="97">
        <f t="shared" si="4"/>
        <v>0</v>
      </c>
      <c r="AO11" s="97">
        <f t="shared" si="4"/>
        <v>0</v>
      </c>
      <c r="AP11" s="97">
        <f t="shared" si="4"/>
        <v>0</v>
      </c>
      <c r="AQ11" s="97">
        <f t="shared" si="4"/>
        <v>0</v>
      </c>
      <c r="AR11" s="97">
        <f t="shared" si="4"/>
        <v>0</v>
      </c>
      <c r="AS11" s="97">
        <f t="shared" si="4"/>
        <v>0</v>
      </c>
      <c r="AT11" s="97">
        <f t="shared" si="4"/>
        <v>-306.66240000000028</v>
      </c>
      <c r="AU11" s="97">
        <f t="shared" si="4"/>
        <v>0</v>
      </c>
      <c r="AV11" s="97">
        <f t="shared" si="4"/>
        <v>0</v>
      </c>
      <c r="AW11" s="97">
        <f t="shared" si="4"/>
        <v>0</v>
      </c>
      <c r="AX11" s="97">
        <f t="shared" si="4"/>
        <v>0</v>
      </c>
      <c r="AY11" s="97">
        <f t="shared" si="4"/>
        <v>0</v>
      </c>
      <c r="AZ11" s="97">
        <f t="shared" si="4"/>
        <v>0</v>
      </c>
      <c r="BA11" s="97">
        <f t="shared" si="4"/>
        <v>0</v>
      </c>
      <c r="BB11" s="97">
        <f t="shared" si="4"/>
        <v>0</v>
      </c>
      <c r="BC11" s="97">
        <f t="shared" si="4"/>
        <v>0</v>
      </c>
      <c r="BD11" s="97">
        <f t="shared" si="4"/>
        <v>0</v>
      </c>
      <c r="BE11" s="97">
        <f t="shared" si="4"/>
        <v>0</v>
      </c>
      <c r="BF11" s="97">
        <f t="shared" si="4"/>
        <v>-404.79436800000008</v>
      </c>
      <c r="BG11" s="97">
        <f t="shared" si="4"/>
        <v>0</v>
      </c>
      <c r="BH11" s="97">
        <f t="shared" si="4"/>
        <v>0</v>
      </c>
      <c r="BI11" s="97">
        <f t="shared" si="4"/>
        <v>0</v>
      </c>
      <c r="BJ11" s="97">
        <f t="shared" si="4"/>
        <v>0</v>
      </c>
      <c r="BK11" s="97">
        <f t="shared" si="4"/>
        <v>0</v>
      </c>
      <c r="BL11" s="97">
        <f t="shared" si="4"/>
        <v>0</v>
      </c>
      <c r="BM11" s="97">
        <f t="shared" si="4"/>
        <v>0</v>
      </c>
      <c r="BN11" s="97">
        <f t="shared" si="4"/>
        <v>0</v>
      </c>
      <c r="BO11" s="97">
        <f t="shared" si="4"/>
        <v>0</v>
      </c>
      <c r="BP11" s="97">
        <f t="shared" si="4"/>
        <v>0</v>
      </c>
      <c r="BQ11" s="97">
        <f t="shared" si="4"/>
        <v>0</v>
      </c>
    </row>
    <row r="12" spans="1:69" s="91" customFormat="1" ht="10.5" customHeight="1">
      <c r="E12" s="98" t="s">
        <v>160</v>
      </c>
      <c r="J12" s="99">
        <f>J11+J9</f>
        <v>-750</v>
      </c>
      <c r="K12" s="99">
        <f t="shared" ref="K12:BQ12" si="5">K11+K9</f>
        <v>-2261.363636363636</v>
      </c>
      <c r="L12" s="99">
        <f t="shared" si="5"/>
        <v>-3248.6363636363635</v>
      </c>
      <c r="M12" s="99">
        <f t="shared" si="5"/>
        <v>-3038.6363636363635</v>
      </c>
      <c r="N12" s="99">
        <f t="shared" si="5"/>
        <v>-3038.6363636363635</v>
      </c>
      <c r="O12" s="99">
        <f t="shared" si="5"/>
        <v>-3038.6363636363635</v>
      </c>
      <c r="P12" s="99">
        <f t="shared" si="5"/>
        <v>-3038.6363636363635</v>
      </c>
      <c r="Q12" s="99">
        <f t="shared" si="5"/>
        <v>-3038.6363636363635</v>
      </c>
      <c r="R12" s="99">
        <f t="shared" si="5"/>
        <v>-3038.6363636363635</v>
      </c>
      <c r="S12" s="99">
        <f t="shared" si="5"/>
        <v>-3038.6363636363635</v>
      </c>
      <c r="T12" s="99">
        <f t="shared" si="5"/>
        <v>-3038.6363636363635</v>
      </c>
      <c r="U12" s="99">
        <f t="shared" si="5"/>
        <v>-3038.6363636363635</v>
      </c>
      <c r="V12" s="99">
        <f t="shared" si="5"/>
        <v>-3748.272727272727</v>
      </c>
      <c r="W12" s="99">
        <f t="shared" si="5"/>
        <v>-3630</v>
      </c>
      <c r="X12" s="99">
        <f t="shared" si="5"/>
        <v>-3630</v>
      </c>
      <c r="Y12" s="99">
        <f t="shared" si="5"/>
        <v>-3630</v>
      </c>
      <c r="Z12" s="99">
        <f t="shared" si="5"/>
        <v>-3630</v>
      </c>
      <c r="AA12" s="99">
        <f t="shared" si="5"/>
        <v>-3630</v>
      </c>
      <c r="AB12" s="99">
        <f t="shared" si="5"/>
        <v>-3630</v>
      </c>
      <c r="AC12" s="99">
        <f t="shared" si="5"/>
        <v>-3630</v>
      </c>
      <c r="AD12" s="99">
        <f t="shared" si="5"/>
        <v>-3630</v>
      </c>
      <c r="AE12" s="99">
        <f t="shared" si="5"/>
        <v>-3630</v>
      </c>
      <c r="AF12" s="99">
        <f t="shared" si="5"/>
        <v>-3630</v>
      </c>
      <c r="AG12" s="99">
        <f t="shared" si="5"/>
        <v>-3630</v>
      </c>
      <c r="AH12" s="99">
        <f t="shared" si="5"/>
        <v>-5023.9200000000019</v>
      </c>
      <c r="AI12" s="99">
        <f t="shared" si="5"/>
        <v>-4791.6000000000013</v>
      </c>
      <c r="AJ12" s="99">
        <f t="shared" si="5"/>
        <v>-4791.6000000000013</v>
      </c>
      <c r="AK12" s="99">
        <f t="shared" si="5"/>
        <v>-4791.6000000000013</v>
      </c>
      <c r="AL12" s="99">
        <f t="shared" si="5"/>
        <v>-4791.6000000000013</v>
      </c>
      <c r="AM12" s="99">
        <f t="shared" si="5"/>
        <v>-4791.6000000000013</v>
      </c>
      <c r="AN12" s="99">
        <f t="shared" si="5"/>
        <v>-4791.6000000000013</v>
      </c>
      <c r="AO12" s="99">
        <f t="shared" si="5"/>
        <v>-4791.6000000000013</v>
      </c>
      <c r="AP12" s="99">
        <f t="shared" si="5"/>
        <v>-4791.6000000000013</v>
      </c>
      <c r="AQ12" s="99">
        <f t="shared" si="5"/>
        <v>-4791.6000000000013</v>
      </c>
      <c r="AR12" s="99">
        <f t="shared" si="5"/>
        <v>-4791.6000000000013</v>
      </c>
      <c r="AS12" s="99">
        <f t="shared" si="5"/>
        <v>-4791.6000000000013</v>
      </c>
      <c r="AT12" s="99">
        <f t="shared" si="5"/>
        <v>-6631.5744000000022</v>
      </c>
      <c r="AU12" s="99">
        <f t="shared" si="5"/>
        <v>-6324.9120000000021</v>
      </c>
      <c r="AV12" s="99">
        <f t="shared" si="5"/>
        <v>-6324.9120000000021</v>
      </c>
      <c r="AW12" s="99">
        <f t="shared" si="5"/>
        <v>-6324.9120000000021</v>
      </c>
      <c r="AX12" s="99">
        <f t="shared" si="5"/>
        <v>-6324.9120000000021</v>
      </c>
      <c r="AY12" s="99">
        <f t="shared" si="5"/>
        <v>-6324.9120000000021</v>
      </c>
      <c r="AZ12" s="99">
        <f t="shared" si="5"/>
        <v>-6324.9120000000021</v>
      </c>
      <c r="BA12" s="99">
        <f t="shared" si="5"/>
        <v>-6324.9120000000021</v>
      </c>
      <c r="BB12" s="99">
        <f t="shared" si="5"/>
        <v>-6324.9120000000021</v>
      </c>
      <c r="BC12" s="99">
        <f t="shared" si="5"/>
        <v>-6324.9120000000021</v>
      </c>
      <c r="BD12" s="99">
        <f t="shared" si="5"/>
        <v>-6324.9120000000021</v>
      </c>
      <c r="BE12" s="99">
        <f t="shared" si="5"/>
        <v>-6324.9120000000021</v>
      </c>
      <c r="BF12" s="99">
        <f t="shared" si="5"/>
        <v>-8753.678208000003</v>
      </c>
      <c r="BG12" s="99">
        <f t="shared" si="5"/>
        <v>-8348.8838400000022</v>
      </c>
      <c r="BH12" s="99">
        <f t="shared" si="5"/>
        <v>-8348.8838400000022</v>
      </c>
      <c r="BI12" s="99">
        <f t="shared" si="5"/>
        <v>-8348.8838400000022</v>
      </c>
      <c r="BJ12" s="99">
        <f t="shared" si="5"/>
        <v>-8348.8838400000022</v>
      </c>
      <c r="BK12" s="99">
        <f t="shared" si="5"/>
        <v>-8348.8838400000022</v>
      </c>
      <c r="BL12" s="99">
        <f t="shared" si="5"/>
        <v>-8348.8838400000022</v>
      </c>
      <c r="BM12" s="99">
        <f t="shared" si="5"/>
        <v>-8348.8838400000022</v>
      </c>
      <c r="BN12" s="99">
        <f t="shared" si="5"/>
        <v>-8348.8838400000022</v>
      </c>
      <c r="BO12" s="99">
        <f t="shared" si="5"/>
        <v>-8348.8838400000022</v>
      </c>
      <c r="BP12" s="99">
        <f t="shared" si="5"/>
        <v>-8348.8838400000022</v>
      </c>
      <c r="BQ12" s="99">
        <f t="shared" si="5"/>
        <v>-8348.8838400000022</v>
      </c>
    </row>
    <row r="13" spans="1:69" ht="10.199999999999999">
      <c r="A13" s="91"/>
      <c r="B13" s="92"/>
      <c r="C13" s="91"/>
      <c r="D13" s="91"/>
      <c r="E13" s="91"/>
      <c r="F13" s="91"/>
      <c r="G13" s="91"/>
      <c r="H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1"/>
      <c r="BA13" s="91"/>
      <c r="BB13" s="91"/>
      <c r="BC13" s="91"/>
      <c r="BD13" s="91"/>
      <c r="BE13" s="91"/>
      <c r="BF13" s="91"/>
      <c r="BG13" s="91"/>
      <c r="BH13" s="91"/>
      <c r="BI13" s="91"/>
      <c r="BJ13" s="91"/>
      <c r="BK13" s="91"/>
      <c r="BL13" s="91"/>
      <c r="BM13" s="91"/>
      <c r="BN13" s="91"/>
      <c r="BO13" s="91"/>
      <c r="BP13" s="91"/>
      <c r="BQ13" s="91"/>
    </row>
    <row r="14" spans="1:69" ht="10.199999999999999">
      <c r="A14" s="91"/>
      <c r="B14" s="92"/>
      <c r="C14" s="91"/>
      <c r="D14" s="91"/>
      <c r="E14" s="91"/>
      <c r="F14" s="91"/>
      <c r="G14" s="91"/>
      <c r="H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c r="AP14" s="91"/>
      <c r="AQ14" s="91"/>
      <c r="AR14" s="91"/>
      <c r="AS14" s="91"/>
      <c r="AT14" s="91"/>
      <c r="AU14" s="91"/>
      <c r="AV14" s="91"/>
      <c r="AW14" s="91"/>
      <c r="AX14" s="91"/>
      <c r="AY14" s="91"/>
      <c r="AZ14" s="91"/>
      <c r="BA14" s="91"/>
      <c r="BB14" s="91"/>
      <c r="BC14" s="91"/>
      <c r="BD14" s="91"/>
      <c r="BE14" s="91"/>
      <c r="BF14" s="91"/>
      <c r="BG14" s="91"/>
      <c r="BH14" s="91"/>
      <c r="BI14" s="91"/>
      <c r="BJ14" s="91"/>
      <c r="BK14" s="91"/>
      <c r="BL14" s="91"/>
      <c r="BM14" s="91"/>
      <c r="BN14" s="91"/>
      <c r="BO14" s="91"/>
      <c r="BP14" s="91"/>
      <c r="BQ14" s="91"/>
    </row>
    <row r="15" spans="1:69" ht="13.8">
      <c r="C15" s="94" t="str">
        <f>"Debt, "&amp;Currency</f>
        <v>Debt, $</v>
      </c>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row>
    <row r="16" spans="1:69" ht="10.5" customHeight="1">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row>
    <row r="17" spans="1:69" s="91" customFormat="1" ht="10.5" customHeight="1">
      <c r="E17" s="98" t="s">
        <v>137</v>
      </c>
      <c r="J17" s="101">
        <f t="shared" ref="J17:AO17" si="6">IF(J5&lt;Debt_Start,0,IF(J5=Debt_Start,1,IF(J5&lt;EOMONTH(Debt_Start,Debt_Term),I17+1,0)))</f>
        <v>0</v>
      </c>
      <c r="K17" s="101">
        <f t="shared" si="6"/>
        <v>0</v>
      </c>
      <c r="L17" s="101">
        <f t="shared" si="6"/>
        <v>0</v>
      </c>
      <c r="M17" s="101">
        <f t="shared" si="6"/>
        <v>0</v>
      </c>
      <c r="N17" s="101">
        <f t="shared" si="6"/>
        <v>0</v>
      </c>
      <c r="O17" s="101">
        <f t="shared" si="6"/>
        <v>0</v>
      </c>
      <c r="P17" s="101">
        <f t="shared" si="6"/>
        <v>0</v>
      </c>
      <c r="Q17" s="101">
        <f t="shared" si="6"/>
        <v>0</v>
      </c>
      <c r="R17" s="101">
        <f t="shared" si="6"/>
        <v>0</v>
      </c>
      <c r="S17" s="101">
        <f t="shared" si="6"/>
        <v>0</v>
      </c>
      <c r="T17" s="101">
        <f t="shared" si="6"/>
        <v>0</v>
      </c>
      <c r="U17" s="101">
        <f t="shared" si="6"/>
        <v>0</v>
      </c>
      <c r="V17" s="101">
        <f t="shared" si="6"/>
        <v>0</v>
      </c>
      <c r="W17" s="101">
        <f t="shared" si="6"/>
        <v>0</v>
      </c>
      <c r="X17" s="101">
        <f t="shared" si="6"/>
        <v>0</v>
      </c>
      <c r="Y17" s="101">
        <f t="shared" si="6"/>
        <v>0</v>
      </c>
      <c r="Z17" s="101">
        <f t="shared" si="6"/>
        <v>0</v>
      </c>
      <c r="AA17" s="101">
        <f t="shared" si="6"/>
        <v>0</v>
      </c>
      <c r="AB17" s="101">
        <f t="shared" si="6"/>
        <v>0</v>
      </c>
      <c r="AC17" s="101">
        <f t="shared" si="6"/>
        <v>0</v>
      </c>
      <c r="AD17" s="101">
        <f t="shared" si="6"/>
        <v>0</v>
      </c>
      <c r="AE17" s="101">
        <f t="shared" si="6"/>
        <v>0</v>
      </c>
      <c r="AF17" s="101">
        <f t="shared" si="6"/>
        <v>0</v>
      </c>
      <c r="AG17" s="101">
        <f t="shared" si="6"/>
        <v>0</v>
      </c>
      <c r="AH17" s="101">
        <f t="shared" si="6"/>
        <v>0</v>
      </c>
      <c r="AI17" s="101">
        <f t="shared" si="6"/>
        <v>0</v>
      </c>
      <c r="AJ17" s="101">
        <f t="shared" si="6"/>
        <v>0</v>
      </c>
      <c r="AK17" s="101">
        <f t="shared" si="6"/>
        <v>0</v>
      </c>
      <c r="AL17" s="101">
        <f t="shared" si="6"/>
        <v>0</v>
      </c>
      <c r="AM17" s="101">
        <f t="shared" si="6"/>
        <v>0</v>
      </c>
      <c r="AN17" s="101">
        <f t="shared" si="6"/>
        <v>0</v>
      </c>
      <c r="AO17" s="101">
        <f t="shared" si="6"/>
        <v>0</v>
      </c>
      <c r="AP17" s="101">
        <f t="shared" ref="AP17:BQ17" si="7">IF(AP5&lt;Debt_Start,0,IF(AP5=Debt_Start,1,IF(AP5&lt;EOMONTH(Debt_Start,Debt_Term),AO17+1,0)))</f>
        <v>0</v>
      </c>
      <c r="AQ17" s="101">
        <f t="shared" si="7"/>
        <v>0</v>
      </c>
      <c r="AR17" s="101">
        <f t="shared" si="7"/>
        <v>0</v>
      </c>
      <c r="AS17" s="101">
        <f t="shared" si="7"/>
        <v>0</v>
      </c>
      <c r="AT17" s="101">
        <f t="shared" si="7"/>
        <v>0</v>
      </c>
      <c r="AU17" s="101">
        <f t="shared" si="7"/>
        <v>0</v>
      </c>
      <c r="AV17" s="101">
        <f t="shared" si="7"/>
        <v>0</v>
      </c>
      <c r="AW17" s="101">
        <f t="shared" si="7"/>
        <v>0</v>
      </c>
      <c r="AX17" s="101">
        <f t="shared" si="7"/>
        <v>0</v>
      </c>
      <c r="AY17" s="101">
        <f t="shared" si="7"/>
        <v>0</v>
      </c>
      <c r="AZ17" s="101">
        <f t="shared" si="7"/>
        <v>0</v>
      </c>
      <c r="BA17" s="101">
        <f t="shared" si="7"/>
        <v>0</v>
      </c>
      <c r="BB17" s="101">
        <f t="shared" si="7"/>
        <v>0</v>
      </c>
      <c r="BC17" s="101">
        <f t="shared" si="7"/>
        <v>0</v>
      </c>
      <c r="BD17" s="101">
        <f t="shared" si="7"/>
        <v>0</v>
      </c>
      <c r="BE17" s="101">
        <f t="shared" si="7"/>
        <v>0</v>
      </c>
      <c r="BF17" s="101">
        <f t="shared" si="7"/>
        <v>0</v>
      </c>
      <c r="BG17" s="101">
        <f t="shared" si="7"/>
        <v>0</v>
      </c>
      <c r="BH17" s="101">
        <f t="shared" si="7"/>
        <v>0</v>
      </c>
      <c r="BI17" s="101">
        <f t="shared" si="7"/>
        <v>1</v>
      </c>
      <c r="BJ17" s="101">
        <f t="shared" si="7"/>
        <v>2</v>
      </c>
      <c r="BK17" s="101">
        <f t="shared" si="7"/>
        <v>3</v>
      </c>
      <c r="BL17" s="101">
        <f t="shared" si="7"/>
        <v>4</v>
      </c>
      <c r="BM17" s="101">
        <f t="shared" si="7"/>
        <v>5</v>
      </c>
      <c r="BN17" s="101">
        <f t="shared" si="7"/>
        <v>6</v>
      </c>
      <c r="BO17" s="101">
        <f t="shared" si="7"/>
        <v>7</v>
      </c>
      <c r="BP17" s="101">
        <f t="shared" si="7"/>
        <v>8</v>
      </c>
      <c r="BQ17" s="101">
        <f t="shared" si="7"/>
        <v>9</v>
      </c>
    </row>
    <row r="18" spans="1:69" ht="10.5" customHeight="1">
      <c r="J18" s="100"/>
      <c r="K18" s="100"/>
      <c r="L18" s="100"/>
      <c r="M18" s="100"/>
      <c r="N18" s="100"/>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row>
    <row r="19" spans="1:69" ht="10.199999999999999">
      <c r="A19" s="102"/>
      <c r="B19" s="102"/>
      <c r="C19" s="102"/>
      <c r="D19" s="102"/>
      <c r="E19" s="102" t="s">
        <v>139</v>
      </c>
      <c r="F19" s="102"/>
      <c r="G19" s="102"/>
      <c r="H19" s="102"/>
      <c r="I19" s="102"/>
      <c r="J19" s="103">
        <f>I22</f>
        <v>0</v>
      </c>
      <c r="K19" s="103">
        <f t="shared" ref="K19:BQ19" si="8">J22</f>
        <v>0</v>
      </c>
      <c r="L19" s="103">
        <f t="shared" si="8"/>
        <v>0</v>
      </c>
      <c r="M19" s="103">
        <f t="shared" si="8"/>
        <v>0</v>
      </c>
      <c r="N19" s="103">
        <f t="shared" si="8"/>
        <v>0</v>
      </c>
      <c r="O19" s="103">
        <f t="shared" si="8"/>
        <v>0</v>
      </c>
      <c r="P19" s="103">
        <f t="shared" si="8"/>
        <v>0</v>
      </c>
      <c r="Q19" s="103">
        <f t="shared" si="8"/>
        <v>0</v>
      </c>
      <c r="R19" s="103">
        <f t="shared" si="8"/>
        <v>0</v>
      </c>
      <c r="S19" s="103">
        <f t="shared" si="8"/>
        <v>0</v>
      </c>
      <c r="T19" s="103">
        <f t="shared" si="8"/>
        <v>0</v>
      </c>
      <c r="U19" s="103">
        <f t="shared" si="8"/>
        <v>0</v>
      </c>
      <c r="V19" s="103">
        <f t="shared" si="8"/>
        <v>0</v>
      </c>
      <c r="W19" s="103">
        <f t="shared" si="8"/>
        <v>0</v>
      </c>
      <c r="X19" s="103">
        <f t="shared" si="8"/>
        <v>0</v>
      </c>
      <c r="Y19" s="103">
        <f t="shared" si="8"/>
        <v>0</v>
      </c>
      <c r="Z19" s="103">
        <f t="shared" si="8"/>
        <v>0</v>
      </c>
      <c r="AA19" s="103">
        <f t="shared" si="8"/>
        <v>0</v>
      </c>
      <c r="AB19" s="103">
        <f t="shared" si="8"/>
        <v>0</v>
      </c>
      <c r="AC19" s="103">
        <f t="shared" si="8"/>
        <v>0</v>
      </c>
      <c r="AD19" s="103">
        <f t="shared" si="8"/>
        <v>0</v>
      </c>
      <c r="AE19" s="103">
        <f t="shared" si="8"/>
        <v>0</v>
      </c>
      <c r="AF19" s="103">
        <f t="shared" si="8"/>
        <v>0</v>
      </c>
      <c r="AG19" s="103">
        <f t="shared" si="8"/>
        <v>0</v>
      </c>
      <c r="AH19" s="103">
        <f t="shared" si="8"/>
        <v>0</v>
      </c>
      <c r="AI19" s="103">
        <f t="shared" si="8"/>
        <v>0</v>
      </c>
      <c r="AJ19" s="103">
        <f t="shared" si="8"/>
        <v>0</v>
      </c>
      <c r="AK19" s="103">
        <f t="shared" si="8"/>
        <v>0</v>
      </c>
      <c r="AL19" s="103">
        <f t="shared" si="8"/>
        <v>0</v>
      </c>
      <c r="AM19" s="103">
        <f t="shared" si="8"/>
        <v>0</v>
      </c>
      <c r="AN19" s="103">
        <f t="shared" si="8"/>
        <v>0</v>
      </c>
      <c r="AO19" s="103">
        <f t="shared" si="8"/>
        <v>0</v>
      </c>
      <c r="AP19" s="103">
        <f t="shared" si="8"/>
        <v>0</v>
      </c>
      <c r="AQ19" s="103">
        <f t="shared" si="8"/>
        <v>0</v>
      </c>
      <c r="AR19" s="103">
        <f t="shared" si="8"/>
        <v>0</v>
      </c>
      <c r="AS19" s="103">
        <f t="shared" si="8"/>
        <v>0</v>
      </c>
      <c r="AT19" s="103">
        <f t="shared" si="8"/>
        <v>0</v>
      </c>
      <c r="AU19" s="103">
        <f t="shared" si="8"/>
        <v>0</v>
      </c>
      <c r="AV19" s="103">
        <f t="shared" si="8"/>
        <v>0</v>
      </c>
      <c r="AW19" s="103">
        <f t="shared" si="8"/>
        <v>0</v>
      </c>
      <c r="AX19" s="103">
        <f t="shared" si="8"/>
        <v>0</v>
      </c>
      <c r="AY19" s="103">
        <f t="shared" si="8"/>
        <v>0</v>
      </c>
      <c r="AZ19" s="103">
        <f t="shared" si="8"/>
        <v>0</v>
      </c>
      <c r="BA19" s="103">
        <f t="shared" si="8"/>
        <v>0</v>
      </c>
      <c r="BB19" s="103">
        <f t="shared" si="8"/>
        <v>0</v>
      </c>
      <c r="BC19" s="103">
        <f t="shared" si="8"/>
        <v>0</v>
      </c>
      <c r="BD19" s="103">
        <f t="shared" si="8"/>
        <v>0</v>
      </c>
      <c r="BE19" s="103">
        <f t="shared" si="8"/>
        <v>0</v>
      </c>
      <c r="BF19" s="103">
        <f t="shared" si="8"/>
        <v>0</v>
      </c>
      <c r="BG19" s="103">
        <f t="shared" si="8"/>
        <v>0</v>
      </c>
      <c r="BH19" s="103">
        <f t="shared" si="8"/>
        <v>0</v>
      </c>
      <c r="BI19" s="103">
        <f t="shared" si="8"/>
        <v>0</v>
      </c>
      <c r="BJ19" s="103">
        <f t="shared" si="8"/>
        <v>96218.840699581677</v>
      </c>
      <c r="BK19" s="103">
        <f t="shared" si="8"/>
        <v>92406.171738326535</v>
      </c>
      <c r="BL19" s="103">
        <f t="shared" si="8"/>
        <v>88561.730535727605</v>
      </c>
      <c r="BM19" s="103">
        <f t="shared" si="8"/>
        <v>84685.252323107023</v>
      </c>
      <c r="BN19" s="103">
        <f t="shared" si="8"/>
        <v>80776.470125381267</v>
      </c>
      <c r="BO19" s="103">
        <f t="shared" si="8"/>
        <v>76835.114742674457</v>
      </c>
      <c r="BP19" s="103">
        <f t="shared" si="8"/>
        <v>72860.914731778423</v>
      </c>
      <c r="BQ19" s="103">
        <f t="shared" si="8"/>
        <v>68853.596387458252</v>
      </c>
    </row>
    <row r="20" spans="1:69" ht="10.199999999999999">
      <c r="E20" s="95" t="s">
        <v>141</v>
      </c>
      <c r="J20" s="96">
        <f t="shared" ref="J20:AO20" si="9">IF(J5=Debt_Start,Debt_Amount,0)</f>
        <v>0</v>
      </c>
      <c r="K20" s="96">
        <f t="shared" si="9"/>
        <v>0</v>
      </c>
      <c r="L20" s="96">
        <f t="shared" si="9"/>
        <v>0</v>
      </c>
      <c r="M20" s="96">
        <f t="shared" si="9"/>
        <v>0</v>
      </c>
      <c r="N20" s="96">
        <f t="shared" si="9"/>
        <v>0</v>
      </c>
      <c r="O20" s="96">
        <f t="shared" si="9"/>
        <v>0</v>
      </c>
      <c r="P20" s="96">
        <f t="shared" si="9"/>
        <v>0</v>
      </c>
      <c r="Q20" s="96">
        <f t="shared" si="9"/>
        <v>0</v>
      </c>
      <c r="R20" s="96">
        <f t="shared" si="9"/>
        <v>0</v>
      </c>
      <c r="S20" s="96">
        <f t="shared" si="9"/>
        <v>0</v>
      </c>
      <c r="T20" s="96">
        <f t="shared" si="9"/>
        <v>0</v>
      </c>
      <c r="U20" s="96">
        <f t="shared" si="9"/>
        <v>0</v>
      </c>
      <c r="V20" s="96">
        <f t="shared" si="9"/>
        <v>0</v>
      </c>
      <c r="W20" s="96">
        <f t="shared" si="9"/>
        <v>0</v>
      </c>
      <c r="X20" s="96">
        <f t="shared" si="9"/>
        <v>0</v>
      </c>
      <c r="Y20" s="96">
        <f t="shared" si="9"/>
        <v>0</v>
      </c>
      <c r="Z20" s="96">
        <f t="shared" si="9"/>
        <v>0</v>
      </c>
      <c r="AA20" s="96">
        <f t="shared" si="9"/>
        <v>0</v>
      </c>
      <c r="AB20" s="96">
        <f t="shared" si="9"/>
        <v>0</v>
      </c>
      <c r="AC20" s="96">
        <f t="shared" si="9"/>
        <v>0</v>
      </c>
      <c r="AD20" s="96">
        <f t="shared" si="9"/>
        <v>0</v>
      </c>
      <c r="AE20" s="96">
        <f t="shared" si="9"/>
        <v>0</v>
      </c>
      <c r="AF20" s="96">
        <f t="shared" si="9"/>
        <v>0</v>
      </c>
      <c r="AG20" s="96">
        <f t="shared" si="9"/>
        <v>0</v>
      </c>
      <c r="AH20" s="96">
        <f t="shared" si="9"/>
        <v>0</v>
      </c>
      <c r="AI20" s="96">
        <f t="shared" si="9"/>
        <v>0</v>
      </c>
      <c r="AJ20" s="96">
        <f t="shared" si="9"/>
        <v>0</v>
      </c>
      <c r="AK20" s="96">
        <f t="shared" si="9"/>
        <v>0</v>
      </c>
      <c r="AL20" s="96">
        <f t="shared" si="9"/>
        <v>0</v>
      </c>
      <c r="AM20" s="96">
        <f t="shared" si="9"/>
        <v>0</v>
      </c>
      <c r="AN20" s="96">
        <f t="shared" si="9"/>
        <v>0</v>
      </c>
      <c r="AO20" s="96">
        <f t="shared" si="9"/>
        <v>0</v>
      </c>
      <c r="AP20" s="96">
        <f t="shared" ref="AP20:BQ20" si="10">IF(AP5=Debt_Start,Debt_Amount,0)</f>
        <v>0</v>
      </c>
      <c r="AQ20" s="96">
        <f t="shared" si="10"/>
        <v>0</v>
      </c>
      <c r="AR20" s="96">
        <f t="shared" si="10"/>
        <v>0</v>
      </c>
      <c r="AS20" s="96">
        <f t="shared" si="10"/>
        <v>0</v>
      </c>
      <c r="AT20" s="96">
        <f t="shared" si="10"/>
        <v>0</v>
      </c>
      <c r="AU20" s="96">
        <f t="shared" si="10"/>
        <v>0</v>
      </c>
      <c r="AV20" s="96">
        <f t="shared" si="10"/>
        <v>0</v>
      </c>
      <c r="AW20" s="96">
        <f t="shared" si="10"/>
        <v>0</v>
      </c>
      <c r="AX20" s="96">
        <f t="shared" si="10"/>
        <v>0</v>
      </c>
      <c r="AY20" s="96">
        <f t="shared" si="10"/>
        <v>0</v>
      </c>
      <c r="AZ20" s="96">
        <f t="shared" si="10"/>
        <v>0</v>
      </c>
      <c r="BA20" s="96">
        <f t="shared" si="10"/>
        <v>0</v>
      </c>
      <c r="BB20" s="96">
        <f t="shared" si="10"/>
        <v>0</v>
      </c>
      <c r="BC20" s="96">
        <f t="shared" si="10"/>
        <v>0</v>
      </c>
      <c r="BD20" s="96">
        <f t="shared" si="10"/>
        <v>0</v>
      </c>
      <c r="BE20" s="96">
        <f t="shared" si="10"/>
        <v>0</v>
      </c>
      <c r="BF20" s="96">
        <f t="shared" si="10"/>
        <v>0</v>
      </c>
      <c r="BG20" s="96">
        <f t="shared" si="10"/>
        <v>0</v>
      </c>
      <c r="BH20" s="96">
        <f t="shared" si="10"/>
        <v>0</v>
      </c>
      <c r="BI20" s="96">
        <f t="shared" si="10"/>
        <v>100000</v>
      </c>
      <c r="BJ20" s="96">
        <f t="shared" si="10"/>
        <v>0</v>
      </c>
      <c r="BK20" s="96">
        <f t="shared" si="10"/>
        <v>0</v>
      </c>
      <c r="BL20" s="96">
        <f t="shared" si="10"/>
        <v>0</v>
      </c>
      <c r="BM20" s="96">
        <f t="shared" si="10"/>
        <v>0</v>
      </c>
      <c r="BN20" s="96">
        <f t="shared" si="10"/>
        <v>0</v>
      </c>
      <c r="BO20" s="96">
        <f t="shared" si="10"/>
        <v>0</v>
      </c>
      <c r="BP20" s="96">
        <f t="shared" si="10"/>
        <v>0</v>
      </c>
      <c r="BQ20" s="96">
        <f t="shared" si="10"/>
        <v>0</v>
      </c>
    </row>
    <row r="21" spans="1:69" ht="10.199999999999999">
      <c r="E21" s="95" t="s">
        <v>140</v>
      </c>
      <c r="J21" s="97">
        <f t="shared" ref="J21:AO21" si="11">IF(J17=0,0,PPMT(Debt_Interest/12,J17,Debt_Term,Debt_Amount,0))</f>
        <v>0</v>
      </c>
      <c r="K21" s="97">
        <f t="shared" si="11"/>
        <v>0</v>
      </c>
      <c r="L21" s="97">
        <f t="shared" si="11"/>
        <v>0</v>
      </c>
      <c r="M21" s="97">
        <f t="shared" si="11"/>
        <v>0</v>
      </c>
      <c r="N21" s="97">
        <f t="shared" si="11"/>
        <v>0</v>
      </c>
      <c r="O21" s="97">
        <f t="shared" si="11"/>
        <v>0</v>
      </c>
      <c r="P21" s="97">
        <f t="shared" si="11"/>
        <v>0</v>
      </c>
      <c r="Q21" s="97">
        <f t="shared" si="11"/>
        <v>0</v>
      </c>
      <c r="R21" s="97">
        <f t="shared" si="11"/>
        <v>0</v>
      </c>
      <c r="S21" s="97">
        <f t="shared" si="11"/>
        <v>0</v>
      </c>
      <c r="T21" s="97">
        <f t="shared" si="11"/>
        <v>0</v>
      </c>
      <c r="U21" s="97">
        <f t="shared" si="11"/>
        <v>0</v>
      </c>
      <c r="V21" s="97">
        <f t="shared" si="11"/>
        <v>0</v>
      </c>
      <c r="W21" s="97">
        <f t="shared" si="11"/>
        <v>0</v>
      </c>
      <c r="X21" s="97">
        <f t="shared" si="11"/>
        <v>0</v>
      </c>
      <c r="Y21" s="97">
        <f t="shared" si="11"/>
        <v>0</v>
      </c>
      <c r="Z21" s="97">
        <f t="shared" si="11"/>
        <v>0</v>
      </c>
      <c r="AA21" s="97">
        <f t="shared" si="11"/>
        <v>0</v>
      </c>
      <c r="AB21" s="97">
        <f t="shared" si="11"/>
        <v>0</v>
      </c>
      <c r="AC21" s="97">
        <f t="shared" si="11"/>
        <v>0</v>
      </c>
      <c r="AD21" s="97">
        <f t="shared" si="11"/>
        <v>0</v>
      </c>
      <c r="AE21" s="97">
        <f t="shared" si="11"/>
        <v>0</v>
      </c>
      <c r="AF21" s="97">
        <f t="shared" si="11"/>
        <v>0</v>
      </c>
      <c r="AG21" s="97">
        <f t="shared" si="11"/>
        <v>0</v>
      </c>
      <c r="AH21" s="97">
        <f t="shared" si="11"/>
        <v>0</v>
      </c>
      <c r="AI21" s="97">
        <f t="shared" si="11"/>
        <v>0</v>
      </c>
      <c r="AJ21" s="97">
        <f t="shared" si="11"/>
        <v>0</v>
      </c>
      <c r="AK21" s="97">
        <f t="shared" si="11"/>
        <v>0</v>
      </c>
      <c r="AL21" s="97">
        <f t="shared" si="11"/>
        <v>0</v>
      </c>
      <c r="AM21" s="97">
        <f t="shared" si="11"/>
        <v>0</v>
      </c>
      <c r="AN21" s="97">
        <f t="shared" si="11"/>
        <v>0</v>
      </c>
      <c r="AO21" s="97">
        <f t="shared" si="11"/>
        <v>0</v>
      </c>
      <c r="AP21" s="97">
        <f t="shared" ref="AP21:BQ21" si="12">IF(AP17=0,0,PPMT(Debt_Interest/12,AP17,Debt_Term,Debt_Amount,0))</f>
        <v>0</v>
      </c>
      <c r="AQ21" s="97">
        <f t="shared" si="12"/>
        <v>0</v>
      </c>
      <c r="AR21" s="97">
        <f t="shared" si="12"/>
        <v>0</v>
      </c>
      <c r="AS21" s="97">
        <f t="shared" si="12"/>
        <v>0</v>
      </c>
      <c r="AT21" s="97">
        <f t="shared" si="12"/>
        <v>0</v>
      </c>
      <c r="AU21" s="97">
        <f t="shared" si="12"/>
        <v>0</v>
      </c>
      <c r="AV21" s="97">
        <f t="shared" si="12"/>
        <v>0</v>
      </c>
      <c r="AW21" s="97">
        <f t="shared" si="12"/>
        <v>0</v>
      </c>
      <c r="AX21" s="97">
        <f t="shared" si="12"/>
        <v>0</v>
      </c>
      <c r="AY21" s="97">
        <f t="shared" si="12"/>
        <v>0</v>
      </c>
      <c r="AZ21" s="97">
        <f t="shared" si="12"/>
        <v>0</v>
      </c>
      <c r="BA21" s="97">
        <f t="shared" si="12"/>
        <v>0</v>
      </c>
      <c r="BB21" s="97">
        <f t="shared" si="12"/>
        <v>0</v>
      </c>
      <c r="BC21" s="97">
        <f t="shared" si="12"/>
        <v>0</v>
      </c>
      <c r="BD21" s="97">
        <f t="shared" si="12"/>
        <v>0</v>
      </c>
      <c r="BE21" s="97">
        <f t="shared" si="12"/>
        <v>0</v>
      </c>
      <c r="BF21" s="97">
        <f t="shared" si="12"/>
        <v>0</v>
      </c>
      <c r="BG21" s="97">
        <f t="shared" si="12"/>
        <v>0</v>
      </c>
      <c r="BH21" s="97">
        <f t="shared" si="12"/>
        <v>0</v>
      </c>
      <c r="BI21" s="97">
        <f t="shared" si="12"/>
        <v>-3781.1593004183173</v>
      </c>
      <c r="BJ21" s="97">
        <f t="shared" si="12"/>
        <v>-3812.6689612551363</v>
      </c>
      <c r="BK21" s="97">
        <f t="shared" si="12"/>
        <v>-3844.4412025989295</v>
      </c>
      <c r="BL21" s="97">
        <f t="shared" si="12"/>
        <v>-3876.4782126205869</v>
      </c>
      <c r="BM21" s="97">
        <f t="shared" si="12"/>
        <v>-3908.7821977257586</v>
      </c>
      <c r="BN21" s="97">
        <f t="shared" si="12"/>
        <v>-3941.3553827068063</v>
      </c>
      <c r="BO21" s="97">
        <f t="shared" si="12"/>
        <v>-3974.2000108960297</v>
      </c>
      <c r="BP21" s="97">
        <f t="shared" si="12"/>
        <v>-4007.3183443201638</v>
      </c>
      <c r="BQ21" s="97">
        <f t="shared" si="12"/>
        <v>-4040.7126638561654</v>
      </c>
    </row>
    <row r="22" spans="1:69" ht="10.199999999999999">
      <c r="A22" s="91"/>
      <c r="B22" s="91"/>
      <c r="C22" s="91"/>
      <c r="D22" s="91"/>
      <c r="E22" s="91" t="s">
        <v>36</v>
      </c>
      <c r="F22" s="91"/>
      <c r="G22" s="91"/>
      <c r="H22" s="91"/>
      <c r="I22" s="91"/>
      <c r="J22" s="104">
        <f>J19+J20+J21</f>
        <v>0</v>
      </c>
      <c r="K22" s="104">
        <f t="shared" ref="K22:BQ22" si="13">K19+K20+K21</f>
        <v>0</v>
      </c>
      <c r="L22" s="104">
        <f t="shared" si="13"/>
        <v>0</v>
      </c>
      <c r="M22" s="104">
        <f t="shared" si="13"/>
        <v>0</v>
      </c>
      <c r="N22" s="104">
        <f t="shared" si="13"/>
        <v>0</v>
      </c>
      <c r="O22" s="104">
        <f t="shared" si="13"/>
        <v>0</v>
      </c>
      <c r="P22" s="104">
        <f t="shared" si="13"/>
        <v>0</v>
      </c>
      <c r="Q22" s="104">
        <f t="shared" si="13"/>
        <v>0</v>
      </c>
      <c r="R22" s="104">
        <f t="shared" si="13"/>
        <v>0</v>
      </c>
      <c r="S22" s="104">
        <f t="shared" si="13"/>
        <v>0</v>
      </c>
      <c r="T22" s="104">
        <f t="shared" si="13"/>
        <v>0</v>
      </c>
      <c r="U22" s="104">
        <f t="shared" si="13"/>
        <v>0</v>
      </c>
      <c r="V22" s="104">
        <f t="shared" si="13"/>
        <v>0</v>
      </c>
      <c r="W22" s="104">
        <f t="shared" si="13"/>
        <v>0</v>
      </c>
      <c r="X22" s="104">
        <f t="shared" si="13"/>
        <v>0</v>
      </c>
      <c r="Y22" s="104">
        <f t="shared" si="13"/>
        <v>0</v>
      </c>
      <c r="Z22" s="104">
        <f t="shared" si="13"/>
        <v>0</v>
      </c>
      <c r="AA22" s="104">
        <f t="shared" si="13"/>
        <v>0</v>
      </c>
      <c r="AB22" s="104">
        <f t="shared" si="13"/>
        <v>0</v>
      </c>
      <c r="AC22" s="104">
        <f t="shared" si="13"/>
        <v>0</v>
      </c>
      <c r="AD22" s="104">
        <f t="shared" si="13"/>
        <v>0</v>
      </c>
      <c r="AE22" s="104">
        <f t="shared" si="13"/>
        <v>0</v>
      </c>
      <c r="AF22" s="104">
        <f t="shared" si="13"/>
        <v>0</v>
      </c>
      <c r="AG22" s="104">
        <f t="shared" si="13"/>
        <v>0</v>
      </c>
      <c r="AH22" s="104">
        <f t="shared" si="13"/>
        <v>0</v>
      </c>
      <c r="AI22" s="104">
        <f t="shared" si="13"/>
        <v>0</v>
      </c>
      <c r="AJ22" s="104">
        <f t="shared" si="13"/>
        <v>0</v>
      </c>
      <c r="AK22" s="104">
        <f t="shared" si="13"/>
        <v>0</v>
      </c>
      <c r="AL22" s="104">
        <f t="shared" si="13"/>
        <v>0</v>
      </c>
      <c r="AM22" s="104">
        <f t="shared" si="13"/>
        <v>0</v>
      </c>
      <c r="AN22" s="104">
        <f t="shared" si="13"/>
        <v>0</v>
      </c>
      <c r="AO22" s="104">
        <f t="shared" si="13"/>
        <v>0</v>
      </c>
      <c r="AP22" s="104">
        <f t="shared" si="13"/>
        <v>0</v>
      </c>
      <c r="AQ22" s="104">
        <f t="shared" si="13"/>
        <v>0</v>
      </c>
      <c r="AR22" s="104">
        <f t="shared" si="13"/>
        <v>0</v>
      </c>
      <c r="AS22" s="104">
        <f t="shared" si="13"/>
        <v>0</v>
      </c>
      <c r="AT22" s="104">
        <f t="shared" si="13"/>
        <v>0</v>
      </c>
      <c r="AU22" s="104">
        <f t="shared" si="13"/>
        <v>0</v>
      </c>
      <c r="AV22" s="104">
        <f t="shared" si="13"/>
        <v>0</v>
      </c>
      <c r="AW22" s="104">
        <f t="shared" si="13"/>
        <v>0</v>
      </c>
      <c r="AX22" s="104">
        <f t="shared" si="13"/>
        <v>0</v>
      </c>
      <c r="AY22" s="104">
        <f t="shared" si="13"/>
        <v>0</v>
      </c>
      <c r="AZ22" s="104">
        <f t="shared" si="13"/>
        <v>0</v>
      </c>
      <c r="BA22" s="104">
        <f t="shared" si="13"/>
        <v>0</v>
      </c>
      <c r="BB22" s="104">
        <f t="shared" si="13"/>
        <v>0</v>
      </c>
      <c r="BC22" s="104">
        <f t="shared" si="13"/>
        <v>0</v>
      </c>
      <c r="BD22" s="104">
        <f t="shared" si="13"/>
        <v>0</v>
      </c>
      <c r="BE22" s="104">
        <f t="shared" si="13"/>
        <v>0</v>
      </c>
      <c r="BF22" s="104">
        <f t="shared" si="13"/>
        <v>0</v>
      </c>
      <c r="BG22" s="104">
        <f t="shared" si="13"/>
        <v>0</v>
      </c>
      <c r="BH22" s="104">
        <f t="shared" si="13"/>
        <v>0</v>
      </c>
      <c r="BI22" s="104">
        <f t="shared" si="13"/>
        <v>96218.840699581677</v>
      </c>
      <c r="BJ22" s="104">
        <f t="shared" si="13"/>
        <v>92406.171738326535</v>
      </c>
      <c r="BK22" s="104">
        <f t="shared" si="13"/>
        <v>88561.730535727605</v>
      </c>
      <c r="BL22" s="104">
        <f t="shared" si="13"/>
        <v>84685.252323107023</v>
      </c>
      <c r="BM22" s="104">
        <f t="shared" si="13"/>
        <v>80776.470125381267</v>
      </c>
      <c r="BN22" s="104">
        <f t="shared" si="13"/>
        <v>76835.114742674457</v>
      </c>
      <c r="BO22" s="104">
        <f t="shared" si="13"/>
        <v>72860.914731778423</v>
      </c>
      <c r="BP22" s="104">
        <f t="shared" si="13"/>
        <v>68853.596387458252</v>
      </c>
      <c r="BQ22" s="104">
        <f t="shared" si="13"/>
        <v>64812.883723602085</v>
      </c>
    </row>
    <row r="23" spans="1:69" ht="10.199999999999999">
      <c r="E23" s="95" t="s">
        <v>37</v>
      </c>
      <c r="J23" s="97">
        <f t="shared" ref="J23:AO23" si="14">IF(J17=0,0,IPMT(Debt_Interest/12,J17,Debt_Term,Debt_Amount,0))</f>
        <v>0</v>
      </c>
      <c r="K23" s="97">
        <f t="shared" si="14"/>
        <v>0</v>
      </c>
      <c r="L23" s="97">
        <f t="shared" si="14"/>
        <v>0</v>
      </c>
      <c r="M23" s="97">
        <f t="shared" si="14"/>
        <v>0</v>
      </c>
      <c r="N23" s="97">
        <f t="shared" si="14"/>
        <v>0</v>
      </c>
      <c r="O23" s="97">
        <f t="shared" si="14"/>
        <v>0</v>
      </c>
      <c r="P23" s="97">
        <f t="shared" si="14"/>
        <v>0</v>
      </c>
      <c r="Q23" s="97">
        <f t="shared" si="14"/>
        <v>0</v>
      </c>
      <c r="R23" s="97">
        <f t="shared" si="14"/>
        <v>0</v>
      </c>
      <c r="S23" s="97">
        <f t="shared" si="14"/>
        <v>0</v>
      </c>
      <c r="T23" s="97">
        <f t="shared" si="14"/>
        <v>0</v>
      </c>
      <c r="U23" s="97">
        <f t="shared" si="14"/>
        <v>0</v>
      </c>
      <c r="V23" s="97">
        <f t="shared" si="14"/>
        <v>0</v>
      </c>
      <c r="W23" s="97">
        <f t="shared" si="14"/>
        <v>0</v>
      </c>
      <c r="X23" s="97">
        <f t="shared" si="14"/>
        <v>0</v>
      </c>
      <c r="Y23" s="97">
        <f t="shared" si="14"/>
        <v>0</v>
      </c>
      <c r="Z23" s="97">
        <f t="shared" si="14"/>
        <v>0</v>
      </c>
      <c r="AA23" s="97">
        <f t="shared" si="14"/>
        <v>0</v>
      </c>
      <c r="AB23" s="97">
        <f t="shared" si="14"/>
        <v>0</v>
      </c>
      <c r="AC23" s="97">
        <f t="shared" si="14"/>
        <v>0</v>
      </c>
      <c r="AD23" s="97">
        <f t="shared" si="14"/>
        <v>0</v>
      </c>
      <c r="AE23" s="97">
        <f t="shared" si="14"/>
        <v>0</v>
      </c>
      <c r="AF23" s="97">
        <f t="shared" si="14"/>
        <v>0</v>
      </c>
      <c r="AG23" s="97">
        <f t="shared" si="14"/>
        <v>0</v>
      </c>
      <c r="AH23" s="97">
        <f t="shared" si="14"/>
        <v>0</v>
      </c>
      <c r="AI23" s="97">
        <f t="shared" si="14"/>
        <v>0</v>
      </c>
      <c r="AJ23" s="97">
        <f t="shared" si="14"/>
        <v>0</v>
      </c>
      <c r="AK23" s="97">
        <f t="shared" si="14"/>
        <v>0</v>
      </c>
      <c r="AL23" s="97">
        <f t="shared" si="14"/>
        <v>0</v>
      </c>
      <c r="AM23" s="97">
        <f t="shared" si="14"/>
        <v>0</v>
      </c>
      <c r="AN23" s="97">
        <f t="shared" si="14"/>
        <v>0</v>
      </c>
      <c r="AO23" s="97">
        <f t="shared" si="14"/>
        <v>0</v>
      </c>
      <c r="AP23" s="97">
        <f t="shared" ref="AP23:BQ23" si="15">IF(AP17=0,0,IPMT(Debt_Interest/12,AP17,Debt_Term,Debt_Amount,0))</f>
        <v>0</v>
      </c>
      <c r="AQ23" s="97">
        <f t="shared" si="15"/>
        <v>0</v>
      </c>
      <c r="AR23" s="97">
        <f t="shared" si="15"/>
        <v>0</v>
      </c>
      <c r="AS23" s="97">
        <f t="shared" si="15"/>
        <v>0</v>
      </c>
      <c r="AT23" s="97">
        <f t="shared" si="15"/>
        <v>0</v>
      </c>
      <c r="AU23" s="97">
        <f t="shared" si="15"/>
        <v>0</v>
      </c>
      <c r="AV23" s="97">
        <f t="shared" si="15"/>
        <v>0</v>
      </c>
      <c r="AW23" s="97">
        <f t="shared" si="15"/>
        <v>0</v>
      </c>
      <c r="AX23" s="97">
        <f t="shared" si="15"/>
        <v>0</v>
      </c>
      <c r="AY23" s="97">
        <f t="shared" si="15"/>
        <v>0</v>
      </c>
      <c r="AZ23" s="97">
        <f t="shared" si="15"/>
        <v>0</v>
      </c>
      <c r="BA23" s="97">
        <f t="shared" si="15"/>
        <v>0</v>
      </c>
      <c r="BB23" s="97">
        <f t="shared" si="15"/>
        <v>0</v>
      </c>
      <c r="BC23" s="97">
        <f t="shared" si="15"/>
        <v>0</v>
      </c>
      <c r="BD23" s="97">
        <f t="shared" si="15"/>
        <v>0</v>
      </c>
      <c r="BE23" s="97">
        <f t="shared" si="15"/>
        <v>0</v>
      </c>
      <c r="BF23" s="97">
        <f t="shared" si="15"/>
        <v>0</v>
      </c>
      <c r="BG23" s="97">
        <f t="shared" si="15"/>
        <v>0</v>
      </c>
      <c r="BH23" s="97">
        <f t="shared" si="15"/>
        <v>0</v>
      </c>
      <c r="BI23" s="97">
        <f t="shared" si="15"/>
        <v>-833.33333333333337</v>
      </c>
      <c r="BJ23" s="97">
        <f t="shared" si="15"/>
        <v>-801.82367249651406</v>
      </c>
      <c r="BK23" s="97">
        <f t="shared" si="15"/>
        <v>-770.05143115272119</v>
      </c>
      <c r="BL23" s="97">
        <f t="shared" si="15"/>
        <v>-738.0144211310635</v>
      </c>
      <c r="BM23" s="97">
        <f t="shared" si="15"/>
        <v>-705.71043602589214</v>
      </c>
      <c r="BN23" s="97">
        <f t="shared" si="15"/>
        <v>-673.13725104484388</v>
      </c>
      <c r="BO23" s="97">
        <f t="shared" si="15"/>
        <v>-640.29262285562061</v>
      </c>
      <c r="BP23" s="97">
        <f t="shared" si="15"/>
        <v>-607.17428943148695</v>
      </c>
      <c r="BQ23" s="97">
        <f t="shared" si="15"/>
        <v>-573.77996989548569</v>
      </c>
    </row>
    <row r="24" spans="1:69" ht="10.199999999999999">
      <c r="A24" s="91"/>
      <c r="B24" s="91"/>
      <c r="C24" s="91"/>
      <c r="D24" s="91"/>
      <c r="E24" s="91" t="s">
        <v>138</v>
      </c>
      <c r="F24" s="91"/>
      <c r="G24" s="91"/>
      <c r="H24" s="91"/>
      <c r="I24" s="91"/>
      <c r="J24" s="104">
        <f>J23+J21</f>
        <v>0</v>
      </c>
      <c r="K24" s="104">
        <f t="shared" ref="K24:BQ24" si="16">K23+K21</f>
        <v>0</v>
      </c>
      <c r="L24" s="104">
        <f t="shared" si="16"/>
        <v>0</v>
      </c>
      <c r="M24" s="104">
        <f t="shared" si="16"/>
        <v>0</v>
      </c>
      <c r="N24" s="104">
        <f t="shared" si="16"/>
        <v>0</v>
      </c>
      <c r="O24" s="104">
        <f t="shared" si="16"/>
        <v>0</v>
      </c>
      <c r="P24" s="104">
        <f t="shared" si="16"/>
        <v>0</v>
      </c>
      <c r="Q24" s="104">
        <f t="shared" si="16"/>
        <v>0</v>
      </c>
      <c r="R24" s="104">
        <f t="shared" si="16"/>
        <v>0</v>
      </c>
      <c r="S24" s="104">
        <f t="shared" si="16"/>
        <v>0</v>
      </c>
      <c r="T24" s="104">
        <f t="shared" si="16"/>
        <v>0</v>
      </c>
      <c r="U24" s="104">
        <f t="shared" si="16"/>
        <v>0</v>
      </c>
      <c r="V24" s="104">
        <f t="shared" si="16"/>
        <v>0</v>
      </c>
      <c r="W24" s="104">
        <f t="shared" si="16"/>
        <v>0</v>
      </c>
      <c r="X24" s="104">
        <f t="shared" si="16"/>
        <v>0</v>
      </c>
      <c r="Y24" s="104">
        <f t="shared" si="16"/>
        <v>0</v>
      </c>
      <c r="Z24" s="104">
        <f t="shared" si="16"/>
        <v>0</v>
      </c>
      <c r="AA24" s="104">
        <f t="shared" si="16"/>
        <v>0</v>
      </c>
      <c r="AB24" s="104">
        <f t="shared" si="16"/>
        <v>0</v>
      </c>
      <c r="AC24" s="104">
        <f t="shared" si="16"/>
        <v>0</v>
      </c>
      <c r="AD24" s="104">
        <f t="shared" si="16"/>
        <v>0</v>
      </c>
      <c r="AE24" s="104">
        <f t="shared" si="16"/>
        <v>0</v>
      </c>
      <c r="AF24" s="104">
        <f t="shared" si="16"/>
        <v>0</v>
      </c>
      <c r="AG24" s="104">
        <f t="shared" si="16"/>
        <v>0</v>
      </c>
      <c r="AH24" s="104">
        <f t="shared" si="16"/>
        <v>0</v>
      </c>
      <c r="AI24" s="104">
        <f t="shared" si="16"/>
        <v>0</v>
      </c>
      <c r="AJ24" s="104">
        <f t="shared" si="16"/>
        <v>0</v>
      </c>
      <c r="AK24" s="104">
        <f t="shared" si="16"/>
        <v>0</v>
      </c>
      <c r="AL24" s="104">
        <f t="shared" si="16"/>
        <v>0</v>
      </c>
      <c r="AM24" s="104">
        <f t="shared" si="16"/>
        <v>0</v>
      </c>
      <c r="AN24" s="104">
        <f t="shared" si="16"/>
        <v>0</v>
      </c>
      <c r="AO24" s="104">
        <f t="shared" si="16"/>
        <v>0</v>
      </c>
      <c r="AP24" s="104">
        <f t="shared" si="16"/>
        <v>0</v>
      </c>
      <c r="AQ24" s="104">
        <f t="shared" si="16"/>
        <v>0</v>
      </c>
      <c r="AR24" s="104">
        <f t="shared" si="16"/>
        <v>0</v>
      </c>
      <c r="AS24" s="104">
        <f t="shared" si="16"/>
        <v>0</v>
      </c>
      <c r="AT24" s="104">
        <f t="shared" si="16"/>
        <v>0</v>
      </c>
      <c r="AU24" s="104">
        <f t="shared" si="16"/>
        <v>0</v>
      </c>
      <c r="AV24" s="104">
        <f t="shared" si="16"/>
        <v>0</v>
      </c>
      <c r="AW24" s="104">
        <f t="shared" si="16"/>
        <v>0</v>
      </c>
      <c r="AX24" s="104">
        <f t="shared" si="16"/>
        <v>0</v>
      </c>
      <c r="AY24" s="104">
        <f t="shared" si="16"/>
        <v>0</v>
      </c>
      <c r="AZ24" s="104">
        <f t="shared" si="16"/>
        <v>0</v>
      </c>
      <c r="BA24" s="104">
        <f t="shared" si="16"/>
        <v>0</v>
      </c>
      <c r="BB24" s="104">
        <f t="shared" si="16"/>
        <v>0</v>
      </c>
      <c r="BC24" s="104">
        <f t="shared" si="16"/>
        <v>0</v>
      </c>
      <c r="BD24" s="104">
        <f t="shared" si="16"/>
        <v>0</v>
      </c>
      <c r="BE24" s="104">
        <f t="shared" si="16"/>
        <v>0</v>
      </c>
      <c r="BF24" s="104">
        <f t="shared" si="16"/>
        <v>0</v>
      </c>
      <c r="BG24" s="104">
        <f t="shared" si="16"/>
        <v>0</v>
      </c>
      <c r="BH24" s="104">
        <f t="shared" si="16"/>
        <v>0</v>
      </c>
      <c r="BI24" s="104">
        <f t="shared" si="16"/>
        <v>-4614.4926337516508</v>
      </c>
      <c r="BJ24" s="104">
        <f t="shared" si="16"/>
        <v>-4614.4926337516499</v>
      </c>
      <c r="BK24" s="104">
        <f t="shared" si="16"/>
        <v>-4614.4926337516508</v>
      </c>
      <c r="BL24" s="104">
        <f t="shared" si="16"/>
        <v>-4614.4926337516499</v>
      </c>
      <c r="BM24" s="104">
        <f t="shared" si="16"/>
        <v>-4614.4926337516508</v>
      </c>
      <c r="BN24" s="104">
        <f t="shared" si="16"/>
        <v>-4614.4926337516499</v>
      </c>
      <c r="BO24" s="104">
        <f t="shared" si="16"/>
        <v>-4614.4926337516499</v>
      </c>
      <c r="BP24" s="104">
        <f t="shared" si="16"/>
        <v>-4614.4926337516508</v>
      </c>
      <c r="BQ24" s="104">
        <f t="shared" si="16"/>
        <v>-4614.4926337516508</v>
      </c>
    </row>
    <row r="25" spans="1:69" ht="10.199999999999999">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105"/>
      <c r="AU25" s="105"/>
      <c r="AV25" s="105"/>
      <c r="AW25" s="105"/>
      <c r="AX25" s="105"/>
      <c r="AY25" s="105"/>
      <c r="AZ25" s="105"/>
      <c r="BA25" s="105"/>
      <c r="BB25" s="105"/>
      <c r="BC25" s="105"/>
      <c r="BD25" s="105"/>
      <c r="BE25" s="105"/>
      <c r="BF25" s="105"/>
      <c r="BG25" s="105"/>
      <c r="BH25" s="105"/>
      <c r="BI25" s="105"/>
      <c r="BJ25" s="105"/>
      <c r="BK25" s="105"/>
      <c r="BL25" s="105"/>
      <c r="BM25" s="105"/>
      <c r="BN25" s="105"/>
      <c r="BO25" s="105"/>
      <c r="BP25" s="105"/>
      <c r="BQ25" s="105"/>
    </row>
    <row r="26" spans="1:69" ht="10.199999999999999">
      <c r="J26" s="105"/>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c r="AN26" s="105"/>
      <c r="AO26" s="105"/>
      <c r="AP26" s="105"/>
      <c r="AQ26" s="105"/>
      <c r="AR26" s="105"/>
      <c r="AS26" s="105"/>
      <c r="AT26" s="105"/>
      <c r="AU26" s="105"/>
      <c r="AV26" s="105"/>
      <c r="AW26" s="105"/>
      <c r="AX26" s="105"/>
      <c r="AY26" s="105"/>
      <c r="AZ26" s="105"/>
      <c r="BA26" s="105"/>
      <c r="BB26" s="105"/>
      <c r="BC26" s="105"/>
      <c r="BD26" s="105"/>
      <c r="BE26" s="105"/>
      <c r="BF26" s="105"/>
      <c r="BG26" s="105"/>
      <c r="BH26" s="105"/>
      <c r="BI26" s="105"/>
      <c r="BJ26" s="105"/>
      <c r="BK26" s="105"/>
      <c r="BL26" s="105"/>
      <c r="BM26" s="105"/>
      <c r="BN26" s="105"/>
      <c r="BO26" s="105"/>
      <c r="BP26" s="105"/>
      <c r="BQ26" s="105"/>
    </row>
    <row r="27" spans="1:69" ht="13.8">
      <c r="C27" s="94" t="str">
        <f>"Equity, "&amp;Currency</f>
        <v>Equity, $</v>
      </c>
      <c r="J27" s="100"/>
      <c r="K27" s="100"/>
      <c r="L27" s="100"/>
      <c r="M27" s="100"/>
      <c r="N27" s="100"/>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row>
    <row r="28" spans="1:69" ht="10.5" customHeight="1">
      <c r="J28" s="100"/>
      <c r="K28" s="100"/>
      <c r="L28" s="100"/>
      <c r="M28" s="100"/>
      <c r="N28" s="100"/>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row>
    <row r="29" spans="1:69" ht="10.35" customHeight="1">
      <c r="A29" s="102"/>
      <c r="B29" s="102"/>
      <c r="C29" s="102"/>
      <c r="D29" s="102"/>
      <c r="E29" s="102" t="s">
        <v>18</v>
      </c>
      <c r="F29" s="102"/>
      <c r="G29" s="102"/>
      <c r="H29" s="102"/>
      <c r="I29" s="102"/>
      <c r="J29" s="103">
        <f>I35</f>
        <v>0</v>
      </c>
      <c r="K29" s="103">
        <f t="shared" ref="K29:BQ29" si="17">J35</f>
        <v>250000</v>
      </c>
      <c r="L29" s="103">
        <f t="shared" si="17"/>
        <v>250000</v>
      </c>
      <c r="M29" s="103">
        <f t="shared" si="17"/>
        <v>250000</v>
      </c>
      <c r="N29" s="103">
        <f t="shared" si="17"/>
        <v>250000</v>
      </c>
      <c r="O29" s="103">
        <f t="shared" si="17"/>
        <v>250000</v>
      </c>
      <c r="P29" s="103">
        <f t="shared" si="17"/>
        <v>250000</v>
      </c>
      <c r="Q29" s="103">
        <f t="shared" si="17"/>
        <v>250000</v>
      </c>
      <c r="R29" s="103">
        <f t="shared" si="17"/>
        <v>250000</v>
      </c>
      <c r="S29" s="103">
        <f t="shared" si="17"/>
        <v>250000</v>
      </c>
      <c r="T29" s="103">
        <f t="shared" si="17"/>
        <v>250000</v>
      </c>
      <c r="U29" s="103">
        <f t="shared" si="17"/>
        <v>250000</v>
      </c>
      <c r="V29" s="103">
        <f t="shared" si="17"/>
        <v>240000</v>
      </c>
      <c r="W29" s="103">
        <f t="shared" si="17"/>
        <v>240000</v>
      </c>
      <c r="X29" s="103">
        <f t="shared" si="17"/>
        <v>240000</v>
      </c>
      <c r="Y29" s="103">
        <f t="shared" si="17"/>
        <v>240000</v>
      </c>
      <c r="Z29" s="103">
        <f t="shared" si="17"/>
        <v>240000</v>
      </c>
      <c r="AA29" s="103">
        <f t="shared" si="17"/>
        <v>240000</v>
      </c>
      <c r="AB29" s="103">
        <f t="shared" si="17"/>
        <v>240000</v>
      </c>
      <c r="AC29" s="103">
        <f t="shared" si="17"/>
        <v>240000</v>
      </c>
      <c r="AD29" s="103">
        <f t="shared" si="17"/>
        <v>240000</v>
      </c>
      <c r="AE29" s="103">
        <f t="shared" si="17"/>
        <v>240000</v>
      </c>
      <c r="AF29" s="103">
        <f t="shared" si="17"/>
        <v>240000</v>
      </c>
      <c r="AG29" s="103">
        <f t="shared" si="17"/>
        <v>240000</v>
      </c>
      <c r="AH29" s="103">
        <f t="shared" si="17"/>
        <v>240000</v>
      </c>
      <c r="AI29" s="103">
        <f t="shared" si="17"/>
        <v>240000</v>
      </c>
      <c r="AJ29" s="103">
        <f t="shared" si="17"/>
        <v>240000</v>
      </c>
      <c r="AK29" s="103">
        <f t="shared" si="17"/>
        <v>240000</v>
      </c>
      <c r="AL29" s="103">
        <f t="shared" si="17"/>
        <v>240000</v>
      </c>
      <c r="AM29" s="103">
        <f t="shared" si="17"/>
        <v>240000</v>
      </c>
      <c r="AN29" s="103">
        <f t="shared" si="17"/>
        <v>240000</v>
      </c>
      <c r="AO29" s="103">
        <f t="shared" si="17"/>
        <v>240000</v>
      </c>
      <c r="AP29" s="103">
        <f t="shared" si="17"/>
        <v>240000</v>
      </c>
      <c r="AQ29" s="103">
        <f t="shared" si="17"/>
        <v>240000</v>
      </c>
      <c r="AR29" s="103">
        <f t="shared" si="17"/>
        <v>240000</v>
      </c>
      <c r="AS29" s="103">
        <f t="shared" si="17"/>
        <v>240000</v>
      </c>
      <c r="AT29" s="103">
        <f t="shared" si="17"/>
        <v>240000</v>
      </c>
      <c r="AU29" s="103">
        <f t="shared" si="17"/>
        <v>240000</v>
      </c>
      <c r="AV29" s="103">
        <f t="shared" si="17"/>
        <v>240000</v>
      </c>
      <c r="AW29" s="103">
        <f t="shared" si="17"/>
        <v>240000</v>
      </c>
      <c r="AX29" s="103">
        <f t="shared" si="17"/>
        <v>240000</v>
      </c>
      <c r="AY29" s="103">
        <f t="shared" si="17"/>
        <v>240000</v>
      </c>
      <c r="AZ29" s="103">
        <f t="shared" si="17"/>
        <v>240000</v>
      </c>
      <c r="BA29" s="103">
        <f t="shared" si="17"/>
        <v>240000</v>
      </c>
      <c r="BB29" s="103">
        <f t="shared" si="17"/>
        <v>240000</v>
      </c>
      <c r="BC29" s="103">
        <f t="shared" si="17"/>
        <v>240000</v>
      </c>
      <c r="BD29" s="103">
        <f t="shared" si="17"/>
        <v>240000</v>
      </c>
      <c r="BE29" s="103">
        <f t="shared" si="17"/>
        <v>240000</v>
      </c>
      <c r="BF29" s="103">
        <f t="shared" si="17"/>
        <v>240000</v>
      </c>
      <c r="BG29" s="103">
        <f t="shared" si="17"/>
        <v>240000</v>
      </c>
      <c r="BH29" s="103">
        <f t="shared" si="17"/>
        <v>240000</v>
      </c>
      <c r="BI29" s="103">
        <f t="shared" si="17"/>
        <v>240000</v>
      </c>
      <c r="BJ29" s="103">
        <f t="shared" si="17"/>
        <v>240000</v>
      </c>
      <c r="BK29" s="103">
        <f t="shared" si="17"/>
        <v>240000</v>
      </c>
      <c r="BL29" s="103">
        <f t="shared" si="17"/>
        <v>240000</v>
      </c>
      <c r="BM29" s="103">
        <f t="shared" si="17"/>
        <v>240000</v>
      </c>
      <c r="BN29" s="103">
        <f t="shared" si="17"/>
        <v>240000</v>
      </c>
      <c r="BO29" s="103">
        <f t="shared" si="17"/>
        <v>240000</v>
      </c>
      <c r="BP29" s="103">
        <f t="shared" si="17"/>
        <v>240000</v>
      </c>
      <c r="BQ29" s="103">
        <f t="shared" si="17"/>
        <v>240000</v>
      </c>
    </row>
    <row r="30" spans="1:69" ht="10.199999999999999">
      <c r="D30" s="91"/>
      <c r="E30" s="95" t="str">
        <f>INDEX(Funding_Names,1,1)&amp;" (+)"</f>
        <v>Founders (+)</v>
      </c>
      <c r="F30" s="91"/>
      <c r="J30" s="96">
        <f t="shared" ref="J30:AO30" si="18">IF(J$5=INDEX(Funding_Dates,1,1),INDEX(Funding_Amounts,1,1),0)</f>
        <v>250000</v>
      </c>
      <c r="K30" s="96">
        <f t="shared" si="18"/>
        <v>0</v>
      </c>
      <c r="L30" s="96">
        <f t="shared" si="18"/>
        <v>0</v>
      </c>
      <c r="M30" s="96">
        <f t="shared" si="18"/>
        <v>0</v>
      </c>
      <c r="N30" s="96">
        <f t="shared" si="18"/>
        <v>0</v>
      </c>
      <c r="O30" s="96">
        <f t="shared" si="18"/>
        <v>0</v>
      </c>
      <c r="P30" s="96">
        <f t="shared" si="18"/>
        <v>0</v>
      </c>
      <c r="Q30" s="96">
        <f t="shared" si="18"/>
        <v>0</v>
      </c>
      <c r="R30" s="96">
        <f t="shared" si="18"/>
        <v>0</v>
      </c>
      <c r="S30" s="96">
        <f t="shared" si="18"/>
        <v>0</v>
      </c>
      <c r="T30" s="96">
        <f t="shared" si="18"/>
        <v>0</v>
      </c>
      <c r="U30" s="96">
        <f t="shared" si="18"/>
        <v>0</v>
      </c>
      <c r="V30" s="96">
        <f t="shared" si="18"/>
        <v>0</v>
      </c>
      <c r="W30" s="96">
        <f t="shared" si="18"/>
        <v>0</v>
      </c>
      <c r="X30" s="96">
        <f t="shared" si="18"/>
        <v>0</v>
      </c>
      <c r="Y30" s="96">
        <f t="shared" si="18"/>
        <v>0</v>
      </c>
      <c r="Z30" s="96">
        <f t="shared" si="18"/>
        <v>0</v>
      </c>
      <c r="AA30" s="96">
        <f t="shared" si="18"/>
        <v>0</v>
      </c>
      <c r="AB30" s="96">
        <f t="shared" si="18"/>
        <v>0</v>
      </c>
      <c r="AC30" s="96">
        <f t="shared" si="18"/>
        <v>0</v>
      </c>
      <c r="AD30" s="96">
        <f t="shared" si="18"/>
        <v>0</v>
      </c>
      <c r="AE30" s="96">
        <f t="shared" si="18"/>
        <v>0</v>
      </c>
      <c r="AF30" s="96">
        <f t="shared" si="18"/>
        <v>0</v>
      </c>
      <c r="AG30" s="96">
        <f t="shared" si="18"/>
        <v>0</v>
      </c>
      <c r="AH30" s="96">
        <f t="shared" si="18"/>
        <v>0</v>
      </c>
      <c r="AI30" s="96">
        <f t="shared" si="18"/>
        <v>0</v>
      </c>
      <c r="AJ30" s="96">
        <f t="shared" si="18"/>
        <v>0</v>
      </c>
      <c r="AK30" s="96">
        <f t="shared" si="18"/>
        <v>0</v>
      </c>
      <c r="AL30" s="96">
        <f t="shared" si="18"/>
        <v>0</v>
      </c>
      <c r="AM30" s="96">
        <f t="shared" si="18"/>
        <v>0</v>
      </c>
      <c r="AN30" s="96">
        <f t="shared" si="18"/>
        <v>0</v>
      </c>
      <c r="AO30" s="96">
        <f t="shared" si="18"/>
        <v>0</v>
      </c>
      <c r="AP30" s="96">
        <f t="shared" ref="AP30:BQ30" si="19">IF(AP$5=INDEX(Funding_Dates,1,1),INDEX(Funding_Amounts,1,1),0)</f>
        <v>0</v>
      </c>
      <c r="AQ30" s="96">
        <f t="shared" si="19"/>
        <v>0</v>
      </c>
      <c r="AR30" s="96">
        <f t="shared" si="19"/>
        <v>0</v>
      </c>
      <c r="AS30" s="96">
        <f t="shared" si="19"/>
        <v>0</v>
      </c>
      <c r="AT30" s="96">
        <f t="shared" si="19"/>
        <v>0</v>
      </c>
      <c r="AU30" s="96">
        <f t="shared" si="19"/>
        <v>0</v>
      </c>
      <c r="AV30" s="96">
        <f t="shared" si="19"/>
        <v>0</v>
      </c>
      <c r="AW30" s="96">
        <f t="shared" si="19"/>
        <v>0</v>
      </c>
      <c r="AX30" s="96">
        <f t="shared" si="19"/>
        <v>0</v>
      </c>
      <c r="AY30" s="96">
        <f t="shared" si="19"/>
        <v>0</v>
      </c>
      <c r="AZ30" s="96">
        <f t="shared" si="19"/>
        <v>0</v>
      </c>
      <c r="BA30" s="96">
        <f t="shared" si="19"/>
        <v>0</v>
      </c>
      <c r="BB30" s="96">
        <f t="shared" si="19"/>
        <v>0</v>
      </c>
      <c r="BC30" s="96">
        <f t="shared" si="19"/>
        <v>0</v>
      </c>
      <c r="BD30" s="96">
        <f t="shared" si="19"/>
        <v>0</v>
      </c>
      <c r="BE30" s="96">
        <f t="shared" si="19"/>
        <v>0</v>
      </c>
      <c r="BF30" s="96">
        <f t="shared" si="19"/>
        <v>0</v>
      </c>
      <c r="BG30" s="96">
        <f t="shared" si="19"/>
        <v>0</v>
      </c>
      <c r="BH30" s="96">
        <f t="shared" si="19"/>
        <v>0</v>
      </c>
      <c r="BI30" s="96">
        <f t="shared" si="19"/>
        <v>0</v>
      </c>
      <c r="BJ30" s="96">
        <f t="shared" si="19"/>
        <v>0</v>
      </c>
      <c r="BK30" s="96">
        <f t="shared" si="19"/>
        <v>0</v>
      </c>
      <c r="BL30" s="96">
        <f t="shared" si="19"/>
        <v>0</v>
      </c>
      <c r="BM30" s="96">
        <f t="shared" si="19"/>
        <v>0</v>
      </c>
      <c r="BN30" s="96">
        <f t="shared" si="19"/>
        <v>0</v>
      </c>
      <c r="BO30" s="96">
        <f t="shared" si="19"/>
        <v>0</v>
      </c>
      <c r="BP30" s="96">
        <f t="shared" si="19"/>
        <v>0</v>
      </c>
      <c r="BQ30" s="96">
        <f t="shared" si="19"/>
        <v>0</v>
      </c>
    </row>
    <row r="31" spans="1:69" ht="10.199999999999999">
      <c r="D31" s="91"/>
      <c r="E31" s="95" t="str">
        <f>INDEX(Funding_Names,2,1)&amp;" (+)"</f>
        <v>Angel (+)</v>
      </c>
      <c r="F31" s="91"/>
      <c r="J31" s="96">
        <f t="shared" ref="J31:AO31" si="20">IF(J$5=INDEX(Funding_Dates,2,1),INDEX(Funding_Amounts,2,1),0)</f>
        <v>0</v>
      </c>
      <c r="K31" s="96">
        <f t="shared" si="20"/>
        <v>0</v>
      </c>
      <c r="L31" s="96">
        <f t="shared" si="20"/>
        <v>0</v>
      </c>
      <c r="M31" s="96">
        <f t="shared" si="20"/>
        <v>0</v>
      </c>
      <c r="N31" s="96">
        <f t="shared" si="20"/>
        <v>0</v>
      </c>
      <c r="O31" s="96">
        <f t="shared" si="20"/>
        <v>0</v>
      </c>
      <c r="P31" s="96">
        <f t="shared" si="20"/>
        <v>0</v>
      </c>
      <c r="Q31" s="96">
        <f t="shared" si="20"/>
        <v>0</v>
      </c>
      <c r="R31" s="96">
        <f t="shared" si="20"/>
        <v>0</v>
      </c>
      <c r="S31" s="96">
        <f t="shared" si="20"/>
        <v>0</v>
      </c>
      <c r="T31" s="96">
        <f t="shared" si="20"/>
        <v>0</v>
      </c>
      <c r="U31" s="96">
        <f t="shared" si="20"/>
        <v>0</v>
      </c>
      <c r="V31" s="96">
        <f t="shared" si="20"/>
        <v>0</v>
      </c>
      <c r="W31" s="96">
        <f t="shared" si="20"/>
        <v>0</v>
      </c>
      <c r="X31" s="96">
        <f t="shared" si="20"/>
        <v>0</v>
      </c>
      <c r="Y31" s="96">
        <f t="shared" si="20"/>
        <v>0</v>
      </c>
      <c r="Z31" s="96">
        <f t="shared" si="20"/>
        <v>0</v>
      </c>
      <c r="AA31" s="96">
        <f t="shared" si="20"/>
        <v>0</v>
      </c>
      <c r="AB31" s="96">
        <f t="shared" si="20"/>
        <v>0</v>
      </c>
      <c r="AC31" s="96">
        <f t="shared" si="20"/>
        <v>0</v>
      </c>
      <c r="AD31" s="96">
        <f t="shared" si="20"/>
        <v>0</v>
      </c>
      <c r="AE31" s="96">
        <f t="shared" si="20"/>
        <v>0</v>
      </c>
      <c r="AF31" s="96">
        <f t="shared" si="20"/>
        <v>0</v>
      </c>
      <c r="AG31" s="96">
        <f t="shared" si="20"/>
        <v>0</v>
      </c>
      <c r="AH31" s="96">
        <f t="shared" si="20"/>
        <v>0</v>
      </c>
      <c r="AI31" s="96">
        <f t="shared" si="20"/>
        <v>0</v>
      </c>
      <c r="AJ31" s="96">
        <f t="shared" si="20"/>
        <v>0</v>
      </c>
      <c r="AK31" s="96">
        <f t="shared" si="20"/>
        <v>0</v>
      </c>
      <c r="AL31" s="96">
        <f t="shared" si="20"/>
        <v>0</v>
      </c>
      <c r="AM31" s="96">
        <f t="shared" si="20"/>
        <v>0</v>
      </c>
      <c r="AN31" s="96">
        <f t="shared" si="20"/>
        <v>0</v>
      </c>
      <c r="AO31" s="96">
        <f t="shared" si="20"/>
        <v>0</v>
      </c>
      <c r="AP31" s="96">
        <f t="shared" ref="AP31:BQ31" si="21">IF(AP$5=INDEX(Funding_Dates,2,1),INDEX(Funding_Amounts,2,1),0)</f>
        <v>0</v>
      </c>
      <c r="AQ31" s="96">
        <f t="shared" si="21"/>
        <v>0</v>
      </c>
      <c r="AR31" s="96">
        <f t="shared" si="21"/>
        <v>0</v>
      </c>
      <c r="AS31" s="96">
        <f t="shared" si="21"/>
        <v>0</v>
      </c>
      <c r="AT31" s="96">
        <f t="shared" si="21"/>
        <v>0</v>
      </c>
      <c r="AU31" s="96">
        <f t="shared" si="21"/>
        <v>0</v>
      </c>
      <c r="AV31" s="96">
        <f t="shared" si="21"/>
        <v>0</v>
      </c>
      <c r="AW31" s="96">
        <f t="shared" si="21"/>
        <v>0</v>
      </c>
      <c r="AX31" s="96">
        <f t="shared" si="21"/>
        <v>0</v>
      </c>
      <c r="AY31" s="96">
        <f t="shared" si="21"/>
        <v>0</v>
      </c>
      <c r="AZ31" s="96">
        <f t="shared" si="21"/>
        <v>0</v>
      </c>
      <c r="BA31" s="96">
        <f t="shared" si="21"/>
        <v>0</v>
      </c>
      <c r="BB31" s="96">
        <f t="shared" si="21"/>
        <v>0</v>
      </c>
      <c r="BC31" s="96">
        <f t="shared" si="21"/>
        <v>0</v>
      </c>
      <c r="BD31" s="96">
        <f t="shared" si="21"/>
        <v>0</v>
      </c>
      <c r="BE31" s="96">
        <f t="shared" si="21"/>
        <v>0</v>
      </c>
      <c r="BF31" s="96">
        <f t="shared" si="21"/>
        <v>0</v>
      </c>
      <c r="BG31" s="96">
        <f t="shared" si="21"/>
        <v>0</v>
      </c>
      <c r="BH31" s="96">
        <f t="shared" si="21"/>
        <v>0</v>
      </c>
      <c r="BI31" s="96">
        <f t="shared" si="21"/>
        <v>0</v>
      </c>
      <c r="BJ31" s="96">
        <f t="shared" si="21"/>
        <v>0</v>
      </c>
      <c r="BK31" s="96">
        <f t="shared" si="21"/>
        <v>0</v>
      </c>
      <c r="BL31" s="96">
        <f t="shared" si="21"/>
        <v>0</v>
      </c>
      <c r="BM31" s="96">
        <f t="shared" si="21"/>
        <v>0</v>
      </c>
      <c r="BN31" s="96">
        <f t="shared" si="21"/>
        <v>0</v>
      </c>
      <c r="BO31" s="96">
        <f t="shared" si="21"/>
        <v>0</v>
      </c>
      <c r="BP31" s="96">
        <f t="shared" si="21"/>
        <v>0</v>
      </c>
      <c r="BQ31" s="96">
        <f t="shared" si="21"/>
        <v>0</v>
      </c>
    </row>
    <row r="32" spans="1:69" ht="10.199999999999999">
      <c r="D32" s="91"/>
      <c r="E32" s="95" t="str">
        <f>INDEX(Funding_Names,3,1)&amp;" (+)"</f>
        <v>Seed (+)</v>
      </c>
      <c r="F32" s="91"/>
      <c r="J32" s="96">
        <f t="shared" ref="J32:AO32" si="22">IF(J$5=INDEX(Funding_Dates,3,1),INDEX(Funding_Amounts,3,1),0)</f>
        <v>0</v>
      </c>
      <c r="K32" s="96">
        <f t="shared" si="22"/>
        <v>0</v>
      </c>
      <c r="L32" s="96">
        <f t="shared" si="22"/>
        <v>0</v>
      </c>
      <c r="M32" s="96">
        <f t="shared" si="22"/>
        <v>0</v>
      </c>
      <c r="N32" s="96">
        <f t="shared" si="22"/>
        <v>0</v>
      </c>
      <c r="O32" s="96">
        <f t="shared" si="22"/>
        <v>0</v>
      </c>
      <c r="P32" s="96">
        <f t="shared" si="22"/>
        <v>0</v>
      </c>
      <c r="Q32" s="96">
        <f t="shared" si="22"/>
        <v>0</v>
      </c>
      <c r="R32" s="96">
        <f t="shared" si="22"/>
        <v>0</v>
      </c>
      <c r="S32" s="96">
        <f t="shared" si="22"/>
        <v>0</v>
      </c>
      <c r="T32" s="96">
        <f t="shared" si="22"/>
        <v>0</v>
      </c>
      <c r="U32" s="96">
        <f t="shared" si="22"/>
        <v>0</v>
      </c>
      <c r="V32" s="96">
        <f t="shared" si="22"/>
        <v>0</v>
      </c>
      <c r="W32" s="96">
        <f t="shared" si="22"/>
        <v>0</v>
      </c>
      <c r="X32" s="96">
        <f t="shared" si="22"/>
        <v>0</v>
      </c>
      <c r="Y32" s="96">
        <f t="shared" si="22"/>
        <v>0</v>
      </c>
      <c r="Z32" s="96">
        <f t="shared" si="22"/>
        <v>0</v>
      </c>
      <c r="AA32" s="96">
        <f t="shared" si="22"/>
        <v>0</v>
      </c>
      <c r="AB32" s="96">
        <f t="shared" si="22"/>
        <v>0</v>
      </c>
      <c r="AC32" s="96">
        <f t="shared" si="22"/>
        <v>0</v>
      </c>
      <c r="AD32" s="96">
        <f t="shared" si="22"/>
        <v>0</v>
      </c>
      <c r="AE32" s="96">
        <f t="shared" si="22"/>
        <v>0</v>
      </c>
      <c r="AF32" s="96">
        <f t="shared" si="22"/>
        <v>0</v>
      </c>
      <c r="AG32" s="96">
        <f t="shared" si="22"/>
        <v>0</v>
      </c>
      <c r="AH32" s="96">
        <f t="shared" si="22"/>
        <v>0</v>
      </c>
      <c r="AI32" s="96">
        <f t="shared" si="22"/>
        <v>0</v>
      </c>
      <c r="AJ32" s="96">
        <f t="shared" si="22"/>
        <v>0</v>
      </c>
      <c r="AK32" s="96">
        <f t="shared" si="22"/>
        <v>0</v>
      </c>
      <c r="AL32" s="96">
        <f t="shared" si="22"/>
        <v>0</v>
      </c>
      <c r="AM32" s="96">
        <f t="shared" si="22"/>
        <v>0</v>
      </c>
      <c r="AN32" s="96">
        <f t="shared" si="22"/>
        <v>0</v>
      </c>
      <c r="AO32" s="96">
        <f t="shared" si="22"/>
        <v>0</v>
      </c>
      <c r="AP32" s="96">
        <f t="shared" ref="AP32:BQ32" si="23">IF(AP$5=INDEX(Funding_Dates,3,1),INDEX(Funding_Amounts,3,1),0)</f>
        <v>0</v>
      </c>
      <c r="AQ32" s="96">
        <f t="shared" si="23"/>
        <v>0</v>
      </c>
      <c r="AR32" s="96">
        <f t="shared" si="23"/>
        <v>0</v>
      </c>
      <c r="AS32" s="96">
        <f t="shared" si="23"/>
        <v>0</v>
      </c>
      <c r="AT32" s="96">
        <f t="shared" si="23"/>
        <v>0</v>
      </c>
      <c r="AU32" s="96">
        <f t="shared" si="23"/>
        <v>0</v>
      </c>
      <c r="AV32" s="96">
        <f t="shared" si="23"/>
        <v>0</v>
      </c>
      <c r="AW32" s="96">
        <f t="shared" si="23"/>
        <v>0</v>
      </c>
      <c r="AX32" s="96">
        <f t="shared" si="23"/>
        <v>0</v>
      </c>
      <c r="AY32" s="96">
        <f t="shared" si="23"/>
        <v>0</v>
      </c>
      <c r="AZ32" s="96">
        <f t="shared" si="23"/>
        <v>0</v>
      </c>
      <c r="BA32" s="96">
        <f t="shared" si="23"/>
        <v>0</v>
      </c>
      <c r="BB32" s="96">
        <f t="shared" si="23"/>
        <v>0</v>
      </c>
      <c r="BC32" s="96">
        <f t="shared" si="23"/>
        <v>0</v>
      </c>
      <c r="BD32" s="96">
        <f t="shared" si="23"/>
        <v>0</v>
      </c>
      <c r="BE32" s="96">
        <f t="shared" si="23"/>
        <v>0</v>
      </c>
      <c r="BF32" s="96">
        <f t="shared" si="23"/>
        <v>0</v>
      </c>
      <c r="BG32" s="96">
        <f t="shared" si="23"/>
        <v>0</v>
      </c>
      <c r="BH32" s="96">
        <f t="shared" si="23"/>
        <v>0</v>
      </c>
      <c r="BI32" s="96">
        <f t="shared" si="23"/>
        <v>0</v>
      </c>
      <c r="BJ32" s="96">
        <f t="shared" si="23"/>
        <v>0</v>
      </c>
      <c r="BK32" s="96">
        <f t="shared" si="23"/>
        <v>0</v>
      </c>
      <c r="BL32" s="96">
        <f t="shared" si="23"/>
        <v>0</v>
      </c>
      <c r="BM32" s="96">
        <f t="shared" si="23"/>
        <v>0</v>
      </c>
      <c r="BN32" s="96">
        <f t="shared" si="23"/>
        <v>0</v>
      </c>
      <c r="BO32" s="96">
        <f t="shared" si="23"/>
        <v>0</v>
      </c>
      <c r="BP32" s="96">
        <f t="shared" si="23"/>
        <v>0</v>
      </c>
      <c r="BQ32" s="96">
        <f t="shared" si="23"/>
        <v>0</v>
      </c>
    </row>
    <row r="33" spans="1:69" ht="10.199999999999999">
      <c r="D33" s="91"/>
      <c r="E33" s="95" t="str">
        <f>INDEX(Funding_Names,4,1)&amp;" (+)"</f>
        <v>Series A (+)</v>
      </c>
      <c r="F33" s="91"/>
      <c r="J33" s="96">
        <f t="shared" ref="J33:AO33" si="24">IF(J$5=INDEX(Funding_Dates,4,1),INDEX(Funding_Amounts,4,1),0)</f>
        <v>0</v>
      </c>
      <c r="K33" s="96">
        <f t="shared" si="24"/>
        <v>0</v>
      </c>
      <c r="L33" s="96">
        <f t="shared" si="24"/>
        <v>0</v>
      </c>
      <c r="M33" s="96">
        <f t="shared" si="24"/>
        <v>0</v>
      </c>
      <c r="N33" s="96">
        <f t="shared" si="24"/>
        <v>0</v>
      </c>
      <c r="O33" s="96">
        <f t="shared" si="24"/>
        <v>0</v>
      </c>
      <c r="P33" s="96">
        <f t="shared" si="24"/>
        <v>0</v>
      </c>
      <c r="Q33" s="96">
        <f t="shared" si="24"/>
        <v>0</v>
      </c>
      <c r="R33" s="96">
        <f t="shared" si="24"/>
        <v>0</v>
      </c>
      <c r="S33" s="96">
        <f t="shared" si="24"/>
        <v>0</v>
      </c>
      <c r="T33" s="96">
        <f t="shared" si="24"/>
        <v>0</v>
      </c>
      <c r="U33" s="96">
        <f t="shared" si="24"/>
        <v>0</v>
      </c>
      <c r="V33" s="96">
        <f t="shared" si="24"/>
        <v>0</v>
      </c>
      <c r="W33" s="96">
        <f t="shared" si="24"/>
        <v>0</v>
      </c>
      <c r="X33" s="96">
        <f t="shared" si="24"/>
        <v>0</v>
      </c>
      <c r="Y33" s="96">
        <f t="shared" si="24"/>
        <v>0</v>
      </c>
      <c r="Z33" s="96">
        <f t="shared" si="24"/>
        <v>0</v>
      </c>
      <c r="AA33" s="96">
        <f t="shared" si="24"/>
        <v>0</v>
      </c>
      <c r="AB33" s="96">
        <f t="shared" si="24"/>
        <v>0</v>
      </c>
      <c r="AC33" s="96">
        <f t="shared" si="24"/>
        <v>0</v>
      </c>
      <c r="AD33" s="96">
        <f t="shared" si="24"/>
        <v>0</v>
      </c>
      <c r="AE33" s="96">
        <f t="shared" si="24"/>
        <v>0</v>
      </c>
      <c r="AF33" s="96">
        <f t="shared" si="24"/>
        <v>0</v>
      </c>
      <c r="AG33" s="96">
        <f t="shared" si="24"/>
        <v>0</v>
      </c>
      <c r="AH33" s="96">
        <f t="shared" si="24"/>
        <v>0</v>
      </c>
      <c r="AI33" s="96">
        <f t="shared" si="24"/>
        <v>0</v>
      </c>
      <c r="AJ33" s="96">
        <f t="shared" si="24"/>
        <v>0</v>
      </c>
      <c r="AK33" s="96">
        <f t="shared" si="24"/>
        <v>0</v>
      </c>
      <c r="AL33" s="96">
        <f t="shared" si="24"/>
        <v>0</v>
      </c>
      <c r="AM33" s="96">
        <f t="shared" si="24"/>
        <v>0</v>
      </c>
      <c r="AN33" s="96">
        <f t="shared" si="24"/>
        <v>0</v>
      </c>
      <c r="AO33" s="96">
        <f t="shared" si="24"/>
        <v>0</v>
      </c>
      <c r="AP33" s="96">
        <f t="shared" ref="AP33:BQ33" si="25">IF(AP$5=INDEX(Funding_Dates,4,1),INDEX(Funding_Amounts,4,1),0)</f>
        <v>0</v>
      </c>
      <c r="AQ33" s="96">
        <f t="shared" si="25"/>
        <v>0</v>
      </c>
      <c r="AR33" s="96">
        <f t="shared" si="25"/>
        <v>0</v>
      </c>
      <c r="AS33" s="96">
        <f t="shared" si="25"/>
        <v>0</v>
      </c>
      <c r="AT33" s="96">
        <f t="shared" si="25"/>
        <v>0</v>
      </c>
      <c r="AU33" s="96">
        <f t="shared" si="25"/>
        <v>0</v>
      </c>
      <c r="AV33" s="96">
        <f t="shared" si="25"/>
        <v>0</v>
      </c>
      <c r="AW33" s="96">
        <f t="shared" si="25"/>
        <v>0</v>
      </c>
      <c r="AX33" s="96">
        <f t="shared" si="25"/>
        <v>0</v>
      </c>
      <c r="AY33" s="96">
        <f t="shared" si="25"/>
        <v>0</v>
      </c>
      <c r="AZ33" s="96">
        <f t="shared" si="25"/>
        <v>0</v>
      </c>
      <c r="BA33" s="96">
        <f t="shared" si="25"/>
        <v>0</v>
      </c>
      <c r="BB33" s="96">
        <f t="shared" si="25"/>
        <v>0</v>
      </c>
      <c r="BC33" s="96">
        <f t="shared" si="25"/>
        <v>0</v>
      </c>
      <c r="BD33" s="96">
        <f t="shared" si="25"/>
        <v>0</v>
      </c>
      <c r="BE33" s="96">
        <f t="shared" si="25"/>
        <v>0</v>
      </c>
      <c r="BF33" s="96">
        <f t="shared" si="25"/>
        <v>0</v>
      </c>
      <c r="BG33" s="96">
        <f t="shared" si="25"/>
        <v>0</v>
      </c>
      <c r="BH33" s="96">
        <f t="shared" si="25"/>
        <v>0</v>
      </c>
      <c r="BI33" s="96">
        <f t="shared" si="25"/>
        <v>0</v>
      </c>
      <c r="BJ33" s="96">
        <f t="shared" si="25"/>
        <v>0</v>
      </c>
      <c r="BK33" s="96">
        <f t="shared" si="25"/>
        <v>0</v>
      </c>
      <c r="BL33" s="96">
        <f t="shared" si="25"/>
        <v>0</v>
      </c>
      <c r="BM33" s="96">
        <f t="shared" si="25"/>
        <v>0</v>
      </c>
      <c r="BN33" s="96">
        <f t="shared" si="25"/>
        <v>0</v>
      </c>
      <c r="BO33" s="96">
        <f t="shared" si="25"/>
        <v>0</v>
      </c>
      <c r="BP33" s="96">
        <f t="shared" si="25"/>
        <v>0</v>
      </c>
      <c r="BQ33" s="96">
        <f t="shared" si="25"/>
        <v>0</v>
      </c>
    </row>
    <row r="34" spans="1:69" ht="10.199999999999999">
      <c r="D34" s="91"/>
      <c r="E34" s="95" t="s">
        <v>150</v>
      </c>
      <c r="F34" s="91"/>
      <c r="J34" s="108">
        <v>0</v>
      </c>
      <c r="K34" s="109">
        <v>0</v>
      </c>
      <c r="L34" s="109">
        <v>0</v>
      </c>
      <c r="M34" s="109">
        <v>0</v>
      </c>
      <c r="N34" s="109">
        <v>0</v>
      </c>
      <c r="O34" s="109">
        <v>0</v>
      </c>
      <c r="P34" s="109">
        <v>0</v>
      </c>
      <c r="Q34" s="109">
        <v>0</v>
      </c>
      <c r="R34" s="109">
        <v>0</v>
      </c>
      <c r="S34" s="109">
        <v>0</v>
      </c>
      <c r="T34" s="109">
        <v>0</v>
      </c>
      <c r="U34" s="109">
        <v>-10000</v>
      </c>
      <c r="V34" s="109">
        <v>0</v>
      </c>
      <c r="W34" s="109">
        <v>0</v>
      </c>
      <c r="X34" s="109">
        <v>0</v>
      </c>
      <c r="Y34" s="109">
        <v>0</v>
      </c>
      <c r="Z34" s="109">
        <v>0</v>
      </c>
      <c r="AA34" s="109">
        <v>0</v>
      </c>
      <c r="AB34" s="109">
        <v>0</v>
      </c>
      <c r="AC34" s="109">
        <v>0</v>
      </c>
      <c r="AD34" s="109">
        <v>0</v>
      </c>
      <c r="AE34" s="109">
        <v>0</v>
      </c>
      <c r="AF34" s="109">
        <v>0</v>
      </c>
      <c r="AG34" s="109">
        <v>0</v>
      </c>
      <c r="AH34" s="109">
        <v>0</v>
      </c>
      <c r="AI34" s="109">
        <v>0</v>
      </c>
      <c r="AJ34" s="109">
        <v>0</v>
      </c>
      <c r="AK34" s="109">
        <v>0</v>
      </c>
      <c r="AL34" s="109">
        <v>0</v>
      </c>
      <c r="AM34" s="109">
        <v>0</v>
      </c>
      <c r="AN34" s="109">
        <v>0</v>
      </c>
      <c r="AO34" s="109">
        <v>0</v>
      </c>
      <c r="AP34" s="109">
        <v>0</v>
      </c>
      <c r="AQ34" s="109">
        <v>0</v>
      </c>
      <c r="AR34" s="109">
        <v>0</v>
      </c>
      <c r="AS34" s="109">
        <v>0</v>
      </c>
      <c r="AT34" s="109">
        <v>0</v>
      </c>
      <c r="AU34" s="109">
        <v>0</v>
      </c>
      <c r="AV34" s="109">
        <v>0</v>
      </c>
      <c r="AW34" s="109">
        <v>0</v>
      </c>
      <c r="AX34" s="109">
        <v>0</v>
      </c>
      <c r="AY34" s="109">
        <v>0</v>
      </c>
      <c r="AZ34" s="109">
        <v>0</v>
      </c>
      <c r="BA34" s="109">
        <v>0</v>
      </c>
      <c r="BB34" s="109">
        <v>0</v>
      </c>
      <c r="BC34" s="109">
        <v>0</v>
      </c>
      <c r="BD34" s="109">
        <v>0</v>
      </c>
      <c r="BE34" s="109">
        <v>0</v>
      </c>
      <c r="BF34" s="109">
        <v>0</v>
      </c>
      <c r="BG34" s="109">
        <v>0</v>
      </c>
      <c r="BH34" s="109">
        <v>0</v>
      </c>
      <c r="BI34" s="109">
        <v>0</v>
      </c>
      <c r="BJ34" s="109">
        <v>0</v>
      </c>
      <c r="BK34" s="109">
        <v>0</v>
      </c>
      <c r="BL34" s="109">
        <v>0</v>
      </c>
      <c r="BM34" s="109">
        <v>0</v>
      </c>
      <c r="BN34" s="109">
        <v>0</v>
      </c>
      <c r="BO34" s="109">
        <v>0</v>
      </c>
      <c r="BP34" s="109">
        <v>0</v>
      </c>
      <c r="BQ34" s="110">
        <v>0</v>
      </c>
    </row>
    <row r="35" spans="1:69" ht="10.199999999999999">
      <c r="A35" s="91"/>
      <c r="B35" s="91"/>
      <c r="C35" s="91"/>
      <c r="D35" s="91"/>
      <c r="E35" s="91" t="s">
        <v>39</v>
      </c>
      <c r="F35" s="91"/>
      <c r="G35" s="91"/>
      <c r="H35" s="91"/>
      <c r="I35" s="91"/>
      <c r="J35" s="104">
        <f>SUM(J29:J34)</f>
        <v>250000</v>
      </c>
      <c r="K35" s="104">
        <f t="shared" ref="K35:BQ35" si="26">SUM(K29:K34)</f>
        <v>250000</v>
      </c>
      <c r="L35" s="104">
        <f t="shared" si="26"/>
        <v>250000</v>
      </c>
      <c r="M35" s="104">
        <f t="shared" si="26"/>
        <v>250000</v>
      </c>
      <c r="N35" s="104">
        <f t="shared" si="26"/>
        <v>250000</v>
      </c>
      <c r="O35" s="104">
        <f t="shared" si="26"/>
        <v>250000</v>
      </c>
      <c r="P35" s="104">
        <f t="shared" si="26"/>
        <v>250000</v>
      </c>
      <c r="Q35" s="104">
        <f t="shared" si="26"/>
        <v>250000</v>
      </c>
      <c r="R35" s="104">
        <f t="shared" si="26"/>
        <v>250000</v>
      </c>
      <c r="S35" s="104">
        <f t="shared" si="26"/>
        <v>250000</v>
      </c>
      <c r="T35" s="104">
        <f t="shared" si="26"/>
        <v>250000</v>
      </c>
      <c r="U35" s="104">
        <f t="shared" si="26"/>
        <v>240000</v>
      </c>
      <c r="V35" s="104">
        <f t="shared" si="26"/>
        <v>240000</v>
      </c>
      <c r="W35" s="104">
        <f t="shared" si="26"/>
        <v>240000</v>
      </c>
      <c r="X35" s="104">
        <f t="shared" si="26"/>
        <v>240000</v>
      </c>
      <c r="Y35" s="104">
        <f t="shared" si="26"/>
        <v>240000</v>
      </c>
      <c r="Z35" s="104">
        <f t="shared" si="26"/>
        <v>240000</v>
      </c>
      <c r="AA35" s="104">
        <f t="shared" si="26"/>
        <v>240000</v>
      </c>
      <c r="AB35" s="104">
        <f t="shared" si="26"/>
        <v>240000</v>
      </c>
      <c r="AC35" s="104">
        <f t="shared" si="26"/>
        <v>240000</v>
      </c>
      <c r="AD35" s="104">
        <f t="shared" si="26"/>
        <v>240000</v>
      </c>
      <c r="AE35" s="104">
        <f t="shared" si="26"/>
        <v>240000</v>
      </c>
      <c r="AF35" s="104">
        <f t="shared" si="26"/>
        <v>240000</v>
      </c>
      <c r="AG35" s="104">
        <f t="shared" si="26"/>
        <v>240000</v>
      </c>
      <c r="AH35" s="104">
        <f t="shared" si="26"/>
        <v>240000</v>
      </c>
      <c r="AI35" s="104">
        <f t="shared" si="26"/>
        <v>240000</v>
      </c>
      <c r="AJ35" s="104">
        <f t="shared" si="26"/>
        <v>240000</v>
      </c>
      <c r="AK35" s="104">
        <f t="shared" si="26"/>
        <v>240000</v>
      </c>
      <c r="AL35" s="104">
        <f t="shared" si="26"/>
        <v>240000</v>
      </c>
      <c r="AM35" s="104">
        <f t="shared" si="26"/>
        <v>240000</v>
      </c>
      <c r="AN35" s="104">
        <f t="shared" si="26"/>
        <v>240000</v>
      </c>
      <c r="AO35" s="104">
        <f t="shared" si="26"/>
        <v>240000</v>
      </c>
      <c r="AP35" s="104">
        <f t="shared" si="26"/>
        <v>240000</v>
      </c>
      <c r="AQ35" s="104">
        <f t="shared" si="26"/>
        <v>240000</v>
      </c>
      <c r="AR35" s="104">
        <f t="shared" si="26"/>
        <v>240000</v>
      </c>
      <c r="AS35" s="104">
        <f t="shared" si="26"/>
        <v>240000</v>
      </c>
      <c r="AT35" s="104">
        <f t="shared" si="26"/>
        <v>240000</v>
      </c>
      <c r="AU35" s="104">
        <f t="shared" si="26"/>
        <v>240000</v>
      </c>
      <c r="AV35" s="104">
        <f t="shared" si="26"/>
        <v>240000</v>
      </c>
      <c r="AW35" s="104">
        <f t="shared" si="26"/>
        <v>240000</v>
      </c>
      <c r="AX35" s="104">
        <f t="shared" si="26"/>
        <v>240000</v>
      </c>
      <c r="AY35" s="104">
        <f t="shared" si="26"/>
        <v>240000</v>
      </c>
      <c r="AZ35" s="104">
        <f t="shared" si="26"/>
        <v>240000</v>
      </c>
      <c r="BA35" s="104">
        <f t="shared" si="26"/>
        <v>240000</v>
      </c>
      <c r="BB35" s="104">
        <f t="shared" si="26"/>
        <v>240000</v>
      </c>
      <c r="BC35" s="104">
        <f t="shared" si="26"/>
        <v>240000</v>
      </c>
      <c r="BD35" s="104">
        <f t="shared" si="26"/>
        <v>240000</v>
      </c>
      <c r="BE35" s="104">
        <f t="shared" si="26"/>
        <v>240000</v>
      </c>
      <c r="BF35" s="104">
        <f t="shared" si="26"/>
        <v>240000</v>
      </c>
      <c r="BG35" s="104">
        <f t="shared" si="26"/>
        <v>240000</v>
      </c>
      <c r="BH35" s="104">
        <f t="shared" si="26"/>
        <v>240000</v>
      </c>
      <c r="BI35" s="104">
        <f t="shared" si="26"/>
        <v>240000</v>
      </c>
      <c r="BJ35" s="104">
        <f t="shared" si="26"/>
        <v>240000</v>
      </c>
      <c r="BK35" s="104">
        <f t="shared" si="26"/>
        <v>240000</v>
      </c>
      <c r="BL35" s="104">
        <f t="shared" si="26"/>
        <v>240000</v>
      </c>
      <c r="BM35" s="104">
        <f t="shared" si="26"/>
        <v>240000</v>
      </c>
      <c r="BN35" s="104">
        <f t="shared" si="26"/>
        <v>240000</v>
      </c>
      <c r="BO35" s="104">
        <f t="shared" si="26"/>
        <v>240000</v>
      </c>
      <c r="BP35" s="104">
        <f t="shared" si="26"/>
        <v>240000</v>
      </c>
      <c r="BQ35" s="104">
        <f t="shared" si="26"/>
        <v>240000</v>
      </c>
    </row>
    <row r="38" spans="1:69" ht="13.8">
      <c r="C38" s="94" t="str">
        <f>"Dividends, "&amp;Currency</f>
        <v>Dividends, $</v>
      </c>
    </row>
    <row r="40" spans="1:69" ht="10.199999999999999">
      <c r="A40" s="91"/>
      <c r="B40" s="91"/>
      <c r="C40" s="91"/>
      <c r="D40" s="91"/>
      <c r="E40" s="91" t="s">
        <v>151</v>
      </c>
      <c r="F40" s="91"/>
      <c r="G40" s="91"/>
      <c r="H40" s="91"/>
      <c r="I40" s="91"/>
      <c r="J40" s="104">
        <f>BS!I10+CF!J33</f>
        <v>199037.5</v>
      </c>
      <c r="K40" s="104">
        <f>BS!J10+CF!K33</f>
        <v>150340.15151515152</v>
      </c>
      <c r="L40" s="104">
        <f>BS!K10+CF!L33</f>
        <v>103349.98484848486</v>
      </c>
      <c r="M40" s="104">
        <f>BS!L10+CF!M33</f>
        <v>106753.18181818184</v>
      </c>
      <c r="N40" s="104">
        <f>BS!M10+CF!N33</f>
        <v>110390.37878787881</v>
      </c>
      <c r="O40" s="104">
        <f>BS!N10+CF!O33</f>
        <v>114027.57575757579</v>
      </c>
      <c r="P40" s="104">
        <f>BS!O10+CF!P33</f>
        <v>117664.77272727276</v>
      </c>
      <c r="Q40" s="104">
        <f>BS!P10+CF!Q33</f>
        <v>121301.96969696974</v>
      </c>
      <c r="R40" s="104">
        <f>BS!Q10+CF!R33</f>
        <v>124939.16666666672</v>
      </c>
      <c r="S40" s="104">
        <f>BS!R10+CF!S33</f>
        <v>128576.36363636369</v>
      </c>
      <c r="T40" s="104">
        <f>BS!S10+CF!T33</f>
        <v>132213.56060606067</v>
      </c>
      <c r="U40" s="104">
        <f>BS!T10+CF!U33</f>
        <v>125850.75757575764</v>
      </c>
      <c r="V40" s="104">
        <f>BS!U10+CF!V33</f>
        <v>80309.286363636435</v>
      </c>
      <c r="W40" s="104">
        <f>BS!V10+CF!W33</f>
        <v>84839.500000000073</v>
      </c>
      <c r="X40" s="104">
        <f>BS!W10+CF!X33</f>
        <v>89519.750000000073</v>
      </c>
      <c r="Y40" s="104">
        <f>BS!X10+CF!Y33</f>
        <v>94200.000000000073</v>
      </c>
      <c r="Z40" s="104">
        <f>BS!Y10+CF!Z33</f>
        <v>98880.250000000073</v>
      </c>
      <c r="AA40" s="104">
        <f>BS!Z10+CF!AA33</f>
        <v>103560.50000000007</v>
      </c>
      <c r="AB40" s="104">
        <f>BS!AA10+CF!AB33</f>
        <v>108240.75000000007</v>
      </c>
      <c r="AC40" s="104">
        <f>BS!AB10+CF!AC33</f>
        <v>112921.00000000007</v>
      </c>
      <c r="AD40" s="104">
        <f>BS!AC10+CF!AD33</f>
        <v>117601.25000000007</v>
      </c>
      <c r="AE40" s="104">
        <f>BS!AD10+CF!AE33</f>
        <v>122281.50000000007</v>
      </c>
      <c r="AF40" s="104">
        <f>BS!AE10+CF!AF33</f>
        <v>126961.75000000007</v>
      </c>
      <c r="AG40" s="104">
        <f>BS!AF10+CF!AG33</f>
        <v>131642.00000000006</v>
      </c>
      <c r="AH40" s="104">
        <f>BS!AG10+CF!AH33</f>
        <v>137926.73800000007</v>
      </c>
      <c r="AI40" s="104">
        <f>BS!AH10+CF!AI33</f>
        <v>144340.74000000008</v>
      </c>
      <c r="AJ40" s="104">
        <f>BS!AI10+CF!AJ33</f>
        <v>151041.27000000008</v>
      </c>
      <c r="AK40" s="104">
        <f>BS!AJ10+CF!AK33</f>
        <v>157741.80000000008</v>
      </c>
      <c r="AL40" s="104">
        <f>BS!AK10+CF!AL33</f>
        <v>164442.33000000007</v>
      </c>
      <c r="AM40" s="104">
        <f>BS!AL10+CF!AM33</f>
        <v>171142.86000000007</v>
      </c>
      <c r="AN40" s="104">
        <f>BS!AM10+CF!AN33</f>
        <v>177843.39000000007</v>
      </c>
      <c r="AO40" s="104">
        <f>BS!AN10+CF!AO33</f>
        <v>184543.92000000007</v>
      </c>
      <c r="AP40" s="104">
        <f>BS!AO10+CF!AP33</f>
        <v>191244.45000000007</v>
      </c>
      <c r="AQ40" s="104">
        <f>BS!AP10+CF!AQ33</f>
        <v>197944.98000000007</v>
      </c>
      <c r="AR40" s="104">
        <f>BS!AQ10+CF!AR33</f>
        <v>204645.51000000007</v>
      </c>
      <c r="AS40" s="104">
        <f>BS!AR10+CF!AS33</f>
        <v>211346.04000000007</v>
      </c>
      <c r="AT40" s="104">
        <f>BS!AS10+CF!AT33</f>
        <v>220192.84416000007</v>
      </c>
      <c r="AU40" s="104">
        <f>BS!AT10+CF!AU33</f>
        <v>229214.05680000008</v>
      </c>
      <c r="AV40" s="104">
        <f>BS!AU10+CF!AV33</f>
        <v>238613.48640000008</v>
      </c>
      <c r="AW40" s="104">
        <f>BS!AV10+CF!AW33</f>
        <v>248012.91600000008</v>
      </c>
      <c r="AX40" s="104">
        <f>BS!AW10+CF!AX33</f>
        <v>257412.34560000009</v>
      </c>
      <c r="AY40" s="104">
        <f>BS!AX10+CF!AY33</f>
        <v>266811.77520000009</v>
      </c>
      <c r="AZ40" s="104">
        <f>BS!AY10+CF!AZ33</f>
        <v>276211.20480000012</v>
      </c>
      <c r="BA40" s="104">
        <f>BS!AZ10+CF!BA33</f>
        <v>285610.63440000016</v>
      </c>
      <c r="BB40" s="104">
        <f>BS!BA10+CF!BB33</f>
        <v>295010.06400000019</v>
      </c>
      <c r="BC40" s="104">
        <f>BS!BB10+CF!BC33</f>
        <v>304409.49360000022</v>
      </c>
      <c r="BD40" s="104">
        <f>BS!BC10+CF!BD33</f>
        <v>313808.92320000025</v>
      </c>
      <c r="BE40" s="104">
        <f>BS!BD10+CF!BE33</f>
        <v>323208.35280000028</v>
      </c>
      <c r="BF40" s="104">
        <f>BS!BE10+CF!BF33</f>
        <v>335470.63179120031</v>
      </c>
      <c r="BG40" s="104">
        <f>BS!BF10+CF!BG33</f>
        <v>347967.09897600033</v>
      </c>
      <c r="BH40" s="104">
        <f>BS!BG10+CF!BH33</f>
        <v>360962.81254800037</v>
      </c>
      <c r="BI40" s="104">
        <f>BS!BH10+CF!BI33</f>
        <v>469469.03348624869</v>
      </c>
      <c r="BJ40" s="104">
        <f>BS!BI10+CF!BJ33</f>
        <v>477970.52797537151</v>
      </c>
      <c r="BK40" s="104">
        <f>BS!BJ10+CF!BK33</f>
        <v>486467.25662829279</v>
      </c>
      <c r="BL40" s="104">
        <f>BS!BK10+CF!BL33</f>
        <v>494959.1797297108</v>
      </c>
      <c r="BM40" s="104">
        <f>BS!BL10+CF!BM33</f>
        <v>503446.25723336305</v>
      </c>
      <c r="BN40" s="104">
        <f>BS!BM10+CF!BN33</f>
        <v>511928.44875926815</v>
      </c>
      <c r="BO40" s="104">
        <f>BS!BN10+CF!BO33</f>
        <v>520405.71359094488</v>
      </c>
      <c r="BP40" s="104">
        <f>BS!BO10+CF!BP33</f>
        <v>528878.01067260792</v>
      </c>
      <c r="BQ40" s="104">
        <f>BS!BP10+CF!BQ33</f>
        <v>537345.29860634066</v>
      </c>
    </row>
    <row r="41" spans="1:69" s="107" customFormat="1" ht="10.199999999999999">
      <c r="A41" s="106"/>
      <c r="B41" s="106"/>
      <c r="C41" s="106"/>
      <c r="D41" s="106"/>
      <c r="E41" s="95" t="s">
        <v>153</v>
      </c>
      <c r="F41" s="106"/>
      <c r="G41" s="106"/>
      <c r="H41" s="106"/>
      <c r="I41" s="106"/>
      <c r="J41" s="111">
        <v>0</v>
      </c>
      <c r="K41" s="111">
        <v>0</v>
      </c>
      <c r="L41" s="111">
        <v>0</v>
      </c>
      <c r="M41" s="111">
        <v>0</v>
      </c>
      <c r="N41" s="111">
        <v>0</v>
      </c>
      <c r="O41" s="111">
        <v>0</v>
      </c>
      <c r="P41" s="111">
        <v>0</v>
      </c>
      <c r="Q41" s="111">
        <v>0</v>
      </c>
      <c r="R41" s="111">
        <v>0</v>
      </c>
      <c r="S41" s="111">
        <v>0</v>
      </c>
      <c r="T41" s="111">
        <v>0</v>
      </c>
      <c r="U41" s="111">
        <v>0</v>
      </c>
      <c r="V41" s="111">
        <v>-50000</v>
      </c>
      <c r="W41" s="111">
        <v>0</v>
      </c>
      <c r="X41" s="111">
        <v>0</v>
      </c>
      <c r="Y41" s="111">
        <v>0</v>
      </c>
      <c r="Z41" s="111">
        <v>0</v>
      </c>
      <c r="AA41" s="111">
        <v>0</v>
      </c>
      <c r="AB41" s="111">
        <v>0</v>
      </c>
      <c r="AC41" s="111">
        <v>0</v>
      </c>
      <c r="AD41" s="111">
        <v>0</v>
      </c>
      <c r="AE41" s="111">
        <v>0</v>
      </c>
      <c r="AF41" s="111">
        <v>0</v>
      </c>
      <c r="AG41" s="111">
        <v>0</v>
      </c>
      <c r="AH41" s="111">
        <v>0</v>
      </c>
      <c r="AI41" s="111">
        <v>0</v>
      </c>
      <c r="AJ41" s="111">
        <v>0</v>
      </c>
      <c r="AK41" s="111">
        <v>0</v>
      </c>
      <c r="AL41" s="111">
        <v>0</v>
      </c>
      <c r="AM41" s="111">
        <v>0</v>
      </c>
      <c r="AN41" s="111">
        <v>0</v>
      </c>
      <c r="AO41" s="111">
        <v>0</v>
      </c>
      <c r="AP41" s="111">
        <v>0</v>
      </c>
      <c r="AQ41" s="111">
        <v>0</v>
      </c>
      <c r="AR41" s="111">
        <v>0</v>
      </c>
      <c r="AS41" s="111">
        <v>0</v>
      </c>
      <c r="AT41" s="111">
        <v>0</v>
      </c>
      <c r="AU41" s="111">
        <v>0</v>
      </c>
      <c r="AV41" s="111">
        <v>0</v>
      </c>
      <c r="AW41" s="111">
        <v>0</v>
      </c>
      <c r="AX41" s="111">
        <v>0</v>
      </c>
      <c r="AY41" s="111">
        <v>0</v>
      </c>
      <c r="AZ41" s="111">
        <v>0</v>
      </c>
      <c r="BA41" s="111">
        <v>0</v>
      </c>
      <c r="BB41" s="111">
        <v>0</v>
      </c>
      <c r="BC41" s="111">
        <v>0</v>
      </c>
      <c r="BD41" s="111">
        <v>0</v>
      </c>
      <c r="BE41" s="111">
        <v>0</v>
      </c>
      <c r="BF41" s="111">
        <v>0</v>
      </c>
      <c r="BG41" s="111">
        <v>0</v>
      </c>
      <c r="BH41" s="111">
        <v>0</v>
      </c>
      <c r="BI41" s="111">
        <v>0</v>
      </c>
      <c r="BJ41" s="111">
        <v>0</v>
      </c>
      <c r="BK41" s="111">
        <v>0</v>
      </c>
      <c r="BL41" s="111">
        <v>0</v>
      </c>
      <c r="BM41" s="111">
        <v>0</v>
      </c>
      <c r="BN41" s="111">
        <v>0</v>
      </c>
      <c r="BO41" s="111">
        <v>0</v>
      </c>
      <c r="BP41" s="111">
        <v>0</v>
      </c>
      <c r="BQ41" s="111">
        <v>0</v>
      </c>
    </row>
  </sheetData>
  <dataValidations count="1">
    <dataValidation operator="greaterThan" allowBlank="1" showInputMessage="1" showErrorMessage="1" errorTitle="NOT ALLOWED" sqref="J34:BQ34 J41:BQ41" xr:uid="{00000000-0002-0000-1A00-000000000000}"/>
  </dataValidations>
  <pageMargins left="0.39370078740157499" right="0.39370078740157499" top="0.59055118110236204" bottom="0.98425196850393704" header="0" footer="0.31496062992126"/>
  <pageSetup paperSize="9" scale="70" fitToWidth="5" fitToHeight="2" orientation="landscape" r:id="rId1"/>
  <headerFooter>
    <oddFooter>&amp;L&amp;12Built with finmodelslab.com template&amp;C&amp;12Capital&amp;R&amp;D</oddFooter>
  </headerFooter>
  <colBreaks count="4" manualBreakCount="4">
    <brk id="20" max="1048575" man="1"/>
    <brk id="32" max="1048575" man="1"/>
    <brk id="44" max="1048575" man="1"/>
    <brk id="56" max="1048575" man="1"/>
  </colBreaks>
  <ignoredErrors>
    <ignoredError sqref="J15:J16 J27:J28"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rgb="FFFFC000"/>
    <pageSetUpPr autoPageBreaks="0"/>
  </sheetPr>
  <dimension ref="A1:BQ87"/>
  <sheetViews>
    <sheetView showGridLines="0" zoomScaleNormal="100" zoomScaleSheetLayoutView="85" workbookViewId="0">
      <pane xSplit="9" ySplit="6" topLeftCell="J7" activePane="bottomRight" state="frozen"/>
      <selection sqref="A1:A1048576"/>
      <selection pane="topRight" sqref="A1:A1048576"/>
      <selection pane="bottomLeft" sqref="A1:A1048576"/>
      <selection pane="bottomRight" activeCell="J24" sqref="J24"/>
    </sheetView>
  </sheetViews>
  <sheetFormatPr defaultColWidth="11.7109375" defaultRowHeight="10.5" customHeight="1" outlineLevelRow="1"/>
  <cols>
    <col min="1" max="1" width="2.140625" style="84" customWidth="1"/>
    <col min="2" max="2" width="1.85546875" style="84" customWidth="1"/>
    <col min="3" max="3" width="2" style="84" customWidth="1"/>
    <col min="4" max="9" width="6.85546875" style="84" customWidth="1"/>
    <col min="10" max="69" width="12.7109375" style="84" customWidth="1"/>
    <col min="70" max="16384" width="11.7109375" style="84"/>
  </cols>
  <sheetData>
    <row r="1" spans="1:69" ht="17.399999999999999">
      <c r="B1" s="85" t="s">
        <v>132</v>
      </c>
      <c r="C1" s="112"/>
      <c r="D1" s="112"/>
      <c r="E1" s="112"/>
      <c r="F1" s="112"/>
      <c r="G1" s="112"/>
      <c r="H1" s="112"/>
    </row>
    <row r="2" spans="1:69" ht="15">
      <c r="B2" s="113"/>
      <c r="C2" s="87" t="s">
        <v>163</v>
      </c>
      <c r="D2" s="112"/>
      <c r="E2" s="112"/>
      <c r="F2" s="112"/>
      <c r="G2" s="112"/>
      <c r="H2" s="112"/>
    </row>
    <row r="3" spans="1:69" ht="10.199999999999999">
      <c r="B3" s="88"/>
      <c r="C3" s="89"/>
      <c r="D3" s="89"/>
      <c r="E3" s="89"/>
      <c r="F3" s="89"/>
      <c r="G3" s="90"/>
      <c r="H3" s="90"/>
      <c r="I3" s="89"/>
    </row>
    <row r="4" spans="1:69" ht="10.199999999999999">
      <c r="A4" s="91"/>
      <c r="B4" s="92" t="s">
        <v>72</v>
      </c>
      <c r="C4" s="91"/>
      <c r="D4" s="91"/>
      <c r="E4" s="91"/>
      <c r="F4" s="91"/>
      <c r="G4" s="91"/>
      <c r="H4" s="91"/>
      <c r="I4" s="91"/>
      <c r="J4" s="91">
        <f>YEAR(J6)</f>
        <v>2018</v>
      </c>
      <c r="K4" s="91">
        <f t="shared" ref="K4" si="0">YEAR(K6)</f>
        <v>2018</v>
      </c>
      <c r="L4" s="91">
        <f t="shared" ref="L4" si="1">YEAR(L6)</f>
        <v>2018</v>
      </c>
      <c r="M4" s="91">
        <f t="shared" ref="M4" si="2">YEAR(M6)</f>
        <v>2018</v>
      </c>
      <c r="N4" s="91">
        <f t="shared" ref="N4" si="3">YEAR(N6)</f>
        <v>2018</v>
      </c>
      <c r="O4" s="91">
        <f t="shared" ref="O4" si="4">YEAR(O6)</f>
        <v>2018</v>
      </c>
      <c r="P4" s="91">
        <f t="shared" ref="P4" si="5">YEAR(P6)</f>
        <v>2018</v>
      </c>
      <c r="Q4" s="91">
        <f t="shared" ref="Q4" si="6">YEAR(Q6)</f>
        <v>2018</v>
      </c>
      <c r="R4" s="91">
        <f t="shared" ref="R4" si="7">YEAR(R6)</f>
        <v>2018</v>
      </c>
      <c r="S4" s="91">
        <f t="shared" ref="S4" si="8">YEAR(S6)</f>
        <v>2018</v>
      </c>
      <c r="T4" s="91">
        <f t="shared" ref="T4" si="9">YEAR(T6)</f>
        <v>2018</v>
      </c>
      <c r="U4" s="91">
        <f t="shared" ref="U4" si="10">YEAR(U6)</f>
        <v>2018</v>
      </c>
      <c r="V4" s="91">
        <f t="shared" ref="V4" si="11">YEAR(V6)</f>
        <v>2019</v>
      </c>
      <c r="W4" s="91">
        <f t="shared" ref="W4" si="12">YEAR(W6)</f>
        <v>2019</v>
      </c>
      <c r="X4" s="91">
        <f t="shared" ref="X4" si="13">YEAR(X6)</f>
        <v>2019</v>
      </c>
      <c r="Y4" s="91">
        <f t="shared" ref="Y4" si="14">YEAR(Y6)</f>
        <v>2019</v>
      </c>
      <c r="Z4" s="91">
        <f t="shared" ref="Z4" si="15">YEAR(Z6)</f>
        <v>2019</v>
      </c>
      <c r="AA4" s="91">
        <f t="shared" ref="AA4" si="16">YEAR(AA6)</f>
        <v>2019</v>
      </c>
      <c r="AB4" s="91">
        <f t="shared" ref="AB4" si="17">YEAR(AB6)</f>
        <v>2019</v>
      </c>
      <c r="AC4" s="91">
        <f t="shared" ref="AC4" si="18">YEAR(AC6)</f>
        <v>2019</v>
      </c>
      <c r="AD4" s="91">
        <f t="shared" ref="AD4" si="19">YEAR(AD6)</f>
        <v>2019</v>
      </c>
      <c r="AE4" s="91">
        <f t="shared" ref="AE4" si="20">YEAR(AE6)</f>
        <v>2019</v>
      </c>
      <c r="AF4" s="91">
        <f t="shared" ref="AF4" si="21">YEAR(AF6)</f>
        <v>2019</v>
      </c>
      <c r="AG4" s="91">
        <f t="shared" ref="AG4" si="22">YEAR(AG6)</f>
        <v>2019</v>
      </c>
      <c r="AH4" s="91">
        <f t="shared" ref="AH4" si="23">YEAR(AH6)</f>
        <v>2020</v>
      </c>
      <c r="AI4" s="91">
        <f t="shared" ref="AI4" si="24">YEAR(AI6)</f>
        <v>2020</v>
      </c>
      <c r="AJ4" s="91">
        <f t="shared" ref="AJ4" si="25">YEAR(AJ6)</f>
        <v>2020</v>
      </c>
      <c r="AK4" s="91">
        <f t="shared" ref="AK4" si="26">YEAR(AK6)</f>
        <v>2020</v>
      </c>
      <c r="AL4" s="91">
        <f t="shared" ref="AL4" si="27">YEAR(AL6)</f>
        <v>2020</v>
      </c>
      <c r="AM4" s="91">
        <f t="shared" ref="AM4" si="28">YEAR(AM6)</f>
        <v>2020</v>
      </c>
      <c r="AN4" s="91">
        <f t="shared" ref="AN4" si="29">YEAR(AN6)</f>
        <v>2020</v>
      </c>
      <c r="AO4" s="91">
        <f t="shared" ref="AO4" si="30">YEAR(AO6)</f>
        <v>2020</v>
      </c>
      <c r="AP4" s="91">
        <f t="shared" ref="AP4" si="31">YEAR(AP6)</f>
        <v>2020</v>
      </c>
      <c r="AQ4" s="91">
        <f t="shared" ref="AQ4" si="32">YEAR(AQ6)</f>
        <v>2020</v>
      </c>
      <c r="AR4" s="91">
        <f t="shared" ref="AR4" si="33">YEAR(AR6)</f>
        <v>2020</v>
      </c>
      <c r="AS4" s="91">
        <f t="shared" ref="AS4" si="34">YEAR(AS6)</f>
        <v>2020</v>
      </c>
      <c r="AT4" s="91">
        <f t="shared" ref="AT4" si="35">YEAR(AT6)</f>
        <v>2021</v>
      </c>
      <c r="AU4" s="91">
        <f t="shared" ref="AU4" si="36">YEAR(AU6)</f>
        <v>2021</v>
      </c>
      <c r="AV4" s="91">
        <f t="shared" ref="AV4" si="37">YEAR(AV6)</f>
        <v>2021</v>
      </c>
      <c r="AW4" s="91">
        <f t="shared" ref="AW4" si="38">YEAR(AW6)</f>
        <v>2021</v>
      </c>
      <c r="AX4" s="91">
        <f t="shared" ref="AX4" si="39">YEAR(AX6)</f>
        <v>2021</v>
      </c>
      <c r="AY4" s="91">
        <f t="shared" ref="AY4" si="40">YEAR(AY6)</f>
        <v>2021</v>
      </c>
      <c r="AZ4" s="91">
        <f t="shared" ref="AZ4" si="41">YEAR(AZ6)</f>
        <v>2021</v>
      </c>
      <c r="BA4" s="91">
        <f t="shared" ref="BA4" si="42">YEAR(BA6)</f>
        <v>2021</v>
      </c>
      <c r="BB4" s="91">
        <f t="shared" ref="BB4" si="43">YEAR(BB6)</f>
        <v>2021</v>
      </c>
      <c r="BC4" s="91">
        <f t="shared" ref="BC4" si="44">YEAR(BC6)</f>
        <v>2021</v>
      </c>
      <c r="BD4" s="91">
        <f t="shared" ref="BD4" si="45">YEAR(BD6)</f>
        <v>2021</v>
      </c>
      <c r="BE4" s="91">
        <f t="shared" ref="BE4" si="46">YEAR(BE6)</f>
        <v>2021</v>
      </c>
      <c r="BF4" s="91">
        <f t="shared" ref="BF4" si="47">YEAR(BF6)</f>
        <v>2022</v>
      </c>
      <c r="BG4" s="91">
        <f t="shared" ref="BG4" si="48">YEAR(BG6)</f>
        <v>2022</v>
      </c>
      <c r="BH4" s="91">
        <f t="shared" ref="BH4" si="49">YEAR(BH6)</f>
        <v>2022</v>
      </c>
      <c r="BI4" s="91">
        <f t="shared" ref="BI4" si="50">YEAR(BI6)</f>
        <v>2022</v>
      </c>
      <c r="BJ4" s="91">
        <f t="shared" ref="BJ4" si="51">YEAR(BJ6)</f>
        <v>2022</v>
      </c>
      <c r="BK4" s="91">
        <f t="shared" ref="BK4" si="52">YEAR(BK6)</f>
        <v>2022</v>
      </c>
      <c r="BL4" s="91">
        <f t="shared" ref="BL4" si="53">YEAR(BL6)</f>
        <v>2022</v>
      </c>
      <c r="BM4" s="91">
        <f t="shared" ref="BM4" si="54">YEAR(BM6)</f>
        <v>2022</v>
      </c>
      <c r="BN4" s="91">
        <f t="shared" ref="BN4" si="55">YEAR(BN6)</f>
        <v>2022</v>
      </c>
      <c r="BO4" s="91">
        <f t="shared" ref="BO4" si="56">YEAR(BO6)</f>
        <v>2022</v>
      </c>
      <c r="BP4" s="91">
        <f t="shared" ref="BP4" si="57">YEAR(BP6)</f>
        <v>2022</v>
      </c>
      <c r="BQ4" s="91">
        <f t="shared" ref="BQ4" si="58">YEAR(BQ6)</f>
        <v>2022</v>
      </c>
    </row>
    <row r="5" spans="1:69" ht="10.199999999999999">
      <c r="A5" s="91"/>
      <c r="B5" s="92" t="s">
        <v>156</v>
      </c>
      <c r="C5" s="91"/>
      <c r="D5" s="91"/>
      <c r="E5" s="91"/>
      <c r="F5" s="91"/>
      <c r="G5" s="91"/>
      <c r="H5" s="91"/>
      <c r="I5" s="91"/>
      <c r="J5" s="91">
        <f t="shared" ref="J5:AO5" si="59">J4-First_Fin_Year+1</f>
        <v>1</v>
      </c>
      <c r="K5" s="91">
        <f t="shared" si="59"/>
        <v>1</v>
      </c>
      <c r="L5" s="91">
        <f t="shared" si="59"/>
        <v>1</v>
      </c>
      <c r="M5" s="91">
        <f t="shared" si="59"/>
        <v>1</v>
      </c>
      <c r="N5" s="91">
        <f t="shared" si="59"/>
        <v>1</v>
      </c>
      <c r="O5" s="91">
        <f t="shared" si="59"/>
        <v>1</v>
      </c>
      <c r="P5" s="91">
        <f t="shared" si="59"/>
        <v>1</v>
      </c>
      <c r="Q5" s="91">
        <f t="shared" si="59"/>
        <v>1</v>
      </c>
      <c r="R5" s="91">
        <f t="shared" si="59"/>
        <v>1</v>
      </c>
      <c r="S5" s="91">
        <f t="shared" si="59"/>
        <v>1</v>
      </c>
      <c r="T5" s="91">
        <f t="shared" si="59"/>
        <v>1</v>
      </c>
      <c r="U5" s="91">
        <f t="shared" si="59"/>
        <v>1</v>
      </c>
      <c r="V5" s="91">
        <f t="shared" si="59"/>
        <v>2</v>
      </c>
      <c r="W5" s="91">
        <f t="shared" si="59"/>
        <v>2</v>
      </c>
      <c r="X5" s="91">
        <f t="shared" si="59"/>
        <v>2</v>
      </c>
      <c r="Y5" s="91">
        <f t="shared" si="59"/>
        <v>2</v>
      </c>
      <c r="Z5" s="91">
        <f t="shared" si="59"/>
        <v>2</v>
      </c>
      <c r="AA5" s="91">
        <f t="shared" si="59"/>
        <v>2</v>
      </c>
      <c r="AB5" s="91">
        <f t="shared" si="59"/>
        <v>2</v>
      </c>
      <c r="AC5" s="91">
        <f t="shared" si="59"/>
        <v>2</v>
      </c>
      <c r="AD5" s="91">
        <f t="shared" si="59"/>
        <v>2</v>
      </c>
      <c r="AE5" s="91">
        <f t="shared" si="59"/>
        <v>2</v>
      </c>
      <c r="AF5" s="91">
        <f t="shared" si="59"/>
        <v>2</v>
      </c>
      <c r="AG5" s="91">
        <f t="shared" si="59"/>
        <v>2</v>
      </c>
      <c r="AH5" s="91">
        <f t="shared" si="59"/>
        <v>3</v>
      </c>
      <c r="AI5" s="91">
        <f t="shared" si="59"/>
        <v>3</v>
      </c>
      <c r="AJ5" s="91">
        <f t="shared" si="59"/>
        <v>3</v>
      </c>
      <c r="AK5" s="91">
        <f t="shared" si="59"/>
        <v>3</v>
      </c>
      <c r="AL5" s="91">
        <f t="shared" si="59"/>
        <v>3</v>
      </c>
      <c r="AM5" s="91">
        <f t="shared" si="59"/>
        <v>3</v>
      </c>
      <c r="AN5" s="91">
        <f t="shared" si="59"/>
        <v>3</v>
      </c>
      <c r="AO5" s="91">
        <f t="shared" si="59"/>
        <v>3</v>
      </c>
      <c r="AP5" s="91">
        <f t="shared" ref="AP5:BQ5" si="60">AP4-First_Fin_Year+1</f>
        <v>3</v>
      </c>
      <c r="AQ5" s="91">
        <f t="shared" si="60"/>
        <v>3</v>
      </c>
      <c r="AR5" s="91">
        <f t="shared" si="60"/>
        <v>3</v>
      </c>
      <c r="AS5" s="91">
        <f t="shared" si="60"/>
        <v>3</v>
      </c>
      <c r="AT5" s="91">
        <f t="shared" si="60"/>
        <v>4</v>
      </c>
      <c r="AU5" s="91">
        <f t="shared" si="60"/>
        <v>4</v>
      </c>
      <c r="AV5" s="91">
        <f t="shared" si="60"/>
        <v>4</v>
      </c>
      <c r="AW5" s="91">
        <f t="shared" si="60"/>
        <v>4</v>
      </c>
      <c r="AX5" s="91">
        <f t="shared" si="60"/>
        <v>4</v>
      </c>
      <c r="AY5" s="91">
        <f t="shared" si="60"/>
        <v>4</v>
      </c>
      <c r="AZ5" s="91">
        <f t="shared" si="60"/>
        <v>4</v>
      </c>
      <c r="BA5" s="91">
        <f t="shared" si="60"/>
        <v>4</v>
      </c>
      <c r="BB5" s="91">
        <f t="shared" si="60"/>
        <v>4</v>
      </c>
      <c r="BC5" s="91">
        <f t="shared" si="60"/>
        <v>4</v>
      </c>
      <c r="BD5" s="91">
        <f t="shared" si="60"/>
        <v>4</v>
      </c>
      <c r="BE5" s="91">
        <f t="shared" si="60"/>
        <v>4</v>
      </c>
      <c r="BF5" s="91">
        <f t="shared" si="60"/>
        <v>5</v>
      </c>
      <c r="BG5" s="91">
        <f t="shared" si="60"/>
        <v>5</v>
      </c>
      <c r="BH5" s="91">
        <f t="shared" si="60"/>
        <v>5</v>
      </c>
      <c r="BI5" s="91">
        <f t="shared" si="60"/>
        <v>5</v>
      </c>
      <c r="BJ5" s="91">
        <f t="shared" si="60"/>
        <v>5</v>
      </c>
      <c r="BK5" s="91">
        <f t="shared" si="60"/>
        <v>5</v>
      </c>
      <c r="BL5" s="91">
        <f t="shared" si="60"/>
        <v>5</v>
      </c>
      <c r="BM5" s="91">
        <f t="shared" si="60"/>
        <v>5</v>
      </c>
      <c r="BN5" s="91">
        <f t="shared" si="60"/>
        <v>5</v>
      </c>
      <c r="BO5" s="91">
        <f t="shared" si="60"/>
        <v>5</v>
      </c>
      <c r="BP5" s="91">
        <f t="shared" si="60"/>
        <v>5</v>
      </c>
      <c r="BQ5" s="91">
        <f t="shared" si="60"/>
        <v>5</v>
      </c>
    </row>
    <row r="6" spans="1:69" ht="10.199999999999999">
      <c r="B6" s="92" t="s">
        <v>45</v>
      </c>
      <c r="I6" s="114">
        <f>EOMONTH(J6,-1)</f>
        <v>43100</v>
      </c>
      <c r="J6" s="93">
        <f>DATE(First_Fin_Year,1,31)</f>
        <v>43131</v>
      </c>
      <c r="K6" s="93">
        <f>EOMONTH(J6,1)</f>
        <v>43159</v>
      </c>
      <c r="L6" s="93">
        <f t="shared" ref="L6:BQ6" si="61">EOMONTH(K6,1)</f>
        <v>43190</v>
      </c>
      <c r="M6" s="93">
        <f t="shared" si="61"/>
        <v>43220</v>
      </c>
      <c r="N6" s="93">
        <f t="shared" si="61"/>
        <v>43251</v>
      </c>
      <c r="O6" s="93">
        <f t="shared" si="61"/>
        <v>43281</v>
      </c>
      <c r="P6" s="93">
        <f t="shared" si="61"/>
        <v>43312</v>
      </c>
      <c r="Q6" s="93">
        <f t="shared" si="61"/>
        <v>43343</v>
      </c>
      <c r="R6" s="93">
        <f t="shared" si="61"/>
        <v>43373</v>
      </c>
      <c r="S6" s="93">
        <f t="shared" si="61"/>
        <v>43404</v>
      </c>
      <c r="T6" s="93">
        <f t="shared" si="61"/>
        <v>43434</v>
      </c>
      <c r="U6" s="93">
        <f t="shared" si="61"/>
        <v>43465</v>
      </c>
      <c r="V6" s="93">
        <f t="shared" si="61"/>
        <v>43496</v>
      </c>
      <c r="W6" s="93">
        <f t="shared" si="61"/>
        <v>43524</v>
      </c>
      <c r="X6" s="93">
        <f t="shared" si="61"/>
        <v>43555</v>
      </c>
      <c r="Y6" s="93">
        <f t="shared" si="61"/>
        <v>43585</v>
      </c>
      <c r="Z6" s="93">
        <f t="shared" si="61"/>
        <v>43616</v>
      </c>
      <c r="AA6" s="93">
        <f t="shared" si="61"/>
        <v>43646</v>
      </c>
      <c r="AB6" s="93">
        <f t="shared" si="61"/>
        <v>43677</v>
      </c>
      <c r="AC6" s="93">
        <f t="shared" si="61"/>
        <v>43708</v>
      </c>
      <c r="AD6" s="93">
        <f t="shared" si="61"/>
        <v>43738</v>
      </c>
      <c r="AE6" s="93">
        <f t="shared" si="61"/>
        <v>43769</v>
      </c>
      <c r="AF6" s="93">
        <f t="shared" si="61"/>
        <v>43799</v>
      </c>
      <c r="AG6" s="93">
        <f t="shared" si="61"/>
        <v>43830</v>
      </c>
      <c r="AH6" s="93">
        <f t="shared" si="61"/>
        <v>43861</v>
      </c>
      <c r="AI6" s="93">
        <f t="shared" si="61"/>
        <v>43890</v>
      </c>
      <c r="AJ6" s="93">
        <f t="shared" si="61"/>
        <v>43921</v>
      </c>
      <c r="AK6" s="93">
        <f t="shared" si="61"/>
        <v>43951</v>
      </c>
      <c r="AL6" s="93">
        <f t="shared" si="61"/>
        <v>43982</v>
      </c>
      <c r="AM6" s="93">
        <f t="shared" si="61"/>
        <v>44012</v>
      </c>
      <c r="AN6" s="93">
        <f t="shared" si="61"/>
        <v>44043</v>
      </c>
      <c r="AO6" s="93">
        <f t="shared" si="61"/>
        <v>44074</v>
      </c>
      <c r="AP6" s="93">
        <f t="shared" si="61"/>
        <v>44104</v>
      </c>
      <c r="AQ6" s="93">
        <f t="shared" si="61"/>
        <v>44135</v>
      </c>
      <c r="AR6" s="93">
        <f t="shared" si="61"/>
        <v>44165</v>
      </c>
      <c r="AS6" s="93">
        <f t="shared" si="61"/>
        <v>44196</v>
      </c>
      <c r="AT6" s="93">
        <f t="shared" si="61"/>
        <v>44227</v>
      </c>
      <c r="AU6" s="93">
        <f t="shared" si="61"/>
        <v>44255</v>
      </c>
      <c r="AV6" s="93">
        <f t="shared" si="61"/>
        <v>44286</v>
      </c>
      <c r="AW6" s="93">
        <f t="shared" si="61"/>
        <v>44316</v>
      </c>
      <c r="AX6" s="93">
        <f t="shared" si="61"/>
        <v>44347</v>
      </c>
      <c r="AY6" s="93">
        <f t="shared" si="61"/>
        <v>44377</v>
      </c>
      <c r="AZ6" s="93">
        <f t="shared" si="61"/>
        <v>44408</v>
      </c>
      <c r="BA6" s="93">
        <f t="shared" si="61"/>
        <v>44439</v>
      </c>
      <c r="BB6" s="93">
        <f t="shared" si="61"/>
        <v>44469</v>
      </c>
      <c r="BC6" s="93">
        <f t="shared" si="61"/>
        <v>44500</v>
      </c>
      <c r="BD6" s="93">
        <f t="shared" si="61"/>
        <v>44530</v>
      </c>
      <c r="BE6" s="93">
        <f t="shared" si="61"/>
        <v>44561</v>
      </c>
      <c r="BF6" s="93">
        <f t="shared" si="61"/>
        <v>44592</v>
      </c>
      <c r="BG6" s="93">
        <f t="shared" si="61"/>
        <v>44620</v>
      </c>
      <c r="BH6" s="93">
        <f t="shared" si="61"/>
        <v>44651</v>
      </c>
      <c r="BI6" s="93">
        <f t="shared" si="61"/>
        <v>44681</v>
      </c>
      <c r="BJ6" s="93">
        <f t="shared" si="61"/>
        <v>44712</v>
      </c>
      <c r="BK6" s="93">
        <f t="shared" si="61"/>
        <v>44742</v>
      </c>
      <c r="BL6" s="93">
        <f t="shared" si="61"/>
        <v>44773</v>
      </c>
      <c r="BM6" s="93">
        <f t="shared" si="61"/>
        <v>44804</v>
      </c>
      <c r="BN6" s="93">
        <f t="shared" si="61"/>
        <v>44834</v>
      </c>
      <c r="BO6" s="93">
        <f t="shared" si="61"/>
        <v>44865</v>
      </c>
      <c r="BP6" s="93">
        <f t="shared" si="61"/>
        <v>44895</v>
      </c>
      <c r="BQ6" s="93">
        <f t="shared" si="61"/>
        <v>44926</v>
      </c>
    </row>
    <row r="7" spans="1:69" ht="10.199999999999999">
      <c r="A7" s="91"/>
      <c r="B7" s="92"/>
      <c r="C7" s="91"/>
      <c r="D7" s="91"/>
      <c r="E7" s="91"/>
      <c r="F7" s="91"/>
      <c r="G7" s="91"/>
      <c r="H7" s="91"/>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1"/>
      <c r="AP7" s="91"/>
      <c r="AQ7" s="91"/>
      <c r="AR7" s="91"/>
      <c r="AS7" s="91"/>
      <c r="AT7" s="91"/>
      <c r="AU7" s="91"/>
      <c r="AV7" s="91"/>
      <c r="AW7" s="91"/>
      <c r="AX7" s="91"/>
      <c r="AY7" s="91"/>
      <c r="AZ7" s="91"/>
      <c r="BA7" s="91"/>
      <c r="BB7" s="91"/>
      <c r="BC7" s="91"/>
      <c r="BD7" s="91"/>
      <c r="BE7" s="91"/>
      <c r="BF7" s="91"/>
      <c r="BG7" s="91"/>
      <c r="BH7" s="91"/>
      <c r="BI7" s="91"/>
      <c r="BJ7" s="91"/>
      <c r="BK7" s="91"/>
      <c r="BL7" s="91"/>
      <c r="BM7" s="91"/>
      <c r="BN7" s="91"/>
      <c r="BO7" s="91"/>
      <c r="BP7" s="91"/>
      <c r="BQ7" s="91"/>
    </row>
    <row r="8" spans="1:69" ht="13.8">
      <c r="B8" s="94" t="s">
        <v>158</v>
      </c>
    </row>
    <row r="9" spans="1:69" ht="10.199999999999999" outlineLevel="1">
      <c r="A9" s="115"/>
      <c r="B9" s="115"/>
      <c r="C9" s="115"/>
      <c r="D9" s="116" t="str">
        <f>INDEX(Product_Names,1,1)</f>
        <v>Product 1</v>
      </c>
      <c r="E9" s="117"/>
      <c r="F9" s="115"/>
      <c r="G9" s="115"/>
      <c r="H9" s="115"/>
      <c r="I9" s="115"/>
      <c r="J9" s="118">
        <f t="shared" ref="J9:AO9" si="62">IF(J6&lt;Launch_1,0,INDEX(Sales_Volume,1,J5))/IF(YEAR(Launch_1)=J4,12-MONTH(Launch_1)+1,12)</f>
        <v>250</v>
      </c>
      <c r="K9" s="118">
        <f t="shared" si="62"/>
        <v>250</v>
      </c>
      <c r="L9" s="118">
        <f t="shared" si="62"/>
        <v>250</v>
      </c>
      <c r="M9" s="118">
        <f t="shared" si="62"/>
        <v>250</v>
      </c>
      <c r="N9" s="118">
        <f t="shared" si="62"/>
        <v>250</v>
      </c>
      <c r="O9" s="118">
        <f t="shared" si="62"/>
        <v>250</v>
      </c>
      <c r="P9" s="118">
        <f t="shared" si="62"/>
        <v>250</v>
      </c>
      <c r="Q9" s="118">
        <f t="shared" si="62"/>
        <v>250</v>
      </c>
      <c r="R9" s="118">
        <f t="shared" si="62"/>
        <v>250</v>
      </c>
      <c r="S9" s="118">
        <f t="shared" si="62"/>
        <v>250</v>
      </c>
      <c r="T9" s="118">
        <f t="shared" si="62"/>
        <v>250</v>
      </c>
      <c r="U9" s="118">
        <f t="shared" si="62"/>
        <v>250</v>
      </c>
      <c r="V9" s="118">
        <f t="shared" si="62"/>
        <v>300</v>
      </c>
      <c r="W9" s="118">
        <f t="shared" si="62"/>
        <v>300</v>
      </c>
      <c r="X9" s="118">
        <f t="shared" si="62"/>
        <v>300</v>
      </c>
      <c r="Y9" s="118">
        <f t="shared" si="62"/>
        <v>300</v>
      </c>
      <c r="Z9" s="118">
        <f t="shared" si="62"/>
        <v>300</v>
      </c>
      <c r="AA9" s="118">
        <f t="shared" si="62"/>
        <v>300</v>
      </c>
      <c r="AB9" s="118">
        <f t="shared" si="62"/>
        <v>300</v>
      </c>
      <c r="AC9" s="118">
        <f t="shared" si="62"/>
        <v>300</v>
      </c>
      <c r="AD9" s="118">
        <f t="shared" si="62"/>
        <v>300</v>
      </c>
      <c r="AE9" s="118">
        <f t="shared" si="62"/>
        <v>300</v>
      </c>
      <c r="AF9" s="118">
        <f t="shared" si="62"/>
        <v>300</v>
      </c>
      <c r="AG9" s="118">
        <f t="shared" si="62"/>
        <v>300</v>
      </c>
      <c r="AH9" s="118">
        <f t="shared" si="62"/>
        <v>360</v>
      </c>
      <c r="AI9" s="118">
        <f t="shared" si="62"/>
        <v>360</v>
      </c>
      <c r="AJ9" s="118">
        <f t="shared" si="62"/>
        <v>360</v>
      </c>
      <c r="AK9" s="118">
        <f t="shared" si="62"/>
        <v>360</v>
      </c>
      <c r="AL9" s="118">
        <f t="shared" si="62"/>
        <v>360</v>
      </c>
      <c r="AM9" s="118">
        <f t="shared" si="62"/>
        <v>360</v>
      </c>
      <c r="AN9" s="118">
        <f t="shared" si="62"/>
        <v>360</v>
      </c>
      <c r="AO9" s="118">
        <f t="shared" si="62"/>
        <v>360</v>
      </c>
      <c r="AP9" s="118">
        <f t="shared" ref="AP9:BQ9" si="63">IF(AP6&lt;Launch_1,0,INDEX(Sales_Volume,1,AP5))/IF(YEAR(Launch_1)=AP4,12-MONTH(Launch_1)+1,12)</f>
        <v>360</v>
      </c>
      <c r="AQ9" s="118">
        <f t="shared" si="63"/>
        <v>360</v>
      </c>
      <c r="AR9" s="118">
        <f t="shared" si="63"/>
        <v>360</v>
      </c>
      <c r="AS9" s="118">
        <f t="shared" si="63"/>
        <v>360</v>
      </c>
      <c r="AT9" s="118">
        <f t="shared" si="63"/>
        <v>432</v>
      </c>
      <c r="AU9" s="118">
        <f t="shared" si="63"/>
        <v>432</v>
      </c>
      <c r="AV9" s="118">
        <f t="shared" si="63"/>
        <v>432</v>
      </c>
      <c r="AW9" s="118">
        <f t="shared" si="63"/>
        <v>432</v>
      </c>
      <c r="AX9" s="118">
        <f t="shared" si="63"/>
        <v>432</v>
      </c>
      <c r="AY9" s="118">
        <f t="shared" si="63"/>
        <v>432</v>
      </c>
      <c r="AZ9" s="118">
        <f t="shared" si="63"/>
        <v>432</v>
      </c>
      <c r="BA9" s="118">
        <f t="shared" si="63"/>
        <v>432</v>
      </c>
      <c r="BB9" s="118">
        <f t="shared" si="63"/>
        <v>432</v>
      </c>
      <c r="BC9" s="118">
        <f t="shared" si="63"/>
        <v>432</v>
      </c>
      <c r="BD9" s="118">
        <f t="shared" si="63"/>
        <v>432</v>
      </c>
      <c r="BE9" s="118">
        <f t="shared" si="63"/>
        <v>432</v>
      </c>
      <c r="BF9" s="118">
        <f t="shared" si="63"/>
        <v>518.4</v>
      </c>
      <c r="BG9" s="118">
        <f t="shared" si="63"/>
        <v>518.4</v>
      </c>
      <c r="BH9" s="118">
        <f t="shared" si="63"/>
        <v>518.4</v>
      </c>
      <c r="BI9" s="118">
        <f t="shared" si="63"/>
        <v>518.4</v>
      </c>
      <c r="BJ9" s="118">
        <f t="shared" si="63"/>
        <v>518.4</v>
      </c>
      <c r="BK9" s="118">
        <f t="shared" si="63"/>
        <v>518.4</v>
      </c>
      <c r="BL9" s="118">
        <f t="shared" si="63"/>
        <v>518.4</v>
      </c>
      <c r="BM9" s="118">
        <f t="shared" si="63"/>
        <v>518.4</v>
      </c>
      <c r="BN9" s="118">
        <f t="shared" si="63"/>
        <v>518.4</v>
      </c>
      <c r="BO9" s="118">
        <f t="shared" si="63"/>
        <v>518.4</v>
      </c>
      <c r="BP9" s="118">
        <f t="shared" si="63"/>
        <v>518.4</v>
      </c>
      <c r="BQ9" s="118">
        <f t="shared" si="63"/>
        <v>518.4</v>
      </c>
    </row>
    <row r="10" spans="1:69" ht="10.199999999999999" outlineLevel="1">
      <c r="A10" s="115"/>
      <c r="B10" s="115"/>
      <c r="C10" s="115"/>
      <c r="D10" s="116" t="str">
        <f>INDEX(Product_Names,2,1)</f>
        <v>Product 2</v>
      </c>
      <c r="E10" s="117"/>
      <c r="F10" s="115"/>
      <c r="G10" s="115"/>
      <c r="H10" s="115"/>
      <c r="I10" s="115"/>
      <c r="J10" s="118">
        <f t="shared" ref="J10:AO10" si="64">IF(J6&lt;Launch_2,0,INDEX(Sales_Volume,2,J5))/IF(YEAR(Launch_2)=J4,12-MONTH(Launch_2)+1,12)</f>
        <v>0</v>
      </c>
      <c r="K10" s="118">
        <f t="shared" si="64"/>
        <v>181.81818181818181</v>
      </c>
      <c r="L10" s="118">
        <f t="shared" si="64"/>
        <v>181.81818181818181</v>
      </c>
      <c r="M10" s="118">
        <f t="shared" si="64"/>
        <v>181.81818181818181</v>
      </c>
      <c r="N10" s="118">
        <f t="shared" si="64"/>
        <v>181.81818181818181</v>
      </c>
      <c r="O10" s="118">
        <f t="shared" si="64"/>
        <v>181.81818181818181</v>
      </c>
      <c r="P10" s="118">
        <f t="shared" si="64"/>
        <v>181.81818181818181</v>
      </c>
      <c r="Q10" s="118">
        <f t="shared" si="64"/>
        <v>181.81818181818181</v>
      </c>
      <c r="R10" s="118">
        <f t="shared" si="64"/>
        <v>181.81818181818181</v>
      </c>
      <c r="S10" s="118">
        <f t="shared" si="64"/>
        <v>181.81818181818181</v>
      </c>
      <c r="T10" s="118">
        <f t="shared" si="64"/>
        <v>181.81818181818181</v>
      </c>
      <c r="U10" s="118">
        <f t="shared" si="64"/>
        <v>181.81818181818181</v>
      </c>
      <c r="V10" s="118">
        <f t="shared" si="64"/>
        <v>200</v>
      </c>
      <c r="W10" s="118">
        <f t="shared" si="64"/>
        <v>200</v>
      </c>
      <c r="X10" s="118">
        <f t="shared" si="64"/>
        <v>200</v>
      </c>
      <c r="Y10" s="118">
        <f t="shared" si="64"/>
        <v>200</v>
      </c>
      <c r="Z10" s="118">
        <f t="shared" si="64"/>
        <v>200</v>
      </c>
      <c r="AA10" s="118">
        <f t="shared" si="64"/>
        <v>200</v>
      </c>
      <c r="AB10" s="118">
        <f t="shared" si="64"/>
        <v>200</v>
      </c>
      <c r="AC10" s="118">
        <f t="shared" si="64"/>
        <v>200</v>
      </c>
      <c r="AD10" s="118">
        <f t="shared" si="64"/>
        <v>200</v>
      </c>
      <c r="AE10" s="118">
        <f t="shared" si="64"/>
        <v>200</v>
      </c>
      <c r="AF10" s="118">
        <f t="shared" si="64"/>
        <v>200</v>
      </c>
      <c r="AG10" s="118">
        <f t="shared" si="64"/>
        <v>200</v>
      </c>
      <c r="AH10" s="118">
        <f t="shared" si="64"/>
        <v>240</v>
      </c>
      <c r="AI10" s="118">
        <f t="shared" si="64"/>
        <v>240</v>
      </c>
      <c r="AJ10" s="118">
        <f t="shared" si="64"/>
        <v>240</v>
      </c>
      <c r="AK10" s="118">
        <f t="shared" si="64"/>
        <v>240</v>
      </c>
      <c r="AL10" s="118">
        <f t="shared" si="64"/>
        <v>240</v>
      </c>
      <c r="AM10" s="118">
        <f t="shared" si="64"/>
        <v>240</v>
      </c>
      <c r="AN10" s="118">
        <f t="shared" si="64"/>
        <v>240</v>
      </c>
      <c r="AO10" s="118">
        <f t="shared" si="64"/>
        <v>240</v>
      </c>
      <c r="AP10" s="118">
        <f t="shared" ref="AP10:BQ10" si="65">IF(AP6&lt;Launch_2,0,INDEX(Sales_Volume,2,AP5))/IF(YEAR(Launch_2)=AP4,12-MONTH(Launch_2)+1,12)</f>
        <v>240</v>
      </c>
      <c r="AQ10" s="118">
        <f t="shared" si="65"/>
        <v>240</v>
      </c>
      <c r="AR10" s="118">
        <f t="shared" si="65"/>
        <v>240</v>
      </c>
      <c r="AS10" s="118">
        <f t="shared" si="65"/>
        <v>240</v>
      </c>
      <c r="AT10" s="118">
        <f t="shared" si="65"/>
        <v>288</v>
      </c>
      <c r="AU10" s="118">
        <f t="shared" si="65"/>
        <v>288</v>
      </c>
      <c r="AV10" s="118">
        <f t="shared" si="65"/>
        <v>288</v>
      </c>
      <c r="AW10" s="118">
        <f t="shared" si="65"/>
        <v>288</v>
      </c>
      <c r="AX10" s="118">
        <f t="shared" si="65"/>
        <v>288</v>
      </c>
      <c r="AY10" s="118">
        <f t="shared" si="65"/>
        <v>288</v>
      </c>
      <c r="AZ10" s="118">
        <f t="shared" si="65"/>
        <v>288</v>
      </c>
      <c r="BA10" s="118">
        <f t="shared" si="65"/>
        <v>288</v>
      </c>
      <c r="BB10" s="118">
        <f t="shared" si="65"/>
        <v>288</v>
      </c>
      <c r="BC10" s="118">
        <f t="shared" si="65"/>
        <v>288</v>
      </c>
      <c r="BD10" s="118">
        <f t="shared" si="65"/>
        <v>288</v>
      </c>
      <c r="BE10" s="118">
        <f t="shared" si="65"/>
        <v>288</v>
      </c>
      <c r="BF10" s="118">
        <f t="shared" si="65"/>
        <v>345.59999999999997</v>
      </c>
      <c r="BG10" s="118">
        <f t="shared" si="65"/>
        <v>345.59999999999997</v>
      </c>
      <c r="BH10" s="118">
        <f t="shared" si="65"/>
        <v>345.59999999999997</v>
      </c>
      <c r="BI10" s="118">
        <f t="shared" si="65"/>
        <v>345.59999999999997</v>
      </c>
      <c r="BJ10" s="118">
        <f t="shared" si="65"/>
        <v>345.59999999999997</v>
      </c>
      <c r="BK10" s="118">
        <f t="shared" si="65"/>
        <v>345.59999999999997</v>
      </c>
      <c r="BL10" s="118">
        <f t="shared" si="65"/>
        <v>345.59999999999997</v>
      </c>
      <c r="BM10" s="118">
        <f t="shared" si="65"/>
        <v>345.59999999999997</v>
      </c>
      <c r="BN10" s="118">
        <f t="shared" si="65"/>
        <v>345.59999999999997</v>
      </c>
      <c r="BO10" s="118">
        <f t="shared" si="65"/>
        <v>345.59999999999997</v>
      </c>
      <c r="BP10" s="118">
        <f t="shared" si="65"/>
        <v>345.59999999999997</v>
      </c>
      <c r="BQ10" s="118">
        <f t="shared" si="65"/>
        <v>345.59999999999997</v>
      </c>
    </row>
    <row r="11" spans="1:69" ht="10.199999999999999" outlineLevel="1">
      <c r="A11" s="115"/>
      <c r="B11" s="115"/>
      <c r="C11" s="115"/>
      <c r="D11" s="116" t="str">
        <f>INDEX(Product_Names,3,1)</f>
        <v>Product 3</v>
      </c>
      <c r="E11" s="117"/>
      <c r="F11" s="115"/>
      <c r="G11" s="115"/>
      <c r="H11" s="115"/>
      <c r="I11" s="115"/>
      <c r="J11" s="119">
        <f t="shared" ref="J11:AO11" si="66">IF(J6&lt;Launch_3,0,INDEX(Sales_Volume,3,J5))/IF(YEAR(Launch_3)=J4,12-MONTH(Launch_3)+1,12)</f>
        <v>0</v>
      </c>
      <c r="K11" s="119">
        <f t="shared" si="66"/>
        <v>0</v>
      </c>
      <c r="L11" s="119">
        <f t="shared" si="66"/>
        <v>100</v>
      </c>
      <c r="M11" s="119">
        <f t="shared" si="66"/>
        <v>100</v>
      </c>
      <c r="N11" s="119">
        <f t="shared" si="66"/>
        <v>100</v>
      </c>
      <c r="O11" s="119">
        <f t="shared" si="66"/>
        <v>100</v>
      </c>
      <c r="P11" s="119">
        <f t="shared" si="66"/>
        <v>100</v>
      </c>
      <c r="Q11" s="119">
        <f t="shared" si="66"/>
        <v>100</v>
      </c>
      <c r="R11" s="119">
        <f t="shared" si="66"/>
        <v>100</v>
      </c>
      <c r="S11" s="119">
        <f t="shared" si="66"/>
        <v>100</v>
      </c>
      <c r="T11" s="119">
        <f t="shared" si="66"/>
        <v>100</v>
      </c>
      <c r="U11" s="119">
        <f t="shared" si="66"/>
        <v>100</v>
      </c>
      <c r="V11" s="119">
        <f t="shared" si="66"/>
        <v>100</v>
      </c>
      <c r="W11" s="119">
        <f t="shared" si="66"/>
        <v>100</v>
      </c>
      <c r="X11" s="119">
        <f t="shared" si="66"/>
        <v>100</v>
      </c>
      <c r="Y11" s="119">
        <f t="shared" si="66"/>
        <v>100</v>
      </c>
      <c r="Z11" s="119">
        <f t="shared" si="66"/>
        <v>100</v>
      </c>
      <c r="AA11" s="119">
        <f t="shared" si="66"/>
        <v>100</v>
      </c>
      <c r="AB11" s="119">
        <f t="shared" si="66"/>
        <v>100</v>
      </c>
      <c r="AC11" s="119">
        <f t="shared" si="66"/>
        <v>100</v>
      </c>
      <c r="AD11" s="119">
        <f t="shared" si="66"/>
        <v>100</v>
      </c>
      <c r="AE11" s="119">
        <f t="shared" si="66"/>
        <v>100</v>
      </c>
      <c r="AF11" s="119">
        <f t="shared" si="66"/>
        <v>100</v>
      </c>
      <c r="AG11" s="119">
        <f t="shared" si="66"/>
        <v>100</v>
      </c>
      <c r="AH11" s="119">
        <f t="shared" si="66"/>
        <v>120</v>
      </c>
      <c r="AI11" s="119">
        <f t="shared" si="66"/>
        <v>120</v>
      </c>
      <c r="AJ11" s="119">
        <f t="shared" si="66"/>
        <v>120</v>
      </c>
      <c r="AK11" s="119">
        <f t="shared" si="66"/>
        <v>120</v>
      </c>
      <c r="AL11" s="119">
        <f t="shared" si="66"/>
        <v>120</v>
      </c>
      <c r="AM11" s="119">
        <f t="shared" si="66"/>
        <v>120</v>
      </c>
      <c r="AN11" s="119">
        <f t="shared" si="66"/>
        <v>120</v>
      </c>
      <c r="AO11" s="119">
        <f t="shared" si="66"/>
        <v>120</v>
      </c>
      <c r="AP11" s="119">
        <f t="shared" ref="AP11:BQ11" si="67">IF(AP6&lt;Launch_3,0,INDEX(Sales_Volume,3,AP5))/IF(YEAR(Launch_3)=AP4,12-MONTH(Launch_3)+1,12)</f>
        <v>120</v>
      </c>
      <c r="AQ11" s="119">
        <f t="shared" si="67"/>
        <v>120</v>
      </c>
      <c r="AR11" s="119">
        <f t="shared" si="67"/>
        <v>120</v>
      </c>
      <c r="AS11" s="119">
        <f t="shared" si="67"/>
        <v>120</v>
      </c>
      <c r="AT11" s="119">
        <f t="shared" si="67"/>
        <v>144</v>
      </c>
      <c r="AU11" s="119">
        <f t="shared" si="67"/>
        <v>144</v>
      </c>
      <c r="AV11" s="119">
        <f t="shared" si="67"/>
        <v>144</v>
      </c>
      <c r="AW11" s="119">
        <f t="shared" si="67"/>
        <v>144</v>
      </c>
      <c r="AX11" s="119">
        <f t="shared" si="67"/>
        <v>144</v>
      </c>
      <c r="AY11" s="119">
        <f t="shared" si="67"/>
        <v>144</v>
      </c>
      <c r="AZ11" s="119">
        <f t="shared" si="67"/>
        <v>144</v>
      </c>
      <c r="BA11" s="119">
        <f t="shared" si="67"/>
        <v>144</v>
      </c>
      <c r="BB11" s="119">
        <f t="shared" si="67"/>
        <v>144</v>
      </c>
      <c r="BC11" s="119">
        <f t="shared" si="67"/>
        <v>144</v>
      </c>
      <c r="BD11" s="119">
        <f t="shared" si="67"/>
        <v>144</v>
      </c>
      <c r="BE11" s="119">
        <f t="shared" si="67"/>
        <v>144</v>
      </c>
      <c r="BF11" s="119">
        <f t="shared" si="67"/>
        <v>172.79999999999998</v>
      </c>
      <c r="BG11" s="119">
        <f t="shared" si="67"/>
        <v>172.79999999999998</v>
      </c>
      <c r="BH11" s="119">
        <f t="shared" si="67"/>
        <v>172.79999999999998</v>
      </c>
      <c r="BI11" s="119">
        <f t="shared" si="67"/>
        <v>172.79999999999998</v>
      </c>
      <c r="BJ11" s="119">
        <f t="shared" si="67"/>
        <v>172.79999999999998</v>
      </c>
      <c r="BK11" s="119">
        <f t="shared" si="67"/>
        <v>172.79999999999998</v>
      </c>
      <c r="BL11" s="119">
        <f t="shared" si="67"/>
        <v>172.79999999999998</v>
      </c>
      <c r="BM11" s="119">
        <f t="shared" si="67"/>
        <v>172.79999999999998</v>
      </c>
      <c r="BN11" s="119">
        <f t="shared" si="67"/>
        <v>172.79999999999998</v>
      </c>
      <c r="BO11" s="119">
        <f t="shared" si="67"/>
        <v>172.79999999999998</v>
      </c>
      <c r="BP11" s="119">
        <f t="shared" si="67"/>
        <v>172.79999999999998</v>
      </c>
      <c r="BQ11" s="119">
        <f t="shared" si="67"/>
        <v>172.79999999999998</v>
      </c>
    </row>
    <row r="12" spans="1:69" ht="10.199999999999999" outlineLevel="1">
      <c r="A12" s="102"/>
      <c r="B12" s="102"/>
      <c r="C12" s="117" t="str">
        <f>"Total "&amp;B8</f>
        <v>Total Sales Volume, units</v>
      </c>
      <c r="D12" s="117"/>
      <c r="E12" s="117"/>
      <c r="F12" s="102"/>
      <c r="G12" s="102"/>
      <c r="H12" s="102"/>
      <c r="I12" s="102"/>
      <c r="J12" s="120">
        <f t="shared" ref="J12" si="68">SUM(J9:J11)</f>
        <v>250</v>
      </c>
      <c r="K12" s="120">
        <f t="shared" ref="K12:BQ12" si="69">SUM(K9:K11)</f>
        <v>431.81818181818181</v>
      </c>
      <c r="L12" s="120">
        <f t="shared" si="69"/>
        <v>531.81818181818176</v>
      </c>
      <c r="M12" s="120">
        <f t="shared" si="69"/>
        <v>531.81818181818176</v>
      </c>
      <c r="N12" s="120">
        <f t="shared" si="69"/>
        <v>531.81818181818176</v>
      </c>
      <c r="O12" s="120">
        <f t="shared" si="69"/>
        <v>531.81818181818176</v>
      </c>
      <c r="P12" s="120">
        <f t="shared" si="69"/>
        <v>531.81818181818176</v>
      </c>
      <c r="Q12" s="120">
        <f t="shared" si="69"/>
        <v>531.81818181818176</v>
      </c>
      <c r="R12" s="120">
        <f t="shared" si="69"/>
        <v>531.81818181818176</v>
      </c>
      <c r="S12" s="120">
        <f t="shared" si="69"/>
        <v>531.81818181818176</v>
      </c>
      <c r="T12" s="120">
        <f t="shared" si="69"/>
        <v>531.81818181818176</v>
      </c>
      <c r="U12" s="120">
        <f t="shared" si="69"/>
        <v>531.81818181818176</v>
      </c>
      <c r="V12" s="120">
        <f t="shared" si="69"/>
        <v>600</v>
      </c>
      <c r="W12" s="120">
        <f t="shared" si="69"/>
        <v>600</v>
      </c>
      <c r="X12" s="120">
        <f t="shared" si="69"/>
        <v>600</v>
      </c>
      <c r="Y12" s="120">
        <f t="shared" si="69"/>
        <v>600</v>
      </c>
      <c r="Z12" s="120">
        <f t="shared" si="69"/>
        <v>600</v>
      </c>
      <c r="AA12" s="120">
        <f t="shared" si="69"/>
        <v>600</v>
      </c>
      <c r="AB12" s="120">
        <f t="shared" si="69"/>
        <v>600</v>
      </c>
      <c r="AC12" s="120">
        <f t="shared" si="69"/>
        <v>600</v>
      </c>
      <c r="AD12" s="120">
        <f t="shared" si="69"/>
        <v>600</v>
      </c>
      <c r="AE12" s="120">
        <f t="shared" si="69"/>
        <v>600</v>
      </c>
      <c r="AF12" s="120">
        <f t="shared" si="69"/>
        <v>600</v>
      </c>
      <c r="AG12" s="120">
        <f t="shared" si="69"/>
        <v>600</v>
      </c>
      <c r="AH12" s="120">
        <f t="shared" si="69"/>
        <v>720</v>
      </c>
      <c r="AI12" s="120">
        <f t="shared" si="69"/>
        <v>720</v>
      </c>
      <c r="AJ12" s="120">
        <f t="shared" si="69"/>
        <v>720</v>
      </c>
      <c r="AK12" s="120">
        <f t="shared" si="69"/>
        <v>720</v>
      </c>
      <c r="AL12" s="120">
        <f t="shared" si="69"/>
        <v>720</v>
      </c>
      <c r="AM12" s="120">
        <f t="shared" si="69"/>
        <v>720</v>
      </c>
      <c r="AN12" s="120">
        <f t="shared" si="69"/>
        <v>720</v>
      </c>
      <c r="AO12" s="120">
        <f t="shared" si="69"/>
        <v>720</v>
      </c>
      <c r="AP12" s="120">
        <f t="shared" si="69"/>
        <v>720</v>
      </c>
      <c r="AQ12" s="120">
        <f t="shared" si="69"/>
        <v>720</v>
      </c>
      <c r="AR12" s="120">
        <f t="shared" si="69"/>
        <v>720</v>
      </c>
      <c r="AS12" s="120">
        <f t="shared" si="69"/>
        <v>720</v>
      </c>
      <c r="AT12" s="120">
        <f t="shared" si="69"/>
        <v>864</v>
      </c>
      <c r="AU12" s="120">
        <f t="shared" si="69"/>
        <v>864</v>
      </c>
      <c r="AV12" s="120">
        <f t="shared" si="69"/>
        <v>864</v>
      </c>
      <c r="AW12" s="120">
        <f t="shared" si="69"/>
        <v>864</v>
      </c>
      <c r="AX12" s="120">
        <f t="shared" si="69"/>
        <v>864</v>
      </c>
      <c r="AY12" s="120">
        <f t="shared" si="69"/>
        <v>864</v>
      </c>
      <c r="AZ12" s="120">
        <f t="shared" si="69"/>
        <v>864</v>
      </c>
      <c r="BA12" s="120">
        <f t="shared" si="69"/>
        <v>864</v>
      </c>
      <c r="BB12" s="120">
        <f t="shared" si="69"/>
        <v>864</v>
      </c>
      <c r="BC12" s="120">
        <f t="shared" si="69"/>
        <v>864</v>
      </c>
      <c r="BD12" s="120">
        <f t="shared" si="69"/>
        <v>864</v>
      </c>
      <c r="BE12" s="120">
        <f t="shared" si="69"/>
        <v>864</v>
      </c>
      <c r="BF12" s="120">
        <f t="shared" si="69"/>
        <v>1036.8</v>
      </c>
      <c r="BG12" s="120">
        <f t="shared" si="69"/>
        <v>1036.8</v>
      </c>
      <c r="BH12" s="120">
        <f t="shared" si="69"/>
        <v>1036.8</v>
      </c>
      <c r="BI12" s="120">
        <f t="shared" si="69"/>
        <v>1036.8</v>
      </c>
      <c r="BJ12" s="120">
        <f t="shared" si="69"/>
        <v>1036.8</v>
      </c>
      <c r="BK12" s="120">
        <f t="shared" si="69"/>
        <v>1036.8</v>
      </c>
      <c r="BL12" s="120">
        <f t="shared" si="69"/>
        <v>1036.8</v>
      </c>
      <c r="BM12" s="120">
        <f t="shared" si="69"/>
        <v>1036.8</v>
      </c>
      <c r="BN12" s="120">
        <f t="shared" si="69"/>
        <v>1036.8</v>
      </c>
      <c r="BO12" s="120">
        <f t="shared" si="69"/>
        <v>1036.8</v>
      </c>
      <c r="BP12" s="120">
        <f t="shared" si="69"/>
        <v>1036.8</v>
      </c>
      <c r="BQ12" s="120">
        <f t="shared" si="69"/>
        <v>1036.8</v>
      </c>
    </row>
    <row r="13" spans="1:69" ht="10.199999999999999"/>
    <row r="14" spans="1:69" ht="10.199999999999999"/>
    <row r="15" spans="1:69" ht="13.8">
      <c r="B15" s="94" t="str">
        <f>"Income Statement, "&amp;Currency</f>
        <v>Income Statement, $</v>
      </c>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row>
    <row r="16" spans="1:69" ht="10.199999999999999">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row>
    <row r="17" spans="1:69" ht="10.199999999999999" outlineLevel="1">
      <c r="C17" s="121" t="s">
        <v>0</v>
      </c>
      <c r="J17" s="100"/>
      <c r="K17" s="100"/>
      <c r="L17" s="100"/>
      <c r="M17" s="100"/>
      <c r="N17" s="100"/>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row>
    <row r="18" spans="1:69" ht="10.199999999999999" outlineLevel="1">
      <c r="C18" s="122"/>
      <c r="D18" s="123" t="str">
        <f>IS!D9</f>
        <v>Product 1</v>
      </c>
      <c r="J18" s="124">
        <f>INDEX(Price,1,J$5)*IS!J9</f>
        <v>2500</v>
      </c>
      <c r="K18" s="124">
        <f>INDEX(Price,1,K$5)*IS!K9</f>
        <v>2500</v>
      </c>
      <c r="L18" s="124">
        <f>INDEX(Price,1,L$5)*IS!L9</f>
        <v>2500</v>
      </c>
      <c r="M18" s="124">
        <f>INDEX(Price,1,M$5)*IS!M9</f>
        <v>2500</v>
      </c>
      <c r="N18" s="124">
        <f>INDEX(Price,1,N$5)*IS!N9</f>
        <v>2500</v>
      </c>
      <c r="O18" s="124">
        <f>INDEX(Price,1,O$5)*IS!O9</f>
        <v>2500</v>
      </c>
      <c r="P18" s="124">
        <f>INDEX(Price,1,P$5)*IS!P9</f>
        <v>2500</v>
      </c>
      <c r="Q18" s="124">
        <f>INDEX(Price,1,Q$5)*IS!Q9</f>
        <v>2500</v>
      </c>
      <c r="R18" s="124">
        <f>INDEX(Price,1,R$5)*IS!R9</f>
        <v>2500</v>
      </c>
      <c r="S18" s="124">
        <f>INDEX(Price,1,S$5)*IS!S9</f>
        <v>2500</v>
      </c>
      <c r="T18" s="124">
        <f>INDEX(Price,1,T$5)*IS!T9</f>
        <v>2500</v>
      </c>
      <c r="U18" s="124">
        <f>INDEX(Price,1,U$5)*IS!U9</f>
        <v>2500</v>
      </c>
      <c r="V18" s="124">
        <f>INDEX(Price,1,V$5)*IS!V9</f>
        <v>3300</v>
      </c>
      <c r="W18" s="124">
        <f>INDEX(Price,1,W$5)*IS!W9</f>
        <v>3300</v>
      </c>
      <c r="X18" s="124">
        <f>INDEX(Price,1,X$5)*IS!X9</f>
        <v>3300</v>
      </c>
      <c r="Y18" s="124">
        <f>INDEX(Price,1,Y$5)*IS!Y9</f>
        <v>3300</v>
      </c>
      <c r="Z18" s="124">
        <f>INDEX(Price,1,Z$5)*IS!Z9</f>
        <v>3300</v>
      </c>
      <c r="AA18" s="124">
        <f>INDEX(Price,1,AA$5)*IS!AA9</f>
        <v>3300</v>
      </c>
      <c r="AB18" s="124">
        <f>INDEX(Price,1,AB$5)*IS!AB9</f>
        <v>3300</v>
      </c>
      <c r="AC18" s="124">
        <f>INDEX(Price,1,AC$5)*IS!AC9</f>
        <v>3300</v>
      </c>
      <c r="AD18" s="124">
        <f>INDEX(Price,1,AD$5)*IS!AD9</f>
        <v>3300</v>
      </c>
      <c r="AE18" s="124">
        <f>INDEX(Price,1,AE$5)*IS!AE9</f>
        <v>3300</v>
      </c>
      <c r="AF18" s="124">
        <f>INDEX(Price,1,AF$5)*IS!AF9</f>
        <v>3300</v>
      </c>
      <c r="AG18" s="124">
        <f>INDEX(Price,1,AG$5)*IS!AG9</f>
        <v>3300</v>
      </c>
      <c r="AH18" s="124">
        <f>INDEX(Price,1,AH$5)*IS!AH9</f>
        <v>4356.0000000000009</v>
      </c>
      <c r="AI18" s="124">
        <f>INDEX(Price,1,AI$5)*IS!AI9</f>
        <v>4356.0000000000009</v>
      </c>
      <c r="AJ18" s="124">
        <f>INDEX(Price,1,AJ$5)*IS!AJ9</f>
        <v>4356.0000000000009</v>
      </c>
      <c r="AK18" s="124">
        <f>INDEX(Price,1,AK$5)*IS!AK9</f>
        <v>4356.0000000000009</v>
      </c>
      <c r="AL18" s="124">
        <f>INDEX(Price,1,AL$5)*IS!AL9</f>
        <v>4356.0000000000009</v>
      </c>
      <c r="AM18" s="124">
        <f>INDEX(Price,1,AM$5)*IS!AM9</f>
        <v>4356.0000000000009</v>
      </c>
      <c r="AN18" s="124">
        <f>INDEX(Price,1,AN$5)*IS!AN9</f>
        <v>4356.0000000000009</v>
      </c>
      <c r="AO18" s="124">
        <f>INDEX(Price,1,AO$5)*IS!AO9</f>
        <v>4356.0000000000009</v>
      </c>
      <c r="AP18" s="124">
        <f>INDEX(Price,1,AP$5)*IS!AP9</f>
        <v>4356.0000000000009</v>
      </c>
      <c r="AQ18" s="124">
        <f>INDEX(Price,1,AQ$5)*IS!AQ9</f>
        <v>4356.0000000000009</v>
      </c>
      <c r="AR18" s="124">
        <f>INDEX(Price,1,AR$5)*IS!AR9</f>
        <v>4356.0000000000009</v>
      </c>
      <c r="AS18" s="124">
        <f>INDEX(Price,1,AS$5)*IS!AS9</f>
        <v>4356.0000000000009</v>
      </c>
      <c r="AT18" s="124">
        <f>INDEX(Price,1,AT$5)*IS!AT9</f>
        <v>5749.920000000001</v>
      </c>
      <c r="AU18" s="124">
        <f>INDEX(Price,1,AU$5)*IS!AU9</f>
        <v>5749.920000000001</v>
      </c>
      <c r="AV18" s="124">
        <f>INDEX(Price,1,AV$5)*IS!AV9</f>
        <v>5749.920000000001</v>
      </c>
      <c r="AW18" s="124">
        <f>INDEX(Price,1,AW$5)*IS!AW9</f>
        <v>5749.920000000001</v>
      </c>
      <c r="AX18" s="124">
        <f>INDEX(Price,1,AX$5)*IS!AX9</f>
        <v>5749.920000000001</v>
      </c>
      <c r="AY18" s="124">
        <f>INDEX(Price,1,AY$5)*IS!AY9</f>
        <v>5749.920000000001</v>
      </c>
      <c r="AZ18" s="124">
        <f>INDEX(Price,1,AZ$5)*IS!AZ9</f>
        <v>5749.920000000001</v>
      </c>
      <c r="BA18" s="124">
        <f>INDEX(Price,1,BA$5)*IS!BA9</f>
        <v>5749.920000000001</v>
      </c>
      <c r="BB18" s="124">
        <f>INDEX(Price,1,BB$5)*IS!BB9</f>
        <v>5749.920000000001</v>
      </c>
      <c r="BC18" s="124">
        <f>INDEX(Price,1,BC$5)*IS!BC9</f>
        <v>5749.920000000001</v>
      </c>
      <c r="BD18" s="124">
        <f>INDEX(Price,1,BD$5)*IS!BD9</f>
        <v>5749.920000000001</v>
      </c>
      <c r="BE18" s="124">
        <f>INDEX(Price,1,BE$5)*IS!BE9</f>
        <v>5749.920000000001</v>
      </c>
      <c r="BF18" s="124">
        <f>INDEX(Price,1,BF$5)*IS!BF9</f>
        <v>7589.894400000002</v>
      </c>
      <c r="BG18" s="124">
        <f>INDEX(Price,1,BG$5)*IS!BG9</f>
        <v>7589.894400000002</v>
      </c>
      <c r="BH18" s="124">
        <f>INDEX(Price,1,BH$5)*IS!BH9</f>
        <v>7589.894400000002</v>
      </c>
      <c r="BI18" s="124">
        <f>INDEX(Price,1,BI$5)*IS!BI9</f>
        <v>7589.894400000002</v>
      </c>
      <c r="BJ18" s="124">
        <f>INDEX(Price,1,BJ$5)*IS!BJ9</f>
        <v>7589.894400000002</v>
      </c>
      <c r="BK18" s="124">
        <f>INDEX(Price,1,BK$5)*IS!BK9</f>
        <v>7589.894400000002</v>
      </c>
      <c r="BL18" s="124">
        <f>INDEX(Price,1,BL$5)*IS!BL9</f>
        <v>7589.894400000002</v>
      </c>
      <c r="BM18" s="124">
        <f>INDEX(Price,1,BM$5)*IS!BM9</f>
        <v>7589.894400000002</v>
      </c>
      <c r="BN18" s="124">
        <f>INDEX(Price,1,BN$5)*IS!BN9</f>
        <v>7589.894400000002</v>
      </c>
      <c r="BO18" s="124">
        <f>INDEX(Price,1,BO$5)*IS!BO9</f>
        <v>7589.894400000002</v>
      </c>
      <c r="BP18" s="124">
        <f>INDEX(Price,1,BP$5)*IS!BP9</f>
        <v>7589.894400000002</v>
      </c>
      <c r="BQ18" s="124">
        <f>INDEX(Price,1,BQ$5)*IS!BQ9</f>
        <v>7589.894400000002</v>
      </c>
    </row>
    <row r="19" spans="1:69" ht="10.199999999999999" outlineLevel="1">
      <c r="C19" s="122"/>
      <c r="D19" s="123" t="str">
        <f>IS!D10</f>
        <v>Product 2</v>
      </c>
      <c r="J19" s="124">
        <f>INDEX(Price,2,J$5)*IS!J10</f>
        <v>0</v>
      </c>
      <c r="K19" s="124">
        <f>INDEX(Price,2,K$5)*IS!K10</f>
        <v>4545.454545454545</v>
      </c>
      <c r="L19" s="124">
        <f>INDEX(Price,2,L$5)*IS!L10</f>
        <v>4545.454545454545</v>
      </c>
      <c r="M19" s="124">
        <f>INDEX(Price,2,M$5)*IS!M10</f>
        <v>4545.454545454545</v>
      </c>
      <c r="N19" s="124">
        <f>INDEX(Price,2,N$5)*IS!N10</f>
        <v>4545.454545454545</v>
      </c>
      <c r="O19" s="124">
        <f>INDEX(Price,2,O$5)*IS!O10</f>
        <v>4545.454545454545</v>
      </c>
      <c r="P19" s="124">
        <f>INDEX(Price,2,P$5)*IS!P10</f>
        <v>4545.454545454545</v>
      </c>
      <c r="Q19" s="124">
        <f>INDEX(Price,2,Q$5)*IS!Q10</f>
        <v>4545.454545454545</v>
      </c>
      <c r="R19" s="124">
        <f>INDEX(Price,2,R$5)*IS!R10</f>
        <v>4545.454545454545</v>
      </c>
      <c r="S19" s="124">
        <f>INDEX(Price,2,S$5)*IS!S10</f>
        <v>4545.454545454545</v>
      </c>
      <c r="T19" s="124">
        <f>INDEX(Price,2,T$5)*IS!T10</f>
        <v>4545.454545454545</v>
      </c>
      <c r="U19" s="124">
        <f>INDEX(Price,2,U$5)*IS!U10</f>
        <v>4545.454545454545</v>
      </c>
      <c r="V19" s="124">
        <f>INDEX(Price,2,V$5)*IS!V10</f>
        <v>5500.0000000000009</v>
      </c>
      <c r="W19" s="124">
        <f>INDEX(Price,2,W$5)*IS!W10</f>
        <v>5500.0000000000009</v>
      </c>
      <c r="X19" s="124">
        <f>INDEX(Price,2,X$5)*IS!X10</f>
        <v>5500.0000000000009</v>
      </c>
      <c r="Y19" s="124">
        <f>INDEX(Price,2,Y$5)*IS!Y10</f>
        <v>5500.0000000000009</v>
      </c>
      <c r="Z19" s="124">
        <f>INDEX(Price,2,Z$5)*IS!Z10</f>
        <v>5500.0000000000009</v>
      </c>
      <c r="AA19" s="124">
        <f>INDEX(Price,2,AA$5)*IS!AA10</f>
        <v>5500.0000000000009</v>
      </c>
      <c r="AB19" s="124">
        <f>INDEX(Price,2,AB$5)*IS!AB10</f>
        <v>5500.0000000000009</v>
      </c>
      <c r="AC19" s="124">
        <f>INDEX(Price,2,AC$5)*IS!AC10</f>
        <v>5500.0000000000009</v>
      </c>
      <c r="AD19" s="124">
        <f>INDEX(Price,2,AD$5)*IS!AD10</f>
        <v>5500.0000000000009</v>
      </c>
      <c r="AE19" s="124">
        <f>INDEX(Price,2,AE$5)*IS!AE10</f>
        <v>5500.0000000000009</v>
      </c>
      <c r="AF19" s="124">
        <f>INDEX(Price,2,AF$5)*IS!AF10</f>
        <v>5500.0000000000009</v>
      </c>
      <c r="AG19" s="124">
        <f>INDEX(Price,2,AG$5)*IS!AG10</f>
        <v>5500.0000000000009</v>
      </c>
      <c r="AH19" s="124">
        <f>INDEX(Price,2,AH$5)*IS!AH10</f>
        <v>7260.0000000000018</v>
      </c>
      <c r="AI19" s="124">
        <f>INDEX(Price,2,AI$5)*IS!AI10</f>
        <v>7260.0000000000018</v>
      </c>
      <c r="AJ19" s="124">
        <f>INDEX(Price,2,AJ$5)*IS!AJ10</f>
        <v>7260.0000000000018</v>
      </c>
      <c r="AK19" s="124">
        <f>INDEX(Price,2,AK$5)*IS!AK10</f>
        <v>7260.0000000000018</v>
      </c>
      <c r="AL19" s="124">
        <f>INDEX(Price,2,AL$5)*IS!AL10</f>
        <v>7260.0000000000018</v>
      </c>
      <c r="AM19" s="124">
        <f>INDEX(Price,2,AM$5)*IS!AM10</f>
        <v>7260.0000000000018</v>
      </c>
      <c r="AN19" s="124">
        <f>INDEX(Price,2,AN$5)*IS!AN10</f>
        <v>7260.0000000000018</v>
      </c>
      <c r="AO19" s="124">
        <f>INDEX(Price,2,AO$5)*IS!AO10</f>
        <v>7260.0000000000018</v>
      </c>
      <c r="AP19" s="124">
        <f>INDEX(Price,2,AP$5)*IS!AP10</f>
        <v>7260.0000000000018</v>
      </c>
      <c r="AQ19" s="124">
        <f>INDEX(Price,2,AQ$5)*IS!AQ10</f>
        <v>7260.0000000000018</v>
      </c>
      <c r="AR19" s="124">
        <f>INDEX(Price,2,AR$5)*IS!AR10</f>
        <v>7260.0000000000018</v>
      </c>
      <c r="AS19" s="124">
        <f>INDEX(Price,2,AS$5)*IS!AS10</f>
        <v>7260.0000000000018</v>
      </c>
      <c r="AT19" s="124">
        <f>INDEX(Price,2,AT$5)*IS!AT10</f>
        <v>9583.2000000000044</v>
      </c>
      <c r="AU19" s="124">
        <f>INDEX(Price,2,AU$5)*IS!AU10</f>
        <v>9583.2000000000044</v>
      </c>
      <c r="AV19" s="124">
        <f>INDEX(Price,2,AV$5)*IS!AV10</f>
        <v>9583.2000000000044</v>
      </c>
      <c r="AW19" s="124">
        <f>INDEX(Price,2,AW$5)*IS!AW10</f>
        <v>9583.2000000000044</v>
      </c>
      <c r="AX19" s="124">
        <f>INDEX(Price,2,AX$5)*IS!AX10</f>
        <v>9583.2000000000044</v>
      </c>
      <c r="AY19" s="124">
        <f>INDEX(Price,2,AY$5)*IS!AY10</f>
        <v>9583.2000000000044</v>
      </c>
      <c r="AZ19" s="124">
        <f>INDEX(Price,2,AZ$5)*IS!AZ10</f>
        <v>9583.2000000000044</v>
      </c>
      <c r="BA19" s="124">
        <f>INDEX(Price,2,BA$5)*IS!BA10</f>
        <v>9583.2000000000044</v>
      </c>
      <c r="BB19" s="124">
        <f>INDEX(Price,2,BB$5)*IS!BB10</f>
        <v>9583.2000000000044</v>
      </c>
      <c r="BC19" s="124">
        <f>INDEX(Price,2,BC$5)*IS!BC10</f>
        <v>9583.2000000000044</v>
      </c>
      <c r="BD19" s="124">
        <f>INDEX(Price,2,BD$5)*IS!BD10</f>
        <v>9583.2000000000044</v>
      </c>
      <c r="BE19" s="124">
        <f>INDEX(Price,2,BE$5)*IS!BE10</f>
        <v>9583.2000000000044</v>
      </c>
      <c r="BF19" s="124">
        <f>INDEX(Price,2,BF$5)*IS!BF10</f>
        <v>12649.824000000006</v>
      </c>
      <c r="BG19" s="124">
        <f>INDEX(Price,2,BG$5)*IS!BG10</f>
        <v>12649.824000000006</v>
      </c>
      <c r="BH19" s="124">
        <f>INDEX(Price,2,BH$5)*IS!BH10</f>
        <v>12649.824000000006</v>
      </c>
      <c r="BI19" s="124">
        <f>INDEX(Price,2,BI$5)*IS!BI10</f>
        <v>12649.824000000006</v>
      </c>
      <c r="BJ19" s="124">
        <f>INDEX(Price,2,BJ$5)*IS!BJ10</f>
        <v>12649.824000000006</v>
      </c>
      <c r="BK19" s="124">
        <f>INDEX(Price,2,BK$5)*IS!BK10</f>
        <v>12649.824000000006</v>
      </c>
      <c r="BL19" s="124">
        <f>INDEX(Price,2,BL$5)*IS!BL10</f>
        <v>12649.824000000006</v>
      </c>
      <c r="BM19" s="124">
        <f>INDEX(Price,2,BM$5)*IS!BM10</f>
        <v>12649.824000000006</v>
      </c>
      <c r="BN19" s="124">
        <f>INDEX(Price,2,BN$5)*IS!BN10</f>
        <v>12649.824000000006</v>
      </c>
      <c r="BO19" s="124">
        <f>INDEX(Price,2,BO$5)*IS!BO10</f>
        <v>12649.824000000006</v>
      </c>
      <c r="BP19" s="124">
        <f>INDEX(Price,2,BP$5)*IS!BP10</f>
        <v>12649.824000000006</v>
      </c>
      <c r="BQ19" s="124">
        <f>INDEX(Price,2,BQ$5)*IS!BQ10</f>
        <v>12649.824000000006</v>
      </c>
    </row>
    <row r="20" spans="1:69" ht="10.199999999999999" outlineLevel="1">
      <c r="C20" s="122"/>
      <c r="D20" s="123" t="str">
        <f>IS!D11</f>
        <v>Product 3</v>
      </c>
      <c r="J20" s="124">
        <f>INDEX(Price,3,J$5)*IS!J11</f>
        <v>0</v>
      </c>
      <c r="K20" s="124">
        <f>INDEX(Price,3,K$5)*IS!K11</f>
        <v>0</v>
      </c>
      <c r="L20" s="124">
        <f>INDEX(Price,3,L$5)*IS!L11</f>
        <v>3000</v>
      </c>
      <c r="M20" s="124">
        <f>INDEX(Price,3,M$5)*IS!M11</f>
        <v>3000</v>
      </c>
      <c r="N20" s="124">
        <f>INDEX(Price,3,N$5)*IS!N11</f>
        <v>3000</v>
      </c>
      <c r="O20" s="124">
        <f>INDEX(Price,3,O$5)*IS!O11</f>
        <v>3000</v>
      </c>
      <c r="P20" s="124">
        <f>INDEX(Price,3,P$5)*IS!P11</f>
        <v>3000</v>
      </c>
      <c r="Q20" s="124">
        <f>INDEX(Price,3,Q$5)*IS!Q11</f>
        <v>3000</v>
      </c>
      <c r="R20" s="124">
        <f>INDEX(Price,3,R$5)*IS!R11</f>
        <v>3000</v>
      </c>
      <c r="S20" s="124">
        <f>INDEX(Price,3,S$5)*IS!S11</f>
        <v>3000</v>
      </c>
      <c r="T20" s="124">
        <f>INDEX(Price,3,T$5)*IS!T11</f>
        <v>3000</v>
      </c>
      <c r="U20" s="124">
        <f>INDEX(Price,3,U$5)*IS!U11</f>
        <v>3000</v>
      </c>
      <c r="V20" s="124">
        <f>INDEX(Price,3,V$5)*IS!V11</f>
        <v>3300</v>
      </c>
      <c r="W20" s="124">
        <f>INDEX(Price,3,W$5)*IS!W11</f>
        <v>3300</v>
      </c>
      <c r="X20" s="124">
        <f>INDEX(Price,3,X$5)*IS!X11</f>
        <v>3300</v>
      </c>
      <c r="Y20" s="124">
        <f>INDEX(Price,3,Y$5)*IS!Y11</f>
        <v>3300</v>
      </c>
      <c r="Z20" s="124">
        <f>INDEX(Price,3,Z$5)*IS!Z11</f>
        <v>3300</v>
      </c>
      <c r="AA20" s="124">
        <f>INDEX(Price,3,AA$5)*IS!AA11</f>
        <v>3300</v>
      </c>
      <c r="AB20" s="124">
        <f>INDEX(Price,3,AB$5)*IS!AB11</f>
        <v>3300</v>
      </c>
      <c r="AC20" s="124">
        <f>INDEX(Price,3,AC$5)*IS!AC11</f>
        <v>3300</v>
      </c>
      <c r="AD20" s="124">
        <f>INDEX(Price,3,AD$5)*IS!AD11</f>
        <v>3300</v>
      </c>
      <c r="AE20" s="124">
        <f>INDEX(Price,3,AE$5)*IS!AE11</f>
        <v>3300</v>
      </c>
      <c r="AF20" s="124">
        <f>INDEX(Price,3,AF$5)*IS!AF11</f>
        <v>3300</v>
      </c>
      <c r="AG20" s="124">
        <f>INDEX(Price,3,AG$5)*IS!AG11</f>
        <v>3300</v>
      </c>
      <c r="AH20" s="124">
        <f>INDEX(Price,3,AH$5)*IS!AH11</f>
        <v>4356.0000000000009</v>
      </c>
      <c r="AI20" s="124">
        <f>INDEX(Price,3,AI$5)*IS!AI11</f>
        <v>4356.0000000000009</v>
      </c>
      <c r="AJ20" s="124">
        <f>INDEX(Price,3,AJ$5)*IS!AJ11</f>
        <v>4356.0000000000009</v>
      </c>
      <c r="AK20" s="124">
        <f>INDEX(Price,3,AK$5)*IS!AK11</f>
        <v>4356.0000000000009</v>
      </c>
      <c r="AL20" s="124">
        <f>INDEX(Price,3,AL$5)*IS!AL11</f>
        <v>4356.0000000000009</v>
      </c>
      <c r="AM20" s="124">
        <f>INDEX(Price,3,AM$5)*IS!AM11</f>
        <v>4356.0000000000009</v>
      </c>
      <c r="AN20" s="124">
        <f>INDEX(Price,3,AN$5)*IS!AN11</f>
        <v>4356.0000000000009</v>
      </c>
      <c r="AO20" s="124">
        <f>INDEX(Price,3,AO$5)*IS!AO11</f>
        <v>4356.0000000000009</v>
      </c>
      <c r="AP20" s="124">
        <f>INDEX(Price,3,AP$5)*IS!AP11</f>
        <v>4356.0000000000009</v>
      </c>
      <c r="AQ20" s="124">
        <f>INDEX(Price,3,AQ$5)*IS!AQ11</f>
        <v>4356.0000000000009</v>
      </c>
      <c r="AR20" s="124">
        <f>INDEX(Price,3,AR$5)*IS!AR11</f>
        <v>4356.0000000000009</v>
      </c>
      <c r="AS20" s="124">
        <f>INDEX(Price,3,AS$5)*IS!AS11</f>
        <v>4356.0000000000009</v>
      </c>
      <c r="AT20" s="124">
        <f>INDEX(Price,3,AT$5)*IS!AT11</f>
        <v>5749.920000000001</v>
      </c>
      <c r="AU20" s="124">
        <f>INDEX(Price,3,AU$5)*IS!AU11</f>
        <v>5749.920000000001</v>
      </c>
      <c r="AV20" s="124">
        <f>INDEX(Price,3,AV$5)*IS!AV11</f>
        <v>5749.920000000001</v>
      </c>
      <c r="AW20" s="124">
        <f>INDEX(Price,3,AW$5)*IS!AW11</f>
        <v>5749.920000000001</v>
      </c>
      <c r="AX20" s="124">
        <f>INDEX(Price,3,AX$5)*IS!AX11</f>
        <v>5749.920000000001</v>
      </c>
      <c r="AY20" s="124">
        <f>INDEX(Price,3,AY$5)*IS!AY11</f>
        <v>5749.920000000001</v>
      </c>
      <c r="AZ20" s="124">
        <f>INDEX(Price,3,AZ$5)*IS!AZ11</f>
        <v>5749.920000000001</v>
      </c>
      <c r="BA20" s="124">
        <f>INDEX(Price,3,BA$5)*IS!BA11</f>
        <v>5749.920000000001</v>
      </c>
      <c r="BB20" s="124">
        <f>INDEX(Price,3,BB$5)*IS!BB11</f>
        <v>5749.920000000001</v>
      </c>
      <c r="BC20" s="124">
        <f>INDEX(Price,3,BC$5)*IS!BC11</f>
        <v>5749.920000000001</v>
      </c>
      <c r="BD20" s="124">
        <f>INDEX(Price,3,BD$5)*IS!BD11</f>
        <v>5749.920000000001</v>
      </c>
      <c r="BE20" s="124">
        <f>INDEX(Price,3,BE$5)*IS!BE11</f>
        <v>5749.920000000001</v>
      </c>
      <c r="BF20" s="124">
        <f>INDEX(Price,3,BF$5)*IS!BF11</f>
        <v>7589.894400000001</v>
      </c>
      <c r="BG20" s="124">
        <f>INDEX(Price,3,BG$5)*IS!BG11</f>
        <v>7589.894400000001</v>
      </c>
      <c r="BH20" s="124">
        <f>INDEX(Price,3,BH$5)*IS!BH11</f>
        <v>7589.894400000001</v>
      </c>
      <c r="BI20" s="124">
        <f>INDEX(Price,3,BI$5)*IS!BI11</f>
        <v>7589.894400000001</v>
      </c>
      <c r="BJ20" s="124">
        <f>INDEX(Price,3,BJ$5)*IS!BJ11</f>
        <v>7589.894400000001</v>
      </c>
      <c r="BK20" s="124">
        <f>INDEX(Price,3,BK$5)*IS!BK11</f>
        <v>7589.894400000001</v>
      </c>
      <c r="BL20" s="124">
        <f>INDEX(Price,3,BL$5)*IS!BL11</f>
        <v>7589.894400000001</v>
      </c>
      <c r="BM20" s="124">
        <f>INDEX(Price,3,BM$5)*IS!BM11</f>
        <v>7589.894400000001</v>
      </c>
      <c r="BN20" s="124">
        <f>INDEX(Price,3,BN$5)*IS!BN11</f>
        <v>7589.894400000001</v>
      </c>
      <c r="BO20" s="124">
        <f>INDEX(Price,3,BO$5)*IS!BO11</f>
        <v>7589.894400000001</v>
      </c>
      <c r="BP20" s="124">
        <f>INDEX(Price,3,BP$5)*IS!BP11</f>
        <v>7589.894400000001</v>
      </c>
      <c r="BQ20" s="124">
        <f>INDEX(Price,3,BQ$5)*IS!BQ11</f>
        <v>7589.894400000001</v>
      </c>
    </row>
    <row r="21" spans="1:69" ht="10.199999999999999">
      <c r="A21" s="91"/>
      <c r="B21" s="91"/>
      <c r="C21" s="125"/>
      <c r="D21" s="92" t="s">
        <v>27</v>
      </c>
      <c r="E21" s="91"/>
      <c r="F21" s="91"/>
      <c r="G21" s="91"/>
      <c r="H21" s="91"/>
      <c r="I21" s="91"/>
      <c r="J21" s="126">
        <f t="shared" ref="J21" si="70">SUM(J18:J20)</f>
        <v>2500</v>
      </c>
      <c r="K21" s="126">
        <f t="shared" ref="K21:BQ21" si="71">SUM(K18:K20)</f>
        <v>7045.454545454545</v>
      </c>
      <c r="L21" s="126">
        <f t="shared" si="71"/>
        <v>10045.454545454544</v>
      </c>
      <c r="M21" s="126">
        <f t="shared" si="71"/>
        <v>10045.454545454544</v>
      </c>
      <c r="N21" s="126">
        <f t="shared" si="71"/>
        <v>10045.454545454544</v>
      </c>
      <c r="O21" s="126">
        <f t="shared" si="71"/>
        <v>10045.454545454544</v>
      </c>
      <c r="P21" s="126">
        <f t="shared" si="71"/>
        <v>10045.454545454544</v>
      </c>
      <c r="Q21" s="126">
        <f t="shared" si="71"/>
        <v>10045.454545454544</v>
      </c>
      <c r="R21" s="126">
        <f t="shared" si="71"/>
        <v>10045.454545454544</v>
      </c>
      <c r="S21" s="126">
        <f t="shared" si="71"/>
        <v>10045.454545454544</v>
      </c>
      <c r="T21" s="126">
        <f t="shared" si="71"/>
        <v>10045.454545454544</v>
      </c>
      <c r="U21" s="126">
        <f t="shared" si="71"/>
        <v>10045.454545454544</v>
      </c>
      <c r="V21" s="126">
        <f t="shared" si="71"/>
        <v>12100</v>
      </c>
      <c r="W21" s="126">
        <f t="shared" si="71"/>
        <v>12100</v>
      </c>
      <c r="X21" s="126">
        <f t="shared" si="71"/>
        <v>12100</v>
      </c>
      <c r="Y21" s="126">
        <f t="shared" si="71"/>
        <v>12100</v>
      </c>
      <c r="Z21" s="126">
        <f t="shared" si="71"/>
        <v>12100</v>
      </c>
      <c r="AA21" s="126">
        <f t="shared" si="71"/>
        <v>12100</v>
      </c>
      <c r="AB21" s="126">
        <f t="shared" si="71"/>
        <v>12100</v>
      </c>
      <c r="AC21" s="126">
        <f t="shared" si="71"/>
        <v>12100</v>
      </c>
      <c r="AD21" s="126">
        <f t="shared" si="71"/>
        <v>12100</v>
      </c>
      <c r="AE21" s="126">
        <f t="shared" si="71"/>
        <v>12100</v>
      </c>
      <c r="AF21" s="126">
        <f t="shared" si="71"/>
        <v>12100</v>
      </c>
      <c r="AG21" s="126">
        <f t="shared" si="71"/>
        <v>12100</v>
      </c>
      <c r="AH21" s="126">
        <f t="shared" si="71"/>
        <v>15972.000000000004</v>
      </c>
      <c r="AI21" s="126">
        <f t="shared" si="71"/>
        <v>15972.000000000004</v>
      </c>
      <c r="AJ21" s="126">
        <f t="shared" si="71"/>
        <v>15972.000000000004</v>
      </c>
      <c r="AK21" s="126">
        <f t="shared" si="71"/>
        <v>15972.000000000004</v>
      </c>
      <c r="AL21" s="126">
        <f t="shared" si="71"/>
        <v>15972.000000000004</v>
      </c>
      <c r="AM21" s="126">
        <f t="shared" si="71"/>
        <v>15972.000000000004</v>
      </c>
      <c r="AN21" s="126">
        <f t="shared" si="71"/>
        <v>15972.000000000004</v>
      </c>
      <c r="AO21" s="126">
        <f t="shared" si="71"/>
        <v>15972.000000000004</v>
      </c>
      <c r="AP21" s="126">
        <f t="shared" si="71"/>
        <v>15972.000000000004</v>
      </c>
      <c r="AQ21" s="126">
        <f t="shared" si="71"/>
        <v>15972.000000000004</v>
      </c>
      <c r="AR21" s="126">
        <f t="shared" si="71"/>
        <v>15972.000000000004</v>
      </c>
      <c r="AS21" s="126">
        <f t="shared" si="71"/>
        <v>15972.000000000004</v>
      </c>
      <c r="AT21" s="126">
        <f t="shared" si="71"/>
        <v>21083.040000000008</v>
      </c>
      <c r="AU21" s="126">
        <f t="shared" si="71"/>
        <v>21083.040000000008</v>
      </c>
      <c r="AV21" s="126">
        <f t="shared" si="71"/>
        <v>21083.040000000008</v>
      </c>
      <c r="AW21" s="126">
        <f t="shared" si="71"/>
        <v>21083.040000000008</v>
      </c>
      <c r="AX21" s="126">
        <f t="shared" si="71"/>
        <v>21083.040000000008</v>
      </c>
      <c r="AY21" s="126">
        <f t="shared" si="71"/>
        <v>21083.040000000008</v>
      </c>
      <c r="AZ21" s="126">
        <f t="shared" si="71"/>
        <v>21083.040000000008</v>
      </c>
      <c r="BA21" s="126">
        <f t="shared" si="71"/>
        <v>21083.040000000008</v>
      </c>
      <c r="BB21" s="126">
        <f t="shared" si="71"/>
        <v>21083.040000000008</v>
      </c>
      <c r="BC21" s="126">
        <f t="shared" si="71"/>
        <v>21083.040000000008</v>
      </c>
      <c r="BD21" s="126">
        <f t="shared" si="71"/>
        <v>21083.040000000008</v>
      </c>
      <c r="BE21" s="126">
        <f t="shared" si="71"/>
        <v>21083.040000000008</v>
      </c>
      <c r="BF21" s="126">
        <f t="shared" si="71"/>
        <v>27829.61280000001</v>
      </c>
      <c r="BG21" s="126">
        <f t="shared" si="71"/>
        <v>27829.61280000001</v>
      </c>
      <c r="BH21" s="126">
        <f t="shared" si="71"/>
        <v>27829.61280000001</v>
      </c>
      <c r="BI21" s="126">
        <f t="shared" si="71"/>
        <v>27829.61280000001</v>
      </c>
      <c r="BJ21" s="126">
        <f t="shared" si="71"/>
        <v>27829.61280000001</v>
      </c>
      <c r="BK21" s="126">
        <f t="shared" si="71"/>
        <v>27829.61280000001</v>
      </c>
      <c r="BL21" s="126">
        <f t="shared" si="71"/>
        <v>27829.61280000001</v>
      </c>
      <c r="BM21" s="126">
        <f t="shared" si="71"/>
        <v>27829.61280000001</v>
      </c>
      <c r="BN21" s="126">
        <f t="shared" si="71"/>
        <v>27829.61280000001</v>
      </c>
      <c r="BO21" s="126">
        <f t="shared" si="71"/>
        <v>27829.61280000001</v>
      </c>
      <c r="BP21" s="126">
        <f t="shared" si="71"/>
        <v>27829.61280000001</v>
      </c>
      <c r="BQ21" s="126">
        <f t="shared" si="71"/>
        <v>27829.61280000001</v>
      </c>
    </row>
    <row r="22" spans="1:69" ht="10.199999999999999" outlineLevel="1">
      <c r="A22" s="91"/>
      <c r="B22" s="91"/>
      <c r="C22" s="125"/>
      <c r="D22" s="92"/>
      <c r="E22" s="91"/>
      <c r="F22" s="91"/>
      <c r="G22" s="91"/>
      <c r="H22" s="91"/>
      <c r="I22" s="91"/>
      <c r="J22" s="127"/>
      <c r="K22" s="127"/>
      <c r="L22" s="127"/>
      <c r="M22" s="127"/>
      <c r="N22" s="127"/>
      <c r="O22" s="127"/>
      <c r="P22" s="127"/>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7"/>
      <c r="AT22" s="127"/>
      <c r="AU22" s="127"/>
      <c r="AV22" s="127"/>
      <c r="AW22" s="127"/>
      <c r="AX22" s="127"/>
      <c r="AY22" s="127"/>
      <c r="AZ22" s="127"/>
      <c r="BA22" s="127"/>
      <c r="BB22" s="127"/>
      <c r="BC22" s="127"/>
      <c r="BD22" s="127"/>
      <c r="BE22" s="127"/>
      <c r="BF22" s="127"/>
      <c r="BG22" s="127"/>
      <c r="BH22" s="127"/>
      <c r="BI22" s="127"/>
      <c r="BJ22" s="127"/>
      <c r="BK22" s="127"/>
      <c r="BL22" s="127"/>
      <c r="BM22" s="127"/>
      <c r="BN22" s="127"/>
      <c r="BO22" s="127"/>
      <c r="BP22" s="127"/>
      <c r="BQ22" s="127"/>
    </row>
    <row r="23" spans="1:69" ht="11.4" outlineLevel="1">
      <c r="A23" s="91"/>
      <c r="B23" s="91"/>
      <c r="C23" s="128" t="s">
        <v>50</v>
      </c>
      <c r="D23" s="92"/>
      <c r="E23" s="91"/>
      <c r="F23" s="91"/>
      <c r="G23" s="91"/>
      <c r="H23" s="91"/>
      <c r="I23" s="91"/>
      <c r="J23" s="127"/>
      <c r="K23" s="127"/>
      <c r="L23" s="127"/>
      <c r="M23" s="127"/>
      <c r="N23" s="127"/>
      <c r="O23" s="127"/>
      <c r="P23" s="127"/>
      <c r="Q23" s="127"/>
      <c r="R23" s="127"/>
      <c r="S23" s="127"/>
      <c r="T23" s="127"/>
      <c r="U23" s="127"/>
      <c r="V23" s="127"/>
      <c r="W23" s="127"/>
      <c r="X23" s="127"/>
      <c r="Y23" s="127"/>
      <c r="Z23" s="127"/>
      <c r="AA23" s="127"/>
      <c r="AB23" s="127"/>
      <c r="AC23" s="127"/>
      <c r="AD23" s="127"/>
      <c r="AE23" s="127"/>
      <c r="AF23" s="127"/>
      <c r="AG23" s="127"/>
      <c r="AH23" s="127"/>
      <c r="AI23" s="127"/>
      <c r="AJ23" s="127"/>
      <c r="AK23" s="127"/>
      <c r="AL23" s="127"/>
      <c r="AM23" s="127"/>
      <c r="AN23" s="127"/>
      <c r="AO23" s="127"/>
      <c r="AP23" s="127"/>
      <c r="AQ23" s="127"/>
      <c r="AR23" s="127"/>
      <c r="AS23" s="127"/>
      <c r="AT23" s="127"/>
      <c r="AU23" s="127"/>
      <c r="AV23" s="127"/>
      <c r="AW23" s="127"/>
      <c r="AX23" s="127"/>
      <c r="AY23" s="127"/>
      <c r="AZ23" s="127"/>
      <c r="BA23" s="127"/>
      <c r="BB23" s="127"/>
      <c r="BC23" s="127"/>
      <c r="BD23" s="127"/>
      <c r="BE23" s="127"/>
      <c r="BF23" s="127"/>
      <c r="BG23" s="127"/>
      <c r="BH23" s="127"/>
      <c r="BI23" s="127"/>
      <c r="BJ23" s="127"/>
      <c r="BK23" s="127"/>
      <c r="BL23" s="127"/>
      <c r="BM23" s="127"/>
      <c r="BN23" s="127"/>
      <c r="BO23" s="127"/>
      <c r="BP23" s="127"/>
      <c r="BQ23" s="127"/>
    </row>
    <row r="24" spans="1:69" ht="10.199999999999999" outlineLevel="1">
      <c r="A24" s="91"/>
      <c r="B24" s="91"/>
      <c r="C24" s="125"/>
      <c r="D24" s="123" t="str">
        <f>D18</f>
        <v>Product 1</v>
      </c>
      <c r="E24" s="129"/>
      <c r="F24" s="91"/>
      <c r="G24" s="91"/>
      <c r="H24" s="91"/>
      <c r="I24" s="91"/>
      <c r="J24" s="124">
        <f t="shared" ref="J24:AO24" si="72">-INDEX(COGS,1,J$5)*J18</f>
        <v>-625</v>
      </c>
      <c r="K24" s="124">
        <f t="shared" si="72"/>
        <v>-625</v>
      </c>
      <c r="L24" s="124">
        <f t="shared" si="72"/>
        <v>-625</v>
      </c>
      <c r="M24" s="124">
        <f t="shared" si="72"/>
        <v>-625</v>
      </c>
      <c r="N24" s="124">
        <f t="shared" si="72"/>
        <v>-625</v>
      </c>
      <c r="O24" s="124">
        <f t="shared" si="72"/>
        <v>-625</v>
      </c>
      <c r="P24" s="124">
        <f t="shared" si="72"/>
        <v>-625</v>
      </c>
      <c r="Q24" s="124">
        <f t="shared" si="72"/>
        <v>-625</v>
      </c>
      <c r="R24" s="124">
        <f t="shared" si="72"/>
        <v>-625</v>
      </c>
      <c r="S24" s="124">
        <f t="shared" si="72"/>
        <v>-625</v>
      </c>
      <c r="T24" s="124">
        <f t="shared" si="72"/>
        <v>-625</v>
      </c>
      <c r="U24" s="124">
        <f t="shared" si="72"/>
        <v>-625</v>
      </c>
      <c r="V24" s="124">
        <f t="shared" si="72"/>
        <v>-825</v>
      </c>
      <c r="W24" s="124">
        <f t="shared" si="72"/>
        <v>-825</v>
      </c>
      <c r="X24" s="124">
        <f t="shared" si="72"/>
        <v>-825</v>
      </c>
      <c r="Y24" s="124">
        <f t="shared" si="72"/>
        <v>-825</v>
      </c>
      <c r="Z24" s="124">
        <f t="shared" si="72"/>
        <v>-825</v>
      </c>
      <c r="AA24" s="124">
        <f t="shared" si="72"/>
        <v>-825</v>
      </c>
      <c r="AB24" s="124">
        <f t="shared" si="72"/>
        <v>-825</v>
      </c>
      <c r="AC24" s="124">
        <f t="shared" si="72"/>
        <v>-825</v>
      </c>
      <c r="AD24" s="124">
        <f t="shared" si="72"/>
        <v>-825</v>
      </c>
      <c r="AE24" s="124">
        <f t="shared" si="72"/>
        <v>-825</v>
      </c>
      <c r="AF24" s="124">
        <f t="shared" si="72"/>
        <v>-825</v>
      </c>
      <c r="AG24" s="124">
        <f t="shared" si="72"/>
        <v>-825</v>
      </c>
      <c r="AH24" s="124">
        <f t="shared" si="72"/>
        <v>-1089.0000000000002</v>
      </c>
      <c r="AI24" s="124">
        <f t="shared" si="72"/>
        <v>-1089.0000000000002</v>
      </c>
      <c r="AJ24" s="124">
        <f t="shared" si="72"/>
        <v>-1089.0000000000002</v>
      </c>
      <c r="AK24" s="124">
        <f t="shared" si="72"/>
        <v>-1089.0000000000002</v>
      </c>
      <c r="AL24" s="124">
        <f t="shared" si="72"/>
        <v>-1089.0000000000002</v>
      </c>
      <c r="AM24" s="124">
        <f t="shared" si="72"/>
        <v>-1089.0000000000002</v>
      </c>
      <c r="AN24" s="124">
        <f t="shared" si="72"/>
        <v>-1089.0000000000002</v>
      </c>
      <c r="AO24" s="124">
        <f t="shared" si="72"/>
        <v>-1089.0000000000002</v>
      </c>
      <c r="AP24" s="124">
        <f t="shared" ref="AP24:BQ24" si="73">-INDEX(COGS,1,AP$5)*AP18</f>
        <v>-1089.0000000000002</v>
      </c>
      <c r="AQ24" s="124">
        <f t="shared" si="73"/>
        <v>-1089.0000000000002</v>
      </c>
      <c r="AR24" s="124">
        <f t="shared" si="73"/>
        <v>-1089.0000000000002</v>
      </c>
      <c r="AS24" s="124">
        <f t="shared" si="73"/>
        <v>-1089.0000000000002</v>
      </c>
      <c r="AT24" s="124">
        <f t="shared" si="73"/>
        <v>-1437.4800000000002</v>
      </c>
      <c r="AU24" s="124">
        <f t="shared" si="73"/>
        <v>-1437.4800000000002</v>
      </c>
      <c r="AV24" s="124">
        <f t="shared" si="73"/>
        <v>-1437.4800000000002</v>
      </c>
      <c r="AW24" s="124">
        <f t="shared" si="73"/>
        <v>-1437.4800000000002</v>
      </c>
      <c r="AX24" s="124">
        <f t="shared" si="73"/>
        <v>-1437.4800000000002</v>
      </c>
      <c r="AY24" s="124">
        <f t="shared" si="73"/>
        <v>-1437.4800000000002</v>
      </c>
      <c r="AZ24" s="124">
        <f t="shared" si="73"/>
        <v>-1437.4800000000002</v>
      </c>
      <c r="BA24" s="124">
        <f t="shared" si="73"/>
        <v>-1437.4800000000002</v>
      </c>
      <c r="BB24" s="124">
        <f t="shared" si="73"/>
        <v>-1437.4800000000002</v>
      </c>
      <c r="BC24" s="124">
        <f t="shared" si="73"/>
        <v>-1437.4800000000002</v>
      </c>
      <c r="BD24" s="124">
        <f t="shared" si="73"/>
        <v>-1437.4800000000002</v>
      </c>
      <c r="BE24" s="124">
        <f t="shared" si="73"/>
        <v>-1437.4800000000002</v>
      </c>
      <c r="BF24" s="124">
        <f t="shared" si="73"/>
        <v>-1897.4736000000005</v>
      </c>
      <c r="BG24" s="124">
        <f t="shared" si="73"/>
        <v>-1897.4736000000005</v>
      </c>
      <c r="BH24" s="124">
        <f t="shared" si="73"/>
        <v>-1897.4736000000005</v>
      </c>
      <c r="BI24" s="124">
        <f t="shared" si="73"/>
        <v>-1897.4736000000005</v>
      </c>
      <c r="BJ24" s="124">
        <f t="shared" si="73"/>
        <v>-1897.4736000000005</v>
      </c>
      <c r="BK24" s="124">
        <f t="shared" si="73"/>
        <v>-1897.4736000000005</v>
      </c>
      <c r="BL24" s="124">
        <f t="shared" si="73"/>
        <v>-1897.4736000000005</v>
      </c>
      <c r="BM24" s="124">
        <f t="shared" si="73"/>
        <v>-1897.4736000000005</v>
      </c>
      <c r="BN24" s="124">
        <f t="shared" si="73"/>
        <v>-1897.4736000000005</v>
      </c>
      <c r="BO24" s="124">
        <f t="shared" si="73"/>
        <v>-1897.4736000000005</v>
      </c>
      <c r="BP24" s="124">
        <f t="shared" si="73"/>
        <v>-1897.4736000000005</v>
      </c>
      <c r="BQ24" s="124">
        <f t="shared" si="73"/>
        <v>-1897.4736000000005</v>
      </c>
    </row>
    <row r="25" spans="1:69" ht="10.199999999999999" outlineLevel="1">
      <c r="A25" s="91"/>
      <c r="B25" s="91"/>
      <c r="C25" s="125"/>
      <c r="D25" s="123" t="str">
        <f t="shared" ref="D25:D26" si="74">D19</f>
        <v>Product 2</v>
      </c>
      <c r="E25" s="129"/>
      <c r="F25" s="91"/>
      <c r="G25" s="91"/>
      <c r="H25" s="91"/>
      <c r="I25" s="91"/>
      <c r="J25" s="124">
        <f t="shared" ref="J25:AO25" si="75">-INDEX(COGS,2,J$5)*J19</f>
        <v>0</v>
      </c>
      <c r="K25" s="124">
        <f t="shared" si="75"/>
        <v>-1363.6363636363635</v>
      </c>
      <c r="L25" s="124">
        <f t="shared" si="75"/>
        <v>-1363.6363636363635</v>
      </c>
      <c r="M25" s="124">
        <f t="shared" si="75"/>
        <v>-1363.6363636363635</v>
      </c>
      <c r="N25" s="124">
        <f t="shared" si="75"/>
        <v>-1363.6363636363635</v>
      </c>
      <c r="O25" s="124">
        <f t="shared" si="75"/>
        <v>-1363.6363636363635</v>
      </c>
      <c r="P25" s="124">
        <f t="shared" si="75"/>
        <v>-1363.6363636363635</v>
      </c>
      <c r="Q25" s="124">
        <f t="shared" si="75"/>
        <v>-1363.6363636363635</v>
      </c>
      <c r="R25" s="124">
        <f t="shared" si="75"/>
        <v>-1363.6363636363635</v>
      </c>
      <c r="S25" s="124">
        <f t="shared" si="75"/>
        <v>-1363.6363636363635</v>
      </c>
      <c r="T25" s="124">
        <f t="shared" si="75"/>
        <v>-1363.6363636363635</v>
      </c>
      <c r="U25" s="124">
        <f t="shared" si="75"/>
        <v>-1363.6363636363635</v>
      </c>
      <c r="V25" s="124">
        <f t="shared" si="75"/>
        <v>-1650.0000000000002</v>
      </c>
      <c r="W25" s="124">
        <f t="shared" si="75"/>
        <v>-1650.0000000000002</v>
      </c>
      <c r="X25" s="124">
        <f t="shared" si="75"/>
        <v>-1650.0000000000002</v>
      </c>
      <c r="Y25" s="124">
        <f t="shared" si="75"/>
        <v>-1650.0000000000002</v>
      </c>
      <c r="Z25" s="124">
        <f t="shared" si="75"/>
        <v>-1650.0000000000002</v>
      </c>
      <c r="AA25" s="124">
        <f t="shared" si="75"/>
        <v>-1650.0000000000002</v>
      </c>
      <c r="AB25" s="124">
        <f t="shared" si="75"/>
        <v>-1650.0000000000002</v>
      </c>
      <c r="AC25" s="124">
        <f t="shared" si="75"/>
        <v>-1650.0000000000002</v>
      </c>
      <c r="AD25" s="124">
        <f t="shared" si="75"/>
        <v>-1650.0000000000002</v>
      </c>
      <c r="AE25" s="124">
        <f t="shared" si="75"/>
        <v>-1650.0000000000002</v>
      </c>
      <c r="AF25" s="124">
        <f t="shared" si="75"/>
        <v>-1650.0000000000002</v>
      </c>
      <c r="AG25" s="124">
        <f t="shared" si="75"/>
        <v>-1650.0000000000002</v>
      </c>
      <c r="AH25" s="124">
        <f t="shared" si="75"/>
        <v>-2178.0000000000005</v>
      </c>
      <c r="AI25" s="124">
        <f t="shared" si="75"/>
        <v>-2178.0000000000005</v>
      </c>
      <c r="AJ25" s="124">
        <f t="shared" si="75"/>
        <v>-2178.0000000000005</v>
      </c>
      <c r="AK25" s="124">
        <f t="shared" si="75"/>
        <v>-2178.0000000000005</v>
      </c>
      <c r="AL25" s="124">
        <f t="shared" si="75"/>
        <v>-2178.0000000000005</v>
      </c>
      <c r="AM25" s="124">
        <f t="shared" si="75"/>
        <v>-2178.0000000000005</v>
      </c>
      <c r="AN25" s="124">
        <f t="shared" si="75"/>
        <v>-2178.0000000000005</v>
      </c>
      <c r="AO25" s="124">
        <f t="shared" si="75"/>
        <v>-2178.0000000000005</v>
      </c>
      <c r="AP25" s="124">
        <f t="shared" ref="AP25:BQ25" si="76">-INDEX(COGS,2,AP$5)*AP19</f>
        <v>-2178.0000000000005</v>
      </c>
      <c r="AQ25" s="124">
        <f t="shared" si="76"/>
        <v>-2178.0000000000005</v>
      </c>
      <c r="AR25" s="124">
        <f t="shared" si="76"/>
        <v>-2178.0000000000005</v>
      </c>
      <c r="AS25" s="124">
        <f t="shared" si="76"/>
        <v>-2178.0000000000005</v>
      </c>
      <c r="AT25" s="124">
        <f t="shared" si="76"/>
        <v>-2874.9600000000014</v>
      </c>
      <c r="AU25" s="124">
        <f t="shared" si="76"/>
        <v>-2874.9600000000014</v>
      </c>
      <c r="AV25" s="124">
        <f t="shared" si="76"/>
        <v>-2874.9600000000014</v>
      </c>
      <c r="AW25" s="124">
        <f t="shared" si="76"/>
        <v>-2874.9600000000014</v>
      </c>
      <c r="AX25" s="124">
        <f t="shared" si="76"/>
        <v>-2874.9600000000014</v>
      </c>
      <c r="AY25" s="124">
        <f t="shared" si="76"/>
        <v>-2874.9600000000014</v>
      </c>
      <c r="AZ25" s="124">
        <f t="shared" si="76"/>
        <v>-2874.9600000000014</v>
      </c>
      <c r="BA25" s="124">
        <f t="shared" si="76"/>
        <v>-2874.9600000000014</v>
      </c>
      <c r="BB25" s="124">
        <f t="shared" si="76"/>
        <v>-2874.9600000000014</v>
      </c>
      <c r="BC25" s="124">
        <f t="shared" si="76"/>
        <v>-2874.9600000000014</v>
      </c>
      <c r="BD25" s="124">
        <f t="shared" si="76"/>
        <v>-2874.9600000000014</v>
      </c>
      <c r="BE25" s="124">
        <f t="shared" si="76"/>
        <v>-2874.9600000000014</v>
      </c>
      <c r="BF25" s="124">
        <f t="shared" si="76"/>
        <v>-3794.9472000000014</v>
      </c>
      <c r="BG25" s="124">
        <f t="shared" si="76"/>
        <v>-3794.9472000000014</v>
      </c>
      <c r="BH25" s="124">
        <f t="shared" si="76"/>
        <v>-3794.9472000000014</v>
      </c>
      <c r="BI25" s="124">
        <f t="shared" si="76"/>
        <v>-3794.9472000000014</v>
      </c>
      <c r="BJ25" s="124">
        <f t="shared" si="76"/>
        <v>-3794.9472000000014</v>
      </c>
      <c r="BK25" s="124">
        <f t="shared" si="76"/>
        <v>-3794.9472000000014</v>
      </c>
      <c r="BL25" s="124">
        <f t="shared" si="76"/>
        <v>-3794.9472000000014</v>
      </c>
      <c r="BM25" s="124">
        <f t="shared" si="76"/>
        <v>-3794.9472000000014</v>
      </c>
      <c r="BN25" s="124">
        <f t="shared" si="76"/>
        <v>-3794.9472000000014</v>
      </c>
      <c r="BO25" s="124">
        <f t="shared" si="76"/>
        <v>-3794.9472000000014</v>
      </c>
      <c r="BP25" s="124">
        <f t="shared" si="76"/>
        <v>-3794.9472000000014</v>
      </c>
      <c r="BQ25" s="124">
        <f t="shared" si="76"/>
        <v>-3794.9472000000014</v>
      </c>
    </row>
    <row r="26" spans="1:69" ht="10.199999999999999" outlineLevel="1">
      <c r="A26" s="91"/>
      <c r="B26" s="91"/>
      <c r="C26" s="125"/>
      <c r="D26" s="123" t="str">
        <f t="shared" si="74"/>
        <v>Product 3</v>
      </c>
      <c r="E26" s="129"/>
      <c r="F26" s="91"/>
      <c r="G26" s="91"/>
      <c r="H26" s="91"/>
      <c r="I26" s="91"/>
      <c r="J26" s="124">
        <f t="shared" ref="J26:AO26" si="77">-INDEX(COGS,3,J$5)*J20</f>
        <v>0</v>
      </c>
      <c r="K26" s="124">
        <f t="shared" si="77"/>
        <v>0</v>
      </c>
      <c r="L26" s="124">
        <f t="shared" si="77"/>
        <v>-1050</v>
      </c>
      <c r="M26" s="124">
        <f t="shared" si="77"/>
        <v>-1050</v>
      </c>
      <c r="N26" s="124">
        <f t="shared" si="77"/>
        <v>-1050</v>
      </c>
      <c r="O26" s="124">
        <f t="shared" si="77"/>
        <v>-1050</v>
      </c>
      <c r="P26" s="124">
        <f t="shared" si="77"/>
        <v>-1050</v>
      </c>
      <c r="Q26" s="124">
        <f t="shared" si="77"/>
        <v>-1050</v>
      </c>
      <c r="R26" s="124">
        <f t="shared" si="77"/>
        <v>-1050</v>
      </c>
      <c r="S26" s="124">
        <f t="shared" si="77"/>
        <v>-1050</v>
      </c>
      <c r="T26" s="124">
        <f t="shared" si="77"/>
        <v>-1050</v>
      </c>
      <c r="U26" s="124">
        <f t="shared" si="77"/>
        <v>-1050</v>
      </c>
      <c r="V26" s="124">
        <f t="shared" si="77"/>
        <v>-1155</v>
      </c>
      <c r="W26" s="124">
        <f t="shared" si="77"/>
        <v>-1155</v>
      </c>
      <c r="X26" s="124">
        <f t="shared" si="77"/>
        <v>-1155</v>
      </c>
      <c r="Y26" s="124">
        <f t="shared" si="77"/>
        <v>-1155</v>
      </c>
      <c r="Z26" s="124">
        <f t="shared" si="77"/>
        <v>-1155</v>
      </c>
      <c r="AA26" s="124">
        <f t="shared" si="77"/>
        <v>-1155</v>
      </c>
      <c r="AB26" s="124">
        <f t="shared" si="77"/>
        <v>-1155</v>
      </c>
      <c r="AC26" s="124">
        <f t="shared" si="77"/>
        <v>-1155</v>
      </c>
      <c r="AD26" s="124">
        <f t="shared" si="77"/>
        <v>-1155</v>
      </c>
      <c r="AE26" s="124">
        <f t="shared" si="77"/>
        <v>-1155</v>
      </c>
      <c r="AF26" s="124">
        <f t="shared" si="77"/>
        <v>-1155</v>
      </c>
      <c r="AG26" s="124">
        <f t="shared" si="77"/>
        <v>-1155</v>
      </c>
      <c r="AH26" s="124">
        <f t="shared" si="77"/>
        <v>-1524.6000000000001</v>
      </c>
      <c r="AI26" s="124">
        <f t="shared" si="77"/>
        <v>-1524.6000000000001</v>
      </c>
      <c r="AJ26" s="124">
        <f t="shared" si="77"/>
        <v>-1524.6000000000001</v>
      </c>
      <c r="AK26" s="124">
        <f t="shared" si="77"/>
        <v>-1524.6000000000001</v>
      </c>
      <c r="AL26" s="124">
        <f t="shared" si="77"/>
        <v>-1524.6000000000001</v>
      </c>
      <c r="AM26" s="124">
        <f t="shared" si="77"/>
        <v>-1524.6000000000001</v>
      </c>
      <c r="AN26" s="124">
        <f t="shared" si="77"/>
        <v>-1524.6000000000001</v>
      </c>
      <c r="AO26" s="124">
        <f t="shared" si="77"/>
        <v>-1524.6000000000001</v>
      </c>
      <c r="AP26" s="124">
        <f t="shared" ref="AP26:BQ26" si="78">-INDEX(COGS,3,AP$5)*AP20</f>
        <v>-1524.6000000000001</v>
      </c>
      <c r="AQ26" s="124">
        <f t="shared" si="78"/>
        <v>-1524.6000000000001</v>
      </c>
      <c r="AR26" s="124">
        <f t="shared" si="78"/>
        <v>-1524.6000000000001</v>
      </c>
      <c r="AS26" s="124">
        <f t="shared" si="78"/>
        <v>-1524.6000000000001</v>
      </c>
      <c r="AT26" s="124">
        <f t="shared" si="78"/>
        <v>-2012.4720000000002</v>
      </c>
      <c r="AU26" s="124">
        <f t="shared" si="78"/>
        <v>-2012.4720000000002</v>
      </c>
      <c r="AV26" s="124">
        <f t="shared" si="78"/>
        <v>-2012.4720000000002</v>
      </c>
      <c r="AW26" s="124">
        <f t="shared" si="78"/>
        <v>-2012.4720000000002</v>
      </c>
      <c r="AX26" s="124">
        <f t="shared" si="78"/>
        <v>-2012.4720000000002</v>
      </c>
      <c r="AY26" s="124">
        <f t="shared" si="78"/>
        <v>-2012.4720000000002</v>
      </c>
      <c r="AZ26" s="124">
        <f t="shared" si="78"/>
        <v>-2012.4720000000002</v>
      </c>
      <c r="BA26" s="124">
        <f t="shared" si="78"/>
        <v>-2012.4720000000002</v>
      </c>
      <c r="BB26" s="124">
        <f t="shared" si="78"/>
        <v>-2012.4720000000002</v>
      </c>
      <c r="BC26" s="124">
        <f t="shared" si="78"/>
        <v>-2012.4720000000002</v>
      </c>
      <c r="BD26" s="124">
        <f t="shared" si="78"/>
        <v>-2012.4720000000002</v>
      </c>
      <c r="BE26" s="124">
        <f t="shared" si="78"/>
        <v>-2012.4720000000002</v>
      </c>
      <c r="BF26" s="124">
        <f t="shared" si="78"/>
        <v>-2656.4630400000001</v>
      </c>
      <c r="BG26" s="124">
        <f t="shared" si="78"/>
        <v>-2656.4630400000001</v>
      </c>
      <c r="BH26" s="124">
        <f t="shared" si="78"/>
        <v>-2656.4630400000001</v>
      </c>
      <c r="BI26" s="124">
        <f t="shared" si="78"/>
        <v>-2656.4630400000001</v>
      </c>
      <c r="BJ26" s="124">
        <f t="shared" si="78"/>
        <v>-2656.4630400000001</v>
      </c>
      <c r="BK26" s="124">
        <f t="shared" si="78"/>
        <v>-2656.4630400000001</v>
      </c>
      <c r="BL26" s="124">
        <f t="shared" si="78"/>
        <v>-2656.4630400000001</v>
      </c>
      <c r="BM26" s="124">
        <f t="shared" si="78"/>
        <v>-2656.4630400000001</v>
      </c>
      <c r="BN26" s="124">
        <f t="shared" si="78"/>
        <v>-2656.4630400000001</v>
      </c>
      <c r="BO26" s="124">
        <f t="shared" si="78"/>
        <v>-2656.4630400000001</v>
      </c>
      <c r="BP26" s="124">
        <f t="shared" si="78"/>
        <v>-2656.4630400000001</v>
      </c>
      <c r="BQ26" s="124">
        <f t="shared" si="78"/>
        <v>-2656.4630400000001</v>
      </c>
    </row>
    <row r="27" spans="1:69" ht="10.199999999999999">
      <c r="A27" s="91"/>
      <c r="B27" s="91"/>
      <c r="C27" s="125"/>
      <c r="D27" s="92" t="s">
        <v>51</v>
      </c>
      <c r="E27" s="91"/>
      <c r="F27" s="91"/>
      <c r="G27" s="91"/>
      <c r="H27" s="91"/>
      <c r="I27" s="91"/>
      <c r="J27" s="126">
        <f t="shared" ref="J27:AO27" si="79">SUM(J24:J26)</f>
        <v>-625</v>
      </c>
      <c r="K27" s="126">
        <f t="shared" si="79"/>
        <v>-1988.6363636363635</v>
      </c>
      <c r="L27" s="126">
        <f t="shared" si="79"/>
        <v>-3038.6363636363635</v>
      </c>
      <c r="M27" s="126">
        <f t="shared" si="79"/>
        <v>-3038.6363636363635</v>
      </c>
      <c r="N27" s="126">
        <f t="shared" si="79"/>
        <v>-3038.6363636363635</v>
      </c>
      <c r="O27" s="126">
        <f t="shared" si="79"/>
        <v>-3038.6363636363635</v>
      </c>
      <c r="P27" s="126">
        <f t="shared" si="79"/>
        <v>-3038.6363636363635</v>
      </c>
      <c r="Q27" s="126">
        <f t="shared" si="79"/>
        <v>-3038.6363636363635</v>
      </c>
      <c r="R27" s="126">
        <f t="shared" si="79"/>
        <v>-3038.6363636363635</v>
      </c>
      <c r="S27" s="126">
        <f t="shared" si="79"/>
        <v>-3038.6363636363635</v>
      </c>
      <c r="T27" s="126">
        <f t="shared" si="79"/>
        <v>-3038.6363636363635</v>
      </c>
      <c r="U27" s="126">
        <f t="shared" si="79"/>
        <v>-3038.6363636363635</v>
      </c>
      <c r="V27" s="126">
        <f t="shared" si="79"/>
        <v>-3630</v>
      </c>
      <c r="W27" s="126">
        <f t="shared" si="79"/>
        <v>-3630</v>
      </c>
      <c r="X27" s="126">
        <f t="shared" si="79"/>
        <v>-3630</v>
      </c>
      <c r="Y27" s="126">
        <f t="shared" si="79"/>
        <v>-3630</v>
      </c>
      <c r="Z27" s="126">
        <f t="shared" si="79"/>
        <v>-3630</v>
      </c>
      <c r="AA27" s="126">
        <f t="shared" si="79"/>
        <v>-3630</v>
      </c>
      <c r="AB27" s="126">
        <f t="shared" si="79"/>
        <v>-3630</v>
      </c>
      <c r="AC27" s="126">
        <f t="shared" si="79"/>
        <v>-3630</v>
      </c>
      <c r="AD27" s="126">
        <f t="shared" si="79"/>
        <v>-3630</v>
      </c>
      <c r="AE27" s="126">
        <f t="shared" si="79"/>
        <v>-3630</v>
      </c>
      <c r="AF27" s="126">
        <f t="shared" si="79"/>
        <v>-3630</v>
      </c>
      <c r="AG27" s="126">
        <f t="shared" si="79"/>
        <v>-3630</v>
      </c>
      <c r="AH27" s="126">
        <f t="shared" si="79"/>
        <v>-4791.6000000000013</v>
      </c>
      <c r="AI27" s="126">
        <f t="shared" si="79"/>
        <v>-4791.6000000000013</v>
      </c>
      <c r="AJ27" s="126">
        <f t="shared" si="79"/>
        <v>-4791.6000000000013</v>
      </c>
      <c r="AK27" s="126">
        <f t="shared" si="79"/>
        <v>-4791.6000000000013</v>
      </c>
      <c r="AL27" s="126">
        <f t="shared" si="79"/>
        <v>-4791.6000000000013</v>
      </c>
      <c r="AM27" s="126">
        <f t="shared" si="79"/>
        <v>-4791.6000000000013</v>
      </c>
      <c r="AN27" s="126">
        <f t="shared" si="79"/>
        <v>-4791.6000000000013</v>
      </c>
      <c r="AO27" s="126">
        <f t="shared" si="79"/>
        <v>-4791.6000000000013</v>
      </c>
      <c r="AP27" s="126">
        <f t="shared" ref="AP27:BQ27" si="80">SUM(AP24:AP26)</f>
        <v>-4791.6000000000013</v>
      </c>
      <c r="AQ27" s="126">
        <f t="shared" si="80"/>
        <v>-4791.6000000000013</v>
      </c>
      <c r="AR27" s="126">
        <f t="shared" si="80"/>
        <v>-4791.6000000000013</v>
      </c>
      <c r="AS27" s="126">
        <f t="shared" si="80"/>
        <v>-4791.6000000000013</v>
      </c>
      <c r="AT27" s="126">
        <f t="shared" si="80"/>
        <v>-6324.9120000000021</v>
      </c>
      <c r="AU27" s="126">
        <f t="shared" si="80"/>
        <v>-6324.9120000000021</v>
      </c>
      <c r="AV27" s="126">
        <f t="shared" si="80"/>
        <v>-6324.9120000000021</v>
      </c>
      <c r="AW27" s="126">
        <f t="shared" si="80"/>
        <v>-6324.9120000000021</v>
      </c>
      <c r="AX27" s="126">
        <f t="shared" si="80"/>
        <v>-6324.9120000000021</v>
      </c>
      <c r="AY27" s="126">
        <f t="shared" si="80"/>
        <v>-6324.9120000000021</v>
      </c>
      <c r="AZ27" s="126">
        <f t="shared" si="80"/>
        <v>-6324.9120000000021</v>
      </c>
      <c r="BA27" s="126">
        <f t="shared" si="80"/>
        <v>-6324.9120000000021</v>
      </c>
      <c r="BB27" s="126">
        <f t="shared" si="80"/>
        <v>-6324.9120000000021</v>
      </c>
      <c r="BC27" s="126">
        <f t="shared" si="80"/>
        <v>-6324.9120000000021</v>
      </c>
      <c r="BD27" s="126">
        <f t="shared" si="80"/>
        <v>-6324.9120000000021</v>
      </c>
      <c r="BE27" s="126">
        <f t="shared" si="80"/>
        <v>-6324.9120000000021</v>
      </c>
      <c r="BF27" s="126">
        <f t="shared" si="80"/>
        <v>-8348.8838400000022</v>
      </c>
      <c r="BG27" s="126">
        <f t="shared" si="80"/>
        <v>-8348.8838400000022</v>
      </c>
      <c r="BH27" s="126">
        <f t="shared" si="80"/>
        <v>-8348.8838400000022</v>
      </c>
      <c r="BI27" s="126">
        <f t="shared" si="80"/>
        <v>-8348.8838400000022</v>
      </c>
      <c r="BJ27" s="126">
        <f t="shared" si="80"/>
        <v>-8348.8838400000022</v>
      </c>
      <c r="BK27" s="126">
        <f t="shared" si="80"/>
        <v>-8348.8838400000022</v>
      </c>
      <c r="BL27" s="126">
        <f t="shared" si="80"/>
        <v>-8348.8838400000022</v>
      </c>
      <c r="BM27" s="126">
        <f t="shared" si="80"/>
        <v>-8348.8838400000022</v>
      </c>
      <c r="BN27" s="126">
        <f t="shared" si="80"/>
        <v>-8348.8838400000022</v>
      </c>
      <c r="BO27" s="126">
        <f t="shared" si="80"/>
        <v>-8348.8838400000022</v>
      </c>
      <c r="BP27" s="126">
        <f t="shared" si="80"/>
        <v>-8348.8838400000022</v>
      </c>
      <c r="BQ27" s="126">
        <f t="shared" si="80"/>
        <v>-8348.8838400000022</v>
      </c>
    </row>
    <row r="28" spans="1:69" ht="10.199999999999999" outlineLevel="1">
      <c r="C28" s="122"/>
      <c r="J28" s="100"/>
      <c r="K28" s="100"/>
      <c r="L28" s="100"/>
      <c r="M28" s="100"/>
      <c r="N28" s="100"/>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row>
    <row r="29" spans="1:69" ht="11.4" outlineLevel="1">
      <c r="C29" s="128" t="s">
        <v>48</v>
      </c>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row>
    <row r="30" spans="1:69" ht="10.199999999999999" outlineLevel="1">
      <c r="C30" s="122"/>
      <c r="D30" s="95" t="str">
        <f>D9</f>
        <v>Product 1</v>
      </c>
      <c r="J30" s="130">
        <f t="shared" ref="J30:AO30" si="81">J18+J24</f>
        <v>1875</v>
      </c>
      <c r="K30" s="130">
        <f t="shared" si="81"/>
        <v>1875</v>
      </c>
      <c r="L30" s="130">
        <f t="shared" si="81"/>
        <v>1875</v>
      </c>
      <c r="M30" s="130">
        <f t="shared" si="81"/>
        <v>1875</v>
      </c>
      <c r="N30" s="130">
        <f t="shared" si="81"/>
        <v>1875</v>
      </c>
      <c r="O30" s="130">
        <f t="shared" si="81"/>
        <v>1875</v>
      </c>
      <c r="P30" s="130">
        <f t="shared" si="81"/>
        <v>1875</v>
      </c>
      <c r="Q30" s="130">
        <f t="shared" si="81"/>
        <v>1875</v>
      </c>
      <c r="R30" s="130">
        <f t="shared" si="81"/>
        <v>1875</v>
      </c>
      <c r="S30" s="130">
        <f t="shared" si="81"/>
        <v>1875</v>
      </c>
      <c r="T30" s="130">
        <f t="shared" si="81"/>
        <v>1875</v>
      </c>
      <c r="U30" s="130">
        <f t="shared" si="81"/>
        <v>1875</v>
      </c>
      <c r="V30" s="130">
        <f t="shared" si="81"/>
        <v>2475</v>
      </c>
      <c r="W30" s="130">
        <f t="shared" si="81"/>
        <v>2475</v>
      </c>
      <c r="X30" s="130">
        <f t="shared" si="81"/>
        <v>2475</v>
      </c>
      <c r="Y30" s="130">
        <f t="shared" si="81"/>
        <v>2475</v>
      </c>
      <c r="Z30" s="130">
        <f t="shared" si="81"/>
        <v>2475</v>
      </c>
      <c r="AA30" s="130">
        <f t="shared" si="81"/>
        <v>2475</v>
      </c>
      <c r="AB30" s="130">
        <f t="shared" si="81"/>
        <v>2475</v>
      </c>
      <c r="AC30" s="130">
        <f t="shared" si="81"/>
        <v>2475</v>
      </c>
      <c r="AD30" s="130">
        <f t="shared" si="81"/>
        <v>2475</v>
      </c>
      <c r="AE30" s="130">
        <f t="shared" si="81"/>
        <v>2475</v>
      </c>
      <c r="AF30" s="130">
        <f t="shared" si="81"/>
        <v>2475</v>
      </c>
      <c r="AG30" s="130">
        <f t="shared" si="81"/>
        <v>2475</v>
      </c>
      <c r="AH30" s="130">
        <f t="shared" si="81"/>
        <v>3267.0000000000009</v>
      </c>
      <c r="AI30" s="130">
        <f t="shared" si="81"/>
        <v>3267.0000000000009</v>
      </c>
      <c r="AJ30" s="130">
        <f t="shared" si="81"/>
        <v>3267.0000000000009</v>
      </c>
      <c r="AK30" s="130">
        <f t="shared" si="81"/>
        <v>3267.0000000000009</v>
      </c>
      <c r="AL30" s="130">
        <f t="shared" si="81"/>
        <v>3267.0000000000009</v>
      </c>
      <c r="AM30" s="130">
        <f t="shared" si="81"/>
        <v>3267.0000000000009</v>
      </c>
      <c r="AN30" s="130">
        <f t="shared" si="81"/>
        <v>3267.0000000000009</v>
      </c>
      <c r="AO30" s="130">
        <f t="shared" si="81"/>
        <v>3267.0000000000009</v>
      </c>
      <c r="AP30" s="130">
        <f t="shared" ref="AP30:BQ30" si="82">AP18+AP24</f>
        <v>3267.0000000000009</v>
      </c>
      <c r="AQ30" s="130">
        <f t="shared" si="82"/>
        <v>3267.0000000000009</v>
      </c>
      <c r="AR30" s="130">
        <f t="shared" si="82"/>
        <v>3267.0000000000009</v>
      </c>
      <c r="AS30" s="130">
        <f t="shared" si="82"/>
        <v>3267.0000000000009</v>
      </c>
      <c r="AT30" s="130">
        <f t="shared" si="82"/>
        <v>4312.4400000000005</v>
      </c>
      <c r="AU30" s="130">
        <f t="shared" si="82"/>
        <v>4312.4400000000005</v>
      </c>
      <c r="AV30" s="130">
        <f t="shared" si="82"/>
        <v>4312.4400000000005</v>
      </c>
      <c r="AW30" s="130">
        <f t="shared" si="82"/>
        <v>4312.4400000000005</v>
      </c>
      <c r="AX30" s="130">
        <f t="shared" si="82"/>
        <v>4312.4400000000005</v>
      </c>
      <c r="AY30" s="130">
        <f t="shared" si="82"/>
        <v>4312.4400000000005</v>
      </c>
      <c r="AZ30" s="130">
        <f t="shared" si="82"/>
        <v>4312.4400000000005</v>
      </c>
      <c r="BA30" s="130">
        <f t="shared" si="82"/>
        <v>4312.4400000000005</v>
      </c>
      <c r="BB30" s="130">
        <f t="shared" si="82"/>
        <v>4312.4400000000005</v>
      </c>
      <c r="BC30" s="130">
        <f t="shared" si="82"/>
        <v>4312.4400000000005</v>
      </c>
      <c r="BD30" s="130">
        <f t="shared" si="82"/>
        <v>4312.4400000000005</v>
      </c>
      <c r="BE30" s="130">
        <f t="shared" si="82"/>
        <v>4312.4400000000005</v>
      </c>
      <c r="BF30" s="130">
        <f t="shared" si="82"/>
        <v>5692.4208000000017</v>
      </c>
      <c r="BG30" s="130">
        <f t="shared" si="82"/>
        <v>5692.4208000000017</v>
      </c>
      <c r="BH30" s="130">
        <f t="shared" si="82"/>
        <v>5692.4208000000017</v>
      </c>
      <c r="BI30" s="130">
        <f t="shared" si="82"/>
        <v>5692.4208000000017</v>
      </c>
      <c r="BJ30" s="130">
        <f t="shared" si="82"/>
        <v>5692.4208000000017</v>
      </c>
      <c r="BK30" s="130">
        <f t="shared" si="82"/>
        <v>5692.4208000000017</v>
      </c>
      <c r="BL30" s="130">
        <f t="shared" si="82"/>
        <v>5692.4208000000017</v>
      </c>
      <c r="BM30" s="130">
        <f t="shared" si="82"/>
        <v>5692.4208000000017</v>
      </c>
      <c r="BN30" s="130">
        <f t="shared" si="82"/>
        <v>5692.4208000000017</v>
      </c>
      <c r="BO30" s="130">
        <f t="shared" si="82"/>
        <v>5692.4208000000017</v>
      </c>
      <c r="BP30" s="130">
        <f t="shared" si="82"/>
        <v>5692.4208000000017</v>
      </c>
      <c r="BQ30" s="130">
        <f t="shared" si="82"/>
        <v>5692.4208000000017</v>
      </c>
    </row>
    <row r="31" spans="1:69" ht="10.199999999999999" outlineLevel="1">
      <c r="C31" s="122"/>
      <c r="D31" s="95" t="str">
        <f>D10</f>
        <v>Product 2</v>
      </c>
      <c r="J31" s="130">
        <f t="shared" ref="J31:AO31" si="83">J19+J25</f>
        <v>0</v>
      </c>
      <c r="K31" s="130">
        <f t="shared" si="83"/>
        <v>3181.8181818181815</v>
      </c>
      <c r="L31" s="130">
        <f t="shared" si="83"/>
        <v>3181.8181818181815</v>
      </c>
      <c r="M31" s="130">
        <f t="shared" si="83"/>
        <v>3181.8181818181815</v>
      </c>
      <c r="N31" s="130">
        <f t="shared" si="83"/>
        <v>3181.8181818181815</v>
      </c>
      <c r="O31" s="130">
        <f t="shared" si="83"/>
        <v>3181.8181818181815</v>
      </c>
      <c r="P31" s="130">
        <f t="shared" si="83"/>
        <v>3181.8181818181815</v>
      </c>
      <c r="Q31" s="130">
        <f t="shared" si="83"/>
        <v>3181.8181818181815</v>
      </c>
      <c r="R31" s="130">
        <f t="shared" si="83"/>
        <v>3181.8181818181815</v>
      </c>
      <c r="S31" s="130">
        <f t="shared" si="83"/>
        <v>3181.8181818181815</v>
      </c>
      <c r="T31" s="130">
        <f t="shared" si="83"/>
        <v>3181.8181818181815</v>
      </c>
      <c r="U31" s="130">
        <f t="shared" si="83"/>
        <v>3181.8181818181815</v>
      </c>
      <c r="V31" s="130">
        <f t="shared" si="83"/>
        <v>3850.0000000000009</v>
      </c>
      <c r="W31" s="130">
        <f t="shared" si="83"/>
        <v>3850.0000000000009</v>
      </c>
      <c r="X31" s="130">
        <f t="shared" si="83"/>
        <v>3850.0000000000009</v>
      </c>
      <c r="Y31" s="130">
        <f t="shared" si="83"/>
        <v>3850.0000000000009</v>
      </c>
      <c r="Z31" s="130">
        <f t="shared" si="83"/>
        <v>3850.0000000000009</v>
      </c>
      <c r="AA31" s="130">
        <f t="shared" si="83"/>
        <v>3850.0000000000009</v>
      </c>
      <c r="AB31" s="130">
        <f t="shared" si="83"/>
        <v>3850.0000000000009</v>
      </c>
      <c r="AC31" s="130">
        <f t="shared" si="83"/>
        <v>3850.0000000000009</v>
      </c>
      <c r="AD31" s="130">
        <f t="shared" si="83"/>
        <v>3850.0000000000009</v>
      </c>
      <c r="AE31" s="130">
        <f t="shared" si="83"/>
        <v>3850.0000000000009</v>
      </c>
      <c r="AF31" s="130">
        <f t="shared" si="83"/>
        <v>3850.0000000000009</v>
      </c>
      <c r="AG31" s="130">
        <f t="shared" si="83"/>
        <v>3850.0000000000009</v>
      </c>
      <c r="AH31" s="130">
        <f t="shared" si="83"/>
        <v>5082.0000000000018</v>
      </c>
      <c r="AI31" s="130">
        <f t="shared" si="83"/>
        <v>5082.0000000000018</v>
      </c>
      <c r="AJ31" s="130">
        <f t="shared" si="83"/>
        <v>5082.0000000000018</v>
      </c>
      <c r="AK31" s="130">
        <f t="shared" si="83"/>
        <v>5082.0000000000018</v>
      </c>
      <c r="AL31" s="130">
        <f t="shared" si="83"/>
        <v>5082.0000000000018</v>
      </c>
      <c r="AM31" s="130">
        <f t="shared" si="83"/>
        <v>5082.0000000000018</v>
      </c>
      <c r="AN31" s="130">
        <f t="shared" si="83"/>
        <v>5082.0000000000018</v>
      </c>
      <c r="AO31" s="130">
        <f t="shared" si="83"/>
        <v>5082.0000000000018</v>
      </c>
      <c r="AP31" s="130">
        <f t="shared" ref="AP31:BQ31" si="84">AP19+AP25</f>
        <v>5082.0000000000018</v>
      </c>
      <c r="AQ31" s="130">
        <f t="shared" si="84"/>
        <v>5082.0000000000018</v>
      </c>
      <c r="AR31" s="130">
        <f t="shared" si="84"/>
        <v>5082.0000000000018</v>
      </c>
      <c r="AS31" s="130">
        <f t="shared" si="84"/>
        <v>5082.0000000000018</v>
      </c>
      <c r="AT31" s="130">
        <f t="shared" si="84"/>
        <v>6708.2400000000034</v>
      </c>
      <c r="AU31" s="130">
        <f t="shared" si="84"/>
        <v>6708.2400000000034</v>
      </c>
      <c r="AV31" s="130">
        <f t="shared" si="84"/>
        <v>6708.2400000000034</v>
      </c>
      <c r="AW31" s="130">
        <f t="shared" si="84"/>
        <v>6708.2400000000034</v>
      </c>
      <c r="AX31" s="130">
        <f t="shared" si="84"/>
        <v>6708.2400000000034</v>
      </c>
      <c r="AY31" s="130">
        <f t="shared" si="84"/>
        <v>6708.2400000000034</v>
      </c>
      <c r="AZ31" s="130">
        <f t="shared" si="84"/>
        <v>6708.2400000000034</v>
      </c>
      <c r="BA31" s="130">
        <f t="shared" si="84"/>
        <v>6708.2400000000034</v>
      </c>
      <c r="BB31" s="130">
        <f t="shared" si="84"/>
        <v>6708.2400000000034</v>
      </c>
      <c r="BC31" s="130">
        <f t="shared" si="84"/>
        <v>6708.2400000000034</v>
      </c>
      <c r="BD31" s="130">
        <f t="shared" si="84"/>
        <v>6708.2400000000034</v>
      </c>
      <c r="BE31" s="130">
        <f t="shared" si="84"/>
        <v>6708.2400000000034</v>
      </c>
      <c r="BF31" s="130">
        <f t="shared" si="84"/>
        <v>8854.8768000000055</v>
      </c>
      <c r="BG31" s="130">
        <f t="shared" si="84"/>
        <v>8854.8768000000055</v>
      </c>
      <c r="BH31" s="130">
        <f t="shared" si="84"/>
        <v>8854.8768000000055</v>
      </c>
      <c r="BI31" s="130">
        <f t="shared" si="84"/>
        <v>8854.8768000000055</v>
      </c>
      <c r="BJ31" s="130">
        <f t="shared" si="84"/>
        <v>8854.8768000000055</v>
      </c>
      <c r="BK31" s="130">
        <f t="shared" si="84"/>
        <v>8854.8768000000055</v>
      </c>
      <c r="BL31" s="130">
        <f t="shared" si="84"/>
        <v>8854.8768000000055</v>
      </c>
      <c r="BM31" s="130">
        <f t="shared" si="84"/>
        <v>8854.8768000000055</v>
      </c>
      <c r="BN31" s="130">
        <f t="shared" si="84"/>
        <v>8854.8768000000055</v>
      </c>
      <c r="BO31" s="130">
        <f t="shared" si="84"/>
        <v>8854.8768000000055</v>
      </c>
      <c r="BP31" s="130">
        <f t="shared" si="84"/>
        <v>8854.8768000000055</v>
      </c>
      <c r="BQ31" s="130">
        <f t="shared" si="84"/>
        <v>8854.8768000000055</v>
      </c>
    </row>
    <row r="32" spans="1:69" ht="10.8" outlineLevel="1" thickBot="1">
      <c r="A32" s="91"/>
      <c r="B32" s="91"/>
      <c r="C32" s="125"/>
      <c r="D32" s="123" t="str">
        <f>D11</f>
        <v>Product 3</v>
      </c>
      <c r="E32" s="129"/>
      <c r="F32" s="91"/>
      <c r="G32" s="91"/>
      <c r="H32" s="91"/>
      <c r="I32" s="91"/>
      <c r="J32" s="131">
        <f t="shared" ref="J32:AO32" si="85">J20+J26</f>
        <v>0</v>
      </c>
      <c r="K32" s="131">
        <f t="shared" si="85"/>
        <v>0</v>
      </c>
      <c r="L32" s="131">
        <f t="shared" si="85"/>
        <v>1950</v>
      </c>
      <c r="M32" s="131">
        <f t="shared" si="85"/>
        <v>1950</v>
      </c>
      <c r="N32" s="131">
        <f t="shared" si="85"/>
        <v>1950</v>
      </c>
      <c r="O32" s="131">
        <f t="shared" si="85"/>
        <v>1950</v>
      </c>
      <c r="P32" s="131">
        <f t="shared" si="85"/>
        <v>1950</v>
      </c>
      <c r="Q32" s="131">
        <f t="shared" si="85"/>
        <v>1950</v>
      </c>
      <c r="R32" s="131">
        <f t="shared" si="85"/>
        <v>1950</v>
      </c>
      <c r="S32" s="131">
        <f t="shared" si="85"/>
        <v>1950</v>
      </c>
      <c r="T32" s="131">
        <f t="shared" si="85"/>
        <v>1950</v>
      </c>
      <c r="U32" s="131">
        <f t="shared" si="85"/>
        <v>1950</v>
      </c>
      <c r="V32" s="131">
        <f t="shared" si="85"/>
        <v>2145</v>
      </c>
      <c r="W32" s="131">
        <f t="shared" si="85"/>
        <v>2145</v>
      </c>
      <c r="X32" s="131">
        <f t="shared" si="85"/>
        <v>2145</v>
      </c>
      <c r="Y32" s="131">
        <f t="shared" si="85"/>
        <v>2145</v>
      </c>
      <c r="Z32" s="131">
        <f t="shared" si="85"/>
        <v>2145</v>
      </c>
      <c r="AA32" s="131">
        <f t="shared" si="85"/>
        <v>2145</v>
      </c>
      <c r="AB32" s="131">
        <f t="shared" si="85"/>
        <v>2145</v>
      </c>
      <c r="AC32" s="131">
        <f t="shared" si="85"/>
        <v>2145</v>
      </c>
      <c r="AD32" s="131">
        <f t="shared" si="85"/>
        <v>2145</v>
      </c>
      <c r="AE32" s="131">
        <f t="shared" si="85"/>
        <v>2145</v>
      </c>
      <c r="AF32" s="131">
        <f t="shared" si="85"/>
        <v>2145</v>
      </c>
      <c r="AG32" s="131">
        <f t="shared" si="85"/>
        <v>2145</v>
      </c>
      <c r="AH32" s="131">
        <f t="shared" si="85"/>
        <v>2831.4000000000005</v>
      </c>
      <c r="AI32" s="131">
        <f t="shared" si="85"/>
        <v>2831.4000000000005</v>
      </c>
      <c r="AJ32" s="131">
        <f t="shared" si="85"/>
        <v>2831.4000000000005</v>
      </c>
      <c r="AK32" s="131">
        <f t="shared" si="85"/>
        <v>2831.4000000000005</v>
      </c>
      <c r="AL32" s="131">
        <f t="shared" si="85"/>
        <v>2831.4000000000005</v>
      </c>
      <c r="AM32" s="131">
        <f t="shared" si="85"/>
        <v>2831.4000000000005</v>
      </c>
      <c r="AN32" s="131">
        <f t="shared" si="85"/>
        <v>2831.4000000000005</v>
      </c>
      <c r="AO32" s="131">
        <f t="shared" si="85"/>
        <v>2831.4000000000005</v>
      </c>
      <c r="AP32" s="131">
        <f t="shared" ref="AP32:BQ32" si="86">AP20+AP26</f>
        <v>2831.4000000000005</v>
      </c>
      <c r="AQ32" s="131">
        <f t="shared" si="86"/>
        <v>2831.4000000000005</v>
      </c>
      <c r="AR32" s="131">
        <f t="shared" si="86"/>
        <v>2831.4000000000005</v>
      </c>
      <c r="AS32" s="131">
        <f t="shared" si="86"/>
        <v>2831.4000000000005</v>
      </c>
      <c r="AT32" s="131">
        <f t="shared" si="86"/>
        <v>3737.4480000000008</v>
      </c>
      <c r="AU32" s="131">
        <f t="shared" si="86"/>
        <v>3737.4480000000008</v>
      </c>
      <c r="AV32" s="131">
        <f t="shared" si="86"/>
        <v>3737.4480000000008</v>
      </c>
      <c r="AW32" s="131">
        <f t="shared" si="86"/>
        <v>3737.4480000000008</v>
      </c>
      <c r="AX32" s="131">
        <f t="shared" si="86"/>
        <v>3737.4480000000008</v>
      </c>
      <c r="AY32" s="131">
        <f t="shared" si="86"/>
        <v>3737.4480000000008</v>
      </c>
      <c r="AZ32" s="131">
        <f t="shared" si="86"/>
        <v>3737.4480000000008</v>
      </c>
      <c r="BA32" s="131">
        <f t="shared" si="86"/>
        <v>3737.4480000000008</v>
      </c>
      <c r="BB32" s="131">
        <f t="shared" si="86"/>
        <v>3737.4480000000008</v>
      </c>
      <c r="BC32" s="131">
        <f t="shared" si="86"/>
        <v>3737.4480000000008</v>
      </c>
      <c r="BD32" s="131">
        <f t="shared" si="86"/>
        <v>3737.4480000000008</v>
      </c>
      <c r="BE32" s="131">
        <f t="shared" si="86"/>
        <v>3737.4480000000008</v>
      </c>
      <c r="BF32" s="131">
        <f t="shared" si="86"/>
        <v>4933.4313600000005</v>
      </c>
      <c r="BG32" s="131">
        <f t="shared" si="86"/>
        <v>4933.4313600000005</v>
      </c>
      <c r="BH32" s="131">
        <f t="shared" si="86"/>
        <v>4933.4313600000005</v>
      </c>
      <c r="BI32" s="131">
        <f t="shared" si="86"/>
        <v>4933.4313600000005</v>
      </c>
      <c r="BJ32" s="131">
        <f t="shared" si="86"/>
        <v>4933.4313600000005</v>
      </c>
      <c r="BK32" s="131">
        <f t="shared" si="86"/>
        <v>4933.4313600000005</v>
      </c>
      <c r="BL32" s="131">
        <f t="shared" si="86"/>
        <v>4933.4313600000005</v>
      </c>
      <c r="BM32" s="131">
        <f t="shared" si="86"/>
        <v>4933.4313600000005</v>
      </c>
      <c r="BN32" s="131">
        <f t="shared" si="86"/>
        <v>4933.4313600000005</v>
      </c>
      <c r="BO32" s="131">
        <f t="shared" si="86"/>
        <v>4933.4313600000005</v>
      </c>
      <c r="BP32" s="131">
        <f t="shared" si="86"/>
        <v>4933.4313600000005</v>
      </c>
      <c r="BQ32" s="131">
        <f t="shared" si="86"/>
        <v>4933.4313600000005</v>
      </c>
    </row>
    <row r="33" spans="1:69" ht="10.8" thickTop="1">
      <c r="A33" s="91"/>
      <c r="B33" s="91"/>
      <c r="D33" s="125" t="s">
        <v>71</v>
      </c>
      <c r="E33" s="91"/>
      <c r="F33" s="91"/>
      <c r="G33" s="91"/>
      <c r="H33" s="91"/>
      <c r="I33" s="91"/>
      <c r="J33" s="127">
        <f>SUM(J30:J32)</f>
        <v>1875</v>
      </c>
      <c r="K33" s="127">
        <f t="shared" ref="K33:BQ33" si="87">SUM(K30:K32)</f>
        <v>5056.818181818182</v>
      </c>
      <c r="L33" s="127">
        <f t="shared" si="87"/>
        <v>7006.818181818182</v>
      </c>
      <c r="M33" s="127">
        <f t="shared" si="87"/>
        <v>7006.818181818182</v>
      </c>
      <c r="N33" s="127">
        <f t="shared" si="87"/>
        <v>7006.818181818182</v>
      </c>
      <c r="O33" s="127">
        <f t="shared" si="87"/>
        <v>7006.818181818182</v>
      </c>
      <c r="P33" s="127">
        <f t="shared" si="87"/>
        <v>7006.818181818182</v>
      </c>
      <c r="Q33" s="127">
        <f t="shared" si="87"/>
        <v>7006.818181818182</v>
      </c>
      <c r="R33" s="127">
        <f t="shared" si="87"/>
        <v>7006.818181818182</v>
      </c>
      <c r="S33" s="127">
        <f t="shared" si="87"/>
        <v>7006.818181818182</v>
      </c>
      <c r="T33" s="127">
        <f t="shared" si="87"/>
        <v>7006.818181818182</v>
      </c>
      <c r="U33" s="127">
        <f t="shared" si="87"/>
        <v>7006.818181818182</v>
      </c>
      <c r="V33" s="127">
        <f t="shared" si="87"/>
        <v>8470</v>
      </c>
      <c r="W33" s="127">
        <f t="shared" si="87"/>
        <v>8470</v>
      </c>
      <c r="X33" s="127">
        <f t="shared" si="87"/>
        <v>8470</v>
      </c>
      <c r="Y33" s="127">
        <f t="shared" si="87"/>
        <v>8470</v>
      </c>
      <c r="Z33" s="127">
        <f t="shared" si="87"/>
        <v>8470</v>
      </c>
      <c r="AA33" s="127">
        <f t="shared" si="87"/>
        <v>8470</v>
      </c>
      <c r="AB33" s="127">
        <f t="shared" si="87"/>
        <v>8470</v>
      </c>
      <c r="AC33" s="127">
        <f t="shared" si="87"/>
        <v>8470</v>
      </c>
      <c r="AD33" s="127">
        <f t="shared" si="87"/>
        <v>8470</v>
      </c>
      <c r="AE33" s="127">
        <f t="shared" si="87"/>
        <v>8470</v>
      </c>
      <c r="AF33" s="127">
        <f t="shared" si="87"/>
        <v>8470</v>
      </c>
      <c r="AG33" s="127">
        <f t="shared" si="87"/>
        <v>8470</v>
      </c>
      <c r="AH33" s="127">
        <f t="shared" si="87"/>
        <v>11180.400000000005</v>
      </c>
      <c r="AI33" s="127">
        <f t="shared" si="87"/>
        <v>11180.400000000005</v>
      </c>
      <c r="AJ33" s="127">
        <f t="shared" si="87"/>
        <v>11180.400000000005</v>
      </c>
      <c r="AK33" s="127">
        <f t="shared" si="87"/>
        <v>11180.400000000005</v>
      </c>
      <c r="AL33" s="127">
        <f t="shared" si="87"/>
        <v>11180.400000000005</v>
      </c>
      <c r="AM33" s="127">
        <f t="shared" si="87"/>
        <v>11180.400000000005</v>
      </c>
      <c r="AN33" s="127">
        <f t="shared" si="87"/>
        <v>11180.400000000005</v>
      </c>
      <c r="AO33" s="127">
        <f t="shared" si="87"/>
        <v>11180.400000000005</v>
      </c>
      <c r="AP33" s="127">
        <f t="shared" si="87"/>
        <v>11180.400000000005</v>
      </c>
      <c r="AQ33" s="127">
        <f t="shared" si="87"/>
        <v>11180.400000000005</v>
      </c>
      <c r="AR33" s="127">
        <f t="shared" si="87"/>
        <v>11180.400000000005</v>
      </c>
      <c r="AS33" s="127">
        <f t="shared" si="87"/>
        <v>11180.400000000005</v>
      </c>
      <c r="AT33" s="127">
        <f t="shared" si="87"/>
        <v>14758.128000000004</v>
      </c>
      <c r="AU33" s="127">
        <f t="shared" si="87"/>
        <v>14758.128000000004</v>
      </c>
      <c r="AV33" s="127">
        <f t="shared" si="87"/>
        <v>14758.128000000004</v>
      </c>
      <c r="AW33" s="127">
        <f t="shared" si="87"/>
        <v>14758.128000000004</v>
      </c>
      <c r="AX33" s="127">
        <f t="shared" si="87"/>
        <v>14758.128000000004</v>
      </c>
      <c r="AY33" s="127">
        <f t="shared" si="87"/>
        <v>14758.128000000004</v>
      </c>
      <c r="AZ33" s="127">
        <f t="shared" si="87"/>
        <v>14758.128000000004</v>
      </c>
      <c r="BA33" s="127">
        <f t="shared" si="87"/>
        <v>14758.128000000004</v>
      </c>
      <c r="BB33" s="127">
        <f t="shared" si="87"/>
        <v>14758.128000000004</v>
      </c>
      <c r="BC33" s="127">
        <f t="shared" si="87"/>
        <v>14758.128000000004</v>
      </c>
      <c r="BD33" s="127">
        <f t="shared" si="87"/>
        <v>14758.128000000004</v>
      </c>
      <c r="BE33" s="127">
        <f t="shared" si="87"/>
        <v>14758.128000000004</v>
      </c>
      <c r="BF33" s="127">
        <f t="shared" si="87"/>
        <v>19480.728960000008</v>
      </c>
      <c r="BG33" s="127">
        <f t="shared" si="87"/>
        <v>19480.728960000008</v>
      </c>
      <c r="BH33" s="127">
        <f t="shared" si="87"/>
        <v>19480.728960000008</v>
      </c>
      <c r="BI33" s="127">
        <f t="shared" si="87"/>
        <v>19480.728960000008</v>
      </c>
      <c r="BJ33" s="127">
        <f t="shared" si="87"/>
        <v>19480.728960000008</v>
      </c>
      <c r="BK33" s="127">
        <f t="shared" si="87"/>
        <v>19480.728960000008</v>
      </c>
      <c r="BL33" s="127">
        <f t="shared" si="87"/>
        <v>19480.728960000008</v>
      </c>
      <c r="BM33" s="127">
        <f t="shared" si="87"/>
        <v>19480.728960000008</v>
      </c>
      <c r="BN33" s="127">
        <f t="shared" si="87"/>
        <v>19480.728960000008</v>
      </c>
      <c r="BO33" s="127">
        <f t="shared" si="87"/>
        <v>19480.728960000008</v>
      </c>
      <c r="BP33" s="127">
        <f t="shared" si="87"/>
        <v>19480.728960000008</v>
      </c>
      <c r="BQ33" s="127">
        <f t="shared" si="87"/>
        <v>19480.728960000008</v>
      </c>
    </row>
    <row r="34" spans="1:69" ht="10.199999999999999">
      <c r="A34" s="91"/>
      <c r="B34" s="91"/>
      <c r="C34" s="125"/>
      <c r="D34" s="92"/>
      <c r="E34" s="91"/>
      <c r="F34" s="91"/>
      <c r="G34" s="91"/>
      <c r="H34" s="91"/>
      <c r="I34" s="91"/>
      <c r="J34" s="127"/>
      <c r="K34" s="127"/>
      <c r="L34" s="127"/>
      <c r="M34" s="127"/>
      <c r="N34" s="127"/>
      <c r="O34" s="127"/>
      <c r="P34" s="127"/>
      <c r="Q34" s="127"/>
      <c r="R34" s="127"/>
      <c r="S34" s="127"/>
      <c r="T34" s="127"/>
      <c r="U34" s="127"/>
      <c r="V34" s="127"/>
      <c r="W34" s="127"/>
      <c r="X34" s="127"/>
      <c r="Y34" s="127"/>
      <c r="Z34" s="127"/>
      <c r="AA34" s="127"/>
      <c r="AB34" s="127"/>
      <c r="AC34" s="127"/>
      <c r="AD34" s="127"/>
      <c r="AE34" s="127"/>
      <c r="AF34" s="127"/>
      <c r="AG34" s="127"/>
      <c r="AH34" s="127"/>
      <c r="AI34" s="127"/>
      <c r="AJ34" s="127"/>
      <c r="AK34" s="127"/>
      <c r="AL34" s="127"/>
      <c r="AM34" s="127"/>
      <c r="AN34" s="127"/>
      <c r="AO34" s="127"/>
      <c r="AP34" s="127"/>
      <c r="AQ34" s="127"/>
      <c r="AR34" s="127"/>
      <c r="AS34" s="127"/>
      <c r="AT34" s="127"/>
      <c r="AU34" s="127"/>
      <c r="AV34" s="127"/>
      <c r="AW34" s="127"/>
      <c r="AX34" s="127"/>
      <c r="AY34" s="127"/>
      <c r="AZ34" s="127"/>
      <c r="BA34" s="127"/>
      <c r="BB34" s="127"/>
      <c r="BC34" s="127"/>
      <c r="BD34" s="127"/>
      <c r="BE34" s="127"/>
      <c r="BF34" s="127"/>
      <c r="BG34" s="127"/>
      <c r="BH34" s="127"/>
      <c r="BI34" s="127"/>
      <c r="BJ34" s="127"/>
      <c r="BK34" s="127"/>
      <c r="BL34" s="127"/>
      <c r="BM34" s="127"/>
      <c r="BN34" s="127"/>
      <c r="BO34" s="127"/>
      <c r="BP34" s="127"/>
      <c r="BQ34" s="127"/>
    </row>
    <row r="35" spans="1:69" ht="11.4" outlineLevel="1">
      <c r="C35" s="128" t="s">
        <v>41</v>
      </c>
      <c r="J35" s="100"/>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0"/>
    </row>
    <row r="36" spans="1:69" ht="10.199999999999999" outlineLevel="1">
      <c r="C36" s="122"/>
      <c r="D36" s="123" t="str">
        <f>OPEX!B20</f>
        <v>Shipping</v>
      </c>
      <c r="J36" s="124">
        <f>-OPEX!J20</f>
        <v>-125</v>
      </c>
      <c r="K36" s="124">
        <f>-OPEX!K20</f>
        <v>-352.27272727272725</v>
      </c>
      <c r="L36" s="124">
        <f>-OPEX!L20</f>
        <v>-502.27272727272725</v>
      </c>
      <c r="M36" s="124">
        <f>-OPEX!M20</f>
        <v>-502.27272727272725</v>
      </c>
      <c r="N36" s="124">
        <f>-OPEX!N20</f>
        <v>-502.27272727272725</v>
      </c>
      <c r="O36" s="124">
        <f>-OPEX!O20</f>
        <v>-502.27272727272725</v>
      </c>
      <c r="P36" s="124">
        <f>-OPEX!P20</f>
        <v>-502.27272727272725</v>
      </c>
      <c r="Q36" s="124">
        <f>-OPEX!Q20</f>
        <v>-502.27272727272725</v>
      </c>
      <c r="R36" s="124">
        <f>-OPEX!R20</f>
        <v>-502.27272727272725</v>
      </c>
      <c r="S36" s="124">
        <f>-OPEX!S20</f>
        <v>-502.27272727272725</v>
      </c>
      <c r="T36" s="124">
        <f>-OPEX!T20</f>
        <v>-502.27272727272725</v>
      </c>
      <c r="U36" s="124">
        <f>-OPEX!U20</f>
        <v>-502.27272727272725</v>
      </c>
      <c r="V36" s="124">
        <f>-OPEX!V20</f>
        <v>-605</v>
      </c>
      <c r="W36" s="124">
        <f>-OPEX!W20</f>
        <v>-605</v>
      </c>
      <c r="X36" s="124">
        <f>-OPEX!X20</f>
        <v>-605</v>
      </c>
      <c r="Y36" s="124">
        <f>-OPEX!Y20</f>
        <v>-605</v>
      </c>
      <c r="Z36" s="124">
        <f>-OPEX!Z20</f>
        <v>-605</v>
      </c>
      <c r="AA36" s="124">
        <f>-OPEX!AA20</f>
        <v>-605</v>
      </c>
      <c r="AB36" s="124">
        <f>-OPEX!AB20</f>
        <v>-605</v>
      </c>
      <c r="AC36" s="124">
        <f>-OPEX!AC20</f>
        <v>-605</v>
      </c>
      <c r="AD36" s="124">
        <f>-OPEX!AD20</f>
        <v>-605</v>
      </c>
      <c r="AE36" s="124">
        <f>-OPEX!AE20</f>
        <v>-605</v>
      </c>
      <c r="AF36" s="124">
        <f>-OPEX!AF20</f>
        <v>-605</v>
      </c>
      <c r="AG36" s="124">
        <f>-OPEX!AG20</f>
        <v>-605</v>
      </c>
      <c r="AH36" s="124">
        <f>-OPEX!AH20</f>
        <v>-798.60000000000025</v>
      </c>
      <c r="AI36" s="124">
        <f>-OPEX!AI20</f>
        <v>-798.60000000000025</v>
      </c>
      <c r="AJ36" s="124">
        <f>-OPEX!AJ20</f>
        <v>-798.60000000000025</v>
      </c>
      <c r="AK36" s="124">
        <f>-OPEX!AK20</f>
        <v>-798.60000000000025</v>
      </c>
      <c r="AL36" s="124">
        <f>-OPEX!AL20</f>
        <v>-798.60000000000025</v>
      </c>
      <c r="AM36" s="124">
        <f>-OPEX!AM20</f>
        <v>-798.60000000000025</v>
      </c>
      <c r="AN36" s="124">
        <f>-OPEX!AN20</f>
        <v>-798.60000000000025</v>
      </c>
      <c r="AO36" s="124">
        <f>-OPEX!AO20</f>
        <v>-798.60000000000025</v>
      </c>
      <c r="AP36" s="124">
        <f>-OPEX!AP20</f>
        <v>-798.60000000000025</v>
      </c>
      <c r="AQ36" s="124">
        <f>-OPEX!AQ20</f>
        <v>-798.60000000000025</v>
      </c>
      <c r="AR36" s="124">
        <f>-OPEX!AR20</f>
        <v>-798.60000000000025</v>
      </c>
      <c r="AS36" s="124">
        <f>-OPEX!AS20</f>
        <v>-798.60000000000025</v>
      </c>
      <c r="AT36" s="124">
        <f>-OPEX!AT20</f>
        <v>-1054.1520000000005</v>
      </c>
      <c r="AU36" s="124">
        <f>-OPEX!AU20</f>
        <v>-1054.1520000000005</v>
      </c>
      <c r="AV36" s="124">
        <f>-OPEX!AV20</f>
        <v>-1054.1520000000005</v>
      </c>
      <c r="AW36" s="124">
        <f>-OPEX!AW20</f>
        <v>-1054.1520000000005</v>
      </c>
      <c r="AX36" s="124">
        <f>-OPEX!AX20</f>
        <v>-1054.1520000000005</v>
      </c>
      <c r="AY36" s="124">
        <f>-OPEX!AY20</f>
        <v>-1054.1520000000005</v>
      </c>
      <c r="AZ36" s="124">
        <f>-OPEX!AZ20</f>
        <v>-1054.1520000000005</v>
      </c>
      <c r="BA36" s="124">
        <f>-OPEX!BA20</f>
        <v>-1054.1520000000005</v>
      </c>
      <c r="BB36" s="124">
        <f>-OPEX!BB20</f>
        <v>-1054.1520000000005</v>
      </c>
      <c r="BC36" s="124">
        <f>-OPEX!BC20</f>
        <v>-1054.1520000000005</v>
      </c>
      <c r="BD36" s="124">
        <f>-OPEX!BD20</f>
        <v>-1054.1520000000005</v>
      </c>
      <c r="BE36" s="124">
        <f>-OPEX!BE20</f>
        <v>-1054.1520000000005</v>
      </c>
      <c r="BF36" s="124">
        <f>-OPEX!BF20</f>
        <v>-1391.4806400000007</v>
      </c>
      <c r="BG36" s="124">
        <f>-OPEX!BG20</f>
        <v>-1391.4806400000007</v>
      </c>
      <c r="BH36" s="124">
        <f>-OPEX!BH20</f>
        <v>-1391.4806400000007</v>
      </c>
      <c r="BI36" s="124">
        <f>-OPEX!BI20</f>
        <v>-1391.4806400000007</v>
      </c>
      <c r="BJ36" s="124">
        <f>-OPEX!BJ20</f>
        <v>-1391.4806400000007</v>
      </c>
      <c r="BK36" s="124">
        <f>-OPEX!BK20</f>
        <v>-1391.4806400000007</v>
      </c>
      <c r="BL36" s="124">
        <f>-OPEX!BL20</f>
        <v>-1391.4806400000007</v>
      </c>
      <c r="BM36" s="124">
        <f>-OPEX!BM20</f>
        <v>-1391.4806400000007</v>
      </c>
      <c r="BN36" s="124">
        <f>-OPEX!BN20</f>
        <v>-1391.4806400000007</v>
      </c>
      <c r="BO36" s="124">
        <f>-OPEX!BO20</f>
        <v>-1391.4806400000007</v>
      </c>
      <c r="BP36" s="124">
        <f>-OPEX!BP20</f>
        <v>-1391.4806400000007</v>
      </c>
      <c r="BQ36" s="124">
        <f>-OPEX!BQ20</f>
        <v>-1391.4806400000007</v>
      </c>
    </row>
    <row r="37" spans="1:69" ht="10.199999999999999" outlineLevel="1">
      <c r="C37" s="122"/>
      <c r="D37" s="123" t="str">
        <f>OPEX!B21</f>
        <v>VC_Placeholder2</v>
      </c>
      <c r="J37" s="124">
        <f>-OPEX!J21</f>
        <v>0</v>
      </c>
      <c r="K37" s="124">
        <f>-OPEX!K21</f>
        <v>0</v>
      </c>
      <c r="L37" s="124">
        <f>-OPEX!L21</f>
        <v>0</v>
      </c>
      <c r="M37" s="124">
        <f>-OPEX!M21</f>
        <v>0</v>
      </c>
      <c r="N37" s="124">
        <f>-OPEX!N21</f>
        <v>0</v>
      </c>
      <c r="O37" s="124">
        <f>-OPEX!O21</f>
        <v>0</v>
      </c>
      <c r="P37" s="124">
        <f>-OPEX!P21</f>
        <v>0</v>
      </c>
      <c r="Q37" s="124">
        <f>-OPEX!Q21</f>
        <v>0</v>
      </c>
      <c r="R37" s="124">
        <f>-OPEX!R21</f>
        <v>0</v>
      </c>
      <c r="S37" s="124">
        <f>-OPEX!S21</f>
        <v>0</v>
      </c>
      <c r="T37" s="124">
        <f>-OPEX!T21</f>
        <v>0</v>
      </c>
      <c r="U37" s="124">
        <f>-OPEX!U21</f>
        <v>0</v>
      </c>
      <c r="V37" s="124">
        <f>-OPEX!V21</f>
        <v>0</v>
      </c>
      <c r="W37" s="124">
        <f>-OPEX!W21</f>
        <v>0</v>
      </c>
      <c r="X37" s="124">
        <f>-OPEX!X21</f>
        <v>0</v>
      </c>
      <c r="Y37" s="124">
        <f>-OPEX!Y21</f>
        <v>0</v>
      </c>
      <c r="Z37" s="124">
        <f>-OPEX!Z21</f>
        <v>0</v>
      </c>
      <c r="AA37" s="124">
        <f>-OPEX!AA21</f>
        <v>0</v>
      </c>
      <c r="AB37" s="124">
        <f>-OPEX!AB21</f>
        <v>0</v>
      </c>
      <c r="AC37" s="124">
        <f>-OPEX!AC21</f>
        <v>0</v>
      </c>
      <c r="AD37" s="124">
        <f>-OPEX!AD21</f>
        <v>0</v>
      </c>
      <c r="AE37" s="124">
        <f>-OPEX!AE21</f>
        <v>0</v>
      </c>
      <c r="AF37" s="124">
        <f>-OPEX!AF21</f>
        <v>0</v>
      </c>
      <c r="AG37" s="124">
        <f>-OPEX!AG21</f>
        <v>0</v>
      </c>
      <c r="AH37" s="124">
        <f>-OPEX!AH21</f>
        <v>0</v>
      </c>
      <c r="AI37" s="124">
        <f>-OPEX!AI21</f>
        <v>0</v>
      </c>
      <c r="AJ37" s="124">
        <f>-OPEX!AJ21</f>
        <v>0</v>
      </c>
      <c r="AK37" s="124">
        <f>-OPEX!AK21</f>
        <v>0</v>
      </c>
      <c r="AL37" s="124">
        <f>-OPEX!AL21</f>
        <v>0</v>
      </c>
      <c r="AM37" s="124">
        <f>-OPEX!AM21</f>
        <v>0</v>
      </c>
      <c r="AN37" s="124">
        <f>-OPEX!AN21</f>
        <v>0</v>
      </c>
      <c r="AO37" s="124">
        <f>-OPEX!AO21</f>
        <v>0</v>
      </c>
      <c r="AP37" s="124">
        <f>-OPEX!AP21</f>
        <v>0</v>
      </c>
      <c r="AQ37" s="124">
        <f>-OPEX!AQ21</f>
        <v>0</v>
      </c>
      <c r="AR37" s="124">
        <f>-OPEX!AR21</f>
        <v>0</v>
      </c>
      <c r="AS37" s="124">
        <f>-OPEX!AS21</f>
        <v>0</v>
      </c>
      <c r="AT37" s="124">
        <f>-OPEX!AT21</f>
        <v>0</v>
      </c>
      <c r="AU37" s="124">
        <f>-OPEX!AU21</f>
        <v>0</v>
      </c>
      <c r="AV37" s="124">
        <f>-OPEX!AV21</f>
        <v>0</v>
      </c>
      <c r="AW37" s="124">
        <f>-OPEX!AW21</f>
        <v>0</v>
      </c>
      <c r="AX37" s="124">
        <f>-OPEX!AX21</f>
        <v>0</v>
      </c>
      <c r="AY37" s="124">
        <f>-OPEX!AY21</f>
        <v>0</v>
      </c>
      <c r="AZ37" s="124">
        <f>-OPEX!AZ21</f>
        <v>0</v>
      </c>
      <c r="BA37" s="124">
        <f>-OPEX!BA21</f>
        <v>0</v>
      </c>
      <c r="BB37" s="124">
        <f>-OPEX!BB21</f>
        <v>0</v>
      </c>
      <c r="BC37" s="124">
        <f>-OPEX!BC21</f>
        <v>0</v>
      </c>
      <c r="BD37" s="124">
        <f>-OPEX!BD21</f>
        <v>0</v>
      </c>
      <c r="BE37" s="124">
        <f>-OPEX!BE21</f>
        <v>0</v>
      </c>
      <c r="BF37" s="124">
        <f>-OPEX!BF21</f>
        <v>0</v>
      </c>
      <c r="BG37" s="124">
        <f>-OPEX!BG21</f>
        <v>0</v>
      </c>
      <c r="BH37" s="124">
        <f>-OPEX!BH21</f>
        <v>0</v>
      </c>
      <c r="BI37" s="124">
        <f>-OPEX!BI21</f>
        <v>0</v>
      </c>
      <c r="BJ37" s="124">
        <f>-OPEX!BJ21</f>
        <v>0</v>
      </c>
      <c r="BK37" s="124">
        <f>-OPEX!BK21</f>
        <v>0</v>
      </c>
      <c r="BL37" s="124">
        <f>-OPEX!BL21</f>
        <v>0</v>
      </c>
      <c r="BM37" s="124">
        <f>-OPEX!BM21</f>
        <v>0</v>
      </c>
      <c r="BN37" s="124">
        <f>-OPEX!BN21</f>
        <v>0</v>
      </c>
      <c r="BO37" s="124">
        <f>-OPEX!BO21</f>
        <v>0</v>
      </c>
      <c r="BP37" s="124">
        <f>-OPEX!BP21</f>
        <v>0</v>
      </c>
      <c r="BQ37" s="124">
        <f>-OPEX!BQ21</f>
        <v>0</v>
      </c>
    </row>
    <row r="38" spans="1:69" ht="10.199999999999999" outlineLevel="1">
      <c r="C38" s="122"/>
      <c r="D38" s="123" t="str">
        <f>OPEX!B22</f>
        <v>VC_Placeholder3</v>
      </c>
      <c r="J38" s="124">
        <f>-OPEX!J22</f>
        <v>0</v>
      </c>
      <c r="K38" s="124">
        <f>-OPEX!K22</f>
        <v>0</v>
      </c>
      <c r="L38" s="124">
        <f>-OPEX!L22</f>
        <v>0</v>
      </c>
      <c r="M38" s="124">
        <f>-OPEX!M22</f>
        <v>0</v>
      </c>
      <c r="N38" s="124">
        <f>-OPEX!N22</f>
        <v>0</v>
      </c>
      <c r="O38" s="124">
        <f>-OPEX!O22</f>
        <v>0</v>
      </c>
      <c r="P38" s="124">
        <f>-OPEX!P22</f>
        <v>0</v>
      </c>
      <c r="Q38" s="124">
        <f>-OPEX!Q22</f>
        <v>0</v>
      </c>
      <c r="R38" s="124">
        <f>-OPEX!R22</f>
        <v>0</v>
      </c>
      <c r="S38" s="124">
        <f>-OPEX!S22</f>
        <v>0</v>
      </c>
      <c r="T38" s="124">
        <f>-OPEX!T22</f>
        <v>0</v>
      </c>
      <c r="U38" s="124">
        <f>-OPEX!U22</f>
        <v>0</v>
      </c>
      <c r="V38" s="124">
        <f>-OPEX!V22</f>
        <v>0</v>
      </c>
      <c r="W38" s="124">
        <f>-OPEX!W22</f>
        <v>0</v>
      </c>
      <c r="X38" s="124">
        <f>-OPEX!X22</f>
        <v>0</v>
      </c>
      <c r="Y38" s="124">
        <f>-OPEX!Y22</f>
        <v>0</v>
      </c>
      <c r="Z38" s="124">
        <f>-OPEX!Z22</f>
        <v>0</v>
      </c>
      <c r="AA38" s="124">
        <f>-OPEX!AA22</f>
        <v>0</v>
      </c>
      <c r="AB38" s="124">
        <f>-OPEX!AB22</f>
        <v>0</v>
      </c>
      <c r="AC38" s="124">
        <f>-OPEX!AC22</f>
        <v>0</v>
      </c>
      <c r="AD38" s="124">
        <f>-OPEX!AD22</f>
        <v>0</v>
      </c>
      <c r="AE38" s="124">
        <f>-OPEX!AE22</f>
        <v>0</v>
      </c>
      <c r="AF38" s="124">
        <f>-OPEX!AF22</f>
        <v>0</v>
      </c>
      <c r="AG38" s="124">
        <f>-OPEX!AG22</f>
        <v>0</v>
      </c>
      <c r="AH38" s="124">
        <f>-OPEX!AH22</f>
        <v>0</v>
      </c>
      <c r="AI38" s="124">
        <f>-OPEX!AI22</f>
        <v>0</v>
      </c>
      <c r="AJ38" s="124">
        <f>-OPEX!AJ22</f>
        <v>0</v>
      </c>
      <c r="AK38" s="124">
        <f>-OPEX!AK22</f>
        <v>0</v>
      </c>
      <c r="AL38" s="124">
        <f>-OPEX!AL22</f>
        <v>0</v>
      </c>
      <c r="AM38" s="124">
        <f>-OPEX!AM22</f>
        <v>0</v>
      </c>
      <c r="AN38" s="124">
        <f>-OPEX!AN22</f>
        <v>0</v>
      </c>
      <c r="AO38" s="124">
        <f>-OPEX!AO22</f>
        <v>0</v>
      </c>
      <c r="AP38" s="124">
        <f>-OPEX!AP22</f>
        <v>0</v>
      </c>
      <c r="AQ38" s="124">
        <f>-OPEX!AQ22</f>
        <v>0</v>
      </c>
      <c r="AR38" s="124">
        <f>-OPEX!AR22</f>
        <v>0</v>
      </c>
      <c r="AS38" s="124">
        <f>-OPEX!AS22</f>
        <v>0</v>
      </c>
      <c r="AT38" s="124">
        <f>-OPEX!AT22</f>
        <v>0</v>
      </c>
      <c r="AU38" s="124">
        <f>-OPEX!AU22</f>
        <v>0</v>
      </c>
      <c r="AV38" s="124">
        <f>-OPEX!AV22</f>
        <v>0</v>
      </c>
      <c r="AW38" s="124">
        <f>-OPEX!AW22</f>
        <v>0</v>
      </c>
      <c r="AX38" s="124">
        <f>-OPEX!AX22</f>
        <v>0</v>
      </c>
      <c r="AY38" s="124">
        <f>-OPEX!AY22</f>
        <v>0</v>
      </c>
      <c r="AZ38" s="124">
        <f>-OPEX!AZ22</f>
        <v>0</v>
      </c>
      <c r="BA38" s="124">
        <f>-OPEX!BA22</f>
        <v>0</v>
      </c>
      <c r="BB38" s="124">
        <f>-OPEX!BB22</f>
        <v>0</v>
      </c>
      <c r="BC38" s="124">
        <f>-OPEX!BC22</f>
        <v>0</v>
      </c>
      <c r="BD38" s="124">
        <f>-OPEX!BD22</f>
        <v>0</v>
      </c>
      <c r="BE38" s="124">
        <f>-OPEX!BE22</f>
        <v>0</v>
      </c>
      <c r="BF38" s="124">
        <f>-OPEX!BF22</f>
        <v>0</v>
      </c>
      <c r="BG38" s="124">
        <f>-OPEX!BG22</f>
        <v>0</v>
      </c>
      <c r="BH38" s="124">
        <f>-OPEX!BH22</f>
        <v>0</v>
      </c>
      <c r="BI38" s="124">
        <f>-OPEX!BI22</f>
        <v>0</v>
      </c>
      <c r="BJ38" s="124">
        <f>-OPEX!BJ22</f>
        <v>0</v>
      </c>
      <c r="BK38" s="124">
        <f>-OPEX!BK22</f>
        <v>0</v>
      </c>
      <c r="BL38" s="124">
        <f>-OPEX!BL22</f>
        <v>0</v>
      </c>
      <c r="BM38" s="124">
        <f>-OPEX!BM22</f>
        <v>0</v>
      </c>
      <c r="BN38" s="124">
        <f>-OPEX!BN22</f>
        <v>0</v>
      </c>
      <c r="BO38" s="124">
        <f>-OPEX!BO22</f>
        <v>0</v>
      </c>
      <c r="BP38" s="124">
        <f>-OPEX!BP22</f>
        <v>0</v>
      </c>
      <c r="BQ38" s="124">
        <f>-OPEX!BQ22</f>
        <v>0</v>
      </c>
    </row>
    <row r="39" spans="1:69" ht="10.199999999999999" outlineLevel="1">
      <c r="C39" s="122"/>
      <c r="D39" s="123" t="str">
        <f>OPEX!B23</f>
        <v>VC_Placeholder4</v>
      </c>
      <c r="J39" s="124">
        <f>-OPEX!J23</f>
        <v>0</v>
      </c>
      <c r="K39" s="124">
        <f>-OPEX!K23</f>
        <v>0</v>
      </c>
      <c r="L39" s="124">
        <f>-OPEX!L23</f>
        <v>0</v>
      </c>
      <c r="M39" s="124">
        <f>-OPEX!M23</f>
        <v>0</v>
      </c>
      <c r="N39" s="124">
        <f>-OPEX!N23</f>
        <v>0</v>
      </c>
      <c r="O39" s="124">
        <f>-OPEX!O23</f>
        <v>0</v>
      </c>
      <c r="P39" s="124">
        <f>-OPEX!P23</f>
        <v>0</v>
      </c>
      <c r="Q39" s="124">
        <f>-OPEX!Q23</f>
        <v>0</v>
      </c>
      <c r="R39" s="124">
        <f>-OPEX!R23</f>
        <v>0</v>
      </c>
      <c r="S39" s="124">
        <f>-OPEX!S23</f>
        <v>0</v>
      </c>
      <c r="T39" s="124">
        <f>-OPEX!T23</f>
        <v>0</v>
      </c>
      <c r="U39" s="124">
        <f>-OPEX!U23</f>
        <v>0</v>
      </c>
      <c r="V39" s="124">
        <f>-OPEX!V23</f>
        <v>0</v>
      </c>
      <c r="W39" s="124">
        <f>-OPEX!W23</f>
        <v>0</v>
      </c>
      <c r="X39" s="124">
        <f>-OPEX!X23</f>
        <v>0</v>
      </c>
      <c r="Y39" s="124">
        <f>-OPEX!Y23</f>
        <v>0</v>
      </c>
      <c r="Z39" s="124">
        <f>-OPEX!Z23</f>
        <v>0</v>
      </c>
      <c r="AA39" s="124">
        <f>-OPEX!AA23</f>
        <v>0</v>
      </c>
      <c r="AB39" s="124">
        <f>-OPEX!AB23</f>
        <v>0</v>
      </c>
      <c r="AC39" s="124">
        <f>-OPEX!AC23</f>
        <v>0</v>
      </c>
      <c r="AD39" s="124">
        <f>-OPEX!AD23</f>
        <v>0</v>
      </c>
      <c r="AE39" s="124">
        <f>-OPEX!AE23</f>
        <v>0</v>
      </c>
      <c r="AF39" s="124">
        <f>-OPEX!AF23</f>
        <v>0</v>
      </c>
      <c r="AG39" s="124">
        <f>-OPEX!AG23</f>
        <v>0</v>
      </c>
      <c r="AH39" s="124">
        <f>-OPEX!AH23</f>
        <v>0</v>
      </c>
      <c r="AI39" s="124">
        <f>-OPEX!AI23</f>
        <v>0</v>
      </c>
      <c r="AJ39" s="124">
        <f>-OPEX!AJ23</f>
        <v>0</v>
      </c>
      <c r="AK39" s="124">
        <f>-OPEX!AK23</f>
        <v>0</v>
      </c>
      <c r="AL39" s="124">
        <f>-OPEX!AL23</f>
        <v>0</v>
      </c>
      <c r="AM39" s="124">
        <f>-OPEX!AM23</f>
        <v>0</v>
      </c>
      <c r="AN39" s="124">
        <f>-OPEX!AN23</f>
        <v>0</v>
      </c>
      <c r="AO39" s="124">
        <f>-OPEX!AO23</f>
        <v>0</v>
      </c>
      <c r="AP39" s="124">
        <f>-OPEX!AP23</f>
        <v>0</v>
      </c>
      <c r="AQ39" s="124">
        <f>-OPEX!AQ23</f>
        <v>0</v>
      </c>
      <c r="AR39" s="124">
        <f>-OPEX!AR23</f>
        <v>0</v>
      </c>
      <c r="AS39" s="124">
        <f>-OPEX!AS23</f>
        <v>0</v>
      </c>
      <c r="AT39" s="124">
        <f>-OPEX!AT23</f>
        <v>0</v>
      </c>
      <c r="AU39" s="124">
        <f>-OPEX!AU23</f>
        <v>0</v>
      </c>
      <c r="AV39" s="124">
        <f>-OPEX!AV23</f>
        <v>0</v>
      </c>
      <c r="AW39" s="124">
        <f>-OPEX!AW23</f>
        <v>0</v>
      </c>
      <c r="AX39" s="124">
        <f>-OPEX!AX23</f>
        <v>0</v>
      </c>
      <c r="AY39" s="124">
        <f>-OPEX!AY23</f>
        <v>0</v>
      </c>
      <c r="AZ39" s="124">
        <f>-OPEX!AZ23</f>
        <v>0</v>
      </c>
      <c r="BA39" s="124">
        <f>-OPEX!BA23</f>
        <v>0</v>
      </c>
      <c r="BB39" s="124">
        <f>-OPEX!BB23</f>
        <v>0</v>
      </c>
      <c r="BC39" s="124">
        <f>-OPEX!BC23</f>
        <v>0</v>
      </c>
      <c r="BD39" s="124">
        <f>-OPEX!BD23</f>
        <v>0</v>
      </c>
      <c r="BE39" s="124">
        <f>-OPEX!BE23</f>
        <v>0</v>
      </c>
      <c r="BF39" s="124">
        <f>-OPEX!BF23</f>
        <v>0</v>
      </c>
      <c r="BG39" s="124">
        <f>-OPEX!BG23</f>
        <v>0</v>
      </c>
      <c r="BH39" s="124">
        <f>-OPEX!BH23</f>
        <v>0</v>
      </c>
      <c r="BI39" s="124">
        <f>-OPEX!BI23</f>
        <v>0</v>
      </c>
      <c r="BJ39" s="124">
        <f>-OPEX!BJ23</f>
        <v>0</v>
      </c>
      <c r="BK39" s="124">
        <f>-OPEX!BK23</f>
        <v>0</v>
      </c>
      <c r="BL39" s="124">
        <f>-OPEX!BL23</f>
        <v>0</v>
      </c>
      <c r="BM39" s="124">
        <f>-OPEX!BM23</f>
        <v>0</v>
      </c>
      <c r="BN39" s="124">
        <f>-OPEX!BN23</f>
        <v>0</v>
      </c>
      <c r="BO39" s="124">
        <f>-OPEX!BO23</f>
        <v>0</v>
      </c>
      <c r="BP39" s="124">
        <f>-OPEX!BP23</f>
        <v>0</v>
      </c>
      <c r="BQ39" s="124">
        <f>-OPEX!BQ23</f>
        <v>0</v>
      </c>
    </row>
    <row r="40" spans="1:69" ht="10.199999999999999" outlineLevel="1">
      <c r="C40" s="122"/>
      <c r="D40" s="123" t="str">
        <f>OPEX!B24</f>
        <v>VC_Placeholder5</v>
      </c>
      <c r="J40" s="124">
        <f>-OPEX!J24</f>
        <v>0</v>
      </c>
      <c r="K40" s="124">
        <f>-OPEX!K24</f>
        <v>0</v>
      </c>
      <c r="L40" s="124">
        <f>-OPEX!L24</f>
        <v>0</v>
      </c>
      <c r="M40" s="124">
        <f>-OPEX!M24</f>
        <v>0</v>
      </c>
      <c r="N40" s="124">
        <f>-OPEX!N24</f>
        <v>0</v>
      </c>
      <c r="O40" s="124">
        <f>-OPEX!O24</f>
        <v>0</v>
      </c>
      <c r="P40" s="124">
        <f>-OPEX!P24</f>
        <v>0</v>
      </c>
      <c r="Q40" s="124">
        <f>-OPEX!Q24</f>
        <v>0</v>
      </c>
      <c r="R40" s="124">
        <f>-OPEX!R24</f>
        <v>0</v>
      </c>
      <c r="S40" s="124">
        <f>-OPEX!S24</f>
        <v>0</v>
      </c>
      <c r="T40" s="124">
        <f>-OPEX!T24</f>
        <v>0</v>
      </c>
      <c r="U40" s="124">
        <f>-OPEX!U24</f>
        <v>0</v>
      </c>
      <c r="V40" s="124">
        <f>-OPEX!V24</f>
        <v>0</v>
      </c>
      <c r="W40" s="124">
        <f>-OPEX!W24</f>
        <v>0</v>
      </c>
      <c r="X40" s="124">
        <f>-OPEX!X24</f>
        <v>0</v>
      </c>
      <c r="Y40" s="124">
        <f>-OPEX!Y24</f>
        <v>0</v>
      </c>
      <c r="Z40" s="124">
        <f>-OPEX!Z24</f>
        <v>0</v>
      </c>
      <c r="AA40" s="124">
        <f>-OPEX!AA24</f>
        <v>0</v>
      </c>
      <c r="AB40" s="124">
        <f>-OPEX!AB24</f>
        <v>0</v>
      </c>
      <c r="AC40" s="124">
        <f>-OPEX!AC24</f>
        <v>0</v>
      </c>
      <c r="AD40" s="124">
        <f>-OPEX!AD24</f>
        <v>0</v>
      </c>
      <c r="AE40" s="124">
        <f>-OPEX!AE24</f>
        <v>0</v>
      </c>
      <c r="AF40" s="124">
        <f>-OPEX!AF24</f>
        <v>0</v>
      </c>
      <c r="AG40" s="124">
        <f>-OPEX!AG24</f>
        <v>0</v>
      </c>
      <c r="AH40" s="124">
        <f>-OPEX!AH24</f>
        <v>0</v>
      </c>
      <c r="AI40" s="124">
        <f>-OPEX!AI24</f>
        <v>0</v>
      </c>
      <c r="AJ40" s="124">
        <f>-OPEX!AJ24</f>
        <v>0</v>
      </c>
      <c r="AK40" s="124">
        <f>-OPEX!AK24</f>
        <v>0</v>
      </c>
      <c r="AL40" s="124">
        <f>-OPEX!AL24</f>
        <v>0</v>
      </c>
      <c r="AM40" s="124">
        <f>-OPEX!AM24</f>
        <v>0</v>
      </c>
      <c r="AN40" s="124">
        <f>-OPEX!AN24</f>
        <v>0</v>
      </c>
      <c r="AO40" s="124">
        <f>-OPEX!AO24</f>
        <v>0</v>
      </c>
      <c r="AP40" s="124">
        <f>-OPEX!AP24</f>
        <v>0</v>
      </c>
      <c r="AQ40" s="124">
        <f>-OPEX!AQ24</f>
        <v>0</v>
      </c>
      <c r="AR40" s="124">
        <f>-OPEX!AR24</f>
        <v>0</v>
      </c>
      <c r="AS40" s="124">
        <f>-OPEX!AS24</f>
        <v>0</v>
      </c>
      <c r="AT40" s="124">
        <f>-OPEX!AT24</f>
        <v>0</v>
      </c>
      <c r="AU40" s="124">
        <f>-OPEX!AU24</f>
        <v>0</v>
      </c>
      <c r="AV40" s="124">
        <f>-OPEX!AV24</f>
        <v>0</v>
      </c>
      <c r="AW40" s="124">
        <f>-OPEX!AW24</f>
        <v>0</v>
      </c>
      <c r="AX40" s="124">
        <f>-OPEX!AX24</f>
        <v>0</v>
      </c>
      <c r="AY40" s="124">
        <f>-OPEX!AY24</f>
        <v>0</v>
      </c>
      <c r="AZ40" s="124">
        <f>-OPEX!AZ24</f>
        <v>0</v>
      </c>
      <c r="BA40" s="124">
        <f>-OPEX!BA24</f>
        <v>0</v>
      </c>
      <c r="BB40" s="124">
        <f>-OPEX!BB24</f>
        <v>0</v>
      </c>
      <c r="BC40" s="124">
        <f>-OPEX!BC24</f>
        <v>0</v>
      </c>
      <c r="BD40" s="124">
        <f>-OPEX!BD24</f>
        <v>0</v>
      </c>
      <c r="BE40" s="124">
        <f>-OPEX!BE24</f>
        <v>0</v>
      </c>
      <c r="BF40" s="124">
        <f>-OPEX!BF24</f>
        <v>0</v>
      </c>
      <c r="BG40" s="124">
        <f>-OPEX!BG24</f>
        <v>0</v>
      </c>
      <c r="BH40" s="124">
        <f>-OPEX!BH24</f>
        <v>0</v>
      </c>
      <c r="BI40" s="124">
        <f>-OPEX!BI24</f>
        <v>0</v>
      </c>
      <c r="BJ40" s="124">
        <f>-OPEX!BJ24</f>
        <v>0</v>
      </c>
      <c r="BK40" s="124">
        <f>-OPEX!BK24</f>
        <v>0</v>
      </c>
      <c r="BL40" s="124">
        <f>-OPEX!BL24</f>
        <v>0</v>
      </c>
      <c r="BM40" s="124">
        <f>-OPEX!BM24</f>
        <v>0</v>
      </c>
      <c r="BN40" s="124">
        <f>-OPEX!BN24</f>
        <v>0</v>
      </c>
      <c r="BO40" s="124">
        <f>-OPEX!BO24</f>
        <v>0</v>
      </c>
      <c r="BP40" s="124">
        <f>-OPEX!BP24</f>
        <v>0</v>
      </c>
      <c r="BQ40" s="124">
        <f>-OPEX!BQ24</f>
        <v>0</v>
      </c>
    </row>
    <row r="41" spans="1:69" ht="10.199999999999999">
      <c r="A41" s="91"/>
      <c r="B41" s="91"/>
      <c r="C41" s="125"/>
      <c r="D41" s="92" t="str">
        <f>"Total "&amp;C35</f>
        <v>Total Variable Expenses</v>
      </c>
      <c r="E41" s="91"/>
      <c r="F41" s="91"/>
      <c r="G41" s="91"/>
      <c r="H41" s="91"/>
      <c r="I41" s="91"/>
      <c r="J41" s="126">
        <f t="shared" ref="J41:AO41" si="88">SUM(J36:J40)</f>
        <v>-125</v>
      </c>
      <c r="K41" s="126">
        <f t="shared" si="88"/>
        <v>-352.27272727272725</v>
      </c>
      <c r="L41" s="126">
        <f t="shared" si="88"/>
        <v>-502.27272727272725</v>
      </c>
      <c r="M41" s="126">
        <f t="shared" si="88"/>
        <v>-502.27272727272725</v>
      </c>
      <c r="N41" s="126">
        <f t="shared" si="88"/>
        <v>-502.27272727272725</v>
      </c>
      <c r="O41" s="126">
        <f t="shared" si="88"/>
        <v>-502.27272727272725</v>
      </c>
      <c r="P41" s="126">
        <f t="shared" si="88"/>
        <v>-502.27272727272725</v>
      </c>
      <c r="Q41" s="126">
        <f t="shared" si="88"/>
        <v>-502.27272727272725</v>
      </c>
      <c r="R41" s="126">
        <f t="shared" si="88"/>
        <v>-502.27272727272725</v>
      </c>
      <c r="S41" s="126">
        <f t="shared" si="88"/>
        <v>-502.27272727272725</v>
      </c>
      <c r="T41" s="126">
        <f t="shared" si="88"/>
        <v>-502.27272727272725</v>
      </c>
      <c r="U41" s="126">
        <f t="shared" si="88"/>
        <v>-502.27272727272725</v>
      </c>
      <c r="V41" s="126">
        <f t="shared" si="88"/>
        <v>-605</v>
      </c>
      <c r="W41" s="126">
        <f t="shared" si="88"/>
        <v>-605</v>
      </c>
      <c r="X41" s="126">
        <f t="shared" si="88"/>
        <v>-605</v>
      </c>
      <c r="Y41" s="126">
        <f t="shared" si="88"/>
        <v>-605</v>
      </c>
      <c r="Z41" s="126">
        <f t="shared" si="88"/>
        <v>-605</v>
      </c>
      <c r="AA41" s="126">
        <f t="shared" si="88"/>
        <v>-605</v>
      </c>
      <c r="AB41" s="126">
        <f t="shared" si="88"/>
        <v>-605</v>
      </c>
      <c r="AC41" s="126">
        <f t="shared" si="88"/>
        <v>-605</v>
      </c>
      <c r="AD41" s="126">
        <f t="shared" si="88"/>
        <v>-605</v>
      </c>
      <c r="AE41" s="126">
        <f t="shared" si="88"/>
        <v>-605</v>
      </c>
      <c r="AF41" s="126">
        <f t="shared" si="88"/>
        <v>-605</v>
      </c>
      <c r="AG41" s="126">
        <f t="shared" si="88"/>
        <v>-605</v>
      </c>
      <c r="AH41" s="126">
        <f t="shared" si="88"/>
        <v>-798.60000000000025</v>
      </c>
      <c r="AI41" s="126">
        <f t="shared" si="88"/>
        <v>-798.60000000000025</v>
      </c>
      <c r="AJ41" s="126">
        <f t="shared" si="88"/>
        <v>-798.60000000000025</v>
      </c>
      <c r="AK41" s="126">
        <f t="shared" si="88"/>
        <v>-798.60000000000025</v>
      </c>
      <c r="AL41" s="126">
        <f t="shared" si="88"/>
        <v>-798.60000000000025</v>
      </c>
      <c r="AM41" s="126">
        <f t="shared" si="88"/>
        <v>-798.60000000000025</v>
      </c>
      <c r="AN41" s="126">
        <f t="shared" si="88"/>
        <v>-798.60000000000025</v>
      </c>
      <c r="AO41" s="126">
        <f t="shared" si="88"/>
        <v>-798.60000000000025</v>
      </c>
      <c r="AP41" s="126">
        <f t="shared" ref="AP41:BQ41" si="89">SUM(AP36:AP40)</f>
        <v>-798.60000000000025</v>
      </c>
      <c r="AQ41" s="126">
        <f t="shared" si="89"/>
        <v>-798.60000000000025</v>
      </c>
      <c r="AR41" s="126">
        <f t="shared" si="89"/>
        <v>-798.60000000000025</v>
      </c>
      <c r="AS41" s="126">
        <f t="shared" si="89"/>
        <v>-798.60000000000025</v>
      </c>
      <c r="AT41" s="126">
        <f t="shared" si="89"/>
        <v>-1054.1520000000005</v>
      </c>
      <c r="AU41" s="126">
        <f t="shared" si="89"/>
        <v>-1054.1520000000005</v>
      </c>
      <c r="AV41" s="126">
        <f t="shared" si="89"/>
        <v>-1054.1520000000005</v>
      </c>
      <c r="AW41" s="126">
        <f t="shared" si="89"/>
        <v>-1054.1520000000005</v>
      </c>
      <c r="AX41" s="126">
        <f t="shared" si="89"/>
        <v>-1054.1520000000005</v>
      </c>
      <c r="AY41" s="126">
        <f t="shared" si="89"/>
        <v>-1054.1520000000005</v>
      </c>
      <c r="AZ41" s="126">
        <f t="shared" si="89"/>
        <v>-1054.1520000000005</v>
      </c>
      <c r="BA41" s="126">
        <f t="shared" si="89"/>
        <v>-1054.1520000000005</v>
      </c>
      <c r="BB41" s="126">
        <f t="shared" si="89"/>
        <v>-1054.1520000000005</v>
      </c>
      <c r="BC41" s="126">
        <f t="shared" si="89"/>
        <v>-1054.1520000000005</v>
      </c>
      <c r="BD41" s="126">
        <f t="shared" si="89"/>
        <v>-1054.1520000000005</v>
      </c>
      <c r="BE41" s="126">
        <f t="shared" si="89"/>
        <v>-1054.1520000000005</v>
      </c>
      <c r="BF41" s="126">
        <f t="shared" si="89"/>
        <v>-1391.4806400000007</v>
      </c>
      <c r="BG41" s="126">
        <f t="shared" si="89"/>
        <v>-1391.4806400000007</v>
      </c>
      <c r="BH41" s="126">
        <f t="shared" si="89"/>
        <v>-1391.4806400000007</v>
      </c>
      <c r="BI41" s="126">
        <f t="shared" si="89"/>
        <v>-1391.4806400000007</v>
      </c>
      <c r="BJ41" s="126">
        <f t="shared" si="89"/>
        <v>-1391.4806400000007</v>
      </c>
      <c r="BK41" s="126">
        <f t="shared" si="89"/>
        <v>-1391.4806400000007</v>
      </c>
      <c r="BL41" s="126">
        <f t="shared" si="89"/>
        <v>-1391.4806400000007</v>
      </c>
      <c r="BM41" s="126">
        <f t="shared" si="89"/>
        <v>-1391.4806400000007</v>
      </c>
      <c r="BN41" s="126">
        <f t="shared" si="89"/>
        <v>-1391.4806400000007</v>
      </c>
      <c r="BO41" s="126">
        <f t="shared" si="89"/>
        <v>-1391.4806400000007</v>
      </c>
      <c r="BP41" s="126">
        <f t="shared" si="89"/>
        <v>-1391.4806400000007</v>
      </c>
      <c r="BQ41" s="126">
        <f t="shared" si="89"/>
        <v>-1391.4806400000007</v>
      </c>
    </row>
    <row r="42" spans="1:69" ht="10.199999999999999" outlineLevel="1">
      <c r="C42" s="122"/>
      <c r="D42" s="91"/>
      <c r="J42" s="132"/>
      <c r="K42" s="132"/>
      <c r="L42" s="132"/>
      <c r="M42" s="132"/>
      <c r="N42" s="132"/>
      <c r="O42" s="132"/>
      <c r="P42" s="132"/>
      <c r="Q42" s="132"/>
      <c r="R42" s="132"/>
      <c r="S42" s="132"/>
      <c r="T42" s="132"/>
      <c r="U42" s="132"/>
      <c r="V42" s="132"/>
      <c r="W42" s="132"/>
      <c r="X42" s="132"/>
      <c r="Y42" s="132"/>
      <c r="Z42" s="132"/>
      <c r="AA42" s="132"/>
      <c r="AB42" s="132"/>
      <c r="AC42" s="132"/>
      <c r="AD42" s="132"/>
      <c r="AE42" s="132"/>
      <c r="AF42" s="132"/>
      <c r="AG42" s="132"/>
      <c r="AH42" s="132"/>
      <c r="AI42" s="132"/>
      <c r="AJ42" s="132"/>
      <c r="AK42" s="132"/>
      <c r="AL42" s="132"/>
      <c r="AM42" s="132"/>
      <c r="AN42" s="132"/>
      <c r="AO42" s="132"/>
      <c r="AP42" s="132"/>
      <c r="AQ42" s="132"/>
      <c r="AR42" s="132"/>
      <c r="AS42" s="132"/>
      <c r="AT42" s="132"/>
      <c r="AU42" s="132"/>
      <c r="AV42" s="132"/>
      <c r="AW42" s="132"/>
      <c r="AX42" s="132"/>
      <c r="AY42" s="132"/>
      <c r="AZ42" s="132"/>
      <c r="BA42" s="132"/>
      <c r="BB42" s="132"/>
      <c r="BC42" s="132"/>
      <c r="BD42" s="132"/>
      <c r="BE42" s="132"/>
      <c r="BF42" s="132"/>
      <c r="BG42" s="132"/>
      <c r="BH42" s="132"/>
      <c r="BI42" s="132"/>
      <c r="BJ42" s="132"/>
      <c r="BK42" s="132"/>
      <c r="BL42" s="132"/>
      <c r="BM42" s="132"/>
      <c r="BN42" s="132"/>
      <c r="BO42" s="132"/>
      <c r="BP42" s="132"/>
      <c r="BQ42" s="132"/>
    </row>
    <row r="43" spans="1:69" ht="11.4" outlineLevel="1">
      <c r="C43" s="128" t="s">
        <v>22</v>
      </c>
      <c r="J43" s="124"/>
      <c r="K43" s="124"/>
      <c r="L43" s="124"/>
      <c r="M43" s="124"/>
      <c r="N43" s="124"/>
      <c r="O43" s="124"/>
      <c r="P43" s="124"/>
      <c r="Q43" s="124"/>
      <c r="R43" s="124"/>
      <c r="S43" s="124"/>
      <c r="T43" s="124"/>
      <c r="U43" s="124"/>
      <c r="V43" s="124"/>
      <c r="W43" s="124"/>
      <c r="X43" s="124"/>
      <c r="Y43" s="124"/>
      <c r="Z43" s="124"/>
      <c r="AA43" s="124"/>
      <c r="AB43" s="124"/>
      <c r="AC43" s="124"/>
      <c r="AD43" s="124"/>
      <c r="AE43" s="124"/>
      <c r="AF43" s="124"/>
      <c r="AG43" s="124"/>
      <c r="AH43" s="124"/>
      <c r="AI43" s="124"/>
      <c r="AJ43" s="124"/>
      <c r="AK43" s="124"/>
      <c r="AL43" s="124"/>
      <c r="AM43" s="124"/>
      <c r="AN43" s="124"/>
      <c r="AO43" s="124"/>
      <c r="AP43" s="124"/>
      <c r="AQ43" s="124"/>
      <c r="AR43" s="124"/>
      <c r="AS43" s="124"/>
      <c r="AT43" s="124"/>
      <c r="AU43" s="124"/>
      <c r="AV43" s="124"/>
      <c r="AW43" s="124"/>
      <c r="AX43" s="124"/>
      <c r="AY43" s="124"/>
      <c r="AZ43" s="124"/>
      <c r="BA43" s="124"/>
      <c r="BB43" s="124"/>
      <c r="BC43" s="124"/>
      <c r="BD43" s="124"/>
      <c r="BE43" s="124"/>
      <c r="BF43" s="124"/>
      <c r="BG43" s="124"/>
      <c r="BH43" s="124"/>
      <c r="BI43" s="124"/>
      <c r="BJ43" s="124"/>
      <c r="BK43" s="124"/>
      <c r="BL43" s="124"/>
      <c r="BM43" s="124"/>
      <c r="BN43" s="124"/>
      <c r="BO43" s="124"/>
      <c r="BP43" s="124"/>
      <c r="BQ43" s="124"/>
    </row>
    <row r="44" spans="1:69" ht="10.199999999999999" outlineLevel="1">
      <c r="C44" s="122"/>
      <c r="D44" s="123" t="str">
        <f>OPEX!B47</f>
        <v>Accountant</v>
      </c>
      <c r="J44" s="124">
        <f>-OPEX!J47</f>
        <v>-1666.6666666666667</v>
      </c>
      <c r="K44" s="124">
        <f>-OPEX!K47</f>
        <v>-1666.6666666666667</v>
      </c>
      <c r="L44" s="124">
        <f>-OPEX!L47</f>
        <v>-1666.6666666666667</v>
      </c>
      <c r="M44" s="124">
        <f>-OPEX!M47</f>
        <v>-1666.6666666666667</v>
      </c>
      <c r="N44" s="124">
        <f>-OPEX!N47</f>
        <v>-1666.6666666666667</v>
      </c>
      <c r="O44" s="124">
        <f>-OPEX!O47</f>
        <v>-1666.6666666666667</v>
      </c>
      <c r="P44" s="124">
        <f>-OPEX!P47</f>
        <v>-1666.6666666666667</v>
      </c>
      <c r="Q44" s="124">
        <f>-OPEX!Q47</f>
        <v>-1666.6666666666667</v>
      </c>
      <c r="R44" s="124">
        <f>-OPEX!R47</f>
        <v>-1666.6666666666667</v>
      </c>
      <c r="S44" s="124">
        <f>-OPEX!S47</f>
        <v>-1666.6666666666667</v>
      </c>
      <c r="T44" s="124">
        <f>-OPEX!T47</f>
        <v>-1666.6666666666667</v>
      </c>
      <c r="U44" s="124">
        <f>-OPEX!U47</f>
        <v>-1666.6666666666667</v>
      </c>
      <c r="V44" s="124">
        <f>-OPEX!V47</f>
        <v>-1750</v>
      </c>
      <c r="W44" s="124">
        <f>-OPEX!W47</f>
        <v>-1750</v>
      </c>
      <c r="X44" s="124">
        <f>-OPEX!X47</f>
        <v>-1750</v>
      </c>
      <c r="Y44" s="124">
        <f>-OPEX!Y47</f>
        <v>-1750</v>
      </c>
      <c r="Z44" s="124">
        <f>-OPEX!Z47</f>
        <v>-1750</v>
      </c>
      <c r="AA44" s="124">
        <f>-OPEX!AA47</f>
        <v>-1750</v>
      </c>
      <c r="AB44" s="124">
        <f>-OPEX!AB47</f>
        <v>-1750</v>
      </c>
      <c r="AC44" s="124">
        <f>-OPEX!AC47</f>
        <v>-1750</v>
      </c>
      <c r="AD44" s="124">
        <f>-OPEX!AD47</f>
        <v>-1750</v>
      </c>
      <c r="AE44" s="124">
        <f>-OPEX!AE47</f>
        <v>-1750</v>
      </c>
      <c r="AF44" s="124">
        <f>-OPEX!AF47</f>
        <v>-1750</v>
      </c>
      <c r="AG44" s="124">
        <f>-OPEX!AG47</f>
        <v>-1750</v>
      </c>
      <c r="AH44" s="124">
        <f>-OPEX!AH47</f>
        <v>-1837.5</v>
      </c>
      <c r="AI44" s="124">
        <f>-OPEX!AI47</f>
        <v>-1837.5</v>
      </c>
      <c r="AJ44" s="124">
        <f>-OPEX!AJ47</f>
        <v>-1837.5</v>
      </c>
      <c r="AK44" s="124">
        <f>-OPEX!AK47</f>
        <v>-1837.5</v>
      </c>
      <c r="AL44" s="124">
        <f>-OPEX!AL47</f>
        <v>-1837.5</v>
      </c>
      <c r="AM44" s="124">
        <f>-OPEX!AM47</f>
        <v>-1837.5</v>
      </c>
      <c r="AN44" s="124">
        <f>-OPEX!AN47</f>
        <v>-1837.5</v>
      </c>
      <c r="AO44" s="124">
        <f>-OPEX!AO47</f>
        <v>-1837.5</v>
      </c>
      <c r="AP44" s="124">
        <f>-OPEX!AP47</f>
        <v>-1837.5</v>
      </c>
      <c r="AQ44" s="124">
        <f>-OPEX!AQ47</f>
        <v>-1837.5</v>
      </c>
      <c r="AR44" s="124">
        <f>-OPEX!AR47</f>
        <v>-1837.5</v>
      </c>
      <c r="AS44" s="124">
        <f>-OPEX!AS47</f>
        <v>-1837.5</v>
      </c>
      <c r="AT44" s="124">
        <f>-OPEX!AT47</f>
        <v>-1929.375</v>
      </c>
      <c r="AU44" s="124">
        <f>-OPEX!AU47</f>
        <v>-1929.375</v>
      </c>
      <c r="AV44" s="124">
        <f>-OPEX!AV47</f>
        <v>-1929.375</v>
      </c>
      <c r="AW44" s="124">
        <f>-OPEX!AW47</f>
        <v>-1929.375</v>
      </c>
      <c r="AX44" s="124">
        <f>-OPEX!AX47</f>
        <v>-1929.375</v>
      </c>
      <c r="AY44" s="124">
        <f>-OPEX!AY47</f>
        <v>-1929.375</v>
      </c>
      <c r="AZ44" s="124">
        <f>-OPEX!AZ47</f>
        <v>-1929.375</v>
      </c>
      <c r="BA44" s="124">
        <f>-OPEX!BA47</f>
        <v>-1929.375</v>
      </c>
      <c r="BB44" s="124">
        <f>-OPEX!BB47</f>
        <v>-1929.375</v>
      </c>
      <c r="BC44" s="124">
        <f>-OPEX!BC47</f>
        <v>-1929.375</v>
      </c>
      <c r="BD44" s="124">
        <f>-OPEX!BD47</f>
        <v>-1929.375</v>
      </c>
      <c r="BE44" s="124">
        <f>-OPEX!BE47</f>
        <v>-1929.375</v>
      </c>
      <c r="BF44" s="124">
        <f>-OPEX!BF47</f>
        <v>-2025.84375</v>
      </c>
      <c r="BG44" s="124">
        <f>-OPEX!BG47</f>
        <v>-2025.84375</v>
      </c>
      <c r="BH44" s="124">
        <f>-OPEX!BH47</f>
        <v>-2025.84375</v>
      </c>
      <c r="BI44" s="124">
        <f>-OPEX!BI47</f>
        <v>-2025.84375</v>
      </c>
      <c r="BJ44" s="124">
        <f>-OPEX!BJ47</f>
        <v>-2025.84375</v>
      </c>
      <c r="BK44" s="124">
        <f>-OPEX!BK47</f>
        <v>-2025.84375</v>
      </c>
      <c r="BL44" s="124">
        <f>-OPEX!BL47</f>
        <v>-2025.84375</v>
      </c>
      <c r="BM44" s="124">
        <f>-OPEX!BM47</f>
        <v>-2025.84375</v>
      </c>
      <c r="BN44" s="124">
        <f>-OPEX!BN47</f>
        <v>-2025.84375</v>
      </c>
      <c r="BO44" s="124">
        <f>-OPEX!BO47</f>
        <v>-2025.84375</v>
      </c>
      <c r="BP44" s="124">
        <f>-OPEX!BP47</f>
        <v>-2025.84375</v>
      </c>
      <c r="BQ44" s="124">
        <f>-OPEX!BQ47</f>
        <v>-2025.84375</v>
      </c>
    </row>
    <row r="45" spans="1:69" ht="10.199999999999999" outlineLevel="1">
      <c r="C45" s="122"/>
      <c r="D45" s="123" t="str">
        <f>OPEX!B48</f>
        <v>SW_Placeholder2</v>
      </c>
      <c r="J45" s="124">
        <f>-OPEX!J48</f>
        <v>0</v>
      </c>
      <c r="K45" s="124">
        <f>-OPEX!K48</f>
        <v>0</v>
      </c>
      <c r="L45" s="124">
        <f>-OPEX!L48</f>
        <v>0</v>
      </c>
      <c r="M45" s="124">
        <f>-OPEX!M48</f>
        <v>0</v>
      </c>
      <c r="N45" s="124">
        <f>-OPEX!N48</f>
        <v>0</v>
      </c>
      <c r="O45" s="124">
        <f>-OPEX!O48</f>
        <v>0</v>
      </c>
      <c r="P45" s="124">
        <f>-OPEX!P48</f>
        <v>0</v>
      </c>
      <c r="Q45" s="124">
        <f>-OPEX!Q48</f>
        <v>0</v>
      </c>
      <c r="R45" s="124">
        <f>-OPEX!R48</f>
        <v>0</v>
      </c>
      <c r="S45" s="124">
        <f>-OPEX!S48</f>
        <v>0</v>
      </c>
      <c r="T45" s="124">
        <f>-OPEX!T48</f>
        <v>0</v>
      </c>
      <c r="U45" s="124">
        <f>-OPEX!U48</f>
        <v>0</v>
      </c>
      <c r="V45" s="124">
        <f>-OPEX!V48</f>
        <v>0</v>
      </c>
      <c r="W45" s="124">
        <f>-OPEX!W48</f>
        <v>0</v>
      </c>
      <c r="X45" s="124">
        <f>-OPEX!X48</f>
        <v>0</v>
      </c>
      <c r="Y45" s="124">
        <f>-OPEX!Y48</f>
        <v>0</v>
      </c>
      <c r="Z45" s="124">
        <f>-OPEX!Z48</f>
        <v>0</v>
      </c>
      <c r="AA45" s="124">
        <f>-OPEX!AA48</f>
        <v>0</v>
      </c>
      <c r="AB45" s="124">
        <f>-OPEX!AB48</f>
        <v>0</v>
      </c>
      <c r="AC45" s="124">
        <f>-OPEX!AC48</f>
        <v>0</v>
      </c>
      <c r="AD45" s="124">
        <f>-OPEX!AD48</f>
        <v>0</v>
      </c>
      <c r="AE45" s="124">
        <f>-OPEX!AE48</f>
        <v>0</v>
      </c>
      <c r="AF45" s="124">
        <f>-OPEX!AF48</f>
        <v>0</v>
      </c>
      <c r="AG45" s="124">
        <f>-OPEX!AG48</f>
        <v>0</v>
      </c>
      <c r="AH45" s="124">
        <f>-OPEX!AH48</f>
        <v>0</v>
      </c>
      <c r="AI45" s="124">
        <f>-OPEX!AI48</f>
        <v>0</v>
      </c>
      <c r="AJ45" s="124">
        <f>-OPEX!AJ48</f>
        <v>0</v>
      </c>
      <c r="AK45" s="124">
        <f>-OPEX!AK48</f>
        <v>0</v>
      </c>
      <c r="AL45" s="124">
        <f>-OPEX!AL48</f>
        <v>0</v>
      </c>
      <c r="AM45" s="124">
        <f>-OPEX!AM48</f>
        <v>0</v>
      </c>
      <c r="AN45" s="124">
        <f>-OPEX!AN48</f>
        <v>0</v>
      </c>
      <c r="AO45" s="124">
        <f>-OPEX!AO48</f>
        <v>0</v>
      </c>
      <c r="AP45" s="124">
        <f>-OPEX!AP48</f>
        <v>0</v>
      </c>
      <c r="AQ45" s="124">
        <f>-OPEX!AQ48</f>
        <v>0</v>
      </c>
      <c r="AR45" s="124">
        <f>-OPEX!AR48</f>
        <v>0</v>
      </c>
      <c r="AS45" s="124">
        <f>-OPEX!AS48</f>
        <v>0</v>
      </c>
      <c r="AT45" s="124">
        <f>-OPEX!AT48</f>
        <v>0</v>
      </c>
      <c r="AU45" s="124">
        <f>-OPEX!AU48</f>
        <v>0</v>
      </c>
      <c r="AV45" s="124">
        <f>-OPEX!AV48</f>
        <v>0</v>
      </c>
      <c r="AW45" s="124">
        <f>-OPEX!AW48</f>
        <v>0</v>
      </c>
      <c r="AX45" s="124">
        <f>-OPEX!AX48</f>
        <v>0</v>
      </c>
      <c r="AY45" s="124">
        <f>-OPEX!AY48</f>
        <v>0</v>
      </c>
      <c r="AZ45" s="124">
        <f>-OPEX!AZ48</f>
        <v>0</v>
      </c>
      <c r="BA45" s="124">
        <f>-OPEX!BA48</f>
        <v>0</v>
      </c>
      <c r="BB45" s="124">
        <f>-OPEX!BB48</f>
        <v>0</v>
      </c>
      <c r="BC45" s="124">
        <f>-OPEX!BC48</f>
        <v>0</v>
      </c>
      <c r="BD45" s="124">
        <f>-OPEX!BD48</f>
        <v>0</v>
      </c>
      <c r="BE45" s="124">
        <f>-OPEX!BE48</f>
        <v>0</v>
      </c>
      <c r="BF45" s="124">
        <f>-OPEX!BF48</f>
        <v>0</v>
      </c>
      <c r="BG45" s="124">
        <f>-OPEX!BG48</f>
        <v>0</v>
      </c>
      <c r="BH45" s="124">
        <f>-OPEX!BH48</f>
        <v>0</v>
      </c>
      <c r="BI45" s="124">
        <f>-OPEX!BI48</f>
        <v>0</v>
      </c>
      <c r="BJ45" s="124">
        <f>-OPEX!BJ48</f>
        <v>0</v>
      </c>
      <c r="BK45" s="124">
        <f>-OPEX!BK48</f>
        <v>0</v>
      </c>
      <c r="BL45" s="124">
        <f>-OPEX!BL48</f>
        <v>0</v>
      </c>
      <c r="BM45" s="124">
        <f>-OPEX!BM48</f>
        <v>0</v>
      </c>
      <c r="BN45" s="124">
        <f>-OPEX!BN48</f>
        <v>0</v>
      </c>
      <c r="BO45" s="124">
        <f>-OPEX!BO48</f>
        <v>0</v>
      </c>
      <c r="BP45" s="124">
        <f>-OPEX!BP48</f>
        <v>0</v>
      </c>
      <c r="BQ45" s="124">
        <f>-OPEX!BQ48</f>
        <v>0</v>
      </c>
    </row>
    <row r="46" spans="1:69" ht="10.199999999999999" outlineLevel="1">
      <c r="C46" s="122"/>
      <c r="D46" s="123" t="str">
        <f>OPEX!B49</f>
        <v>SW_Placeholder3</v>
      </c>
      <c r="J46" s="124">
        <f>-OPEX!J49</f>
        <v>0</v>
      </c>
      <c r="K46" s="124">
        <f>-OPEX!K49</f>
        <v>0</v>
      </c>
      <c r="L46" s="124">
        <f>-OPEX!L49</f>
        <v>0</v>
      </c>
      <c r="M46" s="124">
        <f>-OPEX!M49</f>
        <v>0</v>
      </c>
      <c r="N46" s="124">
        <f>-OPEX!N49</f>
        <v>0</v>
      </c>
      <c r="O46" s="124">
        <f>-OPEX!O49</f>
        <v>0</v>
      </c>
      <c r="P46" s="124">
        <f>-OPEX!P49</f>
        <v>0</v>
      </c>
      <c r="Q46" s="124">
        <f>-OPEX!Q49</f>
        <v>0</v>
      </c>
      <c r="R46" s="124">
        <f>-OPEX!R49</f>
        <v>0</v>
      </c>
      <c r="S46" s="124">
        <f>-OPEX!S49</f>
        <v>0</v>
      </c>
      <c r="T46" s="124">
        <f>-OPEX!T49</f>
        <v>0</v>
      </c>
      <c r="U46" s="124">
        <f>-OPEX!U49</f>
        <v>0</v>
      </c>
      <c r="V46" s="124">
        <f>-OPEX!V49</f>
        <v>0</v>
      </c>
      <c r="W46" s="124">
        <f>-OPEX!W49</f>
        <v>0</v>
      </c>
      <c r="X46" s="124">
        <f>-OPEX!X49</f>
        <v>0</v>
      </c>
      <c r="Y46" s="124">
        <f>-OPEX!Y49</f>
        <v>0</v>
      </c>
      <c r="Z46" s="124">
        <f>-OPEX!Z49</f>
        <v>0</v>
      </c>
      <c r="AA46" s="124">
        <f>-OPEX!AA49</f>
        <v>0</v>
      </c>
      <c r="AB46" s="124">
        <f>-OPEX!AB49</f>
        <v>0</v>
      </c>
      <c r="AC46" s="124">
        <f>-OPEX!AC49</f>
        <v>0</v>
      </c>
      <c r="AD46" s="124">
        <f>-OPEX!AD49</f>
        <v>0</v>
      </c>
      <c r="AE46" s="124">
        <f>-OPEX!AE49</f>
        <v>0</v>
      </c>
      <c r="AF46" s="124">
        <f>-OPEX!AF49</f>
        <v>0</v>
      </c>
      <c r="AG46" s="124">
        <f>-OPEX!AG49</f>
        <v>0</v>
      </c>
      <c r="AH46" s="124">
        <f>-OPEX!AH49</f>
        <v>0</v>
      </c>
      <c r="AI46" s="124">
        <f>-OPEX!AI49</f>
        <v>0</v>
      </c>
      <c r="AJ46" s="124">
        <f>-OPEX!AJ49</f>
        <v>0</v>
      </c>
      <c r="AK46" s="124">
        <f>-OPEX!AK49</f>
        <v>0</v>
      </c>
      <c r="AL46" s="124">
        <f>-OPEX!AL49</f>
        <v>0</v>
      </c>
      <c r="AM46" s="124">
        <f>-OPEX!AM49</f>
        <v>0</v>
      </c>
      <c r="AN46" s="124">
        <f>-OPEX!AN49</f>
        <v>0</v>
      </c>
      <c r="AO46" s="124">
        <f>-OPEX!AO49</f>
        <v>0</v>
      </c>
      <c r="AP46" s="124">
        <f>-OPEX!AP49</f>
        <v>0</v>
      </c>
      <c r="AQ46" s="124">
        <f>-OPEX!AQ49</f>
        <v>0</v>
      </c>
      <c r="AR46" s="124">
        <f>-OPEX!AR49</f>
        <v>0</v>
      </c>
      <c r="AS46" s="124">
        <f>-OPEX!AS49</f>
        <v>0</v>
      </c>
      <c r="AT46" s="124">
        <f>-OPEX!AT49</f>
        <v>0</v>
      </c>
      <c r="AU46" s="124">
        <f>-OPEX!AU49</f>
        <v>0</v>
      </c>
      <c r="AV46" s="124">
        <f>-OPEX!AV49</f>
        <v>0</v>
      </c>
      <c r="AW46" s="124">
        <f>-OPEX!AW49</f>
        <v>0</v>
      </c>
      <c r="AX46" s="124">
        <f>-OPEX!AX49</f>
        <v>0</v>
      </c>
      <c r="AY46" s="124">
        <f>-OPEX!AY49</f>
        <v>0</v>
      </c>
      <c r="AZ46" s="124">
        <f>-OPEX!AZ49</f>
        <v>0</v>
      </c>
      <c r="BA46" s="124">
        <f>-OPEX!BA49</f>
        <v>0</v>
      </c>
      <c r="BB46" s="124">
        <f>-OPEX!BB49</f>
        <v>0</v>
      </c>
      <c r="BC46" s="124">
        <f>-OPEX!BC49</f>
        <v>0</v>
      </c>
      <c r="BD46" s="124">
        <f>-OPEX!BD49</f>
        <v>0</v>
      </c>
      <c r="BE46" s="124">
        <f>-OPEX!BE49</f>
        <v>0</v>
      </c>
      <c r="BF46" s="124">
        <f>-OPEX!BF49</f>
        <v>0</v>
      </c>
      <c r="BG46" s="124">
        <f>-OPEX!BG49</f>
        <v>0</v>
      </c>
      <c r="BH46" s="124">
        <f>-OPEX!BH49</f>
        <v>0</v>
      </c>
      <c r="BI46" s="124">
        <f>-OPEX!BI49</f>
        <v>0</v>
      </c>
      <c r="BJ46" s="124">
        <f>-OPEX!BJ49</f>
        <v>0</v>
      </c>
      <c r="BK46" s="124">
        <f>-OPEX!BK49</f>
        <v>0</v>
      </c>
      <c r="BL46" s="124">
        <f>-OPEX!BL49</f>
        <v>0</v>
      </c>
      <c r="BM46" s="124">
        <f>-OPEX!BM49</f>
        <v>0</v>
      </c>
      <c r="BN46" s="124">
        <f>-OPEX!BN49</f>
        <v>0</v>
      </c>
      <c r="BO46" s="124">
        <f>-OPEX!BO49</f>
        <v>0</v>
      </c>
      <c r="BP46" s="124">
        <f>-OPEX!BP49</f>
        <v>0</v>
      </c>
      <c r="BQ46" s="124">
        <f>-OPEX!BQ49</f>
        <v>0</v>
      </c>
    </row>
    <row r="47" spans="1:69" ht="10.199999999999999" outlineLevel="1">
      <c r="C47" s="122"/>
      <c r="D47" s="123" t="str">
        <f>OPEX!B50</f>
        <v>SW_Placeholder4</v>
      </c>
      <c r="J47" s="124">
        <f>-OPEX!J50</f>
        <v>0</v>
      </c>
      <c r="K47" s="124">
        <f>-OPEX!K50</f>
        <v>0</v>
      </c>
      <c r="L47" s="124">
        <f>-OPEX!L50</f>
        <v>0</v>
      </c>
      <c r="M47" s="124">
        <f>-OPEX!M50</f>
        <v>0</v>
      </c>
      <c r="N47" s="124">
        <f>-OPEX!N50</f>
        <v>0</v>
      </c>
      <c r="O47" s="124">
        <f>-OPEX!O50</f>
        <v>0</v>
      </c>
      <c r="P47" s="124">
        <f>-OPEX!P50</f>
        <v>0</v>
      </c>
      <c r="Q47" s="124">
        <f>-OPEX!Q50</f>
        <v>0</v>
      </c>
      <c r="R47" s="124">
        <f>-OPEX!R50</f>
        <v>0</v>
      </c>
      <c r="S47" s="124">
        <f>-OPEX!S50</f>
        <v>0</v>
      </c>
      <c r="T47" s="124">
        <f>-OPEX!T50</f>
        <v>0</v>
      </c>
      <c r="U47" s="124">
        <f>-OPEX!U50</f>
        <v>0</v>
      </c>
      <c r="V47" s="124">
        <f>-OPEX!V50</f>
        <v>0</v>
      </c>
      <c r="W47" s="124">
        <f>-OPEX!W50</f>
        <v>0</v>
      </c>
      <c r="X47" s="124">
        <f>-OPEX!X50</f>
        <v>0</v>
      </c>
      <c r="Y47" s="124">
        <f>-OPEX!Y50</f>
        <v>0</v>
      </c>
      <c r="Z47" s="124">
        <f>-OPEX!Z50</f>
        <v>0</v>
      </c>
      <c r="AA47" s="124">
        <f>-OPEX!AA50</f>
        <v>0</v>
      </c>
      <c r="AB47" s="124">
        <f>-OPEX!AB50</f>
        <v>0</v>
      </c>
      <c r="AC47" s="124">
        <f>-OPEX!AC50</f>
        <v>0</v>
      </c>
      <c r="AD47" s="124">
        <f>-OPEX!AD50</f>
        <v>0</v>
      </c>
      <c r="AE47" s="124">
        <f>-OPEX!AE50</f>
        <v>0</v>
      </c>
      <c r="AF47" s="124">
        <f>-OPEX!AF50</f>
        <v>0</v>
      </c>
      <c r="AG47" s="124">
        <f>-OPEX!AG50</f>
        <v>0</v>
      </c>
      <c r="AH47" s="124">
        <f>-OPEX!AH50</f>
        <v>0</v>
      </c>
      <c r="AI47" s="124">
        <f>-OPEX!AI50</f>
        <v>0</v>
      </c>
      <c r="AJ47" s="124">
        <f>-OPEX!AJ50</f>
        <v>0</v>
      </c>
      <c r="AK47" s="124">
        <f>-OPEX!AK50</f>
        <v>0</v>
      </c>
      <c r="AL47" s="124">
        <f>-OPEX!AL50</f>
        <v>0</v>
      </c>
      <c r="AM47" s="124">
        <f>-OPEX!AM50</f>
        <v>0</v>
      </c>
      <c r="AN47" s="124">
        <f>-OPEX!AN50</f>
        <v>0</v>
      </c>
      <c r="AO47" s="124">
        <f>-OPEX!AO50</f>
        <v>0</v>
      </c>
      <c r="AP47" s="124">
        <f>-OPEX!AP50</f>
        <v>0</v>
      </c>
      <c r="AQ47" s="124">
        <f>-OPEX!AQ50</f>
        <v>0</v>
      </c>
      <c r="AR47" s="124">
        <f>-OPEX!AR50</f>
        <v>0</v>
      </c>
      <c r="AS47" s="124">
        <f>-OPEX!AS50</f>
        <v>0</v>
      </c>
      <c r="AT47" s="124">
        <f>-OPEX!AT50</f>
        <v>0</v>
      </c>
      <c r="AU47" s="124">
        <f>-OPEX!AU50</f>
        <v>0</v>
      </c>
      <c r="AV47" s="124">
        <f>-OPEX!AV50</f>
        <v>0</v>
      </c>
      <c r="AW47" s="124">
        <f>-OPEX!AW50</f>
        <v>0</v>
      </c>
      <c r="AX47" s="124">
        <f>-OPEX!AX50</f>
        <v>0</v>
      </c>
      <c r="AY47" s="124">
        <f>-OPEX!AY50</f>
        <v>0</v>
      </c>
      <c r="AZ47" s="124">
        <f>-OPEX!AZ50</f>
        <v>0</v>
      </c>
      <c r="BA47" s="124">
        <f>-OPEX!BA50</f>
        <v>0</v>
      </c>
      <c r="BB47" s="124">
        <f>-OPEX!BB50</f>
        <v>0</v>
      </c>
      <c r="BC47" s="124">
        <f>-OPEX!BC50</f>
        <v>0</v>
      </c>
      <c r="BD47" s="124">
        <f>-OPEX!BD50</f>
        <v>0</v>
      </c>
      <c r="BE47" s="124">
        <f>-OPEX!BE50</f>
        <v>0</v>
      </c>
      <c r="BF47" s="124">
        <f>-OPEX!BF50</f>
        <v>0</v>
      </c>
      <c r="BG47" s="124">
        <f>-OPEX!BG50</f>
        <v>0</v>
      </c>
      <c r="BH47" s="124">
        <f>-OPEX!BH50</f>
        <v>0</v>
      </c>
      <c r="BI47" s="124">
        <f>-OPEX!BI50</f>
        <v>0</v>
      </c>
      <c r="BJ47" s="124">
        <f>-OPEX!BJ50</f>
        <v>0</v>
      </c>
      <c r="BK47" s="124">
        <f>-OPEX!BK50</f>
        <v>0</v>
      </c>
      <c r="BL47" s="124">
        <f>-OPEX!BL50</f>
        <v>0</v>
      </c>
      <c r="BM47" s="124">
        <f>-OPEX!BM50</f>
        <v>0</v>
      </c>
      <c r="BN47" s="124">
        <f>-OPEX!BN50</f>
        <v>0</v>
      </c>
      <c r="BO47" s="124">
        <f>-OPEX!BO50</f>
        <v>0</v>
      </c>
      <c r="BP47" s="124">
        <f>-OPEX!BP50</f>
        <v>0</v>
      </c>
      <c r="BQ47" s="124">
        <f>-OPEX!BQ50</f>
        <v>0</v>
      </c>
    </row>
    <row r="48" spans="1:69" ht="10.199999999999999" outlineLevel="1">
      <c r="C48" s="122"/>
      <c r="D48" s="123" t="str">
        <f>OPEX!B51</f>
        <v>SW_Placeholder5</v>
      </c>
      <c r="J48" s="124">
        <f>-OPEX!J51</f>
        <v>0</v>
      </c>
      <c r="K48" s="124">
        <f>-OPEX!K51</f>
        <v>0</v>
      </c>
      <c r="L48" s="124">
        <f>-OPEX!L51</f>
        <v>0</v>
      </c>
      <c r="M48" s="124">
        <f>-OPEX!M51</f>
        <v>0</v>
      </c>
      <c r="N48" s="124">
        <f>-OPEX!N51</f>
        <v>0</v>
      </c>
      <c r="O48" s="124">
        <f>-OPEX!O51</f>
        <v>0</v>
      </c>
      <c r="P48" s="124">
        <f>-OPEX!P51</f>
        <v>0</v>
      </c>
      <c r="Q48" s="124">
        <f>-OPEX!Q51</f>
        <v>0</v>
      </c>
      <c r="R48" s="124">
        <f>-OPEX!R51</f>
        <v>0</v>
      </c>
      <c r="S48" s="124">
        <f>-OPEX!S51</f>
        <v>0</v>
      </c>
      <c r="T48" s="124">
        <f>-OPEX!T51</f>
        <v>0</v>
      </c>
      <c r="U48" s="124">
        <f>-OPEX!U51</f>
        <v>0</v>
      </c>
      <c r="V48" s="124">
        <f>-OPEX!V51</f>
        <v>0</v>
      </c>
      <c r="W48" s="124">
        <f>-OPEX!W51</f>
        <v>0</v>
      </c>
      <c r="X48" s="124">
        <f>-OPEX!X51</f>
        <v>0</v>
      </c>
      <c r="Y48" s="124">
        <f>-OPEX!Y51</f>
        <v>0</v>
      </c>
      <c r="Z48" s="124">
        <f>-OPEX!Z51</f>
        <v>0</v>
      </c>
      <c r="AA48" s="124">
        <f>-OPEX!AA51</f>
        <v>0</v>
      </c>
      <c r="AB48" s="124">
        <f>-OPEX!AB51</f>
        <v>0</v>
      </c>
      <c r="AC48" s="124">
        <f>-OPEX!AC51</f>
        <v>0</v>
      </c>
      <c r="AD48" s="124">
        <f>-OPEX!AD51</f>
        <v>0</v>
      </c>
      <c r="AE48" s="124">
        <f>-OPEX!AE51</f>
        <v>0</v>
      </c>
      <c r="AF48" s="124">
        <f>-OPEX!AF51</f>
        <v>0</v>
      </c>
      <c r="AG48" s="124">
        <f>-OPEX!AG51</f>
        <v>0</v>
      </c>
      <c r="AH48" s="124">
        <f>-OPEX!AH51</f>
        <v>0</v>
      </c>
      <c r="AI48" s="124">
        <f>-OPEX!AI51</f>
        <v>0</v>
      </c>
      <c r="AJ48" s="124">
        <f>-OPEX!AJ51</f>
        <v>0</v>
      </c>
      <c r="AK48" s="124">
        <f>-OPEX!AK51</f>
        <v>0</v>
      </c>
      <c r="AL48" s="124">
        <f>-OPEX!AL51</f>
        <v>0</v>
      </c>
      <c r="AM48" s="124">
        <f>-OPEX!AM51</f>
        <v>0</v>
      </c>
      <c r="AN48" s="124">
        <f>-OPEX!AN51</f>
        <v>0</v>
      </c>
      <c r="AO48" s="124">
        <f>-OPEX!AO51</f>
        <v>0</v>
      </c>
      <c r="AP48" s="124">
        <f>-OPEX!AP51</f>
        <v>0</v>
      </c>
      <c r="AQ48" s="124">
        <f>-OPEX!AQ51</f>
        <v>0</v>
      </c>
      <c r="AR48" s="124">
        <f>-OPEX!AR51</f>
        <v>0</v>
      </c>
      <c r="AS48" s="124">
        <f>-OPEX!AS51</f>
        <v>0</v>
      </c>
      <c r="AT48" s="124">
        <f>-OPEX!AT51</f>
        <v>0</v>
      </c>
      <c r="AU48" s="124">
        <f>-OPEX!AU51</f>
        <v>0</v>
      </c>
      <c r="AV48" s="124">
        <f>-OPEX!AV51</f>
        <v>0</v>
      </c>
      <c r="AW48" s="124">
        <f>-OPEX!AW51</f>
        <v>0</v>
      </c>
      <c r="AX48" s="124">
        <f>-OPEX!AX51</f>
        <v>0</v>
      </c>
      <c r="AY48" s="124">
        <f>-OPEX!AY51</f>
        <v>0</v>
      </c>
      <c r="AZ48" s="124">
        <f>-OPEX!AZ51</f>
        <v>0</v>
      </c>
      <c r="BA48" s="124">
        <f>-OPEX!BA51</f>
        <v>0</v>
      </c>
      <c r="BB48" s="124">
        <f>-OPEX!BB51</f>
        <v>0</v>
      </c>
      <c r="BC48" s="124">
        <f>-OPEX!BC51</f>
        <v>0</v>
      </c>
      <c r="BD48" s="124">
        <f>-OPEX!BD51</f>
        <v>0</v>
      </c>
      <c r="BE48" s="124">
        <f>-OPEX!BE51</f>
        <v>0</v>
      </c>
      <c r="BF48" s="124">
        <f>-OPEX!BF51</f>
        <v>0</v>
      </c>
      <c r="BG48" s="124">
        <f>-OPEX!BG51</f>
        <v>0</v>
      </c>
      <c r="BH48" s="124">
        <f>-OPEX!BH51</f>
        <v>0</v>
      </c>
      <c r="BI48" s="124">
        <f>-OPEX!BI51</f>
        <v>0</v>
      </c>
      <c r="BJ48" s="124">
        <f>-OPEX!BJ51</f>
        <v>0</v>
      </c>
      <c r="BK48" s="124">
        <f>-OPEX!BK51</f>
        <v>0</v>
      </c>
      <c r="BL48" s="124">
        <f>-OPEX!BL51</f>
        <v>0</v>
      </c>
      <c r="BM48" s="124">
        <f>-OPEX!BM51</f>
        <v>0</v>
      </c>
      <c r="BN48" s="124">
        <f>-OPEX!BN51</f>
        <v>0</v>
      </c>
      <c r="BO48" s="124">
        <f>-OPEX!BO51</f>
        <v>0</v>
      </c>
      <c r="BP48" s="124">
        <f>-OPEX!BP51</f>
        <v>0</v>
      </c>
      <c r="BQ48" s="124">
        <f>-OPEX!BQ51</f>
        <v>0</v>
      </c>
    </row>
    <row r="49" spans="3:69" ht="10.199999999999999" outlineLevel="1">
      <c r="C49" s="122"/>
      <c r="D49" s="123" t="str">
        <f>OPEX!B52</f>
        <v>SW_Placeholder6</v>
      </c>
      <c r="J49" s="124">
        <f>-OPEX!J52</f>
        <v>0</v>
      </c>
      <c r="K49" s="124">
        <f>-OPEX!K52</f>
        <v>0</v>
      </c>
      <c r="L49" s="124">
        <f>-OPEX!L52</f>
        <v>0</v>
      </c>
      <c r="M49" s="124">
        <f>-OPEX!M52</f>
        <v>0</v>
      </c>
      <c r="N49" s="124">
        <f>-OPEX!N52</f>
        <v>0</v>
      </c>
      <c r="O49" s="124">
        <f>-OPEX!O52</f>
        <v>0</v>
      </c>
      <c r="P49" s="124">
        <f>-OPEX!P52</f>
        <v>0</v>
      </c>
      <c r="Q49" s="124">
        <f>-OPEX!Q52</f>
        <v>0</v>
      </c>
      <c r="R49" s="124">
        <f>-OPEX!R52</f>
        <v>0</v>
      </c>
      <c r="S49" s="124">
        <f>-OPEX!S52</f>
        <v>0</v>
      </c>
      <c r="T49" s="124">
        <f>-OPEX!T52</f>
        <v>0</v>
      </c>
      <c r="U49" s="124">
        <f>-OPEX!U52</f>
        <v>0</v>
      </c>
      <c r="V49" s="124">
        <f>-OPEX!V52</f>
        <v>0</v>
      </c>
      <c r="W49" s="124">
        <f>-OPEX!W52</f>
        <v>0</v>
      </c>
      <c r="X49" s="124">
        <f>-OPEX!X52</f>
        <v>0</v>
      </c>
      <c r="Y49" s="124">
        <f>-OPEX!Y52</f>
        <v>0</v>
      </c>
      <c r="Z49" s="124">
        <f>-OPEX!Z52</f>
        <v>0</v>
      </c>
      <c r="AA49" s="124">
        <f>-OPEX!AA52</f>
        <v>0</v>
      </c>
      <c r="AB49" s="124">
        <f>-OPEX!AB52</f>
        <v>0</v>
      </c>
      <c r="AC49" s="124">
        <f>-OPEX!AC52</f>
        <v>0</v>
      </c>
      <c r="AD49" s="124">
        <f>-OPEX!AD52</f>
        <v>0</v>
      </c>
      <c r="AE49" s="124">
        <f>-OPEX!AE52</f>
        <v>0</v>
      </c>
      <c r="AF49" s="124">
        <f>-OPEX!AF52</f>
        <v>0</v>
      </c>
      <c r="AG49" s="124">
        <f>-OPEX!AG52</f>
        <v>0</v>
      </c>
      <c r="AH49" s="124">
        <f>-OPEX!AH52</f>
        <v>0</v>
      </c>
      <c r="AI49" s="124">
        <f>-OPEX!AI52</f>
        <v>0</v>
      </c>
      <c r="AJ49" s="124">
        <f>-OPEX!AJ52</f>
        <v>0</v>
      </c>
      <c r="AK49" s="124">
        <f>-OPEX!AK52</f>
        <v>0</v>
      </c>
      <c r="AL49" s="124">
        <f>-OPEX!AL52</f>
        <v>0</v>
      </c>
      <c r="AM49" s="124">
        <f>-OPEX!AM52</f>
        <v>0</v>
      </c>
      <c r="AN49" s="124">
        <f>-OPEX!AN52</f>
        <v>0</v>
      </c>
      <c r="AO49" s="124">
        <f>-OPEX!AO52</f>
        <v>0</v>
      </c>
      <c r="AP49" s="124">
        <f>-OPEX!AP52</f>
        <v>0</v>
      </c>
      <c r="AQ49" s="124">
        <f>-OPEX!AQ52</f>
        <v>0</v>
      </c>
      <c r="AR49" s="124">
        <f>-OPEX!AR52</f>
        <v>0</v>
      </c>
      <c r="AS49" s="124">
        <f>-OPEX!AS52</f>
        <v>0</v>
      </c>
      <c r="AT49" s="124">
        <f>-OPEX!AT52</f>
        <v>0</v>
      </c>
      <c r="AU49" s="124">
        <f>-OPEX!AU52</f>
        <v>0</v>
      </c>
      <c r="AV49" s="124">
        <f>-OPEX!AV52</f>
        <v>0</v>
      </c>
      <c r="AW49" s="124">
        <f>-OPEX!AW52</f>
        <v>0</v>
      </c>
      <c r="AX49" s="124">
        <f>-OPEX!AX52</f>
        <v>0</v>
      </c>
      <c r="AY49" s="124">
        <f>-OPEX!AY52</f>
        <v>0</v>
      </c>
      <c r="AZ49" s="124">
        <f>-OPEX!AZ52</f>
        <v>0</v>
      </c>
      <c r="BA49" s="124">
        <f>-OPEX!BA52</f>
        <v>0</v>
      </c>
      <c r="BB49" s="124">
        <f>-OPEX!BB52</f>
        <v>0</v>
      </c>
      <c r="BC49" s="124">
        <f>-OPEX!BC52</f>
        <v>0</v>
      </c>
      <c r="BD49" s="124">
        <f>-OPEX!BD52</f>
        <v>0</v>
      </c>
      <c r="BE49" s="124">
        <f>-OPEX!BE52</f>
        <v>0</v>
      </c>
      <c r="BF49" s="124">
        <f>-OPEX!BF52</f>
        <v>0</v>
      </c>
      <c r="BG49" s="124">
        <f>-OPEX!BG52</f>
        <v>0</v>
      </c>
      <c r="BH49" s="124">
        <f>-OPEX!BH52</f>
        <v>0</v>
      </c>
      <c r="BI49" s="124">
        <f>-OPEX!BI52</f>
        <v>0</v>
      </c>
      <c r="BJ49" s="124">
        <f>-OPEX!BJ52</f>
        <v>0</v>
      </c>
      <c r="BK49" s="124">
        <f>-OPEX!BK52</f>
        <v>0</v>
      </c>
      <c r="BL49" s="124">
        <f>-OPEX!BL52</f>
        <v>0</v>
      </c>
      <c r="BM49" s="124">
        <f>-OPEX!BM52</f>
        <v>0</v>
      </c>
      <c r="BN49" s="124">
        <f>-OPEX!BN52</f>
        <v>0</v>
      </c>
      <c r="BO49" s="124">
        <f>-OPEX!BO52</f>
        <v>0</v>
      </c>
      <c r="BP49" s="124">
        <f>-OPEX!BP52</f>
        <v>0</v>
      </c>
      <c r="BQ49" s="124">
        <f>-OPEX!BQ52</f>
        <v>0</v>
      </c>
    </row>
    <row r="50" spans="3:69" ht="10.199999999999999" outlineLevel="1">
      <c r="C50" s="122"/>
      <c r="D50" s="123" t="str">
        <f>OPEX!B53</f>
        <v>SW_Placeholder7</v>
      </c>
      <c r="J50" s="124">
        <f>-OPEX!J53</f>
        <v>0</v>
      </c>
      <c r="K50" s="124">
        <f>-OPEX!K53</f>
        <v>0</v>
      </c>
      <c r="L50" s="124">
        <f>-OPEX!L53</f>
        <v>0</v>
      </c>
      <c r="M50" s="124">
        <f>-OPEX!M53</f>
        <v>0</v>
      </c>
      <c r="N50" s="124">
        <f>-OPEX!N53</f>
        <v>0</v>
      </c>
      <c r="O50" s="124">
        <f>-OPEX!O53</f>
        <v>0</v>
      </c>
      <c r="P50" s="124">
        <f>-OPEX!P53</f>
        <v>0</v>
      </c>
      <c r="Q50" s="124">
        <f>-OPEX!Q53</f>
        <v>0</v>
      </c>
      <c r="R50" s="124">
        <f>-OPEX!R53</f>
        <v>0</v>
      </c>
      <c r="S50" s="124">
        <f>-OPEX!S53</f>
        <v>0</v>
      </c>
      <c r="T50" s="124">
        <f>-OPEX!T53</f>
        <v>0</v>
      </c>
      <c r="U50" s="124">
        <f>-OPEX!U53</f>
        <v>0</v>
      </c>
      <c r="V50" s="124">
        <f>-OPEX!V53</f>
        <v>0</v>
      </c>
      <c r="W50" s="124">
        <f>-OPEX!W53</f>
        <v>0</v>
      </c>
      <c r="X50" s="124">
        <f>-OPEX!X53</f>
        <v>0</v>
      </c>
      <c r="Y50" s="124">
        <f>-OPEX!Y53</f>
        <v>0</v>
      </c>
      <c r="Z50" s="124">
        <f>-OPEX!Z53</f>
        <v>0</v>
      </c>
      <c r="AA50" s="124">
        <f>-OPEX!AA53</f>
        <v>0</v>
      </c>
      <c r="AB50" s="124">
        <f>-OPEX!AB53</f>
        <v>0</v>
      </c>
      <c r="AC50" s="124">
        <f>-OPEX!AC53</f>
        <v>0</v>
      </c>
      <c r="AD50" s="124">
        <f>-OPEX!AD53</f>
        <v>0</v>
      </c>
      <c r="AE50" s="124">
        <f>-OPEX!AE53</f>
        <v>0</v>
      </c>
      <c r="AF50" s="124">
        <f>-OPEX!AF53</f>
        <v>0</v>
      </c>
      <c r="AG50" s="124">
        <f>-OPEX!AG53</f>
        <v>0</v>
      </c>
      <c r="AH50" s="124">
        <f>-OPEX!AH53</f>
        <v>0</v>
      </c>
      <c r="AI50" s="124">
        <f>-OPEX!AI53</f>
        <v>0</v>
      </c>
      <c r="AJ50" s="124">
        <f>-OPEX!AJ53</f>
        <v>0</v>
      </c>
      <c r="AK50" s="124">
        <f>-OPEX!AK53</f>
        <v>0</v>
      </c>
      <c r="AL50" s="124">
        <f>-OPEX!AL53</f>
        <v>0</v>
      </c>
      <c r="AM50" s="124">
        <f>-OPEX!AM53</f>
        <v>0</v>
      </c>
      <c r="AN50" s="124">
        <f>-OPEX!AN53</f>
        <v>0</v>
      </c>
      <c r="AO50" s="124">
        <f>-OPEX!AO53</f>
        <v>0</v>
      </c>
      <c r="AP50" s="124">
        <f>-OPEX!AP53</f>
        <v>0</v>
      </c>
      <c r="AQ50" s="124">
        <f>-OPEX!AQ53</f>
        <v>0</v>
      </c>
      <c r="AR50" s="124">
        <f>-OPEX!AR53</f>
        <v>0</v>
      </c>
      <c r="AS50" s="124">
        <f>-OPEX!AS53</f>
        <v>0</v>
      </c>
      <c r="AT50" s="124">
        <f>-OPEX!AT53</f>
        <v>0</v>
      </c>
      <c r="AU50" s="124">
        <f>-OPEX!AU53</f>
        <v>0</v>
      </c>
      <c r="AV50" s="124">
        <f>-OPEX!AV53</f>
        <v>0</v>
      </c>
      <c r="AW50" s="124">
        <f>-OPEX!AW53</f>
        <v>0</v>
      </c>
      <c r="AX50" s="124">
        <f>-OPEX!AX53</f>
        <v>0</v>
      </c>
      <c r="AY50" s="124">
        <f>-OPEX!AY53</f>
        <v>0</v>
      </c>
      <c r="AZ50" s="124">
        <f>-OPEX!AZ53</f>
        <v>0</v>
      </c>
      <c r="BA50" s="124">
        <f>-OPEX!BA53</f>
        <v>0</v>
      </c>
      <c r="BB50" s="124">
        <f>-OPEX!BB53</f>
        <v>0</v>
      </c>
      <c r="BC50" s="124">
        <f>-OPEX!BC53</f>
        <v>0</v>
      </c>
      <c r="BD50" s="124">
        <f>-OPEX!BD53</f>
        <v>0</v>
      </c>
      <c r="BE50" s="124">
        <f>-OPEX!BE53</f>
        <v>0</v>
      </c>
      <c r="BF50" s="124">
        <f>-OPEX!BF53</f>
        <v>0</v>
      </c>
      <c r="BG50" s="124">
        <f>-OPEX!BG53</f>
        <v>0</v>
      </c>
      <c r="BH50" s="124">
        <f>-OPEX!BH53</f>
        <v>0</v>
      </c>
      <c r="BI50" s="124">
        <f>-OPEX!BI53</f>
        <v>0</v>
      </c>
      <c r="BJ50" s="124">
        <f>-OPEX!BJ53</f>
        <v>0</v>
      </c>
      <c r="BK50" s="124">
        <f>-OPEX!BK53</f>
        <v>0</v>
      </c>
      <c r="BL50" s="124">
        <f>-OPEX!BL53</f>
        <v>0</v>
      </c>
      <c r="BM50" s="124">
        <f>-OPEX!BM53</f>
        <v>0</v>
      </c>
      <c r="BN50" s="124">
        <f>-OPEX!BN53</f>
        <v>0</v>
      </c>
      <c r="BO50" s="124">
        <f>-OPEX!BO53</f>
        <v>0</v>
      </c>
      <c r="BP50" s="124">
        <f>-OPEX!BP53</f>
        <v>0</v>
      </c>
      <c r="BQ50" s="124">
        <f>-OPEX!BQ53</f>
        <v>0</v>
      </c>
    </row>
    <row r="51" spans="3:69" ht="10.199999999999999" outlineLevel="1">
      <c r="C51" s="122"/>
      <c r="D51" s="123" t="str">
        <f>OPEX!B54</f>
        <v>SW_Placeholder8</v>
      </c>
      <c r="J51" s="124">
        <f>-OPEX!J54</f>
        <v>0</v>
      </c>
      <c r="K51" s="124">
        <f>-OPEX!K54</f>
        <v>0</v>
      </c>
      <c r="L51" s="124">
        <f>-OPEX!L54</f>
        <v>0</v>
      </c>
      <c r="M51" s="124">
        <f>-OPEX!M54</f>
        <v>0</v>
      </c>
      <c r="N51" s="124">
        <f>-OPEX!N54</f>
        <v>0</v>
      </c>
      <c r="O51" s="124">
        <f>-OPEX!O54</f>
        <v>0</v>
      </c>
      <c r="P51" s="124">
        <f>-OPEX!P54</f>
        <v>0</v>
      </c>
      <c r="Q51" s="124">
        <f>-OPEX!Q54</f>
        <v>0</v>
      </c>
      <c r="R51" s="124">
        <f>-OPEX!R54</f>
        <v>0</v>
      </c>
      <c r="S51" s="124">
        <f>-OPEX!S54</f>
        <v>0</v>
      </c>
      <c r="T51" s="124">
        <f>-OPEX!T54</f>
        <v>0</v>
      </c>
      <c r="U51" s="124">
        <f>-OPEX!U54</f>
        <v>0</v>
      </c>
      <c r="V51" s="124">
        <f>-OPEX!V54</f>
        <v>0</v>
      </c>
      <c r="W51" s="124">
        <f>-OPEX!W54</f>
        <v>0</v>
      </c>
      <c r="X51" s="124">
        <f>-OPEX!X54</f>
        <v>0</v>
      </c>
      <c r="Y51" s="124">
        <f>-OPEX!Y54</f>
        <v>0</v>
      </c>
      <c r="Z51" s="124">
        <f>-OPEX!Z54</f>
        <v>0</v>
      </c>
      <c r="AA51" s="124">
        <f>-OPEX!AA54</f>
        <v>0</v>
      </c>
      <c r="AB51" s="124">
        <f>-OPEX!AB54</f>
        <v>0</v>
      </c>
      <c r="AC51" s="124">
        <f>-OPEX!AC54</f>
        <v>0</v>
      </c>
      <c r="AD51" s="124">
        <f>-OPEX!AD54</f>
        <v>0</v>
      </c>
      <c r="AE51" s="124">
        <f>-OPEX!AE54</f>
        <v>0</v>
      </c>
      <c r="AF51" s="124">
        <f>-OPEX!AF54</f>
        <v>0</v>
      </c>
      <c r="AG51" s="124">
        <f>-OPEX!AG54</f>
        <v>0</v>
      </c>
      <c r="AH51" s="124">
        <f>-OPEX!AH54</f>
        <v>0</v>
      </c>
      <c r="AI51" s="124">
        <f>-OPEX!AI54</f>
        <v>0</v>
      </c>
      <c r="AJ51" s="124">
        <f>-OPEX!AJ54</f>
        <v>0</v>
      </c>
      <c r="AK51" s="124">
        <f>-OPEX!AK54</f>
        <v>0</v>
      </c>
      <c r="AL51" s="124">
        <f>-OPEX!AL54</f>
        <v>0</v>
      </c>
      <c r="AM51" s="124">
        <f>-OPEX!AM54</f>
        <v>0</v>
      </c>
      <c r="AN51" s="124">
        <f>-OPEX!AN54</f>
        <v>0</v>
      </c>
      <c r="AO51" s="124">
        <f>-OPEX!AO54</f>
        <v>0</v>
      </c>
      <c r="AP51" s="124">
        <f>-OPEX!AP54</f>
        <v>0</v>
      </c>
      <c r="AQ51" s="124">
        <f>-OPEX!AQ54</f>
        <v>0</v>
      </c>
      <c r="AR51" s="124">
        <f>-OPEX!AR54</f>
        <v>0</v>
      </c>
      <c r="AS51" s="124">
        <f>-OPEX!AS54</f>
        <v>0</v>
      </c>
      <c r="AT51" s="124">
        <f>-OPEX!AT54</f>
        <v>0</v>
      </c>
      <c r="AU51" s="124">
        <f>-OPEX!AU54</f>
        <v>0</v>
      </c>
      <c r="AV51" s="124">
        <f>-OPEX!AV54</f>
        <v>0</v>
      </c>
      <c r="AW51" s="124">
        <f>-OPEX!AW54</f>
        <v>0</v>
      </c>
      <c r="AX51" s="124">
        <f>-OPEX!AX54</f>
        <v>0</v>
      </c>
      <c r="AY51" s="124">
        <f>-OPEX!AY54</f>
        <v>0</v>
      </c>
      <c r="AZ51" s="124">
        <f>-OPEX!AZ54</f>
        <v>0</v>
      </c>
      <c r="BA51" s="124">
        <f>-OPEX!BA54</f>
        <v>0</v>
      </c>
      <c r="BB51" s="124">
        <f>-OPEX!BB54</f>
        <v>0</v>
      </c>
      <c r="BC51" s="124">
        <f>-OPEX!BC54</f>
        <v>0</v>
      </c>
      <c r="BD51" s="124">
        <f>-OPEX!BD54</f>
        <v>0</v>
      </c>
      <c r="BE51" s="124">
        <f>-OPEX!BE54</f>
        <v>0</v>
      </c>
      <c r="BF51" s="124">
        <f>-OPEX!BF54</f>
        <v>0</v>
      </c>
      <c r="BG51" s="124">
        <f>-OPEX!BG54</f>
        <v>0</v>
      </c>
      <c r="BH51" s="124">
        <f>-OPEX!BH54</f>
        <v>0</v>
      </c>
      <c r="BI51" s="124">
        <f>-OPEX!BI54</f>
        <v>0</v>
      </c>
      <c r="BJ51" s="124">
        <f>-OPEX!BJ54</f>
        <v>0</v>
      </c>
      <c r="BK51" s="124">
        <f>-OPEX!BK54</f>
        <v>0</v>
      </c>
      <c r="BL51" s="124">
        <f>-OPEX!BL54</f>
        <v>0</v>
      </c>
      <c r="BM51" s="124">
        <f>-OPEX!BM54</f>
        <v>0</v>
      </c>
      <c r="BN51" s="124">
        <f>-OPEX!BN54</f>
        <v>0</v>
      </c>
      <c r="BO51" s="124">
        <f>-OPEX!BO54</f>
        <v>0</v>
      </c>
      <c r="BP51" s="124">
        <f>-OPEX!BP54</f>
        <v>0</v>
      </c>
      <c r="BQ51" s="124">
        <f>-OPEX!BQ54</f>
        <v>0</v>
      </c>
    </row>
    <row r="52" spans="3:69" ht="10.199999999999999" outlineLevel="1">
      <c r="C52" s="122"/>
      <c r="D52" s="123" t="str">
        <f>OPEX!B55</f>
        <v>SW_Placeholder9</v>
      </c>
      <c r="J52" s="124">
        <f>-OPEX!J55</f>
        <v>0</v>
      </c>
      <c r="K52" s="124">
        <f>-OPEX!K55</f>
        <v>0</v>
      </c>
      <c r="L52" s="124">
        <f>-OPEX!L55</f>
        <v>0</v>
      </c>
      <c r="M52" s="124">
        <f>-OPEX!M55</f>
        <v>0</v>
      </c>
      <c r="N52" s="124">
        <f>-OPEX!N55</f>
        <v>0</v>
      </c>
      <c r="O52" s="124">
        <f>-OPEX!O55</f>
        <v>0</v>
      </c>
      <c r="P52" s="124">
        <f>-OPEX!P55</f>
        <v>0</v>
      </c>
      <c r="Q52" s="124">
        <f>-OPEX!Q55</f>
        <v>0</v>
      </c>
      <c r="R52" s="124">
        <f>-OPEX!R55</f>
        <v>0</v>
      </c>
      <c r="S52" s="124">
        <f>-OPEX!S55</f>
        <v>0</v>
      </c>
      <c r="T52" s="124">
        <f>-OPEX!T55</f>
        <v>0</v>
      </c>
      <c r="U52" s="124">
        <f>-OPEX!U55</f>
        <v>0</v>
      </c>
      <c r="V52" s="124">
        <f>-OPEX!V55</f>
        <v>0</v>
      </c>
      <c r="W52" s="124">
        <f>-OPEX!W55</f>
        <v>0</v>
      </c>
      <c r="X52" s="124">
        <f>-OPEX!X55</f>
        <v>0</v>
      </c>
      <c r="Y52" s="124">
        <f>-OPEX!Y55</f>
        <v>0</v>
      </c>
      <c r="Z52" s="124">
        <f>-OPEX!Z55</f>
        <v>0</v>
      </c>
      <c r="AA52" s="124">
        <f>-OPEX!AA55</f>
        <v>0</v>
      </c>
      <c r="AB52" s="124">
        <f>-OPEX!AB55</f>
        <v>0</v>
      </c>
      <c r="AC52" s="124">
        <f>-OPEX!AC55</f>
        <v>0</v>
      </c>
      <c r="AD52" s="124">
        <f>-OPEX!AD55</f>
        <v>0</v>
      </c>
      <c r="AE52" s="124">
        <f>-OPEX!AE55</f>
        <v>0</v>
      </c>
      <c r="AF52" s="124">
        <f>-OPEX!AF55</f>
        <v>0</v>
      </c>
      <c r="AG52" s="124">
        <f>-OPEX!AG55</f>
        <v>0</v>
      </c>
      <c r="AH52" s="124">
        <f>-OPEX!AH55</f>
        <v>0</v>
      </c>
      <c r="AI52" s="124">
        <f>-OPEX!AI55</f>
        <v>0</v>
      </c>
      <c r="AJ52" s="124">
        <f>-OPEX!AJ55</f>
        <v>0</v>
      </c>
      <c r="AK52" s="124">
        <f>-OPEX!AK55</f>
        <v>0</v>
      </c>
      <c r="AL52" s="124">
        <f>-OPEX!AL55</f>
        <v>0</v>
      </c>
      <c r="AM52" s="124">
        <f>-OPEX!AM55</f>
        <v>0</v>
      </c>
      <c r="AN52" s="124">
        <f>-OPEX!AN55</f>
        <v>0</v>
      </c>
      <c r="AO52" s="124">
        <f>-OPEX!AO55</f>
        <v>0</v>
      </c>
      <c r="AP52" s="124">
        <f>-OPEX!AP55</f>
        <v>0</v>
      </c>
      <c r="AQ52" s="124">
        <f>-OPEX!AQ55</f>
        <v>0</v>
      </c>
      <c r="AR52" s="124">
        <f>-OPEX!AR55</f>
        <v>0</v>
      </c>
      <c r="AS52" s="124">
        <f>-OPEX!AS55</f>
        <v>0</v>
      </c>
      <c r="AT52" s="124">
        <f>-OPEX!AT55</f>
        <v>0</v>
      </c>
      <c r="AU52" s="124">
        <f>-OPEX!AU55</f>
        <v>0</v>
      </c>
      <c r="AV52" s="124">
        <f>-OPEX!AV55</f>
        <v>0</v>
      </c>
      <c r="AW52" s="124">
        <f>-OPEX!AW55</f>
        <v>0</v>
      </c>
      <c r="AX52" s="124">
        <f>-OPEX!AX55</f>
        <v>0</v>
      </c>
      <c r="AY52" s="124">
        <f>-OPEX!AY55</f>
        <v>0</v>
      </c>
      <c r="AZ52" s="124">
        <f>-OPEX!AZ55</f>
        <v>0</v>
      </c>
      <c r="BA52" s="124">
        <f>-OPEX!BA55</f>
        <v>0</v>
      </c>
      <c r="BB52" s="124">
        <f>-OPEX!BB55</f>
        <v>0</v>
      </c>
      <c r="BC52" s="124">
        <f>-OPEX!BC55</f>
        <v>0</v>
      </c>
      <c r="BD52" s="124">
        <f>-OPEX!BD55</f>
        <v>0</v>
      </c>
      <c r="BE52" s="124">
        <f>-OPEX!BE55</f>
        <v>0</v>
      </c>
      <c r="BF52" s="124">
        <f>-OPEX!BF55</f>
        <v>0</v>
      </c>
      <c r="BG52" s="124">
        <f>-OPEX!BG55</f>
        <v>0</v>
      </c>
      <c r="BH52" s="124">
        <f>-OPEX!BH55</f>
        <v>0</v>
      </c>
      <c r="BI52" s="124">
        <f>-OPEX!BI55</f>
        <v>0</v>
      </c>
      <c r="BJ52" s="124">
        <f>-OPEX!BJ55</f>
        <v>0</v>
      </c>
      <c r="BK52" s="124">
        <f>-OPEX!BK55</f>
        <v>0</v>
      </c>
      <c r="BL52" s="124">
        <f>-OPEX!BL55</f>
        <v>0</v>
      </c>
      <c r="BM52" s="124">
        <f>-OPEX!BM55</f>
        <v>0</v>
      </c>
      <c r="BN52" s="124">
        <f>-OPEX!BN55</f>
        <v>0</v>
      </c>
      <c r="BO52" s="124">
        <f>-OPEX!BO55</f>
        <v>0</v>
      </c>
      <c r="BP52" s="124">
        <f>-OPEX!BP55</f>
        <v>0</v>
      </c>
      <c r="BQ52" s="124">
        <f>-OPEX!BQ55</f>
        <v>0</v>
      </c>
    </row>
    <row r="53" spans="3:69" ht="10.199999999999999" outlineLevel="1">
      <c r="C53" s="122"/>
      <c r="D53" s="123" t="str">
        <f>OPEX!B56</f>
        <v>SW_Placeholder10</v>
      </c>
      <c r="J53" s="124">
        <f>-OPEX!J56</f>
        <v>0</v>
      </c>
      <c r="K53" s="124">
        <f>-OPEX!K56</f>
        <v>0</v>
      </c>
      <c r="L53" s="124">
        <f>-OPEX!L56</f>
        <v>0</v>
      </c>
      <c r="M53" s="124">
        <f>-OPEX!M56</f>
        <v>0</v>
      </c>
      <c r="N53" s="124">
        <f>-OPEX!N56</f>
        <v>0</v>
      </c>
      <c r="O53" s="124">
        <f>-OPEX!O56</f>
        <v>0</v>
      </c>
      <c r="P53" s="124">
        <f>-OPEX!P56</f>
        <v>0</v>
      </c>
      <c r="Q53" s="124">
        <f>-OPEX!Q56</f>
        <v>0</v>
      </c>
      <c r="R53" s="124">
        <f>-OPEX!R56</f>
        <v>0</v>
      </c>
      <c r="S53" s="124">
        <f>-OPEX!S56</f>
        <v>0</v>
      </c>
      <c r="T53" s="124">
        <f>-OPEX!T56</f>
        <v>0</v>
      </c>
      <c r="U53" s="124">
        <f>-OPEX!U56</f>
        <v>0</v>
      </c>
      <c r="V53" s="124">
        <f>-OPEX!V56</f>
        <v>0</v>
      </c>
      <c r="W53" s="124">
        <f>-OPEX!W56</f>
        <v>0</v>
      </c>
      <c r="X53" s="124">
        <f>-OPEX!X56</f>
        <v>0</v>
      </c>
      <c r="Y53" s="124">
        <f>-OPEX!Y56</f>
        <v>0</v>
      </c>
      <c r="Z53" s="124">
        <f>-OPEX!Z56</f>
        <v>0</v>
      </c>
      <c r="AA53" s="124">
        <f>-OPEX!AA56</f>
        <v>0</v>
      </c>
      <c r="AB53" s="124">
        <f>-OPEX!AB56</f>
        <v>0</v>
      </c>
      <c r="AC53" s="124">
        <f>-OPEX!AC56</f>
        <v>0</v>
      </c>
      <c r="AD53" s="124">
        <f>-OPEX!AD56</f>
        <v>0</v>
      </c>
      <c r="AE53" s="124">
        <f>-OPEX!AE56</f>
        <v>0</v>
      </c>
      <c r="AF53" s="124">
        <f>-OPEX!AF56</f>
        <v>0</v>
      </c>
      <c r="AG53" s="124">
        <f>-OPEX!AG56</f>
        <v>0</v>
      </c>
      <c r="AH53" s="124">
        <f>-OPEX!AH56</f>
        <v>0</v>
      </c>
      <c r="AI53" s="124">
        <f>-OPEX!AI56</f>
        <v>0</v>
      </c>
      <c r="AJ53" s="124">
        <f>-OPEX!AJ56</f>
        <v>0</v>
      </c>
      <c r="AK53" s="124">
        <f>-OPEX!AK56</f>
        <v>0</v>
      </c>
      <c r="AL53" s="124">
        <f>-OPEX!AL56</f>
        <v>0</v>
      </c>
      <c r="AM53" s="124">
        <f>-OPEX!AM56</f>
        <v>0</v>
      </c>
      <c r="AN53" s="124">
        <f>-OPEX!AN56</f>
        <v>0</v>
      </c>
      <c r="AO53" s="124">
        <f>-OPEX!AO56</f>
        <v>0</v>
      </c>
      <c r="AP53" s="124">
        <f>-OPEX!AP56</f>
        <v>0</v>
      </c>
      <c r="AQ53" s="124">
        <f>-OPEX!AQ56</f>
        <v>0</v>
      </c>
      <c r="AR53" s="124">
        <f>-OPEX!AR56</f>
        <v>0</v>
      </c>
      <c r="AS53" s="124">
        <f>-OPEX!AS56</f>
        <v>0</v>
      </c>
      <c r="AT53" s="124">
        <f>-OPEX!AT56</f>
        <v>0</v>
      </c>
      <c r="AU53" s="124">
        <f>-OPEX!AU56</f>
        <v>0</v>
      </c>
      <c r="AV53" s="124">
        <f>-OPEX!AV56</f>
        <v>0</v>
      </c>
      <c r="AW53" s="124">
        <f>-OPEX!AW56</f>
        <v>0</v>
      </c>
      <c r="AX53" s="124">
        <f>-OPEX!AX56</f>
        <v>0</v>
      </c>
      <c r="AY53" s="124">
        <f>-OPEX!AY56</f>
        <v>0</v>
      </c>
      <c r="AZ53" s="124">
        <f>-OPEX!AZ56</f>
        <v>0</v>
      </c>
      <c r="BA53" s="124">
        <f>-OPEX!BA56</f>
        <v>0</v>
      </c>
      <c r="BB53" s="124">
        <f>-OPEX!BB56</f>
        <v>0</v>
      </c>
      <c r="BC53" s="124">
        <f>-OPEX!BC56</f>
        <v>0</v>
      </c>
      <c r="BD53" s="124">
        <f>-OPEX!BD56</f>
        <v>0</v>
      </c>
      <c r="BE53" s="124">
        <f>-OPEX!BE56</f>
        <v>0</v>
      </c>
      <c r="BF53" s="124">
        <f>-OPEX!BF56</f>
        <v>0</v>
      </c>
      <c r="BG53" s="124">
        <f>-OPEX!BG56</f>
        <v>0</v>
      </c>
      <c r="BH53" s="124">
        <f>-OPEX!BH56</f>
        <v>0</v>
      </c>
      <c r="BI53" s="124">
        <f>-OPEX!BI56</f>
        <v>0</v>
      </c>
      <c r="BJ53" s="124">
        <f>-OPEX!BJ56</f>
        <v>0</v>
      </c>
      <c r="BK53" s="124">
        <f>-OPEX!BK56</f>
        <v>0</v>
      </c>
      <c r="BL53" s="124">
        <f>-OPEX!BL56</f>
        <v>0</v>
      </c>
      <c r="BM53" s="124">
        <f>-OPEX!BM56</f>
        <v>0</v>
      </c>
      <c r="BN53" s="124">
        <f>-OPEX!BN56</f>
        <v>0</v>
      </c>
      <c r="BO53" s="124">
        <f>-OPEX!BO56</f>
        <v>0</v>
      </c>
      <c r="BP53" s="124">
        <f>-OPEX!BP56</f>
        <v>0</v>
      </c>
      <c r="BQ53" s="124">
        <f>-OPEX!BQ56</f>
        <v>0</v>
      </c>
    </row>
    <row r="54" spans="3:69" ht="10.199999999999999">
      <c r="C54" s="122"/>
      <c r="D54" s="92" t="str">
        <f>"Total "&amp;C43</f>
        <v>Total Salaries &amp; Wages</v>
      </c>
      <c r="J54" s="126">
        <f t="shared" ref="J54:AO54" si="90">SUM(J44:J53)</f>
        <v>-1666.6666666666667</v>
      </c>
      <c r="K54" s="126">
        <f t="shared" si="90"/>
        <v>-1666.6666666666667</v>
      </c>
      <c r="L54" s="126">
        <f t="shared" si="90"/>
        <v>-1666.6666666666667</v>
      </c>
      <c r="M54" s="126">
        <f t="shared" si="90"/>
        <v>-1666.6666666666667</v>
      </c>
      <c r="N54" s="126">
        <f t="shared" si="90"/>
        <v>-1666.6666666666667</v>
      </c>
      <c r="O54" s="126">
        <f t="shared" si="90"/>
        <v>-1666.6666666666667</v>
      </c>
      <c r="P54" s="126">
        <f t="shared" si="90"/>
        <v>-1666.6666666666667</v>
      </c>
      <c r="Q54" s="126">
        <f t="shared" si="90"/>
        <v>-1666.6666666666667</v>
      </c>
      <c r="R54" s="126">
        <f t="shared" si="90"/>
        <v>-1666.6666666666667</v>
      </c>
      <c r="S54" s="126">
        <f t="shared" si="90"/>
        <v>-1666.6666666666667</v>
      </c>
      <c r="T54" s="126">
        <f t="shared" si="90"/>
        <v>-1666.6666666666667</v>
      </c>
      <c r="U54" s="126">
        <f t="shared" si="90"/>
        <v>-1666.6666666666667</v>
      </c>
      <c r="V54" s="126">
        <f t="shared" si="90"/>
        <v>-1750</v>
      </c>
      <c r="W54" s="126">
        <f t="shared" si="90"/>
        <v>-1750</v>
      </c>
      <c r="X54" s="126">
        <f t="shared" si="90"/>
        <v>-1750</v>
      </c>
      <c r="Y54" s="126">
        <f t="shared" si="90"/>
        <v>-1750</v>
      </c>
      <c r="Z54" s="126">
        <f t="shared" si="90"/>
        <v>-1750</v>
      </c>
      <c r="AA54" s="126">
        <f t="shared" si="90"/>
        <v>-1750</v>
      </c>
      <c r="AB54" s="126">
        <f t="shared" si="90"/>
        <v>-1750</v>
      </c>
      <c r="AC54" s="126">
        <f t="shared" si="90"/>
        <v>-1750</v>
      </c>
      <c r="AD54" s="126">
        <f t="shared" si="90"/>
        <v>-1750</v>
      </c>
      <c r="AE54" s="126">
        <f t="shared" si="90"/>
        <v>-1750</v>
      </c>
      <c r="AF54" s="126">
        <f t="shared" si="90"/>
        <v>-1750</v>
      </c>
      <c r="AG54" s="126">
        <f t="shared" si="90"/>
        <v>-1750</v>
      </c>
      <c r="AH54" s="126">
        <f t="shared" si="90"/>
        <v>-1837.5</v>
      </c>
      <c r="AI54" s="126">
        <f t="shared" si="90"/>
        <v>-1837.5</v>
      </c>
      <c r="AJ54" s="126">
        <f t="shared" si="90"/>
        <v>-1837.5</v>
      </c>
      <c r="AK54" s="126">
        <f t="shared" si="90"/>
        <v>-1837.5</v>
      </c>
      <c r="AL54" s="126">
        <f t="shared" si="90"/>
        <v>-1837.5</v>
      </c>
      <c r="AM54" s="126">
        <f t="shared" si="90"/>
        <v>-1837.5</v>
      </c>
      <c r="AN54" s="126">
        <f t="shared" si="90"/>
        <v>-1837.5</v>
      </c>
      <c r="AO54" s="126">
        <f t="shared" si="90"/>
        <v>-1837.5</v>
      </c>
      <c r="AP54" s="126">
        <f t="shared" ref="AP54:BQ54" si="91">SUM(AP44:AP53)</f>
        <v>-1837.5</v>
      </c>
      <c r="AQ54" s="126">
        <f t="shared" si="91"/>
        <v>-1837.5</v>
      </c>
      <c r="AR54" s="126">
        <f t="shared" si="91"/>
        <v>-1837.5</v>
      </c>
      <c r="AS54" s="126">
        <f t="shared" si="91"/>
        <v>-1837.5</v>
      </c>
      <c r="AT54" s="126">
        <f t="shared" si="91"/>
        <v>-1929.375</v>
      </c>
      <c r="AU54" s="126">
        <f t="shared" si="91"/>
        <v>-1929.375</v>
      </c>
      <c r="AV54" s="126">
        <f t="shared" si="91"/>
        <v>-1929.375</v>
      </c>
      <c r="AW54" s="126">
        <f t="shared" si="91"/>
        <v>-1929.375</v>
      </c>
      <c r="AX54" s="126">
        <f t="shared" si="91"/>
        <v>-1929.375</v>
      </c>
      <c r="AY54" s="126">
        <f t="shared" si="91"/>
        <v>-1929.375</v>
      </c>
      <c r="AZ54" s="126">
        <f t="shared" si="91"/>
        <v>-1929.375</v>
      </c>
      <c r="BA54" s="126">
        <f t="shared" si="91"/>
        <v>-1929.375</v>
      </c>
      <c r="BB54" s="126">
        <f t="shared" si="91"/>
        <v>-1929.375</v>
      </c>
      <c r="BC54" s="126">
        <f t="shared" si="91"/>
        <v>-1929.375</v>
      </c>
      <c r="BD54" s="126">
        <f t="shared" si="91"/>
        <v>-1929.375</v>
      </c>
      <c r="BE54" s="126">
        <f t="shared" si="91"/>
        <v>-1929.375</v>
      </c>
      <c r="BF54" s="126">
        <f t="shared" si="91"/>
        <v>-2025.84375</v>
      </c>
      <c r="BG54" s="126">
        <f t="shared" si="91"/>
        <v>-2025.84375</v>
      </c>
      <c r="BH54" s="126">
        <f t="shared" si="91"/>
        <v>-2025.84375</v>
      </c>
      <c r="BI54" s="126">
        <f t="shared" si="91"/>
        <v>-2025.84375</v>
      </c>
      <c r="BJ54" s="126">
        <f t="shared" si="91"/>
        <v>-2025.84375</v>
      </c>
      <c r="BK54" s="126">
        <f t="shared" si="91"/>
        <v>-2025.84375</v>
      </c>
      <c r="BL54" s="126">
        <f t="shared" si="91"/>
        <v>-2025.84375</v>
      </c>
      <c r="BM54" s="126">
        <f t="shared" si="91"/>
        <v>-2025.84375</v>
      </c>
      <c r="BN54" s="126">
        <f t="shared" si="91"/>
        <v>-2025.84375</v>
      </c>
      <c r="BO54" s="126">
        <f t="shared" si="91"/>
        <v>-2025.84375</v>
      </c>
      <c r="BP54" s="126">
        <f t="shared" si="91"/>
        <v>-2025.84375</v>
      </c>
      <c r="BQ54" s="126">
        <f t="shared" si="91"/>
        <v>-2025.84375</v>
      </c>
    </row>
    <row r="55" spans="3:69" ht="10.199999999999999" outlineLevel="1">
      <c r="C55" s="122"/>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c r="AV55" s="100"/>
      <c r="AW55" s="100"/>
      <c r="AX55" s="100"/>
      <c r="AY55" s="100"/>
      <c r="AZ55" s="100"/>
      <c r="BA55" s="100"/>
      <c r="BB55" s="100"/>
      <c r="BC55" s="100"/>
      <c r="BD55" s="100"/>
      <c r="BE55" s="100"/>
      <c r="BF55" s="100"/>
      <c r="BG55" s="100"/>
      <c r="BH55" s="100"/>
      <c r="BI55" s="100"/>
      <c r="BJ55" s="100"/>
      <c r="BK55" s="100"/>
      <c r="BL55" s="100"/>
      <c r="BM55" s="100"/>
      <c r="BN55" s="100"/>
      <c r="BO55" s="100"/>
      <c r="BP55" s="100"/>
      <c r="BQ55" s="100"/>
    </row>
    <row r="56" spans="3:69" ht="11.4" outlineLevel="1">
      <c r="C56" s="128" t="s">
        <v>40</v>
      </c>
      <c r="J56" s="124"/>
      <c r="K56" s="124"/>
      <c r="L56" s="124"/>
      <c r="M56" s="124"/>
      <c r="N56" s="124"/>
      <c r="O56" s="124"/>
      <c r="P56" s="124"/>
      <c r="Q56" s="124"/>
      <c r="R56" s="124"/>
      <c r="S56" s="124"/>
      <c r="T56" s="124"/>
      <c r="U56" s="124"/>
      <c r="V56" s="124"/>
      <c r="W56" s="124"/>
      <c r="X56" s="124"/>
      <c r="Y56" s="124"/>
      <c r="Z56" s="124"/>
      <c r="AA56" s="124"/>
      <c r="AB56" s="124"/>
      <c r="AC56" s="124"/>
      <c r="AD56" s="124"/>
      <c r="AE56" s="124"/>
      <c r="AF56" s="124"/>
      <c r="AG56" s="124"/>
      <c r="AH56" s="124"/>
      <c r="AI56" s="124"/>
      <c r="AJ56" s="124"/>
      <c r="AK56" s="124"/>
      <c r="AL56" s="124"/>
      <c r="AM56" s="124"/>
      <c r="AN56" s="124"/>
      <c r="AO56" s="124"/>
      <c r="AP56" s="124"/>
      <c r="AQ56" s="124"/>
      <c r="AR56" s="124"/>
      <c r="AS56" s="124"/>
      <c r="AT56" s="124"/>
      <c r="AU56" s="124"/>
      <c r="AV56" s="124"/>
      <c r="AW56" s="124"/>
      <c r="AX56" s="124"/>
      <c r="AY56" s="124"/>
      <c r="AZ56" s="124"/>
      <c r="BA56" s="124"/>
      <c r="BB56" s="124"/>
      <c r="BC56" s="124"/>
      <c r="BD56" s="124"/>
      <c r="BE56" s="124"/>
      <c r="BF56" s="124"/>
      <c r="BG56" s="124"/>
      <c r="BH56" s="124"/>
      <c r="BI56" s="124"/>
      <c r="BJ56" s="124"/>
      <c r="BK56" s="124"/>
      <c r="BL56" s="124"/>
      <c r="BM56" s="124"/>
      <c r="BN56" s="124"/>
      <c r="BO56" s="124"/>
      <c r="BP56" s="124"/>
      <c r="BQ56" s="124"/>
    </row>
    <row r="57" spans="3:69" ht="10.199999999999999" outlineLevel="1">
      <c r="C57" s="122"/>
      <c r="D57" s="123" t="str">
        <f>OPEX!B31</f>
        <v>Rent</v>
      </c>
      <c r="J57" s="124">
        <f>-OPEX!J31</f>
        <v>-1000</v>
      </c>
      <c r="K57" s="124">
        <f>-OPEX!K31</f>
        <v>-1000</v>
      </c>
      <c r="L57" s="124">
        <f>-OPEX!L31</f>
        <v>-1000</v>
      </c>
      <c r="M57" s="124">
        <f>-OPEX!M31</f>
        <v>-1000</v>
      </c>
      <c r="N57" s="124">
        <f>-OPEX!N31</f>
        <v>-1000</v>
      </c>
      <c r="O57" s="124">
        <f>-OPEX!O31</f>
        <v>-1000</v>
      </c>
      <c r="P57" s="124">
        <f>-OPEX!P31</f>
        <v>-1000</v>
      </c>
      <c r="Q57" s="124">
        <f>-OPEX!Q31</f>
        <v>-1000</v>
      </c>
      <c r="R57" s="124">
        <f>-OPEX!R31</f>
        <v>-1000</v>
      </c>
      <c r="S57" s="124">
        <f>-OPEX!S31</f>
        <v>-1000</v>
      </c>
      <c r="T57" s="124">
        <f>-OPEX!T31</f>
        <v>-1000</v>
      </c>
      <c r="U57" s="124">
        <f>-OPEX!U31</f>
        <v>-1000</v>
      </c>
      <c r="V57" s="124">
        <f>-OPEX!V31</f>
        <v>-1050</v>
      </c>
      <c r="W57" s="124">
        <f>-OPEX!W31</f>
        <v>-1050</v>
      </c>
      <c r="X57" s="124">
        <f>-OPEX!X31</f>
        <v>-1050</v>
      </c>
      <c r="Y57" s="124">
        <f>-OPEX!Y31</f>
        <v>-1050</v>
      </c>
      <c r="Z57" s="124">
        <f>-OPEX!Z31</f>
        <v>-1050</v>
      </c>
      <c r="AA57" s="124">
        <f>-OPEX!AA31</f>
        <v>-1050</v>
      </c>
      <c r="AB57" s="124">
        <f>-OPEX!AB31</f>
        <v>-1050</v>
      </c>
      <c r="AC57" s="124">
        <f>-OPEX!AC31</f>
        <v>-1050</v>
      </c>
      <c r="AD57" s="124">
        <f>-OPEX!AD31</f>
        <v>-1050</v>
      </c>
      <c r="AE57" s="124">
        <f>-OPEX!AE31</f>
        <v>-1050</v>
      </c>
      <c r="AF57" s="124">
        <f>-OPEX!AF31</f>
        <v>-1050</v>
      </c>
      <c r="AG57" s="124">
        <f>-OPEX!AG31</f>
        <v>-1050</v>
      </c>
      <c r="AH57" s="124">
        <f>-OPEX!AH31</f>
        <v>-1102.5</v>
      </c>
      <c r="AI57" s="124">
        <f>-OPEX!AI31</f>
        <v>-1102.5</v>
      </c>
      <c r="AJ57" s="124">
        <f>-OPEX!AJ31</f>
        <v>-1102.5</v>
      </c>
      <c r="AK57" s="124">
        <f>-OPEX!AK31</f>
        <v>-1102.5</v>
      </c>
      <c r="AL57" s="124">
        <f>-OPEX!AL31</f>
        <v>-1102.5</v>
      </c>
      <c r="AM57" s="124">
        <f>-OPEX!AM31</f>
        <v>-1102.5</v>
      </c>
      <c r="AN57" s="124">
        <f>-OPEX!AN31</f>
        <v>-1102.5</v>
      </c>
      <c r="AO57" s="124">
        <f>-OPEX!AO31</f>
        <v>-1102.5</v>
      </c>
      <c r="AP57" s="124">
        <f>-OPEX!AP31</f>
        <v>-1102.5</v>
      </c>
      <c r="AQ57" s="124">
        <f>-OPEX!AQ31</f>
        <v>-1102.5</v>
      </c>
      <c r="AR57" s="124">
        <f>-OPEX!AR31</f>
        <v>-1102.5</v>
      </c>
      <c r="AS57" s="124">
        <f>-OPEX!AS31</f>
        <v>-1102.5</v>
      </c>
      <c r="AT57" s="124">
        <f>-OPEX!AT31</f>
        <v>-1157.625</v>
      </c>
      <c r="AU57" s="124">
        <f>-OPEX!AU31</f>
        <v>-1157.625</v>
      </c>
      <c r="AV57" s="124">
        <f>-OPEX!AV31</f>
        <v>-1157.625</v>
      </c>
      <c r="AW57" s="124">
        <f>-OPEX!AW31</f>
        <v>-1157.625</v>
      </c>
      <c r="AX57" s="124">
        <f>-OPEX!AX31</f>
        <v>-1157.625</v>
      </c>
      <c r="AY57" s="124">
        <f>-OPEX!AY31</f>
        <v>-1157.625</v>
      </c>
      <c r="AZ57" s="124">
        <f>-OPEX!AZ31</f>
        <v>-1157.625</v>
      </c>
      <c r="BA57" s="124">
        <f>-OPEX!BA31</f>
        <v>-1157.625</v>
      </c>
      <c r="BB57" s="124">
        <f>-OPEX!BB31</f>
        <v>-1157.625</v>
      </c>
      <c r="BC57" s="124">
        <f>-OPEX!BC31</f>
        <v>-1157.625</v>
      </c>
      <c r="BD57" s="124">
        <f>-OPEX!BD31</f>
        <v>-1157.625</v>
      </c>
      <c r="BE57" s="124">
        <f>-OPEX!BE31</f>
        <v>-1157.625</v>
      </c>
      <c r="BF57" s="124">
        <f>-OPEX!BF31</f>
        <v>-1215.5062500000001</v>
      </c>
      <c r="BG57" s="124">
        <f>-OPEX!BG31</f>
        <v>-1215.5062500000001</v>
      </c>
      <c r="BH57" s="124">
        <f>-OPEX!BH31</f>
        <v>-1215.5062500000001</v>
      </c>
      <c r="BI57" s="124">
        <f>-OPEX!BI31</f>
        <v>-1215.5062500000001</v>
      </c>
      <c r="BJ57" s="124">
        <f>-OPEX!BJ31</f>
        <v>-1215.5062500000001</v>
      </c>
      <c r="BK57" s="124">
        <f>-OPEX!BK31</f>
        <v>-1215.5062500000001</v>
      </c>
      <c r="BL57" s="124">
        <f>-OPEX!BL31</f>
        <v>-1215.5062500000001</v>
      </c>
      <c r="BM57" s="124">
        <f>-OPEX!BM31</f>
        <v>-1215.5062500000001</v>
      </c>
      <c r="BN57" s="124">
        <f>-OPEX!BN31</f>
        <v>-1215.5062500000001</v>
      </c>
      <c r="BO57" s="124">
        <f>-OPEX!BO31</f>
        <v>-1215.5062500000001</v>
      </c>
      <c r="BP57" s="124">
        <f>-OPEX!BP31</f>
        <v>-1215.5062500000001</v>
      </c>
      <c r="BQ57" s="124">
        <f>-OPEX!BQ31</f>
        <v>-1215.5062500000001</v>
      </c>
    </row>
    <row r="58" spans="3:69" ht="10.199999999999999" outlineLevel="1">
      <c r="C58" s="122"/>
      <c r="D58" s="123" t="str">
        <f>OPEX!B32</f>
        <v>FC_Placeholder2</v>
      </c>
      <c r="J58" s="124">
        <f>-OPEX!J32</f>
        <v>0</v>
      </c>
      <c r="K58" s="124">
        <f>-OPEX!K32</f>
        <v>0</v>
      </c>
      <c r="L58" s="124">
        <f>-OPEX!L32</f>
        <v>0</v>
      </c>
      <c r="M58" s="124">
        <f>-OPEX!M32</f>
        <v>0</v>
      </c>
      <c r="N58" s="124">
        <f>-OPEX!N32</f>
        <v>0</v>
      </c>
      <c r="O58" s="124">
        <f>-OPEX!O32</f>
        <v>0</v>
      </c>
      <c r="P58" s="124">
        <f>-OPEX!P32</f>
        <v>0</v>
      </c>
      <c r="Q58" s="124">
        <f>-OPEX!Q32</f>
        <v>0</v>
      </c>
      <c r="R58" s="124">
        <f>-OPEX!R32</f>
        <v>0</v>
      </c>
      <c r="S58" s="124">
        <f>-OPEX!S32</f>
        <v>0</v>
      </c>
      <c r="T58" s="124">
        <f>-OPEX!T32</f>
        <v>0</v>
      </c>
      <c r="U58" s="124">
        <f>-OPEX!U32</f>
        <v>0</v>
      </c>
      <c r="V58" s="124">
        <f>-OPEX!V32</f>
        <v>0</v>
      </c>
      <c r="W58" s="124">
        <f>-OPEX!W32</f>
        <v>0</v>
      </c>
      <c r="X58" s="124">
        <f>-OPEX!X32</f>
        <v>0</v>
      </c>
      <c r="Y58" s="124">
        <f>-OPEX!Y32</f>
        <v>0</v>
      </c>
      <c r="Z58" s="124">
        <f>-OPEX!Z32</f>
        <v>0</v>
      </c>
      <c r="AA58" s="124">
        <f>-OPEX!AA32</f>
        <v>0</v>
      </c>
      <c r="AB58" s="124">
        <f>-OPEX!AB32</f>
        <v>0</v>
      </c>
      <c r="AC58" s="124">
        <f>-OPEX!AC32</f>
        <v>0</v>
      </c>
      <c r="AD58" s="124">
        <f>-OPEX!AD32</f>
        <v>0</v>
      </c>
      <c r="AE58" s="124">
        <f>-OPEX!AE32</f>
        <v>0</v>
      </c>
      <c r="AF58" s="124">
        <f>-OPEX!AF32</f>
        <v>0</v>
      </c>
      <c r="AG58" s="124">
        <f>-OPEX!AG32</f>
        <v>0</v>
      </c>
      <c r="AH58" s="124">
        <f>-OPEX!AH32</f>
        <v>0</v>
      </c>
      <c r="AI58" s="124">
        <f>-OPEX!AI32</f>
        <v>0</v>
      </c>
      <c r="AJ58" s="124">
        <f>-OPEX!AJ32</f>
        <v>0</v>
      </c>
      <c r="AK58" s="124">
        <f>-OPEX!AK32</f>
        <v>0</v>
      </c>
      <c r="AL58" s="124">
        <f>-OPEX!AL32</f>
        <v>0</v>
      </c>
      <c r="AM58" s="124">
        <f>-OPEX!AM32</f>
        <v>0</v>
      </c>
      <c r="AN58" s="124">
        <f>-OPEX!AN32</f>
        <v>0</v>
      </c>
      <c r="AO58" s="124">
        <f>-OPEX!AO32</f>
        <v>0</v>
      </c>
      <c r="AP58" s="124">
        <f>-OPEX!AP32</f>
        <v>0</v>
      </c>
      <c r="AQ58" s="124">
        <f>-OPEX!AQ32</f>
        <v>0</v>
      </c>
      <c r="AR58" s="124">
        <f>-OPEX!AR32</f>
        <v>0</v>
      </c>
      <c r="AS58" s="124">
        <f>-OPEX!AS32</f>
        <v>0</v>
      </c>
      <c r="AT58" s="124">
        <f>-OPEX!AT32</f>
        <v>0</v>
      </c>
      <c r="AU58" s="124">
        <f>-OPEX!AU32</f>
        <v>0</v>
      </c>
      <c r="AV58" s="124">
        <f>-OPEX!AV32</f>
        <v>0</v>
      </c>
      <c r="AW58" s="124">
        <f>-OPEX!AW32</f>
        <v>0</v>
      </c>
      <c r="AX58" s="124">
        <f>-OPEX!AX32</f>
        <v>0</v>
      </c>
      <c r="AY58" s="124">
        <f>-OPEX!AY32</f>
        <v>0</v>
      </c>
      <c r="AZ58" s="124">
        <f>-OPEX!AZ32</f>
        <v>0</v>
      </c>
      <c r="BA58" s="124">
        <f>-OPEX!BA32</f>
        <v>0</v>
      </c>
      <c r="BB58" s="124">
        <f>-OPEX!BB32</f>
        <v>0</v>
      </c>
      <c r="BC58" s="124">
        <f>-OPEX!BC32</f>
        <v>0</v>
      </c>
      <c r="BD58" s="124">
        <f>-OPEX!BD32</f>
        <v>0</v>
      </c>
      <c r="BE58" s="124">
        <f>-OPEX!BE32</f>
        <v>0</v>
      </c>
      <c r="BF58" s="124">
        <f>-OPEX!BF32</f>
        <v>0</v>
      </c>
      <c r="BG58" s="124">
        <f>-OPEX!BG32</f>
        <v>0</v>
      </c>
      <c r="BH58" s="124">
        <f>-OPEX!BH32</f>
        <v>0</v>
      </c>
      <c r="BI58" s="124">
        <f>-OPEX!BI32</f>
        <v>0</v>
      </c>
      <c r="BJ58" s="124">
        <f>-OPEX!BJ32</f>
        <v>0</v>
      </c>
      <c r="BK58" s="124">
        <f>-OPEX!BK32</f>
        <v>0</v>
      </c>
      <c r="BL58" s="124">
        <f>-OPEX!BL32</f>
        <v>0</v>
      </c>
      <c r="BM58" s="124">
        <f>-OPEX!BM32</f>
        <v>0</v>
      </c>
      <c r="BN58" s="124">
        <f>-OPEX!BN32</f>
        <v>0</v>
      </c>
      <c r="BO58" s="124">
        <f>-OPEX!BO32</f>
        <v>0</v>
      </c>
      <c r="BP58" s="124">
        <f>-OPEX!BP32</f>
        <v>0</v>
      </c>
      <c r="BQ58" s="124">
        <f>-OPEX!BQ32</f>
        <v>0</v>
      </c>
    </row>
    <row r="59" spans="3:69" ht="10.199999999999999" outlineLevel="1">
      <c r="C59" s="122"/>
      <c r="D59" s="123" t="str">
        <f>OPEX!B33</f>
        <v>FC_Placeholder3</v>
      </c>
      <c r="J59" s="124">
        <f>-OPEX!J33</f>
        <v>0</v>
      </c>
      <c r="K59" s="124">
        <f>-OPEX!K33</f>
        <v>0</v>
      </c>
      <c r="L59" s="124">
        <f>-OPEX!L33</f>
        <v>0</v>
      </c>
      <c r="M59" s="124">
        <f>-OPEX!M33</f>
        <v>0</v>
      </c>
      <c r="N59" s="124">
        <f>-OPEX!N33</f>
        <v>0</v>
      </c>
      <c r="O59" s="124">
        <f>-OPEX!O33</f>
        <v>0</v>
      </c>
      <c r="P59" s="124">
        <f>-OPEX!P33</f>
        <v>0</v>
      </c>
      <c r="Q59" s="124">
        <f>-OPEX!Q33</f>
        <v>0</v>
      </c>
      <c r="R59" s="124">
        <f>-OPEX!R33</f>
        <v>0</v>
      </c>
      <c r="S59" s="124">
        <f>-OPEX!S33</f>
        <v>0</v>
      </c>
      <c r="T59" s="124">
        <f>-OPEX!T33</f>
        <v>0</v>
      </c>
      <c r="U59" s="124">
        <f>-OPEX!U33</f>
        <v>0</v>
      </c>
      <c r="V59" s="124">
        <f>-OPEX!V33</f>
        <v>0</v>
      </c>
      <c r="W59" s="124">
        <f>-OPEX!W33</f>
        <v>0</v>
      </c>
      <c r="X59" s="124">
        <f>-OPEX!X33</f>
        <v>0</v>
      </c>
      <c r="Y59" s="124">
        <f>-OPEX!Y33</f>
        <v>0</v>
      </c>
      <c r="Z59" s="124">
        <f>-OPEX!Z33</f>
        <v>0</v>
      </c>
      <c r="AA59" s="124">
        <f>-OPEX!AA33</f>
        <v>0</v>
      </c>
      <c r="AB59" s="124">
        <f>-OPEX!AB33</f>
        <v>0</v>
      </c>
      <c r="AC59" s="124">
        <f>-OPEX!AC33</f>
        <v>0</v>
      </c>
      <c r="AD59" s="124">
        <f>-OPEX!AD33</f>
        <v>0</v>
      </c>
      <c r="AE59" s="124">
        <f>-OPEX!AE33</f>
        <v>0</v>
      </c>
      <c r="AF59" s="124">
        <f>-OPEX!AF33</f>
        <v>0</v>
      </c>
      <c r="AG59" s="124">
        <f>-OPEX!AG33</f>
        <v>0</v>
      </c>
      <c r="AH59" s="124">
        <f>-OPEX!AH33</f>
        <v>0</v>
      </c>
      <c r="AI59" s="124">
        <f>-OPEX!AI33</f>
        <v>0</v>
      </c>
      <c r="AJ59" s="124">
        <f>-OPEX!AJ33</f>
        <v>0</v>
      </c>
      <c r="AK59" s="124">
        <f>-OPEX!AK33</f>
        <v>0</v>
      </c>
      <c r="AL59" s="124">
        <f>-OPEX!AL33</f>
        <v>0</v>
      </c>
      <c r="AM59" s="124">
        <f>-OPEX!AM33</f>
        <v>0</v>
      </c>
      <c r="AN59" s="124">
        <f>-OPEX!AN33</f>
        <v>0</v>
      </c>
      <c r="AO59" s="124">
        <f>-OPEX!AO33</f>
        <v>0</v>
      </c>
      <c r="AP59" s="124">
        <f>-OPEX!AP33</f>
        <v>0</v>
      </c>
      <c r="AQ59" s="124">
        <f>-OPEX!AQ33</f>
        <v>0</v>
      </c>
      <c r="AR59" s="124">
        <f>-OPEX!AR33</f>
        <v>0</v>
      </c>
      <c r="AS59" s="124">
        <f>-OPEX!AS33</f>
        <v>0</v>
      </c>
      <c r="AT59" s="124">
        <f>-OPEX!AT33</f>
        <v>0</v>
      </c>
      <c r="AU59" s="124">
        <f>-OPEX!AU33</f>
        <v>0</v>
      </c>
      <c r="AV59" s="124">
        <f>-OPEX!AV33</f>
        <v>0</v>
      </c>
      <c r="AW59" s="124">
        <f>-OPEX!AW33</f>
        <v>0</v>
      </c>
      <c r="AX59" s="124">
        <f>-OPEX!AX33</f>
        <v>0</v>
      </c>
      <c r="AY59" s="124">
        <f>-OPEX!AY33</f>
        <v>0</v>
      </c>
      <c r="AZ59" s="124">
        <f>-OPEX!AZ33</f>
        <v>0</v>
      </c>
      <c r="BA59" s="124">
        <f>-OPEX!BA33</f>
        <v>0</v>
      </c>
      <c r="BB59" s="124">
        <f>-OPEX!BB33</f>
        <v>0</v>
      </c>
      <c r="BC59" s="124">
        <f>-OPEX!BC33</f>
        <v>0</v>
      </c>
      <c r="BD59" s="124">
        <f>-OPEX!BD33</f>
        <v>0</v>
      </c>
      <c r="BE59" s="124">
        <f>-OPEX!BE33</f>
        <v>0</v>
      </c>
      <c r="BF59" s="124">
        <f>-OPEX!BF33</f>
        <v>0</v>
      </c>
      <c r="BG59" s="124">
        <f>-OPEX!BG33</f>
        <v>0</v>
      </c>
      <c r="BH59" s="124">
        <f>-OPEX!BH33</f>
        <v>0</v>
      </c>
      <c r="BI59" s="124">
        <f>-OPEX!BI33</f>
        <v>0</v>
      </c>
      <c r="BJ59" s="124">
        <f>-OPEX!BJ33</f>
        <v>0</v>
      </c>
      <c r="BK59" s="124">
        <f>-OPEX!BK33</f>
        <v>0</v>
      </c>
      <c r="BL59" s="124">
        <f>-OPEX!BL33</f>
        <v>0</v>
      </c>
      <c r="BM59" s="124">
        <f>-OPEX!BM33</f>
        <v>0</v>
      </c>
      <c r="BN59" s="124">
        <f>-OPEX!BN33</f>
        <v>0</v>
      </c>
      <c r="BO59" s="124">
        <f>-OPEX!BO33</f>
        <v>0</v>
      </c>
      <c r="BP59" s="124">
        <f>-OPEX!BP33</f>
        <v>0</v>
      </c>
      <c r="BQ59" s="124">
        <f>-OPEX!BQ33</f>
        <v>0</v>
      </c>
    </row>
    <row r="60" spans="3:69" ht="10.199999999999999" outlineLevel="1">
      <c r="C60" s="122"/>
      <c r="D60" s="123" t="str">
        <f>OPEX!B34</f>
        <v>FC_Placeholder4</v>
      </c>
      <c r="J60" s="124">
        <f>-OPEX!J34</f>
        <v>0</v>
      </c>
      <c r="K60" s="124">
        <f>-OPEX!K34</f>
        <v>0</v>
      </c>
      <c r="L60" s="124">
        <f>-OPEX!L34</f>
        <v>0</v>
      </c>
      <c r="M60" s="124">
        <f>-OPEX!M34</f>
        <v>0</v>
      </c>
      <c r="N60" s="124">
        <f>-OPEX!N34</f>
        <v>0</v>
      </c>
      <c r="O60" s="124">
        <f>-OPEX!O34</f>
        <v>0</v>
      </c>
      <c r="P60" s="124">
        <f>-OPEX!P34</f>
        <v>0</v>
      </c>
      <c r="Q60" s="124">
        <f>-OPEX!Q34</f>
        <v>0</v>
      </c>
      <c r="R60" s="124">
        <f>-OPEX!R34</f>
        <v>0</v>
      </c>
      <c r="S60" s="124">
        <f>-OPEX!S34</f>
        <v>0</v>
      </c>
      <c r="T60" s="124">
        <f>-OPEX!T34</f>
        <v>0</v>
      </c>
      <c r="U60" s="124">
        <f>-OPEX!U34</f>
        <v>0</v>
      </c>
      <c r="V60" s="124">
        <f>-OPEX!V34</f>
        <v>0</v>
      </c>
      <c r="W60" s="124">
        <f>-OPEX!W34</f>
        <v>0</v>
      </c>
      <c r="X60" s="124">
        <f>-OPEX!X34</f>
        <v>0</v>
      </c>
      <c r="Y60" s="124">
        <f>-OPEX!Y34</f>
        <v>0</v>
      </c>
      <c r="Z60" s="124">
        <f>-OPEX!Z34</f>
        <v>0</v>
      </c>
      <c r="AA60" s="124">
        <f>-OPEX!AA34</f>
        <v>0</v>
      </c>
      <c r="AB60" s="124">
        <f>-OPEX!AB34</f>
        <v>0</v>
      </c>
      <c r="AC60" s="124">
        <f>-OPEX!AC34</f>
        <v>0</v>
      </c>
      <c r="AD60" s="124">
        <f>-OPEX!AD34</f>
        <v>0</v>
      </c>
      <c r="AE60" s="124">
        <f>-OPEX!AE34</f>
        <v>0</v>
      </c>
      <c r="AF60" s="124">
        <f>-OPEX!AF34</f>
        <v>0</v>
      </c>
      <c r="AG60" s="124">
        <f>-OPEX!AG34</f>
        <v>0</v>
      </c>
      <c r="AH60" s="124">
        <f>-OPEX!AH34</f>
        <v>0</v>
      </c>
      <c r="AI60" s="124">
        <f>-OPEX!AI34</f>
        <v>0</v>
      </c>
      <c r="AJ60" s="124">
        <f>-OPEX!AJ34</f>
        <v>0</v>
      </c>
      <c r="AK60" s="124">
        <f>-OPEX!AK34</f>
        <v>0</v>
      </c>
      <c r="AL60" s="124">
        <f>-OPEX!AL34</f>
        <v>0</v>
      </c>
      <c r="AM60" s="124">
        <f>-OPEX!AM34</f>
        <v>0</v>
      </c>
      <c r="AN60" s="124">
        <f>-OPEX!AN34</f>
        <v>0</v>
      </c>
      <c r="AO60" s="124">
        <f>-OPEX!AO34</f>
        <v>0</v>
      </c>
      <c r="AP60" s="124">
        <f>-OPEX!AP34</f>
        <v>0</v>
      </c>
      <c r="AQ60" s="124">
        <f>-OPEX!AQ34</f>
        <v>0</v>
      </c>
      <c r="AR60" s="124">
        <f>-OPEX!AR34</f>
        <v>0</v>
      </c>
      <c r="AS60" s="124">
        <f>-OPEX!AS34</f>
        <v>0</v>
      </c>
      <c r="AT60" s="124">
        <f>-OPEX!AT34</f>
        <v>0</v>
      </c>
      <c r="AU60" s="124">
        <f>-OPEX!AU34</f>
        <v>0</v>
      </c>
      <c r="AV60" s="124">
        <f>-OPEX!AV34</f>
        <v>0</v>
      </c>
      <c r="AW60" s="124">
        <f>-OPEX!AW34</f>
        <v>0</v>
      </c>
      <c r="AX60" s="124">
        <f>-OPEX!AX34</f>
        <v>0</v>
      </c>
      <c r="AY60" s="124">
        <f>-OPEX!AY34</f>
        <v>0</v>
      </c>
      <c r="AZ60" s="124">
        <f>-OPEX!AZ34</f>
        <v>0</v>
      </c>
      <c r="BA60" s="124">
        <f>-OPEX!BA34</f>
        <v>0</v>
      </c>
      <c r="BB60" s="124">
        <f>-OPEX!BB34</f>
        <v>0</v>
      </c>
      <c r="BC60" s="124">
        <f>-OPEX!BC34</f>
        <v>0</v>
      </c>
      <c r="BD60" s="124">
        <f>-OPEX!BD34</f>
        <v>0</v>
      </c>
      <c r="BE60" s="124">
        <f>-OPEX!BE34</f>
        <v>0</v>
      </c>
      <c r="BF60" s="124">
        <f>-OPEX!BF34</f>
        <v>0</v>
      </c>
      <c r="BG60" s="124">
        <f>-OPEX!BG34</f>
        <v>0</v>
      </c>
      <c r="BH60" s="124">
        <f>-OPEX!BH34</f>
        <v>0</v>
      </c>
      <c r="BI60" s="124">
        <f>-OPEX!BI34</f>
        <v>0</v>
      </c>
      <c r="BJ60" s="124">
        <f>-OPEX!BJ34</f>
        <v>0</v>
      </c>
      <c r="BK60" s="124">
        <f>-OPEX!BK34</f>
        <v>0</v>
      </c>
      <c r="BL60" s="124">
        <f>-OPEX!BL34</f>
        <v>0</v>
      </c>
      <c r="BM60" s="124">
        <f>-OPEX!BM34</f>
        <v>0</v>
      </c>
      <c r="BN60" s="124">
        <f>-OPEX!BN34</f>
        <v>0</v>
      </c>
      <c r="BO60" s="124">
        <f>-OPEX!BO34</f>
        <v>0</v>
      </c>
      <c r="BP60" s="124">
        <f>-OPEX!BP34</f>
        <v>0</v>
      </c>
      <c r="BQ60" s="124">
        <f>-OPEX!BQ34</f>
        <v>0</v>
      </c>
    </row>
    <row r="61" spans="3:69" ht="10.199999999999999" outlineLevel="1">
      <c r="C61" s="122"/>
      <c r="D61" s="123" t="str">
        <f>OPEX!B35</f>
        <v>FC_Placeholder5</v>
      </c>
      <c r="J61" s="124">
        <f>-OPEX!J35</f>
        <v>0</v>
      </c>
      <c r="K61" s="124">
        <f>-OPEX!K35</f>
        <v>0</v>
      </c>
      <c r="L61" s="124">
        <f>-OPEX!L35</f>
        <v>0</v>
      </c>
      <c r="M61" s="124">
        <f>-OPEX!M35</f>
        <v>0</v>
      </c>
      <c r="N61" s="124">
        <f>-OPEX!N35</f>
        <v>0</v>
      </c>
      <c r="O61" s="124">
        <f>-OPEX!O35</f>
        <v>0</v>
      </c>
      <c r="P61" s="124">
        <f>-OPEX!P35</f>
        <v>0</v>
      </c>
      <c r="Q61" s="124">
        <f>-OPEX!Q35</f>
        <v>0</v>
      </c>
      <c r="R61" s="124">
        <f>-OPEX!R35</f>
        <v>0</v>
      </c>
      <c r="S61" s="124">
        <f>-OPEX!S35</f>
        <v>0</v>
      </c>
      <c r="T61" s="124">
        <f>-OPEX!T35</f>
        <v>0</v>
      </c>
      <c r="U61" s="124">
        <f>-OPEX!U35</f>
        <v>0</v>
      </c>
      <c r="V61" s="124">
        <f>-OPEX!V35</f>
        <v>0</v>
      </c>
      <c r="W61" s="124">
        <f>-OPEX!W35</f>
        <v>0</v>
      </c>
      <c r="X61" s="124">
        <f>-OPEX!X35</f>
        <v>0</v>
      </c>
      <c r="Y61" s="124">
        <f>-OPEX!Y35</f>
        <v>0</v>
      </c>
      <c r="Z61" s="124">
        <f>-OPEX!Z35</f>
        <v>0</v>
      </c>
      <c r="AA61" s="124">
        <f>-OPEX!AA35</f>
        <v>0</v>
      </c>
      <c r="AB61" s="124">
        <f>-OPEX!AB35</f>
        <v>0</v>
      </c>
      <c r="AC61" s="124">
        <f>-OPEX!AC35</f>
        <v>0</v>
      </c>
      <c r="AD61" s="124">
        <f>-OPEX!AD35</f>
        <v>0</v>
      </c>
      <c r="AE61" s="124">
        <f>-OPEX!AE35</f>
        <v>0</v>
      </c>
      <c r="AF61" s="124">
        <f>-OPEX!AF35</f>
        <v>0</v>
      </c>
      <c r="AG61" s="124">
        <f>-OPEX!AG35</f>
        <v>0</v>
      </c>
      <c r="AH61" s="124">
        <f>-OPEX!AH35</f>
        <v>0</v>
      </c>
      <c r="AI61" s="124">
        <f>-OPEX!AI35</f>
        <v>0</v>
      </c>
      <c r="AJ61" s="124">
        <f>-OPEX!AJ35</f>
        <v>0</v>
      </c>
      <c r="AK61" s="124">
        <f>-OPEX!AK35</f>
        <v>0</v>
      </c>
      <c r="AL61" s="124">
        <f>-OPEX!AL35</f>
        <v>0</v>
      </c>
      <c r="AM61" s="124">
        <f>-OPEX!AM35</f>
        <v>0</v>
      </c>
      <c r="AN61" s="124">
        <f>-OPEX!AN35</f>
        <v>0</v>
      </c>
      <c r="AO61" s="124">
        <f>-OPEX!AO35</f>
        <v>0</v>
      </c>
      <c r="AP61" s="124">
        <f>-OPEX!AP35</f>
        <v>0</v>
      </c>
      <c r="AQ61" s="124">
        <f>-OPEX!AQ35</f>
        <v>0</v>
      </c>
      <c r="AR61" s="124">
        <f>-OPEX!AR35</f>
        <v>0</v>
      </c>
      <c r="AS61" s="124">
        <f>-OPEX!AS35</f>
        <v>0</v>
      </c>
      <c r="AT61" s="124">
        <f>-OPEX!AT35</f>
        <v>0</v>
      </c>
      <c r="AU61" s="124">
        <f>-OPEX!AU35</f>
        <v>0</v>
      </c>
      <c r="AV61" s="124">
        <f>-OPEX!AV35</f>
        <v>0</v>
      </c>
      <c r="AW61" s="124">
        <f>-OPEX!AW35</f>
        <v>0</v>
      </c>
      <c r="AX61" s="124">
        <f>-OPEX!AX35</f>
        <v>0</v>
      </c>
      <c r="AY61" s="124">
        <f>-OPEX!AY35</f>
        <v>0</v>
      </c>
      <c r="AZ61" s="124">
        <f>-OPEX!AZ35</f>
        <v>0</v>
      </c>
      <c r="BA61" s="124">
        <f>-OPEX!BA35</f>
        <v>0</v>
      </c>
      <c r="BB61" s="124">
        <f>-OPEX!BB35</f>
        <v>0</v>
      </c>
      <c r="BC61" s="124">
        <f>-OPEX!BC35</f>
        <v>0</v>
      </c>
      <c r="BD61" s="124">
        <f>-OPEX!BD35</f>
        <v>0</v>
      </c>
      <c r="BE61" s="124">
        <f>-OPEX!BE35</f>
        <v>0</v>
      </c>
      <c r="BF61" s="124">
        <f>-OPEX!BF35</f>
        <v>0</v>
      </c>
      <c r="BG61" s="124">
        <f>-OPEX!BG35</f>
        <v>0</v>
      </c>
      <c r="BH61" s="124">
        <f>-OPEX!BH35</f>
        <v>0</v>
      </c>
      <c r="BI61" s="124">
        <f>-OPEX!BI35</f>
        <v>0</v>
      </c>
      <c r="BJ61" s="124">
        <f>-OPEX!BJ35</f>
        <v>0</v>
      </c>
      <c r="BK61" s="124">
        <f>-OPEX!BK35</f>
        <v>0</v>
      </c>
      <c r="BL61" s="124">
        <f>-OPEX!BL35</f>
        <v>0</v>
      </c>
      <c r="BM61" s="124">
        <f>-OPEX!BM35</f>
        <v>0</v>
      </c>
      <c r="BN61" s="124">
        <f>-OPEX!BN35</f>
        <v>0</v>
      </c>
      <c r="BO61" s="124">
        <f>-OPEX!BO35</f>
        <v>0</v>
      </c>
      <c r="BP61" s="124">
        <f>-OPEX!BP35</f>
        <v>0</v>
      </c>
      <c r="BQ61" s="124">
        <f>-OPEX!BQ35</f>
        <v>0</v>
      </c>
    </row>
    <row r="62" spans="3:69" ht="10.199999999999999" outlineLevel="1">
      <c r="C62" s="122"/>
      <c r="D62" s="123" t="str">
        <f>OPEX!B36</f>
        <v>FC_Placeholder6</v>
      </c>
      <c r="J62" s="124">
        <f>-OPEX!J36</f>
        <v>0</v>
      </c>
      <c r="K62" s="124">
        <f>-OPEX!K36</f>
        <v>0</v>
      </c>
      <c r="L62" s="124">
        <f>-OPEX!L36</f>
        <v>0</v>
      </c>
      <c r="M62" s="124">
        <f>-OPEX!M36</f>
        <v>0</v>
      </c>
      <c r="N62" s="124">
        <f>-OPEX!N36</f>
        <v>0</v>
      </c>
      <c r="O62" s="124">
        <f>-OPEX!O36</f>
        <v>0</v>
      </c>
      <c r="P62" s="124">
        <f>-OPEX!P36</f>
        <v>0</v>
      </c>
      <c r="Q62" s="124">
        <f>-OPEX!Q36</f>
        <v>0</v>
      </c>
      <c r="R62" s="124">
        <f>-OPEX!R36</f>
        <v>0</v>
      </c>
      <c r="S62" s="124">
        <f>-OPEX!S36</f>
        <v>0</v>
      </c>
      <c r="T62" s="124">
        <f>-OPEX!T36</f>
        <v>0</v>
      </c>
      <c r="U62" s="124">
        <f>-OPEX!U36</f>
        <v>0</v>
      </c>
      <c r="V62" s="124">
        <f>-OPEX!V36</f>
        <v>0</v>
      </c>
      <c r="W62" s="124">
        <f>-OPEX!W36</f>
        <v>0</v>
      </c>
      <c r="X62" s="124">
        <f>-OPEX!X36</f>
        <v>0</v>
      </c>
      <c r="Y62" s="124">
        <f>-OPEX!Y36</f>
        <v>0</v>
      </c>
      <c r="Z62" s="124">
        <f>-OPEX!Z36</f>
        <v>0</v>
      </c>
      <c r="AA62" s="124">
        <f>-OPEX!AA36</f>
        <v>0</v>
      </c>
      <c r="AB62" s="124">
        <f>-OPEX!AB36</f>
        <v>0</v>
      </c>
      <c r="AC62" s="124">
        <f>-OPEX!AC36</f>
        <v>0</v>
      </c>
      <c r="AD62" s="124">
        <f>-OPEX!AD36</f>
        <v>0</v>
      </c>
      <c r="AE62" s="124">
        <f>-OPEX!AE36</f>
        <v>0</v>
      </c>
      <c r="AF62" s="124">
        <f>-OPEX!AF36</f>
        <v>0</v>
      </c>
      <c r="AG62" s="124">
        <f>-OPEX!AG36</f>
        <v>0</v>
      </c>
      <c r="AH62" s="124">
        <f>-OPEX!AH36</f>
        <v>0</v>
      </c>
      <c r="AI62" s="124">
        <f>-OPEX!AI36</f>
        <v>0</v>
      </c>
      <c r="AJ62" s="124">
        <f>-OPEX!AJ36</f>
        <v>0</v>
      </c>
      <c r="AK62" s="124">
        <f>-OPEX!AK36</f>
        <v>0</v>
      </c>
      <c r="AL62" s="124">
        <f>-OPEX!AL36</f>
        <v>0</v>
      </c>
      <c r="AM62" s="124">
        <f>-OPEX!AM36</f>
        <v>0</v>
      </c>
      <c r="AN62" s="124">
        <f>-OPEX!AN36</f>
        <v>0</v>
      </c>
      <c r="AO62" s="124">
        <f>-OPEX!AO36</f>
        <v>0</v>
      </c>
      <c r="AP62" s="124">
        <f>-OPEX!AP36</f>
        <v>0</v>
      </c>
      <c r="AQ62" s="124">
        <f>-OPEX!AQ36</f>
        <v>0</v>
      </c>
      <c r="AR62" s="124">
        <f>-OPEX!AR36</f>
        <v>0</v>
      </c>
      <c r="AS62" s="124">
        <f>-OPEX!AS36</f>
        <v>0</v>
      </c>
      <c r="AT62" s="124">
        <f>-OPEX!AT36</f>
        <v>0</v>
      </c>
      <c r="AU62" s="124">
        <f>-OPEX!AU36</f>
        <v>0</v>
      </c>
      <c r="AV62" s="124">
        <f>-OPEX!AV36</f>
        <v>0</v>
      </c>
      <c r="AW62" s="124">
        <f>-OPEX!AW36</f>
        <v>0</v>
      </c>
      <c r="AX62" s="124">
        <f>-OPEX!AX36</f>
        <v>0</v>
      </c>
      <c r="AY62" s="124">
        <f>-OPEX!AY36</f>
        <v>0</v>
      </c>
      <c r="AZ62" s="124">
        <f>-OPEX!AZ36</f>
        <v>0</v>
      </c>
      <c r="BA62" s="124">
        <f>-OPEX!BA36</f>
        <v>0</v>
      </c>
      <c r="BB62" s="124">
        <f>-OPEX!BB36</f>
        <v>0</v>
      </c>
      <c r="BC62" s="124">
        <f>-OPEX!BC36</f>
        <v>0</v>
      </c>
      <c r="BD62" s="124">
        <f>-OPEX!BD36</f>
        <v>0</v>
      </c>
      <c r="BE62" s="124">
        <f>-OPEX!BE36</f>
        <v>0</v>
      </c>
      <c r="BF62" s="124">
        <f>-OPEX!BF36</f>
        <v>0</v>
      </c>
      <c r="BG62" s="124">
        <f>-OPEX!BG36</f>
        <v>0</v>
      </c>
      <c r="BH62" s="124">
        <f>-OPEX!BH36</f>
        <v>0</v>
      </c>
      <c r="BI62" s="124">
        <f>-OPEX!BI36</f>
        <v>0</v>
      </c>
      <c r="BJ62" s="124">
        <f>-OPEX!BJ36</f>
        <v>0</v>
      </c>
      <c r="BK62" s="124">
        <f>-OPEX!BK36</f>
        <v>0</v>
      </c>
      <c r="BL62" s="124">
        <f>-OPEX!BL36</f>
        <v>0</v>
      </c>
      <c r="BM62" s="124">
        <f>-OPEX!BM36</f>
        <v>0</v>
      </c>
      <c r="BN62" s="124">
        <f>-OPEX!BN36</f>
        <v>0</v>
      </c>
      <c r="BO62" s="124">
        <f>-OPEX!BO36</f>
        <v>0</v>
      </c>
      <c r="BP62" s="124">
        <f>-OPEX!BP36</f>
        <v>0</v>
      </c>
      <c r="BQ62" s="124">
        <f>-OPEX!BQ36</f>
        <v>0</v>
      </c>
    </row>
    <row r="63" spans="3:69" ht="10.199999999999999" outlineLevel="1">
      <c r="C63" s="122"/>
      <c r="D63" s="123" t="str">
        <f>OPEX!B37</f>
        <v>FC_Placeholder7</v>
      </c>
      <c r="J63" s="124">
        <f>-OPEX!J37</f>
        <v>0</v>
      </c>
      <c r="K63" s="124">
        <f>-OPEX!K37</f>
        <v>0</v>
      </c>
      <c r="L63" s="124">
        <f>-OPEX!L37</f>
        <v>0</v>
      </c>
      <c r="M63" s="124">
        <f>-OPEX!M37</f>
        <v>0</v>
      </c>
      <c r="N63" s="124">
        <f>-OPEX!N37</f>
        <v>0</v>
      </c>
      <c r="O63" s="124">
        <f>-OPEX!O37</f>
        <v>0</v>
      </c>
      <c r="P63" s="124">
        <f>-OPEX!P37</f>
        <v>0</v>
      </c>
      <c r="Q63" s="124">
        <f>-OPEX!Q37</f>
        <v>0</v>
      </c>
      <c r="R63" s="124">
        <f>-OPEX!R37</f>
        <v>0</v>
      </c>
      <c r="S63" s="124">
        <f>-OPEX!S37</f>
        <v>0</v>
      </c>
      <c r="T63" s="124">
        <f>-OPEX!T37</f>
        <v>0</v>
      </c>
      <c r="U63" s="124">
        <f>-OPEX!U37</f>
        <v>0</v>
      </c>
      <c r="V63" s="124">
        <f>-OPEX!V37</f>
        <v>0</v>
      </c>
      <c r="W63" s="124">
        <f>-OPEX!W37</f>
        <v>0</v>
      </c>
      <c r="X63" s="124">
        <f>-OPEX!X37</f>
        <v>0</v>
      </c>
      <c r="Y63" s="124">
        <f>-OPEX!Y37</f>
        <v>0</v>
      </c>
      <c r="Z63" s="124">
        <f>-OPEX!Z37</f>
        <v>0</v>
      </c>
      <c r="AA63" s="124">
        <f>-OPEX!AA37</f>
        <v>0</v>
      </c>
      <c r="AB63" s="124">
        <f>-OPEX!AB37</f>
        <v>0</v>
      </c>
      <c r="AC63" s="124">
        <f>-OPEX!AC37</f>
        <v>0</v>
      </c>
      <c r="AD63" s="124">
        <f>-OPEX!AD37</f>
        <v>0</v>
      </c>
      <c r="AE63" s="124">
        <f>-OPEX!AE37</f>
        <v>0</v>
      </c>
      <c r="AF63" s="124">
        <f>-OPEX!AF37</f>
        <v>0</v>
      </c>
      <c r="AG63" s="124">
        <f>-OPEX!AG37</f>
        <v>0</v>
      </c>
      <c r="AH63" s="124">
        <f>-OPEX!AH37</f>
        <v>0</v>
      </c>
      <c r="AI63" s="124">
        <f>-OPEX!AI37</f>
        <v>0</v>
      </c>
      <c r="AJ63" s="124">
        <f>-OPEX!AJ37</f>
        <v>0</v>
      </c>
      <c r="AK63" s="124">
        <f>-OPEX!AK37</f>
        <v>0</v>
      </c>
      <c r="AL63" s="124">
        <f>-OPEX!AL37</f>
        <v>0</v>
      </c>
      <c r="AM63" s="124">
        <f>-OPEX!AM37</f>
        <v>0</v>
      </c>
      <c r="AN63" s="124">
        <f>-OPEX!AN37</f>
        <v>0</v>
      </c>
      <c r="AO63" s="124">
        <f>-OPEX!AO37</f>
        <v>0</v>
      </c>
      <c r="AP63" s="124">
        <f>-OPEX!AP37</f>
        <v>0</v>
      </c>
      <c r="AQ63" s="124">
        <f>-OPEX!AQ37</f>
        <v>0</v>
      </c>
      <c r="AR63" s="124">
        <f>-OPEX!AR37</f>
        <v>0</v>
      </c>
      <c r="AS63" s="124">
        <f>-OPEX!AS37</f>
        <v>0</v>
      </c>
      <c r="AT63" s="124">
        <f>-OPEX!AT37</f>
        <v>0</v>
      </c>
      <c r="AU63" s="124">
        <f>-OPEX!AU37</f>
        <v>0</v>
      </c>
      <c r="AV63" s="124">
        <f>-OPEX!AV37</f>
        <v>0</v>
      </c>
      <c r="AW63" s="124">
        <f>-OPEX!AW37</f>
        <v>0</v>
      </c>
      <c r="AX63" s="124">
        <f>-OPEX!AX37</f>
        <v>0</v>
      </c>
      <c r="AY63" s="124">
        <f>-OPEX!AY37</f>
        <v>0</v>
      </c>
      <c r="AZ63" s="124">
        <f>-OPEX!AZ37</f>
        <v>0</v>
      </c>
      <c r="BA63" s="124">
        <f>-OPEX!BA37</f>
        <v>0</v>
      </c>
      <c r="BB63" s="124">
        <f>-OPEX!BB37</f>
        <v>0</v>
      </c>
      <c r="BC63" s="124">
        <f>-OPEX!BC37</f>
        <v>0</v>
      </c>
      <c r="BD63" s="124">
        <f>-OPEX!BD37</f>
        <v>0</v>
      </c>
      <c r="BE63" s="124">
        <f>-OPEX!BE37</f>
        <v>0</v>
      </c>
      <c r="BF63" s="124">
        <f>-OPEX!BF37</f>
        <v>0</v>
      </c>
      <c r="BG63" s="124">
        <f>-OPEX!BG37</f>
        <v>0</v>
      </c>
      <c r="BH63" s="124">
        <f>-OPEX!BH37</f>
        <v>0</v>
      </c>
      <c r="BI63" s="124">
        <f>-OPEX!BI37</f>
        <v>0</v>
      </c>
      <c r="BJ63" s="124">
        <f>-OPEX!BJ37</f>
        <v>0</v>
      </c>
      <c r="BK63" s="124">
        <f>-OPEX!BK37</f>
        <v>0</v>
      </c>
      <c r="BL63" s="124">
        <f>-OPEX!BL37</f>
        <v>0</v>
      </c>
      <c r="BM63" s="124">
        <f>-OPEX!BM37</f>
        <v>0</v>
      </c>
      <c r="BN63" s="124">
        <f>-OPEX!BN37</f>
        <v>0</v>
      </c>
      <c r="BO63" s="124">
        <f>-OPEX!BO37</f>
        <v>0</v>
      </c>
      <c r="BP63" s="124">
        <f>-OPEX!BP37</f>
        <v>0</v>
      </c>
      <c r="BQ63" s="124">
        <f>-OPEX!BQ37</f>
        <v>0</v>
      </c>
    </row>
    <row r="64" spans="3:69" ht="10.199999999999999" outlineLevel="1">
      <c r="C64" s="122"/>
      <c r="D64" s="123" t="str">
        <f>OPEX!B38</f>
        <v>FC_Placeholder8</v>
      </c>
      <c r="J64" s="124">
        <f>-OPEX!J38</f>
        <v>0</v>
      </c>
      <c r="K64" s="124">
        <f>-OPEX!K38</f>
        <v>0</v>
      </c>
      <c r="L64" s="124">
        <f>-OPEX!L38</f>
        <v>0</v>
      </c>
      <c r="M64" s="124">
        <f>-OPEX!M38</f>
        <v>0</v>
      </c>
      <c r="N64" s="124">
        <f>-OPEX!N38</f>
        <v>0</v>
      </c>
      <c r="O64" s="124">
        <f>-OPEX!O38</f>
        <v>0</v>
      </c>
      <c r="P64" s="124">
        <f>-OPEX!P38</f>
        <v>0</v>
      </c>
      <c r="Q64" s="124">
        <f>-OPEX!Q38</f>
        <v>0</v>
      </c>
      <c r="R64" s="124">
        <f>-OPEX!R38</f>
        <v>0</v>
      </c>
      <c r="S64" s="124">
        <f>-OPEX!S38</f>
        <v>0</v>
      </c>
      <c r="T64" s="124">
        <f>-OPEX!T38</f>
        <v>0</v>
      </c>
      <c r="U64" s="124">
        <f>-OPEX!U38</f>
        <v>0</v>
      </c>
      <c r="V64" s="124">
        <f>-OPEX!V38</f>
        <v>0</v>
      </c>
      <c r="W64" s="124">
        <f>-OPEX!W38</f>
        <v>0</v>
      </c>
      <c r="X64" s="124">
        <f>-OPEX!X38</f>
        <v>0</v>
      </c>
      <c r="Y64" s="124">
        <f>-OPEX!Y38</f>
        <v>0</v>
      </c>
      <c r="Z64" s="124">
        <f>-OPEX!Z38</f>
        <v>0</v>
      </c>
      <c r="AA64" s="124">
        <f>-OPEX!AA38</f>
        <v>0</v>
      </c>
      <c r="AB64" s="124">
        <f>-OPEX!AB38</f>
        <v>0</v>
      </c>
      <c r="AC64" s="124">
        <f>-OPEX!AC38</f>
        <v>0</v>
      </c>
      <c r="AD64" s="124">
        <f>-OPEX!AD38</f>
        <v>0</v>
      </c>
      <c r="AE64" s="124">
        <f>-OPEX!AE38</f>
        <v>0</v>
      </c>
      <c r="AF64" s="124">
        <f>-OPEX!AF38</f>
        <v>0</v>
      </c>
      <c r="AG64" s="124">
        <f>-OPEX!AG38</f>
        <v>0</v>
      </c>
      <c r="AH64" s="124">
        <f>-OPEX!AH38</f>
        <v>0</v>
      </c>
      <c r="AI64" s="124">
        <f>-OPEX!AI38</f>
        <v>0</v>
      </c>
      <c r="AJ64" s="124">
        <f>-OPEX!AJ38</f>
        <v>0</v>
      </c>
      <c r="AK64" s="124">
        <f>-OPEX!AK38</f>
        <v>0</v>
      </c>
      <c r="AL64" s="124">
        <f>-OPEX!AL38</f>
        <v>0</v>
      </c>
      <c r="AM64" s="124">
        <f>-OPEX!AM38</f>
        <v>0</v>
      </c>
      <c r="AN64" s="124">
        <f>-OPEX!AN38</f>
        <v>0</v>
      </c>
      <c r="AO64" s="124">
        <f>-OPEX!AO38</f>
        <v>0</v>
      </c>
      <c r="AP64" s="124">
        <f>-OPEX!AP38</f>
        <v>0</v>
      </c>
      <c r="AQ64" s="124">
        <f>-OPEX!AQ38</f>
        <v>0</v>
      </c>
      <c r="AR64" s="124">
        <f>-OPEX!AR38</f>
        <v>0</v>
      </c>
      <c r="AS64" s="124">
        <f>-OPEX!AS38</f>
        <v>0</v>
      </c>
      <c r="AT64" s="124">
        <f>-OPEX!AT38</f>
        <v>0</v>
      </c>
      <c r="AU64" s="124">
        <f>-OPEX!AU38</f>
        <v>0</v>
      </c>
      <c r="AV64" s="124">
        <f>-OPEX!AV38</f>
        <v>0</v>
      </c>
      <c r="AW64" s="124">
        <f>-OPEX!AW38</f>
        <v>0</v>
      </c>
      <c r="AX64" s="124">
        <f>-OPEX!AX38</f>
        <v>0</v>
      </c>
      <c r="AY64" s="124">
        <f>-OPEX!AY38</f>
        <v>0</v>
      </c>
      <c r="AZ64" s="124">
        <f>-OPEX!AZ38</f>
        <v>0</v>
      </c>
      <c r="BA64" s="124">
        <f>-OPEX!BA38</f>
        <v>0</v>
      </c>
      <c r="BB64" s="124">
        <f>-OPEX!BB38</f>
        <v>0</v>
      </c>
      <c r="BC64" s="124">
        <f>-OPEX!BC38</f>
        <v>0</v>
      </c>
      <c r="BD64" s="124">
        <f>-OPEX!BD38</f>
        <v>0</v>
      </c>
      <c r="BE64" s="124">
        <f>-OPEX!BE38</f>
        <v>0</v>
      </c>
      <c r="BF64" s="124">
        <f>-OPEX!BF38</f>
        <v>0</v>
      </c>
      <c r="BG64" s="124">
        <f>-OPEX!BG38</f>
        <v>0</v>
      </c>
      <c r="BH64" s="124">
        <f>-OPEX!BH38</f>
        <v>0</v>
      </c>
      <c r="BI64" s="124">
        <f>-OPEX!BI38</f>
        <v>0</v>
      </c>
      <c r="BJ64" s="124">
        <f>-OPEX!BJ38</f>
        <v>0</v>
      </c>
      <c r="BK64" s="124">
        <f>-OPEX!BK38</f>
        <v>0</v>
      </c>
      <c r="BL64" s="124">
        <f>-OPEX!BL38</f>
        <v>0</v>
      </c>
      <c r="BM64" s="124">
        <f>-OPEX!BM38</f>
        <v>0</v>
      </c>
      <c r="BN64" s="124">
        <f>-OPEX!BN38</f>
        <v>0</v>
      </c>
      <c r="BO64" s="124">
        <f>-OPEX!BO38</f>
        <v>0</v>
      </c>
      <c r="BP64" s="124">
        <f>-OPEX!BP38</f>
        <v>0</v>
      </c>
      <c r="BQ64" s="124">
        <f>-OPEX!BQ38</f>
        <v>0</v>
      </c>
    </row>
    <row r="65" spans="3:69" ht="10.199999999999999" outlineLevel="1">
      <c r="C65" s="122"/>
      <c r="D65" s="123" t="str">
        <f>OPEX!B39</f>
        <v>FC_Placeholder9</v>
      </c>
      <c r="J65" s="124">
        <f>-OPEX!J39</f>
        <v>0</v>
      </c>
      <c r="K65" s="124">
        <f>-OPEX!K39</f>
        <v>0</v>
      </c>
      <c r="L65" s="124">
        <f>-OPEX!L39</f>
        <v>0</v>
      </c>
      <c r="M65" s="124">
        <f>-OPEX!M39</f>
        <v>0</v>
      </c>
      <c r="N65" s="124">
        <f>-OPEX!N39</f>
        <v>0</v>
      </c>
      <c r="O65" s="124">
        <f>-OPEX!O39</f>
        <v>0</v>
      </c>
      <c r="P65" s="124">
        <f>-OPEX!P39</f>
        <v>0</v>
      </c>
      <c r="Q65" s="124">
        <f>-OPEX!Q39</f>
        <v>0</v>
      </c>
      <c r="R65" s="124">
        <f>-OPEX!R39</f>
        <v>0</v>
      </c>
      <c r="S65" s="124">
        <f>-OPEX!S39</f>
        <v>0</v>
      </c>
      <c r="T65" s="124">
        <f>-OPEX!T39</f>
        <v>0</v>
      </c>
      <c r="U65" s="124">
        <f>-OPEX!U39</f>
        <v>0</v>
      </c>
      <c r="V65" s="124">
        <f>-OPEX!V39</f>
        <v>0</v>
      </c>
      <c r="W65" s="124">
        <f>-OPEX!W39</f>
        <v>0</v>
      </c>
      <c r="X65" s="124">
        <f>-OPEX!X39</f>
        <v>0</v>
      </c>
      <c r="Y65" s="124">
        <f>-OPEX!Y39</f>
        <v>0</v>
      </c>
      <c r="Z65" s="124">
        <f>-OPEX!Z39</f>
        <v>0</v>
      </c>
      <c r="AA65" s="124">
        <f>-OPEX!AA39</f>
        <v>0</v>
      </c>
      <c r="AB65" s="124">
        <f>-OPEX!AB39</f>
        <v>0</v>
      </c>
      <c r="AC65" s="124">
        <f>-OPEX!AC39</f>
        <v>0</v>
      </c>
      <c r="AD65" s="124">
        <f>-OPEX!AD39</f>
        <v>0</v>
      </c>
      <c r="AE65" s="124">
        <f>-OPEX!AE39</f>
        <v>0</v>
      </c>
      <c r="AF65" s="124">
        <f>-OPEX!AF39</f>
        <v>0</v>
      </c>
      <c r="AG65" s="124">
        <f>-OPEX!AG39</f>
        <v>0</v>
      </c>
      <c r="AH65" s="124">
        <f>-OPEX!AH39</f>
        <v>0</v>
      </c>
      <c r="AI65" s="124">
        <f>-OPEX!AI39</f>
        <v>0</v>
      </c>
      <c r="AJ65" s="124">
        <f>-OPEX!AJ39</f>
        <v>0</v>
      </c>
      <c r="AK65" s="124">
        <f>-OPEX!AK39</f>
        <v>0</v>
      </c>
      <c r="AL65" s="124">
        <f>-OPEX!AL39</f>
        <v>0</v>
      </c>
      <c r="AM65" s="124">
        <f>-OPEX!AM39</f>
        <v>0</v>
      </c>
      <c r="AN65" s="124">
        <f>-OPEX!AN39</f>
        <v>0</v>
      </c>
      <c r="AO65" s="124">
        <f>-OPEX!AO39</f>
        <v>0</v>
      </c>
      <c r="AP65" s="124">
        <f>-OPEX!AP39</f>
        <v>0</v>
      </c>
      <c r="AQ65" s="124">
        <f>-OPEX!AQ39</f>
        <v>0</v>
      </c>
      <c r="AR65" s="124">
        <f>-OPEX!AR39</f>
        <v>0</v>
      </c>
      <c r="AS65" s="124">
        <f>-OPEX!AS39</f>
        <v>0</v>
      </c>
      <c r="AT65" s="124">
        <f>-OPEX!AT39</f>
        <v>0</v>
      </c>
      <c r="AU65" s="124">
        <f>-OPEX!AU39</f>
        <v>0</v>
      </c>
      <c r="AV65" s="124">
        <f>-OPEX!AV39</f>
        <v>0</v>
      </c>
      <c r="AW65" s="124">
        <f>-OPEX!AW39</f>
        <v>0</v>
      </c>
      <c r="AX65" s="124">
        <f>-OPEX!AX39</f>
        <v>0</v>
      </c>
      <c r="AY65" s="124">
        <f>-OPEX!AY39</f>
        <v>0</v>
      </c>
      <c r="AZ65" s="124">
        <f>-OPEX!AZ39</f>
        <v>0</v>
      </c>
      <c r="BA65" s="124">
        <f>-OPEX!BA39</f>
        <v>0</v>
      </c>
      <c r="BB65" s="124">
        <f>-OPEX!BB39</f>
        <v>0</v>
      </c>
      <c r="BC65" s="124">
        <f>-OPEX!BC39</f>
        <v>0</v>
      </c>
      <c r="BD65" s="124">
        <f>-OPEX!BD39</f>
        <v>0</v>
      </c>
      <c r="BE65" s="124">
        <f>-OPEX!BE39</f>
        <v>0</v>
      </c>
      <c r="BF65" s="124">
        <f>-OPEX!BF39</f>
        <v>0</v>
      </c>
      <c r="BG65" s="124">
        <f>-OPEX!BG39</f>
        <v>0</v>
      </c>
      <c r="BH65" s="124">
        <f>-OPEX!BH39</f>
        <v>0</v>
      </c>
      <c r="BI65" s="124">
        <f>-OPEX!BI39</f>
        <v>0</v>
      </c>
      <c r="BJ65" s="124">
        <f>-OPEX!BJ39</f>
        <v>0</v>
      </c>
      <c r="BK65" s="124">
        <f>-OPEX!BK39</f>
        <v>0</v>
      </c>
      <c r="BL65" s="124">
        <f>-OPEX!BL39</f>
        <v>0</v>
      </c>
      <c r="BM65" s="124">
        <f>-OPEX!BM39</f>
        <v>0</v>
      </c>
      <c r="BN65" s="124">
        <f>-OPEX!BN39</f>
        <v>0</v>
      </c>
      <c r="BO65" s="124">
        <f>-OPEX!BO39</f>
        <v>0</v>
      </c>
      <c r="BP65" s="124">
        <f>-OPEX!BP39</f>
        <v>0</v>
      </c>
      <c r="BQ65" s="124">
        <f>-OPEX!BQ39</f>
        <v>0</v>
      </c>
    </row>
    <row r="66" spans="3:69" ht="10.199999999999999" outlineLevel="1">
      <c r="C66" s="122"/>
      <c r="D66" s="123" t="str">
        <f>OPEX!B40</f>
        <v>FC_Placeholder10</v>
      </c>
      <c r="J66" s="133">
        <f>-OPEX!J40</f>
        <v>0</v>
      </c>
      <c r="K66" s="133">
        <f>-OPEX!K40</f>
        <v>0</v>
      </c>
      <c r="L66" s="133">
        <f>-OPEX!L40</f>
        <v>0</v>
      </c>
      <c r="M66" s="133">
        <f>-OPEX!M40</f>
        <v>0</v>
      </c>
      <c r="N66" s="133">
        <f>-OPEX!N40</f>
        <v>0</v>
      </c>
      <c r="O66" s="133">
        <f>-OPEX!O40</f>
        <v>0</v>
      </c>
      <c r="P66" s="133">
        <f>-OPEX!P40</f>
        <v>0</v>
      </c>
      <c r="Q66" s="133">
        <f>-OPEX!Q40</f>
        <v>0</v>
      </c>
      <c r="R66" s="133">
        <f>-OPEX!R40</f>
        <v>0</v>
      </c>
      <c r="S66" s="133">
        <f>-OPEX!S40</f>
        <v>0</v>
      </c>
      <c r="T66" s="133">
        <f>-OPEX!T40</f>
        <v>0</v>
      </c>
      <c r="U66" s="133">
        <f>-OPEX!U40</f>
        <v>0</v>
      </c>
      <c r="V66" s="133">
        <f>-OPEX!V40</f>
        <v>0</v>
      </c>
      <c r="W66" s="133">
        <f>-OPEX!W40</f>
        <v>0</v>
      </c>
      <c r="X66" s="133">
        <f>-OPEX!X40</f>
        <v>0</v>
      </c>
      <c r="Y66" s="133">
        <f>-OPEX!Y40</f>
        <v>0</v>
      </c>
      <c r="Z66" s="133">
        <f>-OPEX!Z40</f>
        <v>0</v>
      </c>
      <c r="AA66" s="133">
        <f>-OPEX!AA40</f>
        <v>0</v>
      </c>
      <c r="AB66" s="133">
        <f>-OPEX!AB40</f>
        <v>0</v>
      </c>
      <c r="AC66" s="133">
        <f>-OPEX!AC40</f>
        <v>0</v>
      </c>
      <c r="AD66" s="133">
        <f>-OPEX!AD40</f>
        <v>0</v>
      </c>
      <c r="AE66" s="133">
        <f>-OPEX!AE40</f>
        <v>0</v>
      </c>
      <c r="AF66" s="133">
        <f>-OPEX!AF40</f>
        <v>0</v>
      </c>
      <c r="AG66" s="133">
        <f>-OPEX!AG40</f>
        <v>0</v>
      </c>
      <c r="AH66" s="133">
        <f>-OPEX!AH40</f>
        <v>0</v>
      </c>
      <c r="AI66" s="133">
        <f>-OPEX!AI40</f>
        <v>0</v>
      </c>
      <c r="AJ66" s="133">
        <f>-OPEX!AJ40</f>
        <v>0</v>
      </c>
      <c r="AK66" s="133">
        <f>-OPEX!AK40</f>
        <v>0</v>
      </c>
      <c r="AL66" s="133">
        <f>-OPEX!AL40</f>
        <v>0</v>
      </c>
      <c r="AM66" s="133">
        <f>-OPEX!AM40</f>
        <v>0</v>
      </c>
      <c r="AN66" s="133">
        <f>-OPEX!AN40</f>
        <v>0</v>
      </c>
      <c r="AO66" s="133">
        <f>-OPEX!AO40</f>
        <v>0</v>
      </c>
      <c r="AP66" s="133">
        <f>-OPEX!AP40</f>
        <v>0</v>
      </c>
      <c r="AQ66" s="133">
        <f>-OPEX!AQ40</f>
        <v>0</v>
      </c>
      <c r="AR66" s="133">
        <f>-OPEX!AR40</f>
        <v>0</v>
      </c>
      <c r="AS66" s="133">
        <f>-OPEX!AS40</f>
        <v>0</v>
      </c>
      <c r="AT66" s="133">
        <f>-OPEX!AT40</f>
        <v>0</v>
      </c>
      <c r="AU66" s="133">
        <f>-OPEX!AU40</f>
        <v>0</v>
      </c>
      <c r="AV66" s="133">
        <f>-OPEX!AV40</f>
        <v>0</v>
      </c>
      <c r="AW66" s="133">
        <f>-OPEX!AW40</f>
        <v>0</v>
      </c>
      <c r="AX66" s="133">
        <f>-OPEX!AX40</f>
        <v>0</v>
      </c>
      <c r="AY66" s="133">
        <f>-OPEX!AY40</f>
        <v>0</v>
      </c>
      <c r="AZ66" s="133">
        <f>-OPEX!AZ40</f>
        <v>0</v>
      </c>
      <c r="BA66" s="133">
        <f>-OPEX!BA40</f>
        <v>0</v>
      </c>
      <c r="BB66" s="133">
        <f>-OPEX!BB40</f>
        <v>0</v>
      </c>
      <c r="BC66" s="133">
        <f>-OPEX!BC40</f>
        <v>0</v>
      </c>
      <c r="BD66" s="133">
        <f>-OPEX!BD40</f>
        <v>0</v>
      </c>
      <c r="BE66" s="133">
        <f>-OPEX!BE40</f>
        <v>0</v>
      </c>
      <c r="BF66" s="133">
        <f>-OPEX!BF40</f>
        <v>0</v>
      </c>
      <c r="BG66" s="133">
        <f>-OPEX!BG40</f>
        <v>0</v>
      </c>
      <c r="BH66" s="133">
        <f>-OPEX!BH40</f>
        <v>0</v>
      </c>
      <c r="BI66" s="133">
        <f>-OPEX!BI40</f>
        <v>0</v>
      </c>
      <c r="BJ66" s="133">
        <f>-OPEX!BJ40</f>
        <v>0</v>
      </c>
      <c r="BK66" s="133">
        <f>-OPEX!BK40</f>
        <v>0</v>
      </c>
      <c r="BL66" s="133">
        <f>-OPEX!BL40</f>
        <v>0</v>
      </c>
      <c r="BM66" s="133">
        <f>-OPEX!BM40</f>
        <v>0</v>
      </c>
      <c r="BN66" s="133">
        <f>-OPEX!BN40</f>
        <v>0</v>
      </c>
      <c r="BO66" s="133">
        <f>-OPEX!BO40</f>
        <v>0</v>
      </c>
      <c r="BP66" s="133">
        <f>-OPEX!BP40</f>
        <v>0</v>
      </c>
      <c r="BQ66" s="133">
        <f>-OPEX!BQ40</f>
        <v>0</v>
      </c>
    </row>
    <row r="67" spans="3:69" ht="10.199999999999999">
      <c r="C67" s="122"/>
      <c r="D67" s="92" t="str">
        <f>"Total "&amp;C56</f>
        <v>Total Fixed Expenses</v>
      </c>
      <c r="J67" s="127">
        <f t="shared" ref="J67:AO67" si="92">SUM(J57:J66)</f>
        <v>-1000</v>
      </c>
      <c r="K67" s="127">
        <f t="shared" si="92"/>
        <v>-1000</v>
      </c>
      <c r="L67" s="127">
        <f t="shared" si="92"/>
        <v>-1000</v>
      </c>
      <c r="M67" s="127">
        <f t="shared" si="92"/>
        <v>-1000</v>
      </c>
      <c r="N67" s="127">
        <f t="shared" si="92"/>
        <v>-1000</v>
      </c>
      <c r="O67" s="127">
        <f t="shared" si="92"/>
        <v>-1000</v>
      </c>
      <c r="P67" s="127">
        <f t="shared" si="92"/>
        <v>-1000</v>
      </c>
      <c r="Q67" s="127">
        <f t="shared" si="92"/>
        <v>-1000</v>
      </c>
      <c r="R67" s="127">
        <f t="shared" si="92"/>
        <v>-1000</v>
      </c>
      <c r="S67" s="127">
        <f t="shared" si="92"/>
        <v>-1000</v>
      </c>
      <c r="T67" s="127">
        <f t="shared" si="92"/>
        <v>-1000</v>
      </c>
      <c r="U67" s="127">
        <f t="shared" si="92"/>
        <v>-1000</v>
      </c>
      <c r="V67" s="127">
        <f t="shared" si="92"/>
        <v>-1050</v>
      </c>
      <c r="W67" s="127">
        <f t="shared" si="92"/>
        <v>-1050</v>
      </c>
      <c r="X67" s="127">
        <f t="shared" si="92"/>
        <v>-1050</v>
      </c>
      <c r="Y67" s="127">
        <f t="shared" si="92"/>
        <v>-1050</v>
      </c>
      <c r="Z67" s="127">
        <f t="shared" si="92"/>
        <v>-1050</v>
      </c>
      <c r="AA67" s="127">
        <f t="shared" si="92"/>
        <v>-1050</v>
      </c>
      <c r="AB67" s="127">
        <f t="shared" si="92"/>
        <v>-1050</v>
      </c>
      <c r="AC67" s="127">
        <f t="shared" si="92"/>
        <v>-1050</v>
      </c>
      <c r="AD67" s="127">
        <f t="shared" si="92"/>
        <v>-1050</v>
      </c>
      <c r="AE67" s="127">
        <f t="shared" si="92"/>
        <v>-1050</v>
      </c>
      <c r="AF67" s="127">
        <f t="shared" si="92"/>
        <v>-1050</v>
      </c>
      <c r="AG67" s="127">
        <f t="shared" si="92"/>
        <v>-1050</v>
      </c>
      <c r="AH67" s="127">
        <f t="shared" si="92"/>
        <v>-1102.5</v>
      </c>
      <c r="AI67" s="127">
        <f t="shared" si="92"/>
        <v>-1102.5</v>
      </c>
      <c r="AJ67" s="127">
        <f t="shared" si="92"/>
        <v>-1102.5</v>
      </c>
      <c r="AK67" s="127">
        <f t="shared" si="92"/>
        <v>-1102.5</v>
      </c>
      <c r="AL67" s="127">
        <f t="shared" si="92"/>
        <v>-1102.5</v>
      </c>
      <c r="AM67" s="127">
        <f t="shared" si="92"/>
        <v>-1102.5</v>
      </c>
      <c r="AN67" s="127">
        <f t="shared" si="92"/>
        <v>-1102.5</v>
      </c>
      <c r="AO67" s="127">
        <f t="shared" si="92"/>
        <v>-1102.5</v>
      </c>
      <c r="AP67" s="127">
        <f t="shared" ref="AP67:BQ67" si="93">SUM(AP57:AP66)</f>
        <v>-1102.5</v>
      </c>
      <c r="AQ67" s="127">
        <f t="shared" si="93"/>
        <v>-1102.5</v>
      </c>
      <c r="AR67" s="127">
        <f t="shared" si="93"/>
        <v>-1102.5</v>
      </c>
      <c r="AS67" s="127">
        <f t="shared" si="93"/>
        <v>-1102.5</v>
      </c>
      <c r="AT67" s="127">
        <f t="shared" si="93"/>
        <v>-1157.625</v>
      </c>
      <c r="AU67" s="127">
        <f t="shared" si="93"/>
        <v>-1157.625</v>
      </c>
      <c r="AV67" s="127">
        <f t="shared" si="93"/>
        <v>-1157.625</v>
      </c>
      <c r="AW67" s="127">
        <f t="shared" si="93"/>
        <v>-1157.625</v>
      </c>
      <c r="AX67" s="127">
        <f t="shared" si="93"/>
        <v>-1157.625</v>
      </c>
      <c r="AY67" s="127">
        <f t="shared" si="93"/>
        <v>-1157.625</v>
      </c>
      <c r="AZ67" s="127">
        <f t="shared" si="93"/>
        <v>-1157.625</v>
      </c>
      <c r="BA67" s="127">
        <f t="shared" si="93"/>
        <v>-1157.625</v>
      </c>
      <c r="BB67" s="127">
        <f t="shared" si="93"/>
        <v>-1157.625</v>
      </c>
      <c r="BC67" s="127">
        <f t="shared" si="93"/>
        <v>-1157.625</v>
      </c>
      <c r="BD67" s="127">
        <f t="shared" si="93"/>
        <v>-1157.625</v>
      </c>
      <c r="BE67" s="127">
        <f t="shared" si="93"/>
        <v>-1157.625</v>
      </c>
      <c r="BF67" s="127">
        <f t="shared" si="93"/>
        <v>-1215.5062500000001</v>
      </c>
      <c r="BG67" s="127">
        <f t="shared" si="93"/>
        <v>-1215.5062500000001</v>
      </c>
      <c r="BH67" s="127">
        <f t="shared" si="93"/>
        <v>-1215.5062500000001</v>
      </c>
      <c r="BI67" s="127">
        <f t="shared" si="93"/>
        <v>-1215.5062500000001</v>
      </c>
      <c r="BJ67" s="127">
        <f t="shared" si="93"/>
        <v>-1215.5062500000001</v>
      </c>
      <c r="BK67" s="127">
        <f t="shared" si="93"/>
        <v>-1215.5062500000001</v>
      </c>
      <c r="BL67" s="127">
        <f t="shared" si="93"/>
        <v>-1215.5062500000001</v>
      </c>
      <c r="BM67" s="127">
        <f t="shared" si="93"/>
        <v>-1215.5062500000001</v>
      </c>
      <c r="BN67" s="127">
        <f t="shared" si="93"/>
        <v>-1215.5062500000001</v>
      </c>
      <c r="BO67" s="127">
        <f t="shared" si="93"/>
        <v>-1215.5062500000001</v>
      </c>
      <c r="BP67" s="127">
        <f t="shared" si="93"/>
        <v>-1215.5062500000001</v>
      </c>
      <c r="BQ67" s="127">
        <f t="shared" si="93"/>
        <v>-1215.5062500000001</v>
      </c>
    </row>
    <row r="68" spans="3:69" ht="10.199999999999999" outlineLevel="1">
      <c r="D68" s="129"/>
      <c r="J68" s="133"/>
      <c r="K68" s="133"/>
      <c r="L68" s="133"/>
      <c r="M68" s="133"/>
      <c r="N68" s="133"/>
      <c r="O68" s="133"/>
      <c r="P68" s="133"/>
      <c r="Q68" s="133"/>
      <c r="R68" s="133"/>
      <c r="S68" s="133"/>
      <c r="T68" s="133"/>
      <c r="U68" s="133"/>
      <c r="V68" s="133"/>
      <c r="W68" s="133"/>
      <c r="X68" s="133"/>
      <c r="Y68" s="133"/>
      <c r="Z68" s="133"/>
      <c r="AA68" s="133"/>
      <c r="AB68" s="133"/>
      <c r="AC68" s="133"/>
      <c r="AD68" s="133"/>
      <c r="AE68" s="133"/>
      <c r="AF68" s="133"/>
      <c r="AG68" s="133"/>
      <c r="AH68" s="133"/>
      <c r="AI68" s="133"/>
      <c r="AJ68" s="133"/>
      <c r="AK68" s="133"/>
      <c r="AL68" s="133"/>
      <c r="AM68" s="133"/>
      <c r="AN68" s="133"/>
      <c r="AO68" s="133"/>
      <c r="AP68" s="133"/>
      <c r="AQ68" s="133"/>
      <c r="AR68" s="133"/>
      <c r="AS68" s="133"/>
      <c r="AT68" s="133"/>
      <c r="AU68" s="133"/>
      <c r="AV68" s="133"/>
      <c r="AW68" s="133"/>
      <c r="AX68" s="133"/>
      <c r="AY68" s="133"/>
      <c r="AZ68" s="133"/>
      <c r="BA68" s="133"/>
      <c r="BB68" s="133"/>
      <c r="BC68" s="133"/>
      <c r="BD68" s="133"/>
      <c r="BE68" s="133"/>
      <c r="BF68" s="133"/>
      <c r="BG68" s="133"/>
      <c r="BH68" s="133"/>
      <c r="BI68" s="133"/>
      <c r="BJ68" s="133"/>
      <c r="BK68" s="133"/>
      <c r="BL68" s="133"/>
      <c r="BM68" s="133"/>
      <c r="BN68" s="133"/>
      <c r="BO68" s="133"/>
      <c r="BP68" s="133"/>
      <c r="BQ68" s="133"/>
    </row>
    <row r="69" spans="3:69" ht="10.199999999999999">
      <c r="C69" s="122"/>
      <c r="D69" s="92" t="s">
        <v>96</v>
      </c>
      <c r="J69" s="127">
        <f t="shared" ref="J69:AO69" si="94">J67+J54+J41</f>
        <v>-2791.666666666667</v>
      </c>
      <c r="K69" s="127">
        <f t="shared" si="94"/>
        <v>-3018.939393939394</v>
      </c>
      <c r="L69" s="127">
        <f t="shared" si="94"/>
        <v>-3168.939393939394</v>
      </c>
      <c r="M69" s="127">
        <f t="shared" si="94"/>
        <v>-3168.939393939394</v>
      </c>
      <c r="N69" s="127">
        <f t="shared" si="94"/>
        <v>-3168.939393939394</v>
      </c>
      <c r="O69" s="127">
        <f t="shared" si="94"/>
        <v>-3168.939393939394</v>
      </c>
      <c r="P69" s="127">
        <f t="shared" si="94"/>
        <v>-3168.939393939394</v>
      </c>
      <c r="Q69" s="127">
        <f t="shared" si="94"/>
        <v>-3168.939393939394</v>
      </c>
      <c r="R69" s="127">
        <f t="shared" si="94"/>
        <v>-3168.939393939394</v>
      </c>
      <c r="S69" s="127">
        <f t="shared" si="94"/>
        <v>-3168.939393939394</v>
      </c>
      <c r="T69" s="127">
        <f t="shared" si="94"/>
        <v>-3168.939393939394</v>
      </c>
      <c r="U69" s="127">
        <f t="shared" si="94"/>
        <v>-3168.939393939394</v>
      </c>
      <c r="V69" s="127">
        <f t="shared" si="94"/>
        <v>-3405</v>
      </c>
      <c r="W69" s="127">
        <f t="shared" si="94"/>
        <v>-3405</v>
      </c>
      <c r="X69" s="127">
        <f t="shared" si="94"/>
        <v>-3405</v>
      </c>
      <c r="Y69" s="127">
        <f t="shared" si="94"/>
        <v>-3405</v>
      </c>
      <c r="Z69" s="127">
        <f t="shared" si="94"/>
        <v>-3405</v>
      </c>
      <c r="AA69" s="127">
        <f t="shared" si="94"/>
        <v>-3405</v>
      </c>
      <c r="AB69" s="127">
        <f t="shared" si="94"/>
        <v>-3405</v>
      </c>
      <c r="AC69" s="127">
        <f t="shared" si="94"/>
        <v>-3405</v>
      </c>
      <c r="AD69" s="127">
        <f t="shared" si="94"/>
        <v>-3405</v>
      </c>
      <c r="AE69" s="127">
        <f t="shared" si="94"/>
        <v>-3405</v>
      </c>
      <c r="AF69" s="127">
        <f t="shared" si="94"/>
        <v>-3405</v>
      </c>
      <c r="AG69" s="127">
        <f t="shared" si="94"/>
        <v>-3405</v>
      </c>
      <c r="AH69" s="127">
        <f t="shared" si="94"/>
        <v>-3738.6000000000004</v>
      </c>
      <c r="AI69" s="127">
        <f t="shared" si="94"/>
        <v>-3738.6000000000004</v>
      </c>
      <c r="AJ69" s="127">
        <f t="shared" si="94"/>
        <v>-3738.6000000000004</v>
      </c>
      <c r="AK69" s="127">
        <f t="shared" si="94"/>
        <v>-3738.6000000000004</v>
      </c>
      <c r="AL69" s="127">
        <f t="shared" si="94"/>
        <v>-3738.6000000000004</v>
      </c>
      <c r="AM69" s="127">
        <f t="shared" si="94"/>
        <v>-3738.6000000000004</v>
      </c>
      <c r="AN69" s="127">
        <f t="shared" si="94"/>
        <v>-3738.6000000000004</v>
      </c>
      <c r="AO69" s="127">
        <f t="shared" si="94"/>
        <v>-3738.6000000000004</v>
      </c>
      <c r="AP69" s="127">
        <f t="shared" ref="AP69:BQ69" si="95">AP67+AP54+AP41</f>
        <v>-3738.6000000000004</v>
      </c>
      <c r="AQ69" s="127">
        <f t="shared" si="95"/>
        <v>-3738.6000000000004</v>
      </c>
      <c r="AR69" s="127">
        <f t="shared" si="95"/>
        <v>-3738.6000000000004</v>
      </c>
      <c r="AS69" s="127">
        <f t="shared" si="95"/>
        <v>-3738.6000000000004</v>
      </c>
      <c r="AT69" s="127">
        <f t="shared" si="95"/>
        <v>-4141.152</v>
      </c>
      <c r="AU69" s="127">
        <f t="shared" si="95"/>
        <v>-4141.152</v>
      </c>
      <c r="AV69" s="127">
        <f t="shared" si="95"/>
        <v>-4141.152</v>
      </c>
      <c r="AW69" s="127">
        <f t="shared" si="95"/>
        <v>-4141.152</v>
      </c>
      <c r="AX69" s="127">
        <f t="shared" si="95"/>
        <v>-4141.152</v>
      </c>
      <c r="AY69" s="127">
        <f t="shared" si="95"/>
        <v>-4141.152</v>
      </c>
      <c r="AZ69" s="127">
        <f t="shared" si="95"/>
        <v>-4141.152</v>
      </c>
      <c r="BA69" s="127">
        <f t="shared" si="95"/>
        <v>-4141.152</v>
      </c>
      <c r="BB69" s="127">
        <f t="shared" si="95"/>
        <v>-4141.152</v>
      </c>
      <c r="BC69" s="127">
        <f t="shared" si="95"/>
        <v>-4141.152</v>
      </c>
      <c r="BD69" s="127">
        <f t="shared" si="95"/>
        <v>-4141.152</v>
      </c>
      <c r="BE69" s="127">
        <f t="shared" si="95"/>
        <v>-4141.152</v>
      </c>
      <c r="BF69" s="127">
        <f t="shared" si="95"/>
        <v>-4632.830640000001</v>
      </c>
      <c r="BG69" s="127">
        <f t="shared" si="95"/>
        <v>-4632.830640000001</v>
      </c>
      <c r="BH69" s="127">
        <f t="shared" si="95"/>
        <v>-4632.830640000001</v>
      </c>
      <c r="BI69" s="127">
        <f t="shared" si="95"/>
        <v>-4632.830640000001</v>
      </c>
      <c r="BJ69" s="127">
        <f t="shared" si="95"/>
        <v>-4632.830640000001</v>
      </c>
      <c r="BK69" s="127">
        <f t="shared" si="95"/>
        <v>-4632.830640000001</v>
      </c>
      <c r="BL69" s="127">
        <f t="shared" si="95"/>
        <v>-4632.830640000001</v>
      </c>
      <c r="BM69" s="127">
        <f t="shared" si="95"/>
        <v>-4632.830640000001</v>
      </c>
      <c r="BN69" s="127">
        <f t="shared" si="95"/>
        <v>-4632.830640000001</v>
      </c>
      <c r="BO69" s="127">
        <f t="shared" si="95"/>
        <v>-4632.830640000001</v>
      </c>
      <c r="BP69" s="127">
        <f t="shared" si="95"/>
        <v>-4632.830640000001</v>
      </c>
      <c r="BQ69" s="127">
        <f t="shared" si="95"/>
        <v>-4632.830640000001</v>
      </c>
    </row>
    <row r="70" spans="3:69" ht="10.8" thickBot="1">
      <c r="D70" s="91"/>
      <c r="J70" s="134"/>
      <c r="K70" s="134"/>
      <c r="L70" s="134"/>
      <c r="M70" s="134"/>
      <c r="N70" s="134"/>
      <c r="O70" s="134"/>
      <c r="P70" s="134"/>
      <c r="Q70" s="134"/>
      <c r="R70" s="134"/>
      <c r="S70" s="134"/>
      <c r="T70" s="134"/>
      <c r="U70" s="134"/>
      <c r="V70" s="134"/>
      <c r="W70" s="134"/>
      <c r="X70" s="134"/>
      <c r="Y70" s="134"/>
      <c r="Z70" s="134"/>
      <c r="AA70" s="134"/>
      <c r="AB70" s="134"/>
      <c r="AC70" s="134"/>
      <c r="AD70" s="134"/>
      <c r="AE70" s="134"/>
      <c r="AF70" s="134"/>
      <c r="AG70" s="134"/>
      <c r="AH70" s="134"/>
      <c r="AI70" s="134"/>
      <c r="AJ70" s="134"/>
      <c r="AK70" s="134"/>
      <c r="AL70" s="134"/>
      <c r="AM70" s="134"/>
      <c r="AN70" s="134"/>
      <c r="AO70" s="134"/>
      <c r="AP70" s="134"/>
      <c r="AQ70" s="134"/>
      <c r="AR70" s="134"/>
      <c r="AS70" s="134"/>
      <c r="AT70" s="134"/>
      <c r="AU70" s="134"/>
      <c r="AV70" s="134"/>
      <c r="AW70" s="134"/>
      <c r="AX70" s="134"/>
      <c r="AY70" s="134"/>
      <c r="AZ70" s="134"/>
      <c r="BA70" s="134"/>
      <c r="BB70" s="134"/>
      <c r="BC70" s="134"/>
      <c r="BD70" s="134"/>
      <c r="BE70" s="134"/>
      <c r="BF70" s="134"/>
      <c r="BG70" s="134"/>
      <c r="BH70" s="134"/>
      <c r="BI70" s="134"/>
      <c r="BJ70" s="134"/>
      <c r="BK70" s="134"/>
      <c r="BL70" s="134"/>
      <c r="BM70" s="134"/>
      <c r="BN70" s="134"/>
      <c r="BO70" s="134"/>
      <c r="BP70" s="134"/>
      <c r="BQ70" s="134"/>
    </row>
    <row r="71" spans="3:69" ht="12" thickTop="1">
      <c r="C71" s="128" t="s">
        <v>1</v>
      </c>
      <c r="J71" s="135">
        <f>J33+J69</f>
        <v>-916.66666666666697</v>
      </c>
      <c r="K71" s="135">
        <f t="shared" ref="J71:AO71" si="96">K33+K69</f>
        <v>2037.878787878788</v>
      </c>
      <c r="L71" s="135">
        <f t="shared" si="96"/>
        <v>3837.878787878788</v>
      </c>
      <c r="M71" s="135">
        <f t="shared" si="96"/>
        <v>3837.878787878788</v>
      </c>
      <c r="N71" s="135">
        <f t="shared" si="96"/>
        <v>3837.878787878788</v>
      </c>
      <c r="O71" s="135">
        <f t="shared" si="96"/>
        <v>3837.878787878788</v>
      </c>
      <c r="P71" s="135">
        <f t="shared" si="96"/>
        <v>3837.878787878788</v>
      </c>
      <c r="Q71" s="135">
        <f t="shared" si="96"/>
        <v>3837.878787878788</v>
      </c>
      <c r="R71" s="135">
        <f t="shared" si="96"/>
        <v>3837.878787878788</v>
      </c>
      <c r="S71" s="135">
        <f t="shared" si="96"/>
        <v>3837.878787878788</v>
      </c>
      <c r="T71" s="135">
        <f t="shared" si="96"/>
        <v>3837.878787878788</v>
      </c>
      <c r="U71" s="135">
        <f t="shared" si="96"/>
        <v>3837.878787878788</v>
      </c>
      <c r="V71" s="135">
        <f t="shared" si="96"/>
        <v>5065</v>
      </c>
      <c r="W71" s="135">
        <f t="shared" si="96"/>
        <v>5065</v>
      </c>
      <c r="X71" s="135">
        <f t="shared" si="96"/>
        <v>5065</v>
      </c>
      <c r="Y71" s="135">
        <f t="shared" si="96"/>
        <v>5065</v>
      </c>
      <c r="Z71" s="135">
        <f t="shared" si="96"/>
        <v>5065</v>
      </c>
      <c r="AA71" s="135">
        <f t="shared" si="96"/>
        <v>5065</v>
      </c>
      <c r="AB71" s="135">
        <f t="shared" si="96"/>
        <v>5065</v>
      </c>
      <c r="AC71" s="135">
        <f t="shared" si="96"/>
        <v>5065</v>
      </c>
      <c r="AD71" s="135">
        <f t="shared" si="96"/>
        <v>5065</v>
      </c>
      <c r="AE71" s="135">
        <f t="shared" si="96"/>
        <v>5065</v>
      </c>
      <c r="AF71" s="135">
        <f t="shared" si="96"/>
        <v>5065</v>
      </c>
      <c r="AG71" s="135">
        <f t="shared" si="96"/>
        <v>5065</v>
      </c>
      <c r="AH71" s="135">
        <f t="shared" si="96"/>
        <v>7441.8000000000047</v>
      </c>
      <c r="AI71" s="135">
        <f t="shared" si="96"/>
        <v>7441.8000000000047</v>
      </c>
      <c r="AJ71" s="135">
        <f t="shared" si="96"/>
        <v>7441.8000000000047</v>
      </c>
      <c r="AK71" s="135">
        <f t="shared" si="96"/>
        <v>7441.8000000000047</v>
      </c>
      <c r="AL71" s="135">
        <f t="shared" si="96"/>
        <v>7441.8000000000047</v>
      </c>
      <c r="AM71" s="135">
        <f t="shared" si="96"/>
        <v>7441.8000000000047</v>
      </c>
      <c r="AN71" s="135">
        <f t="shared" si="96"/>
        <v>7441.8000000000047</v>
      </c>
      <c r="AO71" s="135">
        <f t="shared" si="96"/>
        <v>7441.8000000000047</v>
      </c>
      <c r="AP71" s="135">
        <f t="shared" ref="AP71:BQ71" si="97">AP33+AP69</f>
        <v>7441.8000000000047</v>
      </c>
      <c r="AQ71" s="135">
        <f t="shared" si="97"/>
        <v>7441.8000000000047</v>
      </c>
      <c r="AR71" s="135">
        <f t="shared" si="97"/>
        <v>7441.8000000000047</v>
      </c>
      <c r="AS71" s="135">
        <f t="shared" si="97"/>
        <v>7441.8000000000047</v>
      </c>
      <c r="AT71" s="135">
        <f t="shared" si="97"/>
        <v>10616.976000000004</v>
      </c>
      <c r="AU71" s="135">
        <f t="shared" si="97"/>
        <v>10616.976000000004</v>
      </c>
      <c r="AV71" s="135">
        <f t="shared" si="97"/>
        <v>10616.976000000004</v>
      </c>
      <c r="AW71" s="135">
        <f t="shared" si="97"/>
        <v>10616.976000000004</v>
      </c>
      <c r="AX71" s="135">
        <f t="shared" si="97"/>
        <v>10616.976000000004</v>
      </c>
      <c r="AY71" s="135">
        <f t="shared" si="97"/>
        <v>10616.976000000004</v>
      </c>
      <c r="AZ71" s="135">
        <f t="shared" si="97"/>
        <v>10616.976000000004</v>
      </c>
      <c r="BA71" s="135">
        <f t="shared" si="97"/>
        <v>10616.976000000004</v>
      </c>
      <c r="BB71" s="135">
        <f t="shared" si="97"/>
        <v>10616.976000000004</v>
      </c>
      <c r="BC71" s="135">
        <f t="shared" si="97"/>
        <v>10616.976000000004</v>
      </c>
      <c r="BD71" s="135">
        <f t="shared" si="97"/>
        <v>10616.976000000004</v>
      </c>
      <c r="BE71" s="135">
        <f t="shared" si="97"/>
        <v>10616.976000000004</v>
      </c>
      <c r="BF71" s="135">
        <f t="shared" si="97"/>
        <v>14847.898320000008</v>
      </c>
      <c r="BG71" s="135">
        <f t="shared" si="97"/>
        <v>14847.898320000008</v>
      </c>
      <c r="BH71" s="135">
        <f t="shared" si="97"/>
        <v>14847.898320000008</v>
      </c>
      <c r="BI71" s="135">
        <f t="shared" si="97"/>
        <v>14847.898320000008</v>
      </c>
      <c r="BJ71" s="135">
        <f t="shared" si="97"/>
        <v>14847.898320000008</v>
      </c>
      <c r="BK71" s="135">
        <f t="shared" si="97"/>
        <v>14847.898320000008</v>
      </c>
      <c r="BL71" s="135">
        <f t="shared" si="97"/>
        <v>14847.898320000008</v>
      </c>
      <c r="BM71" s="135">
        <f t="shared" si="97"/>
        <v>14847.898320000008</v>
      </c>
      <c r="BN71" s="135">
        <f t="shared" si="97"/>
        <v>14847.898320000008</v>
      </c>
      <c r="BO71" s="135">
        <f t="shared" si="97"/>
        <v>14847.898320000008</v>
      </c>
      <c r="BP71" s="135">
        <f t="shared" si="97"/>
        <v>14847.898320000008</v>
      </c>
      <c r="BQ71" s="135">
        <f t="shared" si="97"/>
        <v>14847.898320000008</v>
      </c>
    </row>
    <row r="72" spans="3:69" ht="10.199999999999999">
      <c r="J72" s="100"/>
      <c r="K72" s="100"/>
      <c r="L72" s="100"/>
      <c r="M72" s="100"/>
      <c r="N72" s="100"/>
      <c r="O72" s="100"/>
      <c r="P72" s="100"/>
      <c r="Q72" s="100"/>
      <c r="R72" s="100"/>
      <c r="S72" s="100"/>
      <c r="T72" s="100"/>
      <c r="U72" s="100"/>
      <c r="V72" s="100"/>
      <c r="W72" s="100"/>
      <c r="X72" s="100"/>
      <c r="Y72" s="100"/>
      <c r="Z72" s="100"/>
      <c r="AA72" s="100"/>
      <c r="AB72" s="100"/>
      <c r="AC72" s="100"/>
      <c r="AD72" s="100"/>
      <c r="AE72" s="100"/>
      <c r="AF72" s="100"/>
      <c r="AG72" s="100"/>
      <c r="AH72" s="100"/>
      <c r="AI72" s="100"/>
      <c r="AJ72" s="100"/>
      <c r="AK72" s="100"/>
      <c r="AL72" s="100"/>
      <c r="AM72" s="100"/>
      <c r="AN72" s="100"/>
      <c r="AO72" s="100"/>
      <c r="AP72" s="100"/>
      <c r="AQ72" s="100"/>
      <c r="AR72" s="100"/>
      <c r="AS72" s="100"/>
      <c r="AT72" s="100"/>
      <c r="AU72" s="100"/>
      <c r="AV72" s="100"/>
      <c r="AW72" s="100"/>
      <c r="AX72" s="100"/>
      <c r="AY72" s="100"/>
      <c r="AZ72" s="100"/>
      <c r="BA72" s="100"/>
      <c r="BB72" s="100"/>
      <c r="BC72" s="100"/>
      <c r="BD72" s="100"/>
      <c r="BE72" s="100"/>
      <c r="BF72" s="100"/>
      <c r="BG72" s="100"/>
      <c r="BH72" s="100"/>
      <c r="BI72" s="100"/>
      <c r="BJ72" s="100"/>
      <c r="BK72" s="100"/>
      <c r="BL72" s="100"/>
      <c r="BM72" s="100"/>
      <c r="BN72" s="100"/>
      <c r="BO72" s="100"/>
      <c r="BP72" s="100"/>
      <c r="BQ72" s="100"/>
    </row>
    <row r="73" spans="3:69" ht="11.4" outlineLevel="1">
      <c r="C73" s="128" t="s">
        <v>43</v>
      </c>
      <c r="J73" s="100"/>
      <c r="K73" s="100"/>
      <c r="L73" s="100"/>
      <c r="M73" s="100"/>
      <c r="N73" s="100"/>
      <c r="O73" s="100"/>
      <c r="P73" s="100"/>
      <c r="Q73" s="100"/>
      <c r="R73" s="100"/>
      <c r="S73" s="100"/>
      <c r="T73" s="100"/>
      <c r="U73" s="100"/>
      <c r="V73" s="100"/>
      <c r="W73" s="100"/>
      <c r="X73" s="100"/>
      <c r="Y73" s="100"/>
      <c r="Z73" s="100"/>
      <c r="AA73" s="100"/>
      <c r="AB73" s="100"/>
      <c r="AC73" s="100"/>
      <c r="AD73" s="100"/>
      <c r="AE73" s="100"/>
      <c r="AF73" s="100"/>
      <c r="AG73" s="100"/>
      <c r="AH73" s="100"/>
      <c r="AI73" s="100"/>
      <c r="AJ73" s="100"/>
      <c r="AK73" s="100"/>
      <c r="AL73" s="100"/>
      <c r="AM73" s="100"/>
      <c r="AN73" s="100"/>
      <c r="AO73" s="100"/>
      <c r="AP73" s="100"/>
      <c r="AQ73" s="100"/>
      <c r="AR73" s="100"/>
      <c r="AS73" s="100"/>
      <c r="AT73" s="100"/>
      <c r="AU73" s="100"/>
      <c r="AV73" s="100"/>
      <c r="AW73" s="100"/>
      <c r="AX73" s="100"/>
      <c r="AY73" s="100"/>
      <c r="AZ73" s="100"/>
      <c r="BA73" s="100"/>
      <c r="BB73" s="100"/>
      <c r="BC73" s="100"/>
      <c r="BD73" s="100"/>
      <c r="BE73" s="100"/>
      <c r="BF73" s="100"/>
      <c r="BG73" s="100"/>
      <c r="BH73" s="100"/>
      <c r="BI73" s="100"/>
      <c r="BJ73" s="100"/>
      <c r="BK73" s="100"/>
      <c r="BL73" s="100"/>
      <c r="BM73" s="100"/>
      <c r="BN73" s="100"/>
      <c r="BO73" s="100"/>
      <c r="BP73" s="100"/>
      <c r="BQ73" s="100"/>
    </row>
    <row r="74" spans="3:69" ht="10.199999999999999" outlineLevel="1">
      <c r="D74" s="123" t="str">
        <f>CAPEX!G11</f>
        <v>Equipment</v>
      </c>
      <c r="J74" s="124">
        <f>CAPEX!J16</f>
        <v>-833.33333333333337</v>
      </c>
      <c r="K74" s="124">
        <f>CAPEX!K16</f>
        <v>-1666.6666666666667</v>
      </c>
      <c r="L74" s="124">
        <f>CAPEX!L16</f>
        <v>-2500</v>
      </c>
      <c r="M74" s="124">
        <f>CAPEX!M16</f>
        <v>-2500</v>
      </c>
      <c r="N74" s="124">
        <f>CAPEX!N16</f>
        <v>-2500</v>
      </c>
      <c r="O74" s="124">
        <f>CAPEX!O16</f>
        <v>-2500</v>
      </c>
      <c r="P74" s="124">
        <f>CAPEX!P16</f>
        <v>-2500</v>
      </c>
      <c r="Q74" s="124">
        <f>CAPEX!Q16</f>
        <v>-2500</v>
      </c>
      <c r="R74" s="124">
        <f>CAPEX!R16</f>
        <v>-2500</v>
      </c>
      <c r="S74" s="124">
        <f>CAPEX!S16</f>
        <v>-2500</v>
      </c>
      <c r="T74" s="124">
        <f>CAPEX!T16</f>
        <v>-2500</v>
      </c>
      <c r="U74" s="124">
        <f>CAPEX!U16</f>
        <v>-2500</v>
      </c>
      <c r="V74" s="124">
        <f>CAPEX!V16</f>
        <v>-2500</v>
      </c>
      <c r="W74" s="124">
        <f>CAPEX!W16</f>
        <v>-2500</v>
      </c>
      <c r="X74" s="124">
        <f>CAPEX!X16</f>
        <v>-2500</v>
      </c>
      <c r="Y74" s="124">
        <f>CAPEX!Y16</f>
        <v>-2500</v>
      </c>
      <c r="Z74" s="124">
        <f>CAPEX!Z16</f>
        <v>-2500</v>
      </c>
      <c r="AA74" s="124">
        <f>CAPEX!AA16</f>
        <v>-2500</v>
      </c>
      <c r="AB74" s="124">
        <f>CAPEX!AB16</f>
        <v>-2500</v>
      </c>
      <c r="AC74" s="124">
        <f>CAPEX!AC16</f>
        <v>-2500</v>
      </c>
      <c r="AD74" s="124">
        <f>CAPEX!AD16</f>
        <v>-2500</v>
      </c>
      <c r="AE74" s="124">
        <f>CAPEX!AE16</f>
        <v>-2500</v>
      </c>
      <c r="AF74" s="124">
        <f>CAPEX!AF16</f>
        <v>-2500</v>
      </c>
      <c r="AG74" s="124">
        <f>CAPEX!AG16</f>
        <v>-2500</v>
      </c>
      <c r="AH74" s="124">
        <f>CAPEX!AH16</f>
        <v>-2500</v>
      </c>
      <c r="AI74" s="124">
        <f>CAPEX!AI16</f>
        <v>-2500</v>
      </c>
      <c r="AJ74" s="124">
        <f>CAPEX!AJ16</f>
        <v>-2500</v>
      </c>
      <c r="AK74" s="124">
        <f>CAPEX!AK16</f>
        <v>-2500</v>
      </c>
      <c r="AL74" s="124">
        <f>CAPEX!AL16</f>
        <v>-2500</v>
      </c>
      <c r="AM74" s="124">
        <f>CAPEX!AM16</f>
        <v>-2500</v>
      </c>
      <c r="AN74" s="124">
        <f>CAPEX!AN16</f>
        <v>-2500</v>
      </c>
      <c r="AO74" s="124">
        <f>CAPEX!AO16</f>
        <v>-2500</v>
      </c>
      <c r="AP74" s="124">
        <f>CAPEX!AP16</f>
        <v>-2500</v>
      </c>
      <c r="AQ74" s="124">
        <f>CAPEX!AQ16</f>
        <v>-2500</v>
      </c>
      <c r="AR74" s="124">
        <f>CAPEX!AR16</f>
        <v>-2500</v>
      </c>
      <c r="AS74" s="124">
        <f>CAPEX!AS16</f>
        <v>-2500</v>
      </c>
      <c r="AT74" s="124">
        <f>CAPEX!AT16</f>
        <v>-2500</v>
      </c>
      <c r="AU74" s="124">
        <f>CAPEX!AU16</f>
        <v>-2500</v>
      </c>
      <c r="AV74" s="124">
        <f>CAPEX!AV16</f>
        <v>-2500</v>
      </c>
      <c r="AW74" s="124">
        <f>CAPEX!AW16</f>
        <v>-2500</v>
      </c>
      <c r="AX74" s="124">
        <f>CAPEX!AX16</f>
        <v>-2500</v>
      </c>
      <c r="AY74" s="124">
        <f>CAPEX!AY16</f>
        <v>-2500</v>
      </c>
      <c r="AZ74" s="124">
        <f>CAPEX!AZ16</f>
        <v>-2500</v>
      </c>
      <c r="BA74" s="124">
        <f>CAPEX!BA16</f>
        <v>-2500</v>
      </c>
      <c r="BB74" s="124">
        <f>CAPEX!BB16</f>
        <v>-2500</v>
      </c>
      <c r="BC74" s="124">
        <f>CAPEX!BC16</f>
        <v>-2500</v>
      </c>
      <c r="BD74" s="124">
        <f>CAPEX!BD16</f>
        <v>-2500</v>
      </c>
      <c r="BE74" s="124">
        <f>CAPEX!BE16</f>
        <v>-2500</v>
      </c>
      <c r="BF74" s="124">
        <f>CAPEX!BF16</f>
        <v>-2500</v>
      </c>
      <c r="BG74" s="124">
        <f>CAPEX!BG16</f>
        <v>-2500</v>
      </c>
      <c r="BH74" s="124">
        <f>CAPEX!BH16</f>
        <v>-2500</v>
      </c>
      <c r="BI74" s="124">
        <f>CAPEX!BI16</f>
        <v>-2500</v>
      </c>
      <c r="BJ74" s="124">
        <f>CAPEX!BJ16</f>
        <v>-2500</v>
      </c>
      <c r="BK74" s="124">
        <f>CAPEX!BK16</f>
        <v>-2500</v>
      </c>
      <c r="BL74" s="124">
        <f>CAPEX!BL16</f>
        <v>-2500</v>
      </c>
      <c r="BM74" s="124">
        <f>CAPEX!BM16</f>
        <v>-2500</v>
      </c>
      <c r="BN74" s="124">
        <f>CAPEX!BN16</f>
        <v>-2500</v>
      </c>
      <c r="BO74" s="124">
        <f>CAPEX!BO16</f>
        <v>-2500</v>
      </c>
      <c r="BP74" s="124">
        <f>CAPEX!BP16</f>
        <v>-2500</v>
      </c>
      <c r="BQ74" s="124">
        <f>CAPEX!BQ16</f>
        <v>-2500</v>
      </c>
    </row>
    <row r="75" spans="3:69" ht="10.199999999999999" outlineLevel="1">
      <c r="D75" s="123" t="str">
        <f>CAPEX!G21</f>
        <v>Asset_2</v>
      </c>
      <c r="J75" s="124">
        <f>CAPEX!J26</f>
        <v>0</v>
      </c>
      <c r="K75" s="124">
        <f>CAPEX!K26</f>
        <v>0</v>
      </c>
      <c r="L75" s="124">
        <f>CAPEX!L26</f>
        <v>0</v>
      </c>
      <c r="M75" s="124">
        <f>CAPEX!M26</f>
        <v>0</v>
      </c>
      <c r="N75" s="124">
        <f>CAPEX!N26</f>
        <v>0</v>
      </c>
      <c r="O75" s="124">
        <f>CAPEX!O26</f>
        <v>0</v>
      </c>
      <c r="P75" s="124">
        <f>CAPEX!P26</f>
        <v>0</v>
      </c>
      <c r="Q75" s="124">
        <f>CAPEX!Q26</f>
        <v>0</v>
      </c>
      <c r="R75" s="124">
        <f>CAPEX!R26</f>
        <v>0</v>
      </c>
      <c r="S75" s="124">
        <f>CAPEX!S26</f>
        <v>0</v>
      </c>
      <c r="T75" s="124">
        <f>CAPEX!T26</f>
        <v>0</v>
      </c>
      <c r="U75" s="124">
        <f>CAPEX!U26</f>
        <v>0</v>
      </c>
      <c r="V75" s="124">
        <f>CAPEX!V26</f>
        <v>0</v>
      </c>
      <c r="W75" s="124">
        <f>CAPEX!W26</f>
        <v>0</v>
      </c>
      <c r="X75" s="124">
        <f>CAPEX!X26</f>
        <v>0</v>
      </c>
      <c r="Y75" s="124">
        <f>CAPEX!Y26</f>
        <v>0</v>
      </c>
      <c r="Z75" s="124">
        <f>CAPEX!Z26</f>
        <v>0</v>
      </c>
      <c r="AA75" s="124">
        <f>CAPEX!AA26</f>
        <v>0</v>
      </c>
      <c r="AB75" s="124">
        <f>CAPEX!AB26</f>
        <v>0</v>
      </c>
      <c r="AC75" s="124">
        <f>CAPEX!AC26</f>
        <v>0</v>
      </c>
      <c r="AD75" s="124">
        <f>CAPEX!AD26</f>
        <v>0</v>
      </c>
      <c r="AE75" s="124">
        <f>CAPEX!AE26</f>
        <v>0</v>
      </c>
      <c r="AF75" s="124">
        <f>CAPEX!AF26</f>
        <v>0</v>
      </c>
      <c r="AG75" s="124">
        <f>CAPEX!AG26</f>
        <v>0</v>
      </c>
      <c r="AH75" s="124">
        <f>CAPEX!AH26</f>
        <v>0</v>
      </c>
      <c r="AI75" s="124">
        <f>CAPEX!AI26</f>
        <v>0</v>
      </c>
      <c r="AJ75" s="124">
        <f>CAPEX!AJ26</f>
        <v>0</v>
      </c>
      <c r="AK75" s="124">
        <f>CAPEX!AK26</f>
        <v>0</v>
      </c>
      <c r="AL75" s="124">
        <f>CAPEX!AL26</f>
        <v>0</v>
      </c>
      <c r="AM75" s="124">
        <f>CAPEX!AM26</f>
        <v>0</v>
      </c>
      <c r="AN75" s="124">
        <f>CAPEX!AN26</f>
        <v>0</v>
      </c>
      <c r="AO75" s="124">
        <f>CAPEX!AO26</f>
        <v>0</v>
      </c>
      <c r="AP75" s="124">
        <f>CAPEX!AP26</f>
        <v>0</v>
      </c>
      <c r="AQ75" s="124">
        <f>CAPEX!AQ26</f>
        <v>0</v>
      </c>
      <c r="AR75" s="124">
        <f>CAPEX!AR26</f>
        <v>0</v>
      </c>
      <c r="AS75" s="124">
        <f>CAPEX!AS26</f>
        <v>0</v>
      </c>
      <c r="AT75" s="124">
        <f>CAPEX!AT26</f>
        <v>0</v>
      </c>
      <c r="AU75" s="124">
        <f>CAPEX!AU26</f>
        <v>0</v>
      </c>
      <c r="AV75" s="124">
        <f>CAPEX!AV26</f>
        <v>0</v>
      </c>
      <c r="AW75" s="124">
        <f>CAPEX!AW26</f>
        <v>0</v>
      </c>
      <c r="AX75" s="124">
        <f>CAPEX!AX26</f>
        <v>0</v>
      </c>
      <c r="AY75" s="124">
        <f>CAPEX!AY26</f>
        <v>0</v>
      </c>
      <c r="AZ75" s="124">
        <f>CAPEX!AZ26</f>
        <v>0</v>
      </c>
      <c r="BA75" s="124">
        <f>CAPEX!BA26</f>
        <v>0</v>
      </c>
      <c r="BB75" s="124">
        <f>CAPEX!BB26</f>
        <v>0</v>
      </c>
      <c r="BC75" s="124">
        <f>CAPEX!BC26</f>
        <v>0</v>
      </c>
      <c r="BD75" s="124">
        <f>CAPEX!BD26</f>
        <v>0</v>
      </c>
      <c r="BE75" s="124">
        <f>CAPEX!BE26</f>
        <v>0</v>
      </c>
      <c r="BF75" s="124">
        <f>CAPEX!BF26</f>
        <v>0</v>
      </c>
      <c r="BG75" s="124">
        <f>CAPEX!BG26</f>
        <v>0</v>
      </c>
      <c r="BH75" s="124">
        <f>CAPEX!BH26</f>
        <v>0</v>
      </c>
      <c r="BI75" s="124">
        <f>CAPEX!BI26</f>
        <v>0</v>
      </c>
      <c r="BJ75" s="124">
        <f>CAPEX!BJ26</f>
        <v>0</v>
      </c>
      <c r="BK75" s="124">
        <f>CAPEX!BK26</f>
        <v>0</v>
      </c>
      <c r="BL75" s="124">
        <f>CAPEX!BL26</f>
        <v>0</v>
      </c>
      <c r="BM75" s="124">
        <f>CAPEX!BM26</f>
        <v>0</v>
      </c>
      <c r="BN75" s="124">
        <f>CAPEX!BN26</f>
        <v>0</v>
      </c>
      <c r="BO75" s="124">
        <f>CAPEX!BO26</f>
        <v>0</v>
      </c>
      <c r="BP75" s="124">
        <f>CAPEX!BP26</f>
        <v>0</v>
      </c>
      <c r="BQ75" s="124">
        <f>CAPEX!BQ26</f>
        <v>0</v>
      </c>
    </row>
    <row r="76" spans="3:69" ht="10.199999999999999" outlineLevel="1">
      <c r="D76" s="123" t="str">
        <f>CAPEX!G31</f>
        <v>Asset_3</v>
      </c>
      <c r="J76" s="124">
        <f>CAPEX!J36</f>
        <v>0</v>
      </c>
      <c r="K76" s="124">
        <f>CAPEX!K36</f>
        <v>0</v>
      </c>
      <c r="L76" s="124">
        <f>CAPEX!L36</f>
        <v>0</v>
      </c>
      <c r="M76" s="124">
        <f>CAPEX!M36</f>
        <v>0</v>
      </c>
      <c r="N76" s="124">
        <f>CAPEX!N36</f>
        <v>0</v>
      </c>
      <c r="O76" s="124">
        <f>CAPEX!O36</f>
        <v>0</v>
      </c>
      <c r="P76" s="124">
        <f>CAPEX!P36</f>
        <v>0</v>
      </c>
      <c r="Q76" s="124">
        <f>CAPEX!Q36</f>
        <v>0</v>
      </c>
      <c r="R76" s="124">
        <f>CAPEX!R36</f>
        <v>0</v>
      </c>
      <c r="S76" s="124">
        <f>CAPEX!S36</f>
        <v>0</v>
      </c>
      <c r="T76" s="124">
        <f>CAPEX!T36</f>
        <v>0</v>
      </c>
      <c r="U76" s="124">
        <f>CAPEX!U36</f>
        <v>0</v>
      </c>
      <c r="V76" s="124">
        <f>CAPEX!V36</f>
        <v>0</v>
      </c>
      <c r="W76" s="124">
        <f>CAPEX!W36</f>
        <v>0</v>
      </c>
      <c r="X76" s="124">
        <f>CAPEX!X36</f>
        <v>0</v>
      </c>
      <c r="Y76" s="124">
        <f>CAPEX!Y36</f>
        <v>0</v>
      </c>
      <c r="Z76" s="124">
        <f>CAPEX!Z36</f>
        <v>0</v>
      </c>
      <c r="AA76" s="124">
        <f>CAPEX!AA36</f>
        <v>0</v>
      </c>
      <c r="AB76" s="124">
        <f>CAPEX!AB36</f>
        <v>0</v>
      </c>
      <c r="AC76" s="124">
        <f>CAPEX!AC36</f>
        <v>0</v>
      </c>
      <c r="AD76" s="124">
        <f>CAPEX!AD36</f>
        <v>0</v>
      </c>
      <c r="AE76" s="124">
        <f>CAPEX!AE36</f>
        <v>0</v>
      </c>
      <c r="AF76" s="124">
        <f>CAPEX!AF36</f>
        <v>0</v>
      </c>
      <c r="AG76" s="124">
        <f>CAPEX!AG36</f>
        <v>0</v>
      </c>
      <c r="AH76" s="124">
        <f>CAPEX!AH36</f>
        <v>0</v>
      </c>
      <c r="AI76" s="124">
        <f>CAPEX!AI36</f>
        <v>0</v>
      </c>
      <c r="AJ76" s="124">
        <f>CAPEX!AJ36</f>
        <v>0</v>
      </c>
      <c r="AK76" s="124">
        <f>CAPEX!AK36</f>
        <v>0</v>
      </c>
      <c r="AL76" s="124">
        <f>CAPEX!AL36</f>
        <v>0</v>
      </c>
      <c r="AM76" s="124">
        <f>CAPEX!AM36</f>
        <v>0</v>
      </c>
      <c r="AN76" s="124">
        <f>CAPEX!AN36</f>
        <v>0</v>
      </c>
      <c r="AO76" s="124">
        <f>CAPEX!AO36</f>
        <v>0</v>
      </c>
      <c r="AP76" s="124">
        <f>CAPEX!AP36</f>
        <v>0</v>
      </c>
      <c r="AQ76" s="124">
        <f>CAPEX!AQ36</f>
        <v>0</v>
      </c>
      <c r="AR76" s="124">
        <f>CAPEX!AR36</f>
        <v>0</v>
      </c>
      <c r="AS76" s="124">
        <f>CAPEX!AS36</f>
        <v>0</v>
      </c>
      <c r="AT76" s="124">
        <f>CAPEX!AT36</f>
        <v>0</v>
      </c>
      <c r="AU76" s="124">
        <f>CAPEX!AU36</f>
        <v>0</v>
      </c>
      <c r="AV76" s="124">
        <f>CAPEX!AV36</f>
        <v>0</v>
      </c>
      <c r="AW76" s="124">
        <f>CAPEX!AW36</f>
        <v>0</v>
      </c>
      <c r="AX76" s="124">
        <f>CAPEX!AX36</f>
        <v>0</v>
      </c>
      <c r="AY76" s="124">
        <f>CAPEX!AY36</f>
        <v>0</v>
      </c>
      <c r="AZ76" s="124">
        <f>CAPEX!AZ36</f>
        <v>0</v>
      </c>
      <c r="BA76" s="124">
        <f>CAPEX!BA36</f>
        <v>0</v>
      </c>
      <c r="BB76" s="124">
        <f>CAPEX!BB36</f>
        <v>0</v>
      </c>
      <c r="BC76" s="124">
        <f>CAPEX!BC36</f>
        <v>0</v>
      </c>
      <c r="BD76" s="124">
        <f>CAPEX!BD36</f>
        <v>0</v>
      </c>
      <c r="BE76" s="124">
        <f>CAPEX!BE36</f>
        <v>0</v>
      </c>
      <c r="BF76" s="124">
        <f>CAPEX!BF36</f>
        <v>0</v>
      </c>
      <c r="BG76" s="124">
        <f>CAPEX!BG36</f>
        <v>0</v>
      </c>
      <c r="BH76" s="124">
        <f>CAPEX!BH36</f>
        <v>0</v>
      </c>
      <c r="BI76" s="124">
        <f>CAPEX!BI36</f>
        <v>0</v>
      </c>
      <c r="BJ76" s="124">
        <f>CAPEX!BJ36</f>
        <v>0</v>
      </c>
      <c r="BK76" s="124">
        <f>CAPEX!BK36</f>
        <v>0</v>
      </c>
      <c r="BL76" s="124">
        <f>CAPEX!BL36</f>
        <v>0</v>
      </c>
      <c r="BM76" s="124">
        <f>CAPEX!BM36</f>
        <v>0</v>
      </c>
      <c r="BN76" s="124">
        <f>CAPEX!BN36</f>
        <v>0</v>
      </c>
      <c r="BO76" s="124">
        <f>CAPEX!BO36</f>
        <v>0</v>
      </c>
      <c r="BP76" s="124">
        <f>CAPEX!BP36</f>
        <v>0</v>
      </c>
      <c r="BQ76" s="124">
        <f>CAPEX!BQ36</f>
        <v>0</v>
      </c>
    </row>
    <row r="77" spans="3:69" ht="10.199999999999999">
      <c r="D77" s="92" t="s">
        <v>34</v>
      </c>
      <c r="J77" s="126">
        <f t="shared" ref="J77:AO77" si="98">SUM(J74:J76)</f>
        <v>-833.33333333333337</v>
      </c>
      <c r="K77" s="126">
        <f t="shared" si="98"/>
        <v>-1666.6666666666667</v>
      </c>
      <c r="L77" s="126">
        <f t="shared" si="98"/>
        <v>-2500</v>
      </c>
      <c r="M77" s="126">
        <f t="shared" si="98"/>
        <v>-2500</v>
      </c>
      <c r="N77" s="126">
        <f t="shared" si="98"/>
        <v>-2500</v>
      </c>
      <c r="O77" s="126">
        <f t="shared" si="98"/>
        <v>-2500</v>
      </c>
      <c r="P77" s="126">
        <f t="shared" si="98"/>
        <v>-2500</v>
      </c>
      <c r="Q77" s="126">
        <f t="shared" si="98"/>
        <v>-2500</v>
      </c>
      <c r="R77" s="126">
        <f t="shared" si="98"/>
        <v>-2500</v>
      </c>
      <c r="S77" s="126">
        <f t="shared" si="98"/>
        <v>-2500</v>
      </c>
      <c r="T77" s="126">
        <f t="shared" si="98"/>
        <v>-2500</v>
      </c>
      <c r="U77" s="126">
        <f t="shared" si="98"/>
        <v>-2500</v>
      </c>
      <c r="V77" s="126">
        <f t="shared" si="98"/>
        <v>-2500</v>
      </c>
      <c r="W77" s="126">
        <f t="shared" si="98"/>
        <v>-2500</v>
      </c>
      <c r="X77" s="126">
        <f t="shared" si="98"/>
        <v>-2500</v>
      </c>
      <c r="Y77" s="126">
        <f t="shared" si="98"/>
        <v>-2500</v>
      </c>
      <c r="Z77" s="126">
        <f t="shared" si="98"/>
        <v>-2500</v>
      </c>
      <c r="AA77" s="126">
        <f t="shared" si="98"/>
        <v>-2500</v>
      </c>
      <c r="AB77" s="126">
        <f t="shared" si="98"/>
        <v>-2500</v>
      </c>
      <c r="AC77" s="126">
        <f t="shared" si="98"/>
        <v>-2500</v>
      </c>
      <c r="AD77" s="126">
        <f t="shared" si="98"/>
        <v>-2500</v>
      </c>
      <c r="AE77" s="126">
        <f t="shared" si="98"/>
        <v>-2500</v>
      </c>
      <c r="AF77" s="126">
        <f t="shared" si="98"/>
        <v>-2500</v>
      </c>
      <c r="AG77" s="126">
        <f t="shared" si="98"/>
        <v>-2500</v>
      </c>
      <c r="AH77" s="126">
        <f t="shared" si="98"/>
        <v>-2500</v>
      </c>
      <c r="AI77" s="126">
        <f t="shared" si="98"/>
        <v>-2500</v>
      </c>
      <c r="AJ77" s="126">
        <f t="shared" si="98"/>
        <v>-2500</v>
      </c>
      <c r="AK77" s="126">
        <f t="shared" si="98"/>
        <v>-2500</v>
      </c>
      <c r="AL77" s="126">
        <f t="shared" si="98"/>
        <v>-2500</v>
      </c>
      <c r="AM77" s="126">
        <f t="shared" si="98"/>
        <v>-2500</v>
      </c>
      <c r="AN77" s="126">
        <f t="shared" si="98"/>
        <v>-2500</v>
      </c>
      <c r="AO77" s="126">
        <f t="shared" si="98"/>
        <v>-2500</v>
      </c>
      <c r="AP77" s="126">
        <f t="shared" ref="AP77:BQ77" si="99">SUM(AP74:AP76)</f>
        <v>-2500</v>
      </c>
      <c r="AQ77" s="126">
        <f t="shared" si="99"/>
        <v>-2500</v>
      </c>
      <c r="AR77" s="126">
        <f t="shared" si="99"/>
        <v>-2500</v>
      </c>
      <c r="AS77" s="126">
        <f t="shared" si="99"/>
        <v>-2500</v>
      </c>
      <c r="AT77" s="126">
        <f t="shared" si="99"/>
        <v>-2500</v>
      </c>
      <c r="AU77" s="126">
        <f t="shared" si="99"/>
        <v>-2500</v>
      </c>
      <c r="AV77" s="126">
        <f t="shared" si="99"/>
        <v>-2500</v>
      </c>
      <c r="AW77" s="126">
        <f t="shared" si="99"/>
        <v>-2500</v>
      </c>
      <c r="AX77" s="126">
        <f t="shared" si="99"/>
        <v>-2500</v>
      </c>
      <c r="AY77" s="126">
        <f t="shared" si="99"/>
        <v>-2500</v>
      </c>
      <c r="AZ77" s="126">
        <f t="shared" si="99"/>
        <v>-2500</v>
      </c>
      <c r="BA77" s="126">
        <f t="shared" si="99"/>
        <v>-2500</v>
      </c>
      <c r="BB77" s="126">
        <f t="shared" si="99"/>
        <v>-2500</v>
      </c>
      <c r="BC77" s="126">
        <f t="shared" si="99"/>
        <v>-2500</v>
      </c>
      <c r="BD77" s="126">
        <f t="shared" si="99"/>
        <v>-2500</v>
      </c>
      <c r="BE77" s="126">
        <f t="shared" si="99"/>
        <v>-2500</v>
      </c>
      <c r="BF77" s="126">
        <f t="shared" si="99"/>
        <v>-2500</v>
      </c>
      <c r="BG77" s="126">
        <f t="shared" si="99"/>
        <v>-2500</v>
      </c>
      <c r="BH77" s="126">
        <f t="shared" si="99"/>
        <v>-2500</v>
      </c>
      <c r="BI77" s="126">
        <f t="shared" si="99"/>
        <v>-2500</v>
      </c>
      <c r="BJ77" s="126">
        <f t="shared" si="99"/>
        <v>-2500</v>
      </c>
      <c r="BK77" s="126">
        <f t="shared" si="99"/>
        <v>-2500</v>
      </c>
      <c r="BL77" s="126">
        <f t="shared" si="99"/>
        <v>-2500</v>
      </c>
      <c r="BM77" s="126">
        <f t="shared" si="99"/>
        <v>-2500</v>
      </c>
      <c r="BN77" s="126">
        <f t="shared" si="99"/>
        <v>-2500</v>
      </c>
      <c r="BO77" s="126">
        <f t="shared" si="99"/>
        <v>-2500</v>
      </c>
      <c r="BP77" s="126">
        <f t="shared" si="99"/>
        <v>-2500</v>
      </c>
      <c r="BQ77" s="126">
        <f t="shared" si="99"/>
        <v>-2500</v>
      </c>
    </row>
    <row r="78" spans="3:69" ht="10.199999999999999">
      <c r="J78" s="100"/>
      <c r="K78" s="100"/>
      <c r="L78" s="100"/>
      <c r="M78" s="100"/>
      <c r="N78" s="100"/>
      <c r="O78" s="100"/>
      <c r="P78" s="100"/>
      <c r="Q78" s="100"/>
      <c r="R78" s="100"/>
      <c r="S78" s="100"/>
      <c r="T78" s="100"/>
      <c r="U78" s="100"/>
      <c r="V78" s="100"/>
      <c r="W78" s="100"/>
      <c r="X78" s="100"/>
      <c r="Y78" s="100"/>
      <c r="Z78" s="100"/>
      <c r="AA78" s="100"/>
      <c r="AB78" s="100"/>
      <c r="AC78" s="100"/>
      <c r="AD78" s="100"/>
      <c r="AE78" s="100"/>
      <c r="AF78" s="100"/>
      <c r="AG78" s="100"/>
      <c r="AH78" s="100"/>
      <c r="AI78" s="100"/>
      <c r="AJ78" s="100"/>
      <c r="AK78" s="100"/>
      <c r="AL78" s="100"/>
      <c r="AM78" s="100"/>
      <c r="AN78" s="100"/>
      <c r="AO78" s="100"/>
      <c r="AP78" s="100"/>
      <c r="AQ78" s="100"/>
      <c r="AR78" s="100"/>
      <c r="AS78" s="100"/>
      <c r="AT78" s="100"/>
      <c r="AU78" s="100"/>
      <c r="AV78" s="100"/>
      <c r="AW78" s="100"/>
      <c r="AX78" s="100"/>
      <c r="AY78" s="100"/>
      <c r="AZ78" s="100"/>
      <c r="BA78" s="100"/>
      <c r="BB78" s="100"/>
      <c r="BC78" s="100"/>
      <c r="BD78" s="100"/>
      <c r="BE78" s="100"/>
      <c r="BF78" s="100"/>
      <c r="BG78" s="100"/>
      <c r="BH78" s="100"/>
      <c r="BI78" s="100"/>
      <c r="BJ78" s="100"/>
      <c r="BK78" s="100"/>
      <c r="BL78" s="100"/>
      <c r="BM78" s="100"/>
      <c r="BN78" s="100"/>
      <c r="BO78" s="100"/>
      <c r="BP78" s="100"/>
      <c r="BQ78" s="100"/>
    </row>
    <row r="79" spans="3:69" ht="11.4">
      <c r="C79" s="128" t="s">
        <v>3</v>
      </c>
      <c r="J79" s="126">
        <f t="shared" ref="J79:AO79" si="100">J71+J77</f>
        <v>-1750.0000000000005</v>
      </c>
      <c r="K79" s="126">
        <f t="shared" si="100"/>
        <v>371.21212121212125</v>
      </c>
      <c r="L79" s="126">
        <f t="shared" si="100"/>
        <v>1337.878787878788</v>
      </c>
      <c r="M79" s="126">
        <f t="shared" si="100"/>
        <v>1337.878787878788</v>
      </c>
      <c r="N79" s="126">
        <f t="shared" si="100"/>
        <v>1337.878787878788</v>
      </c>
      <c r="O79" s="126">
        <f t="shared" si="100"/>
        <v>1337.878787878788</v>
      </c>
      <c r="P79" s="126">
        <f t="shared" si="100"/>
        <v>1337.878787878788</v>
      </c>
      <c r="Q79" s="126">
        <f t="shared" si="100"/>
        <v>1337.878787878788</v>
      </c>
      <c r="R79" s="126">
        <f t="shared" si="100"/>
        <v>1337.878787878788</v>
      </c>
      <c r="S79" s="126">
        <f t="shared" si="100"/>
        <v>1337.878787878788</v>
      </c>
      <c r="T79" s="126">
        <f t="shared" si="100"/>
        <v>1337.878787878788</v>
      </c>
      <c r="U79" s="126">
        <f t="shared" si="100"/>
        <v>1337.878787878788</v>
      </c>
      <c r="V79" s="126">
        <f t="shared" si="100"/>
        <v>2565</v>
      </c>
      <c r="W79" s="126">
        <f t="shared" si="100"/>
        <v>2565</v>
      </c>
      <c r="X79" s="126">
        <f t="shared" si="100"/>
        <v>2565</v>
      </c>
      <c r="Y79" s="126">
        <f t="shared" si="100"/>
        <v>2565</v>
      </c>
      <c r="Z79" s="126">
        <f t="shared" si="100"/>
        <v>2565</v>
      </c>
      <c r="AA79" s="126">
        <f t="shared" si="100"/>
        <v>2565</v>
      </c>
      <c r="AB79" s="126">
        <f t="shared" si="100"/>
        <v>2565</v>
      </c>
      <c r="AC79" s="126">
        <f t="shared" si="100"/>
        <v>2565</v>
      </c>
      <c r="AD79" s="126">
        <f t="shared" si="100"/>
        <v>2565</v>
      </c>
      <c r="AE79" s="126">
        <f t="shared" si="100"/>
        <v>2565</v>
      </c>
      <c r="AF79" s="126">
        <f t="shared" si="100"/>
        <v>2565</v>
      </c>
      <c r="AG79" s="126">
        <f t="shared" si="100"/>
        <v>2565</v>
      </c>
      <c r="AH79" s="126">
        <f t="shared" si="100"/>
        <v>4941.8000000000047</v>
      </c>
      <c r="AI79" s="126">
        <f t="shared" si="100"/>
        <v>4941.8000000000047</v>
      </c>
      <c r="AJ79" s="126">
        <f t="shared" si="100"/>
        <v>4941.8000000000047</v>
      </c>
      <c r="AK79" s="126">
        <f t="shared" si="100"/>
        <v>4941.8000000000047</v>
      </c>
      <c r="AL79" s="126">
        <f t="shared" si="100"/>
        <v>4941.8000000000047</v>
      </c>
      <c r="AM79" s="126">
        <f t="shared" si="100"/>
        <v>4941.8000000000047</v>
      </c>
      <c r="AN79" s="126">
        <f t="shared" si="100"/>
        <v>4941.8000000000047</v>
      </c>
      <c r="AO79" s="126">
        <f t="shared" si="100"/>
        <v>4941.8000000000047</v>
      </c>
      <c r="AP79" s="126">
        <f t="shared" ref="AP79:BQ79" si="101">AP71+AP77</f>
        <v>4941.8000000000047</v>
      </c>
      <c r="AQ79" s="126">
        <f t="shared" si="101"/>
        <v>4941.8000000000047</v>
      </c>
      <c r="AR79" s="126">
        <f t="shared" si="101"/>
        <v>4941.8000000000047</v>
      </c>
      <c r="AS79" s="126">
        <f t="shared" si="101"/>
        <v>4941.8000000000047</v>
      </c>
      <c r="AT79" s="126">
        <f t="shared" si="101"/>
        <v>8116.9760000000042</v>
      </c>
      <c r="AU79" s="126">
        <f t="shared" si="101"/>
        <v>8116.9760000000042</v>
      </c>
      <c r="AV79" s="126">
        <f t="shared" si="101"/>
        <v>8116.9760000000042</v>
      </c>
      <c r="AW79" s="126">
        <f t="shared" si="101"/>
        <v>8116.9760000000042</v>
      </c>
      <c r="AX79" s="126">
        <f t="shared" si="101"/>
        <v>8116.9760000000042</v>
      </c>
      <c r="AY79" s="126">
        <f t="shared" si="101"/>
        <v>8116.9760000000042</v>
      </c>
      <c r="AZ79" s="126">
        <f t="shared" si="101"/>
        <v>8116.9760000000042</v>
      </c>
      <c r="BA79" s="126">
        <f t="shared" si="101"/>
        <v>8116.9760000000042</v>
      </c>
      <c r="BB79" s="126">
        <f t="shared" si="101"/>
        <v>8116.9760000000042</v>
      </c>
      <c r="BC79" s="126">
        <f t="shared" si="101"/>
        <v>8116.9760000000042</v>
      </c>
      <c r="BD79" s="126">
        <f t="shared" si="101"/>
        <v>8116.9760000000042</v>
      </c>
      <c r="BE79" s="126">
        <f t="shared" si="101"/>
        <v>8116.9760000000042</v>
      </c>
      <c r="BF79" s="126">
        <f t="shared" si="101"/>
        <v>12347.898320000008</v>
      </c>
      <c r="BG79" s="126">
        <f t="shared" si="101"/>
        <v>12347.898320000008</v>
      </c>
      <c r="BH79" s="126">
        <f t="shared" si="101"/>
        <v>12347.898320000008</v>
      </c>
      <c r="BI79" s="126">
        <f t="shared" si="101"/>
        <v>12347.898320000008</v>
      </c>
      <c r="BJ79" s="126">
        <f t="shared" si="101"/>
        <v>12347.898320000008</v>
      </c>
      <c r="BK79" s="126">
        <f t="shared" si="101"/>
        <v>12347.898320000008</v>
      </c>
      <c r="BL79" s="126">
        <f t="shared" si="101"/>
        <v>12347.898320000008</v>
      </c>
      <c r="BM79" s="126">
        <f t="shared" si="101"/>
        <v>12347.898320000008</v>
      </c>
      <c r="BN79" s="126">
        <f t="shared" si="101"/>
        <v>12347.898320000008</v>
      </c>
      <c r="BO79" s="126">
        <f t="shared" si="101"/>
        <v>12347.898320000008</v>
      </c>
      <c r="BP79" s="126">
        <f t="shared" si="101"/>
        <v>12347.898320000008</v>
      </c>
      <c r="BQ79" s="126">
        <f t="shared" si="101"/>
        <v>12347.898320000008</v>
      </c>
    </row>
    <row r="80" spans="3:69" ht="10.199999999999999">
      <c r="J80" s="100"/>
      <c r="K80" s="100"/>
      <c r="L80" s="100"/>
      <c r="M80" s="100"/>
      <c r="N80" s="100"/>
      <c r="O80" s="100"/>
      <c r="P80" s="100"/>
      <c r="Q80" s="100"/>
      <c r="R80" s="100"/>
      <c r="S80" s="100"/>
      <c r="T80" s="100"/>
      <c r="U80" s="100"/>
      <c r="V80" s="100"/>
      <c r="W80" s="100"/>
      <c r="X80" s="100"/>
      <c r="Y80" s="100"/>
      <c r="Z80" s="100"/>
      <c r="AA80" s="100"/>
      <c r="AB80" s="100"/>
      <c r="AC80" s="100"/>
      <c r="AD80" s="100"/>
      <c r="AE80" s="100"/>
      <c r="AF80" s="100"/>
      <c r="AG80" s="100"/>
      <c r="AH80" s="100"/>
      <c r="AI80" s="100"/>
      <c r="AJ80" s="100"/>
      <c r="AK80" s="100"/>
      <c r="AL80" s="100"/>
      <c r="AM80" s="100"/>
      <c r="AN80" s="100"/>
      <c r="AO80" s="100"/>
      <c r="AP80" s="100"/>
      <c r="AQ80" s="100"/>
      <c r="AR80" s="100"/>
      <c r="AS80" s="100"/>
      <c r="AT80" s="100"/>
      <c r="AU80" s="100"/>
      <c r="AV80" s="100"/>
      <c r="AW80" s="100"/>
      <c r="AX80" s="100"/>
      <c r="AY80" s="100"/>
      <c r="AZ80" s="100"/>
      <c r="BA80" s="100"/>
      <c r="BB80" s="100"/>
      <c r="BC80" s="100"/>
      <c r="BD80" s="100"/>
      <c r="BE80" s="100"/>
      <c r="BF80" s="100"/>
      <c r="BG80" s="100"/>
      <c r="BH80" s="100"/>
      <c r="BI80" s="100"/>
      <c r="BJ80" s="100"/>
      <c r="BK80" s="100"/>
      <c r="BL80" s="100"/>
      <c r="BM80" s="100"/>
      <c r="BN80" s="100"/>
      <c r="BO80" s="100"/>
      <c r="BP80" s="100"/>
      <c r="BQ80" s="100"/>
    </row>
    <row r="81" spans="1:69" ht="10.199999999999999">
      <c r="D81" s="92" t="s">
        <v>37</v>
      </c>
      <c r="J81" s="124">
        <f>Capital!J23</f>
        <v>0</v>
      </c>
      <c r="K81" s="124">
        <f>Capital!K23</f>
        <v>0</v>
      </c>
      <c r="L81" s="124">
        <f>Capital!L23</f>
        <v>0</v>
      </c>
      <c r="M81" s="124">
        <f>Capital!M23</f>
        <v>0</v>
      </c>
      <c r="N81" s="124">
        <f>Capital!N23</f>
        <v>0</v>
      </c>
      <c r="O81" s="124">
        <f>Capital!O23</f>
        <v>0</v>
      </c>
      <c r="P81" s="124">
        <f>Capital!P23</f>
        <v>0</v>
      </c>
      <c r="Q81" s="124">
        <f>Capital!Q23</f>
        <v>0</v>
      </c>
      <c r="R81" s="124">
        <f>Capital!R23</f>
        <v>0</v>
      </c>
      <c r="S81" s="124">
        <f>Capital!S23</f>
        <v>0</v>
      </c>
      <c r="T81" s="124">
        <f>Capital!T23</f>
        <v>0</v>
      </c>
      <c r="U81" s="124">
        <f>Capital!U23</f>
        <v>0</v>
      </c>
      <c r="V81" s="124">
        <f>Capital!V23</f>
        <v>0</v>
      </c>
      <c r="W81" s="124">
        <f>Capital!W23</f>
        <v>0</v>
      </c>
      <c r="X81" s="124">
        <f>Capital!X23</f>
        <v>0</v>
      </c>
      <c r="Y81" s="124">
        <f>Capital!Y23</f>
        <v>0</v>
      </c>
      <c r="Z81" s="124">
        <f>Capital!Z23</f>
        <v>0</v>
      </c>
      <c r="AA81" s="124">
        <f>Capital!AA23</f>
        <v>0</v>
      </c>
      <c r="AB81" s="124">
        <f>Capital!AB23</f>
        <v>0</v>
      </c>
      <c r="AC81" s="124">
        <f>Capital!AC23</f>
        <v>0</v>
      </c>
      <c r="AD81" s="124">
        <f>Capital!AD23</f>
        <v>0</v>
      </c>
      <c r="AE81" s="124">
        <f>Capital!AE23</f>
        <v>0</v>
      </c>
      <c r="AF81" s="124">
        <f>Capital!AF23</f>
        <v>0</v>
      </c>
      <c r="AG81" s="124">
        <f>Capital!AG23</f>
        <v>0</v>
      </c>
      <c r="AH81" s="124">
        <f>Capital!AH23</f>
        <v>0</v>
      </c>
      <c r="AI81" s="124">
        <f>Capital!AI23</f>
        <v>0</v>
      </c>
      <c r="AJ81" s="124">
        <f>Capital!AJ23</f>
        <v>0</v>
      </c>
      <c r="AK81" s="124">
        <f>Capital!AK23</f>
        <v>0</v>
      </c>
      <c r="AL81" s="124">
        <f>Capital!AL23</f>
        <v>0</v>
      </c>
      <c r="AM81" s="124">
        <f>Capital!AM23</f>
        <v>0</v>
      </c>
      <c r="AN81" s="124">
        <f>Capital!AN23</f>
        <v>0</v>
      </c>
      <c r="AO81" s="124">
        <f>Capital!AO23</f>
        <v>0</v>
      </c>
      <c r="AP81" s="124">
        <f>Capital!AP23</f>
        <v>0</v>
      </c>
      <c r="AQ81" s="124">
        <f>Capital!AQ23</f>
        <v>0</v>
      </c>
      <c r="AR81" s="124">
        <f>Capital!AR23</f>
        <v>0</v>
      </c>
      <c r="AS81" s="124">
        <f>Capital!AS23</f>
        <v>0</v>
      </c>
      <c r="AT81" s="124">
        <f>Capital!AT23</f>
        <v>0</v>
      </c>
      <c r="AU81" s="124">
        <f>Capital!AU23</f>
        <v>0</v>
      </c>
      <c r="AV81" s="124">
        <f>Capital!AV23</f>
        <v>0</v>
      </c>
      <c r="AW81" s="124">
        <f>Capital!AW23</f>
        <v>0</v>
      </c>
      <c r="AX81" s="124">
        <f>Capital!AX23</f>
        <v>0</v>
      </c>
      <c r="AY81" s="124">
        <f>Capital!AY23</f>
        <v>0</v>
      </c>
      <c r="AZ81" s="124">
        <f>Capital!AZ23</f>
        <v>0</v>
      </c>
      <c r="BA81" s="124">
        <f>Capital!BA23</f>
        <v>0</v>
      </c>
      <c r="BB81" s="124">
        <f>Capital!BB23</f>
        <v>0</v>
      </c>
      <c r="BC81" s="124">
        <f>Capital!BC23</f>
        <v>0</v>
      </c>
      <c r="BD81" s="124">
        <f>Capital!BD23</f>
        <v>0</v>
      </c>
      <c r="BE81" s="124">
        <f>Capital!BE23</f>
        <v>0</v>
      </c>
      <c r="BF81" s="124">
        <f>Capital!BF23</f>
        <v>0</v>
      </c>
      <c r="BG81" s="124">
        <f>Capital!BG23</f>
        <v>0</v>
      </c>
      <c r="BH81" s="124">
        <f>Capital!BH23</f>
        <v>0</v>
      </c>
      <c r="BI81" s="124">
        <f>Capital!BI23</f>
        <v>-833.33333333333337</v>
      </c>
      <c r="BJ81" s="124">
        <f>Capital!BJ23</f>
        <v>-801.82367249651406</v>
      </c>
      <c r="BK81" s="124">
        <f>Capital!BK23</f>
        <v>-770.05143115272119</v>
      </c>
      <c r="BL81" s="124">
        <f>Capital!BL23</f>
        <v>-738.0144211310635</v>
      </c>
      <c r="BM81" s="124">
        <f>Capital!BM23</f>
        <v>-705.71043602589214</v>
      </c>
      <c r="BN81" s="124">
        <f>Capital!BN23</f>
        <v>-673.13725104484388</v>
      </c>
      <c r="BO81" s="124">
        <f>Capital!BO23</f>
        <v>-640.29262285562061</v>
      </c>
      <c r="BP81" s="124">
        <f>Capital!BP23</f>
        <v>-607.17428943148695</v>
      </c>
      <c r="BQ81" s="124">
        <f>Capital!BQ23</f>
        <v>-573.77996989548569</v>
      </c>
    </row>
    <row r="82" spans="1:69" ht="10.199999999999999">
      <c r="J82" s="100"/>
      <c r="K82" s="100"/>
      <c r="L82" s="100"/>
      <c r="M82" s="100"/>
      <c r="N82" s="100"/>
      <c r="O82" s="100"/>
      <c r="P82" s="100"/>
      <c r="Q82" s="100"/>
      <c r="R82" s="100"/>
      <c r="S82" s="100"/>
      <c r="T82" s="100"/>
      <c r="U82" s="100"/>
      <c r="V82" s="100"/>
      <c r="W82" s="100"/>
      <c r="X82" s="100"/>
      <c r="Y82" s="100"/>
      <c r="Z82" s="100"/>
      <c r="AA82" s="100"/>
      <c r="AB82" s="100"/>
      <c r="AC82" s="100"/>
      <c r="AD82" s="100"/>
      <c r="AE82" s="100"/>
      <c r="AF82" s="100"/>
      <c r="AG82" s="100"/>
      <c r="AH82" s="100"/>
      <c r="AI82" s="100"/>
      <c r="AJ82" s="100"/>
      <c r="AK82" s="100"/>
      <c r="AL82" s="100"/>
      <c r="AM82" s="100"/>
      <c r="AN82" s="100"/>
      <c r="AO82" s="100"/>
      <c r="AP82" s="100"/>
      <c r="AQ82" s="100"/>
      <c r="AR82" s="100"/>
      <c r="AS82" s="100"/>
      <c r="AT82" s="100"/>
      <c r="AU82" s="100"/>
      <c r="AV82" s="100"/>
      <c r="AW82" s="100"/>
      <c r="AX82" s="100"/>
      <c r="AY82" s="100"/>
      <c r="AZ82" s="100"/>
      <c r="BA82" s="100"/>
      <c r="BB82" s="100"/>
      <c r="BC82" s="100"/>
      <c r="BD82" s="100"/>
      <c r="BE82" s="100"/>
      <c r="BF82" s="100"/>
      <c r="BG82" s="100"/>
      <c r="BH82" s="100"/>
      <c r="BI82" s="100"/>
      <c r="BJ82" s="100"/>
      <c r="BK82" s="100"/>
      <c r="BL82" s="100"/>
      <c r="BM82" s="100"/>
      <c r="BN82" s="100"/>
      <c r="BO82" s="100"/>
      <c r="BP82" s="100"/>
      <c r="BQ82" s="100"/>
    </row>
    <row r="83" spans="1:69" ht="11.4">
      <c r="C83" s="128" t="s">
        <v>4</v>
      </c>
      <c r="J83" s="126">
        <f>J79+J81</f>
        <v>-1750.0000000000005</v>
      </c>
      <c r="K83" s="126">
        <f t="shared" ref="K83:BQ83" si="102">K79+K81</f>
        <v>371.21212121212125</v>
      </c>
      <c r="L83" s="126">
        <f t="shared" si="102"/>
        <v>1337.878787878788</v>
      </c>
      <c r="M83" s="126">
        <f t="shared" si="102"/>
        <v>1337.878787878788</v>
      </c>
      <c r="N83" s="126">
        <f t="shared" si="102"/>
        <v>1337.878787878788</v>
      </c>
      <c r="O83" s="126">
        <f t="shared" si="102"/>
        <v>1337.878787878788</v>
      </c>
      <c r="P83" s="126">
        <f t="shared" si="102"/>
        <v>1337.878787878788</v>
      </c>
      <c r="Q83" s="126">
        <f t="shared" si="102"/>
        <v>1337.878787878788</v>
      </c>
      <c r="R83" s="126">
        <f t="shared" si="102"/>
        <v>1337.878787878788</v>
      </c>
      <c r="S83" s="126">
        <f t="shared" si="102"/>
        <v>1337.878787878788</v>
      </c>
      <c r="T83" s="126">
        <f t="shared" si="102"/>
        <v>1337.878787878788</v>
      </c>
      <c r="U83" s="126">
        <f t="shared" si="102"/>
        <v>1337.878787878788</v>
      </c>
      <c r="V83" s="126">
        <f t="shared" si="102"/>
        <v>2565</v>
      </c>
      <c r="W83" s="126">
        <f t="shared" si="102"/>
        <v>2565</v>
      </c>
      <c r="X83" s="126">
        <f t="shared" si="102"/>
        <v>2565</v>
      </c>
      <c r="Y83" s="126">
        <f t="shared" si="102"/>
        <v>2565</v>
      </c>
      <c r="Z83" s="126">
        <f t="shared" si="102"/>
        <v>2565</v>
      </c>
      <c r="AA83" s="126">
        <f t="shared" si="102"/>
        <v>2565</v>
      </c>
      <c r="AB83" s="126">
        <f t="shared" si="102"/>
        <v>2565</v>
      </c>
      <c r="AC83" s="126">
        <f t="shared" si="102"/>
        <v>2565</v>
      </c>
      <c r="AD83" s="126">
        <f t="shared" si="102"/>
        <v>2565</v>
      </c>
      <c r="AE83" s="126">
        <f t="shared" si="102"/>
        <v>2565</v>
      </c>
      <c r="AF83" s="126">
        <f t="shared" si="102"/>
        <v>2565</v>
      </c>
      <c r="AG83" s="126">
        <f t="shared" si="102"/>
        <v>2565</v>
      </c>
      <c r="AH83" s="126">
        <f t="shared" si="102"/>
        <v>4941.8000000000047</v>
      </c>
      <c r="AI83" s="126">
        <f t="shared" si="102"/>
        <v>4941.8000000000047</v>
      </c>
      <c r="AJ83" s="126">
        <f t="shared" si="102"/>
        <v>4941.8000000000047</v>
      </c>
      <c r="AK83" s="126">
        <f t="shared" si="102"/>
        <v>4941.8000000000047</v>
      </c>
      <c r="AL83" s="126">
        <f t="shared" si="102"/>
        <v>4941.8000000000047</v>
      </c>
      <c r="AM83" s="126">
        <f t="shared" si="102"/>
        <v>4941.8000000000047</v>
      </c>
      <c r="AN83" s="126">
        <f t="shared" si="102"/>
        <v>4941.8000000000047</v>
      </c>
      <c r="AO83" s="126">
        <f t="shared" si="102"/>
        <v>4941.8000000000047</v>
      </c>
      <c r="AP83" s="126">
        <f t="shared" si="102"/>
        <v>4941.8000000000047</v>
      </c>
      <c r="AQ83" s="126">
        <f t="shared" si="102"/>
        <v>4941.8000000000047</v>
      </c>
      <c r="AR83" s="126">
        <f t="shared" si="102"/>
        <v>4941.8000000000047</v>
      </c>
      <c r="AS83" s="126">
        <f t="shared" si="102"/>
        <v>4941.8000000000047</v>
      </c>
      <c r="AT83" s="126">
        <f t="shared" si="102"/>
        <v>8116.9760000000042</v>
      </c>
      <c r="AU83" s="126">
        <f t="shared" si="102"/>
        <v>8116.9760000000042</v>
      </c>
      <c r="AV83" s="126">
        <f t="shared" si="102"/>
        <v>8116.9760000000042</v>
      </c>
      <c r="AW83" s="126">
        <f t="shared" si="102"/>
        <v>8116.9760000000042</v>
      </c>
      <c r="AX83" s="126">
        <f t="shared" si="102"/>
        <v>8116.9760000000042</v>
      </c>
      <c r="AY83" s="126">
        <f t="shared" si="102"/>
        <v>8116.9760000000042</v>
      </c>
      <c r="AZ83" s="126">
        <f t="shared" si="102"/>
        <v>8116.9760000000042</v>
      </c>
      <c r="BA83" s="126">
        <f t="shared" si="102"/>
        <v>8116.9760000000042</v>
      </c>
      <c r="BB83" s="126">
        <f t="shared" si="102"/>
        <v>8116.9760000000042</v>
      </c>
      <c r="BC83" s="126">
        <f t="shared" si="102"/>
        <v>8116.9760000000042</v>
      </c>
      <c r="BD83" s="126">
        <f t="shared" si="102"/>
        <v>8116.9760000000042</v>
      </c>
      <c r="BE83" s="126">
        <f t="shared" si="102"/>
        <v>8116.9760000000042</v>
      </c>
      <c r="BF83" s="126">
        <f t="shared" si="102"/>
        <v>12347.898320000008</v>
      </c>
      <c r="BG83" s="126">
        <f t="shared" si="102"/>
        <v>12347.898320000008</v>
      </c>
      <c r="BH83" s="126">
        <f t="shared" si="102"/>
        <v>12347.898320000008</v>
      </c>
      <c r="BI83" s="126">
        <f t="shared" si="102"/>
        <v>11514.564986666674</v>
      </c>
      <c r="BJ83" s="126">
        <f t="shared" si="102"/>
        <v>11546.074647503494</v>
      </c>
      <c r="BK83" s="126">
        <f t="shared" si="102"/>
        <v>11577.846888847287</v>
      </c>
      <c r="BL83" s="126">
        <f t="shared" si="102"/>
        <v>11609.883898868944</v>
      </c>
      <c r="BM83" s="126">
        <f t="shared" si="102"/>
        <v>11642.187883974115</v>
      </c>
      <c r="BN83" s="126">
        <f t="shared" si="102"/>
        <v>11674.761068955164</v>
      </c>
      <c r="BO83" s="126">
        <f t="shared" si="102"/>
        <v>11707.605697144387</v>
      </c>
      <c r="BP83" s="126">
        <f t="shared" si="102"/>
        <v>11740.724030568521</v>
      </c>
      <c r="BQ83" s="126">
        <f t="shared" si="102"/>
        <v>11774.118350104522</v>
      </c>
    </row>
    <row r="84" spans="1:69" ht="10.199999999999999">
      <c r="J84" s="100"/>
      <c r="K84" s="100"/>
      <c r="L84" s="100"/>
      <c r="M84" s="100"/>
      <c r="N84" s="100"/>
      <c r="O84" s="100"/>
      <c r="P84" s="100"/>
      <c r="Q84" s="100"/>
      <c r="R84" s="100"/>
      <c r="S84" s="100"/>
      <c r="T84" s="100"/>
      <c r="U84" s="100"/>
      <c r="V84" s="100"/>
      <c r="W84" s="100"/>
      <c r="X84" s="100"/>
      <c r="Y84" s="100"/>
      <c r="Z84" s="100"/>
      <c r="AA84" s="100"/>
      <c r="AB84" s="100"/>
      <c r="AC84" s="100"/>
      <c r="AD84" s="100"/>
      <c r="AE84" s="100"/>
      <c r="AF84" s="100"/>
      <c r="AG84" s="100"/>
      <c r="AH84" s="100"/>
      <c r="AI84" s="100"/>
      <c r="AJ84" s="100"/>
      <c r="AK84" s="100"/>
      <c r="AL84" s="100"/>
      <c r="AM84" s="100"/>
      <c r="AN84" s="100"/>
      <c r="AO84" s="100"/>
      <c r="AP84" s="100"/>
      <c r="AQ84" s="100"/>
      <c r="AR84" s="100"/>
      <c r="AS84" s="100"/>
      <c r="AT84" s="100"/>
      <c r="AU84" s="100"/>
      <c r="AV84" s="100"/>
      <c r="AW84" s="100"/>
      <c r="AX84" s="100"/>
      <c r="AY84" s="100"/>
      <c r="AZ84" s="100"/>
      <c r="BA84" s="100"/>
      <c r="BB84" s="100"/>
      <c r="BC84" s="100"/>
      <c r="BD84" s="100"/>
      <c r="BE84" s="100"/>
      <c r="BF84" s="100"/>
      <c r="BG84" s="100"/>
      <c r="BH84" s="100"/>
      <c r="BI84" s="100"/>
      <c r="BJ84" s="100"/>
      <c r="BK84" s="100"/>
      <c r="BL84" s="100"/>
      <c r="BM84" s="100"/>
      <c r="BN84" s="100"/>
      <c r="BO84" s="100"/>
      <c r="BP84" s="100"/>
      <c r="BQ84" s="100"/>
    </row>
    <row r="85" spans="1:69" ht="10.199999999999999">
      <c r="A85" s="122"/>
      <c r="B85" s="122"/>
      <c r="C85" s="122"/>
      <c r="D85" s="92" t="s">
        <v>5</v>
      </c>
      <c r="E85" s="122"/>
      <c r="F85" s="122"/>
      <c r="I85" s="122"/>
      <c r="J85" s="136">
        <f t="shared" ref="J85:AO85" si="103">IF(J83&gt;0,-J83*Tax,0)</f>
        <v>0</v>
      </c>
      <c r="K85" s="136">
        <f t="shared" si="103"/>
        <v>-55.681818181818187</v>
      </c>
      <c r="L85" s="136">
        <f t="shared" si="103"/>
        <v>-200.68181818181819</v>
      </c>
      <c r="M85" s="136">
        <f t="shared" si="103"/>
        <v>-200.68181818181819</v>
      </c>
      <c r="N85" s="136">
        <f t="shared" si="103"/>
        <v>-200.68181818181819</v>
      </c>
      <c r="O85" s="136">
        <f t="shared" si="103"/>
        <v>-200.68181818181819</v>
      </c>
      <c r="P85" s="136">
        <f t="shared" si="103"/>
        <v>-200.68181818181819</v>
      </c>
      <c r="Q85" s="136">
        <f t="shared" si="103"/>
        <v>-200.68181818181819</v>
      </c>
      <c r="R85" s="136">
        <f t="shared" si="103"/>
        <v>-200.68181818181819</v>
      </c>
      <c r="S85" s="136">
        <f t="shared" si="103"/>
        <v>-200.68181818181819</v>
      </c>
      <c r="T85" s="136">
        <f t="shared" si="103"/>
        <v>-200.68181818181819</v>
      </c>
      <c r="U85" s="136">
        <f t="shared" si="103"/>
        <v>-200.68181818181819</v>
      </c>
      <c r="V85" s="136">
        <f t="shared" si="103"/>
        <v>-384.75</v>
      </c>
      <c r="W85" s="136">
        <f t="shared" si="103"/>
        <v>-384.75</v>
      </c>
      <c r="X85" s="136">
        <f t="shared" si="103"/>
        <v>-384.75</v>
      </c>
      <c r="Y85" s="136">
        <f t="shared" si="103"/>
        <v>-384.75</v>
      </c>
      <c r="Z85" s="136">
        <f t="shared" si="103"/>
        <v>-384.75</v>
      </c>
      <c r="AA85" s="136">
        <f t="shared" si="103"/>
        <v>-384.75</v>
      </c>
      <c r="AB85" s="136">
        <f t="shared" si="103"/>
        <v>-384.75</v>
      </c>
      <c r="AC85" s="136">
        <f t="shared" si="103"/>
        <v>-384.75</v>
      </c>
      <c r="AD85" s="136">
        <f t="shared" si="103"/>
        <v>-384.75</v>
      </c>
      <c r="AE85" s="136">
        <f t="shared" si="103"/>
        <v>-384.75</v>
      </c>
      <c r="AF85" s="136">
        <f t="shared" si="103"/>
        <v>-384.75</v>
      </c>
      <c r="AG85" s="136">
        <f t="shared" si="103"/>
        <v>-384.75</v>
      </c>
      <c r="AH85" s="136">
        <f t="shared" si="103"/>
        <v>-741.27000000000066</v>
      </c>
      <c r="AI85" s="136">
        <f t="shared" si="103"/>
        <v>-741.27000000000066</v>
      </c>
      <c r="AJ85" s="136">
        <f t="shared" si="103"/>
        <v>-741.27000000000066</v>
      </c>
      <c r="AK85" s="136">
        <f t="shared" si="103"/>
        <v>-741.27000000000066</v>
      </c>
      <c r="AL85" s="136">
        <f t="shared" si="103"/>
        <v>-741.27000000000066</v>
      </c>
      <c r="AM85" s="136">
        <f t="shared" si="103"/>
        <v>-741.27000000000066</v>
      </c>
      <c r="AN85" s="136">
        <f t="shared" si="103"/>
        <v>-741.27000000000066</v>
      </c>
      <c r="AO85" s="136">
        <f t="shared" si="103"/>
        <v>-741.27000000000066</v>
      </c>
      <c r="AP85" s="136">
        <f t="shared" ref="AP85:BQ85" si="104">IF(AP83&gt;0,-AP83*Tax,0)</f>
        <v>-741.27000000000066</v>
      </c>
      <c r="AQ85" s="136">
        <f t="shared" si="104"/>
        <v>-741.27000000000066</v>
      </c>
      <c r="AR85" s="136">
        <f t="shared" si="104"/>
        <v>-741.27000000000066</v>
      </c>
      <c r="AS85" s="136">
        <f t="shared" si="104"/>
        <v>-741.27000000000066</v>
      </c>
      <c r="AT85" s="136">
        <f t="shared" si="104"/>
        <v>-1217.5464000000006</v>
      </c>
      <c r="AU85" s="136">
        <f t="shared" si="104"/>
        <v>-1217.5464000000006</v>
      </c>
      <c r="AV85" s="136">
        <f t="shared" si="104"/>
        <v>-1217.5464000000006</v>
      </c>
      <c r="AW85" s="136">
        <f t="shared" si="104"/>
        <v>-1217.5464000000006</v>
      </c>
      <c r="AX85" s="136">
        <f t="shared" si="104"/>
        <v>-1217.5464000000006</v>
      </c>
      <c r="AY85" s="136">
        <f t="shared" si="104"/>
        <v>-1217.5464000000006</v>
      </c>
      <c r="AZ85" s="136">
        <f t="shared" si="104"/>
        <v>-1217.5464000000006</v>
      </c>
      <c r="BA85" s="136">
        <f t="shared" si="104"/>
        <v>-1217.5464000000006</v>
      </c>
      <c r="BB85" s="136">
        <f t="shared" si="104"/>
        <v>-1217.5464000000006</v>
      </c>
      <c r="BC85" s="136">
        <f t="shared" si="104"/>
        <v>-1217.5464000000006</v>
      </c>
      <c r="BD85" s="136">
        <f t="shared" si="104"/>
        <v>-1217.5464000000006</v>
      </c>
      <c r="BE85" s="136">
        <f t="shared" si="104"/>
        <v>-1217.5464000000006</v>
      </c>
      <c r="BF85" s="136">
        <f t="shared" si="104"/>
        <v>-1852.184748000001</v>
      </c>
      <c r="BG85" s="136">
        <f t="shared" si="104"/>
        <v>-1852.184748000001</v>
      </c>
      <c r="BH85" s="136">
        <f t="shared" si="104"/>
        <v>-1852.184748000001</v>
      </c>
      <c r="BI85" s="136">
        <f t="shared" si="104"/>
        <v>-1727.184748000001</v>
      </c>
      <c r="BJ85" s="136">
        <f t="shared" si="104"/>
        <v>-1731.911197125524</v>
      </c>
      <c r="BK85" s="136">
        <f t="shared" si="104"/>
        <v>-1736.6770333270931</v>
      </c>
      <c r="BL85" s="136">
        <f t="shared" si="104"/>
        <v>-1741.4825848303415</v>
      </c>
      <c r="BM85" s="136">
        <f t="shared" si="104"/>
        <v>-1746.3281825961171</v>
      </c>
      <c r="BN85" s="136">
        <f t="shared" si="104"/>
        <v>-1751.2141603432744</v>
      </c>
      <c r="BO85" s="136">
        <f t="shared" si="104"/>
        <v>-1756.1408545716579</v>
      </c>
      <c r="BP85" s="136">
        <f t="shared" si="104"/>
        <v>-1761.108604585278</v>
      </c>
      <c r="BQ85" s="136">
        <f t="shared" si="104"/>
        <v>-1766.1177525156781</v>
      </c>
    </row>
    <row r="86" spans="1:69" ht="10.8" thickBot="1">
      <c r="J86" s="137"/>
      <c r="K86" s="137"/>
      <c r="L86" s="137"/>
      <c r="M86" s="137"/>
      <c r="N86" s="137"/>
      <c r="O86" s="137"/>
      <c r="P86" s="137"/>
      <c r="Q86" s="137"/>
      <c r="R86" s="137"/>
      <c r="S86" s="137"/>
      <c r="T86" s="137"/>
      <c r="U86" s="137"/>
      <c r="V86" s="137"/>
      <c r="W86" s="137"/>
      <c r="X86" s="137"/>
      <c r="Y86" s="137"/>
      <c r="Z86" s="137"/>
      <c r="AA86" s="137"/>
      <c r="AB86" s="137"/>
      <c r="AC86" s="137"/>
      <c r="AD86" s="137"/>
      <c r="AE86" s="137"/>
      <c r="AF86" s="137"/>
      <c r="AG86" s="137"/>
      <c r="AH86" s="137"/>
      <c r="AI86" s="137"/>
      <c r="AJ86" s="137"/>
      <c r="AK86" s="137"/>
      <c r="AL86" s="137"/>
      <c r="AM86" s="137"/>
      <c r="AN86" s="137"/>
      <c r="AO86" s="137"/>
      <c r="AP86" s="137"/>
      <c r="AQ86" s="137"/>
      <c r="AR86" s="137"/>
      <c r="AS86" s="137"/>
      <c r="AT86" s="137"/>
      <c r="AU86" s="137"/>
      <c r="AV86" s="137"/>
      <c r="AW86" s="137"/>
      <c r="AX86" s="137"/>
      <c r="AY86" s="137"/>
      <c r="AZ86" s="137"/>
      <c r="BA86" s="137"/>
      <c r="BB86" s="137"/>
      <c r="BC86" s="137"/>
      <c r="BD86" s="137"/>
      <c r="BE86" s="137"/>
      <c r="BF86" s="137"/>
      <c r="BG86" s="137"/>
      <c r="BH86" s="137"/>
      <c r="BI86" s="137"/>
      <c r="BJ86" s="137"/>
      <c r="BK86" s="137"/>
      <c r="BL86" s="137"/>
      <c r="BM86" s="137"/>
      <c r="BN86" s="137"/>
      <c r="BO86" s="137"/>
      <c r="BP86" s="137"/>
      <c r="BQ86" s="137"/>
    </row>
    <row r="87" spans="1:69" s="107" customFormat="1" ht="12" thickTop="1">
      <c r="C87" s="138" t="s">
        <v>6</v>
      </c>
      <c r="J87" s="135">
        <f>J83+J85</f>
        <v>-1750.0000000000005</v>
      </c>
      <c r="K87" s="135">
        <f t="shared" ref="K87:BQ87" si="105">K83+K85</f>
        <v>315.53030303030306</v>
      </c>
      <c r="L87" s="135">
        <f t="shared" si="105"/>
        <v>1137.1969696969697</v>
      </c>
      <c r="M87" s="135">
        <f t="shared" si="105"/>
        <v>1137.1969696969697</v>
      </c>
      <c r="N87" s="135">
        <f t="shared" si="105"/>
        <v>1137.1969696969697</v>
      </c>
      <c r="O87" s="135">
        <f t="shared" si="105"/>
        <v>1137.1969696969697</v>
      </c>
      <c r="P87" s="135">
        <f t="shared" si="105"/>
        <v>1137.1969696969697</v>
      </c>
      <c r="Q87" s="135">
        <f t="shared" si="105"/>
        <v>1137.1969696969697</v>
      </c>
      <c r="R87" s="135">
        <f t="shared" si="105"/>
        <v>1137.1969696969697</v>
      </c>
      <c r="S87" s="135">
        <f t="shared" si="105"/>
        <v>1137.1969696969697</v>
      </c>
      <c r="T87" s="135">
        <f t="shared" si="105"/>
        <v>1137.1969696969697</v>
      </c>
      <c r="U87" s="135">
        <f t="shared" si="105"/>
        <v>1137.1969696969697</v>
      </c>
      <c r="V87" s="135">
        <f t="shared" si="105"/>
        <v>2180.25</v>
      </c>
      <c r="W87" s="135">
        <f t="shared" si="105"/>
        <v>2180.25</v>
      </c>
      <c r="X87" s="135">
        <f t="shared" si="105"/>
        <v>2180.25</v>
      </c>
      <c r="Y87" s="135">
        <f t="shared" si="105"/>
        <v>2180.25</v>
      </c>
      <c r="Z87" s="135">
        <f t="shared" si="105"/>
        <v>2180.25</v>
      </c>
      <c r="AA87" s="135">
        <f t="shared" si="105"/>
        <v>2180.25</v>
      </c>
      <c r="AB87" s="135">
        <f t="shared" si="105"/>
        <v>2180.25</v>
      </c>
      <c r="AC87" s="135">
        <f t="shared" si="105"/>
        <v>2180.25</v>
      </c>
      <c r="AD87" s="135">
        <f t="shared" si="105"/>
        <v>2180.25</v>
      </c>
      <c r="AE87" s="135">
        <f t="shared" si="105"/>
        <v>2180.25</v>
      </c>
      <c r="AF87" s="135">
        <f t="shared" si="105"/>
        <v>2180.25</v>
      </c>
      <c r="AG87" s="135">
        <f t="shared" si="105"/>
        <v>2180.25</v>
      </c>
      <c r="AH87" s="135">
        <f t="shared" si="105"/>
        <v>4200.5300000000043</v>
      </c>
      <c r="AI87" s="135">
        <f t="shared" si="105"/>
        <v>4200.5300000000043</v>
      </c>
      <c r="AJ87" s="135">
        <f t="shared" si="105"/>
        <v>4200.5300000000043</v>
      </c>
      <c r="AK87" s="135">
        <f t="shared" si="105"/>
        <v>4200.5300000000043</v>
      </c>
      <c r="AL87" s="135">
        <f t="shared" si="105"/>
        <v>4200.5300000000043</v>
      </c>
      <c r="AM87" s="135">
        <f t="shared" si="105"/>
        <v>4200.5300000000043</v>
      </c>
      <c r="AN87" s="135">
        <f t="shared" si="105"/>
        <v>4200.5300000000043</v>
      </c>
      <c r="AO87" s="135">
        <f t="shared" si="105"/>
        <v>4200.5300000000043</v>
      </c>
      <c r="AP87" s="135">
        <f t="shared" si="105"/>
        <v>4200.5300000000043</v>
      </c>
      <c r="AQ87" s="135">
        <f t="shared" si="105"/>
        <v>4200.5300000000043</v>
      </c>
      <c r="AR87" s="135">
        <f t="shared" si="105"/>
        <v>4200.5300000000043</v>
      </c>
      <c r="AS87" s="135">
        <f t="shared" si="105"/>
        <v>4200.5300000000043</v>
      </c>
      <c r="AT87" s="135">
        <f t="shared" si="105"/>
        <v>6899.4296000000031</v>
      </c>
      <c r="AU87" s="135">
        <f t="shared" si="105"/>
        <v>6899.4296000000031</v>
      </c>
      <c r="AV87" s="135">
        <f t="shared" si="105"/>
        <v>6899.4296000000031</v>
      </c>
      <c r="AW87" s="135">
        <f t="shared" si="105"/>
        <v>6899.4296000000031</v>
      </c>
      <c r="AX87" s="135">
        <f t="shared" si="105"/>
        <v>6899.4296000000031</v>
      </c>
      <c r="AY87" s="135">
        <f t="shared" si="105"/>
        <v>6899.4296000000031</v>
      </c>
      <c r="AZ87" s="135">
        <f t="shared" si="105"/>
        <v>6899.4296000000031</v>
      </c>
      <c r="BA87" s="135">
        <f t="shared" si="105"/>
        <v>6899.4296000000031</v>
      </c>
      <c r="BB87" s="135">
        <f t="shared" si="105"/>
        <v>6899.4296000000031</v>
      </c>
      <c r="BC87" s="135">
        <f t="shared" si="105"/>
        <v>6899.4296000000031</v>
      </c>
      <c r="BD87" s="135">
        <f t="shared" si="105"/>
        <v>6899.4296000000031</v>
      </c>
      <c r="BE87" s="135">
        <f t="shared" si="105"/>
        <v>6899.4296000000031</v>
      </c>
      <c r="BF87" s="135">
        <f t="shared" si="105"/>
        <v>10495.713572000006</v>
      </c>
      <c r="BG87" s="135">
        <f t="shared" si="105"/>
        <v>10495.713572000006</v>
      </c>
      <c r="BH87" s="135">
        <f t="shared" si="105"/>
        <v>10495.713572000006</v>
      </c>
      <c r="BI87" s="135">
        <f t="shared" si="105"/>
        <v>9787.3802386666721</v>
      </c>
      <c r="BJ87" s="135">
        <f t="shared" si="105"/>
        <v>9814.1634503779696</v>
      </c>
      <c r="BK87" s="135">
        <f t="shared" si="105"/>
        <v>9841.1698555201947</v>
      </c>
      <c r="BL87" s="135">
        <f t="shared" si="105"/>
        <v>9868.4013140386032</v>
      </c>
      <c r="BM87" s="135">
        <f t="shared" si="105"/>
        <v>9895.8597013779981</v>
      </c>
      <c r="BN87" s="135">
        <f t="shared" si="105"/>
        <v>9923.5469086118901</v>
      </c>
      <c r="BO87" s="135">
        <f t="shared" si="105"/>
        <v>9951.4648425727282</v>
      </c>
      <c r="BP87" s="135">
        <f t="shared" si="105"/>
        <v>9979.6154259832438</v>
      </c>
      <c r="BQ87" s="135">
        <f t="shared" si="105"/>
        <v>10008.000597588843</v>
      </c>
    </row>
  </sheetData>
  <pageMargins left="0.5" right="0.5" top="0.25" bottom="0.25" header="0" footer="0.25"/>
  <pageSetup paperSize="9" scale="84" fitToWidth="5" orientation="landscape" r:id="rId1"/>
  <headerFooter>
    <oddFooter>&amp;L&amp;12Built with finmodelslab.com template&amp;C&amp;12Income Statement&amp;R&amp;D</oddFooter>
  </headerFooter>
  <colBreaks count="4" manualBreakCount="4">
    <brk id="21" max="107" man="1"/>
    <brk id="33" max="107" man="1"/>
    <brk id="45" max="107" man="1"/>
    <brk id="57" max="107"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C000"/>
    <pageSetUpPr autoPageBreaks="0"/>
  </sheetPr>
  <dimension ref="A1:BQ33"/>
  <sheetViews>
    <sheetView showGridLines="0" zoomScaleNormal="100" zoomScaleSheetLayoutView="70" workbookViewId="0">
      <pane xSplit="9" ySplit="5" topLeftCell="J6" activePane="bottomRight" state="frozen"/>
      <selection sqref="A1:A1048576"/>
      <selection pane="topRight" sqref="A1:A1048576"/>
      <selection pane="bottomLeft" sqref="A1:A1048576"/>
      <selection pane="bottomRight" activeCell="N47" sqref="N47"/>
    </sheetView>
  </sheetViews>
  <sheetFormatPr defaultColWidth="11.7109375" defaultRowHeight="10.5" customHeight="1"/>
  <cols>
    <col min="1" max="1" width="2.140625" style="84" customWidth="1"/>
    <col min="2" max="2" width="1.85546875" style="84" customWidth="1"/>
    <col min="3" max="3" width="1.42578125" style="84" customWidth="1"/>
    <col min="4" max="5" width="3.7109375" style="84" customWidth="1"/>
    <col min="6" max="9" width="8.28515625" style="84" customWidth="1"/>
    <col min="10" max="69" width="11.28515625" style="84" customWidth="1"/>
    <col min="70" max="16384" width="11.7109375" style="84"/>
  </cols>
  <sheetData>
    <row r="1" spans="1:69" ht="17.399999999999999">
      <c r="B1" s="85" t="s">
        <v>21</v>
      </c>
    </row>
    <row r="2" spans="1:69" ht="15">
      <c r="B2" s="86" t="e">
        <f>Model_Name</f>
        <v>#REF!</v>
      </c>
      <c r="C2" s="87" t="s">
        <v>163</v>
      </c>
    </row>
    <row r="3" spans="1:69" ht="10.199999999999999">
      <c r="I3" s="89"/>
    </row>
    <row r="4" spans="1:69" ht="10.199999999999999">
      <c r="A4" s="91"/>
      <c r="B4" s="92" t="s">
        <v>72</v>
      </c>
      <c r="C4" s="91"/>
      <c r="D4" s="91"/>
      <c r="E4" s="91"/>
      <c r="F4" s="91"/>
      <c r="G4" s="91"/>
      <c r="H4" s="91"/>
      <c r="I4" s="91"/>
      <c r="J4" s="91">
        <f>YEAR(J5)</f>
        <v>2018</v>
      </c>
      <c r="K4" s="91">
        <f t="shared" ref="K4:BQ4" si="0">YEAR(K5)</f>
        <v>2018</v>
      </c>
      <c r="L4" s="91">
        <f t="shared" si="0"/>
        <v>2018</v>
      </c>
      <c r="M4" s="91">
        <f t="shared" si="0"/>
        <v>2018</v>
      </c>
      <c r="N4" s="91">
        <f t="shared" si="0"/>
        <v>2018</v>
      </c>
      <c r="O4" s="91">
        <f t="shared" si="0"/>
        <v>2018</v>
      </c>
      <c r="P4" s="91">
        <f t="shared" si="0"/>
        <v>2018</v>
      </c>
      <c r="Q4" s="91">
        <f t="shared" si="0"/>
        <v>2018</v>
      </c>
      <c r="R4" s="91">
        <f t="shared" si="0"/>
        <v>2018</v>
      </c>
      <c r="S4" s="91">
        <f t="shared" si="0"/>
        <v>2018</v>
      </c>
      <c r="T4" s="91">
        <f t="shared" si="0"/>
        <v>2018</v>
      </c>
      <c r="U4" s="91">
        <f t="shared" si="0"/>
        <v>2018</v>
      </c>
      <c r="V4" s="91">
        <f t="shared" si="0"/>
        <v>2019</v>
      </c>
      <c r="W4" s="91">
        <f t="shared" si="0"/>
        <v>2019</v>
      </c>
      <c r="X4" s="91">
        <f t="shared" si="0"/>
        <v>2019</v>
      </c>
      <c r="Y4" s="91">
        <f t="shared" si="0"/>
        <v>2019</v>
      </c>
      <c r="Z4" s="91">
        <f t="shared" si="0"/>
        <v>2019</v>
      </c>
      <c r="AA4" s="91">
        <f t="shared" si="0"/>
        <v>2019</v>
      </c>
      <c r="AB4" s="91">
        <f t="shared" si="0"/>
        <v>2019</v>
      </c>
      <c r="AC4" s="91">
        <f t="shared" si="0"/>
        <v>2019</v>
      </c>
      <c r="AD4" s="91">
        <f t="shared" si="0"/>
        <v>2019</v>
      </c>
      <c r="AE4" s="91">
        <f t="shared" si="0"/>
        <v>2019</v>
      </c>
      <c r="AF4" s="91">
        <f t="shared" si="0"/>
        <v>2019</v>
      </c>
      <c r="AG4" s="91">
        <f t="shared" si="0"/>
        <v>2019</v>
      </c>
      <c r="AH4" s="91">
        <f t="shared" si="0"/>
        <v>2020</v>
      </c>
      <c r="AI4" s="91">
        <f t="shared" si="0"/>
        <v>2020</v>
      </c>
      <c r="AJ4" s="91">
        <f t="shared" si="0"/>
        <v>2020</v>
      </c>
      <c r="AK4" s="91">
        <f t="shared" si="0"/>
        <v>2020</v>
      </c>
      <c r="AL4" s="91">
        <f t="shared" si="0"/>
        <v>2020</v>
      </c>
      <c r="AM4" s="91">
        <f t="shared" si="0"/>
        <v>2020</v>
      </c>
      <c r="AN4" s="91">
        <f t="shared" si="0"/>
        <v>2020</v>
      </c>
      <c r="AO4" s="91">
        <f t="shared" si="0"/>
        <v>2020</v>
      </c>
      <c r="AP4" s="91">
        <f t="shared" si="0"/>
        <v>2020</v>
      </c>
      <c r="AQ4" s="91">
        <f t="shared" si="0"/>
        <v>2020</v>
      </c>
      <c r="AR4" s="91">
        <f t="shared" si="0"/>
        <v>2020</v>
      </c>
      <c r="AS4" s="91">
        <f t="shared" si="0"/>
        <v>2020</v>
      </c>
      <c r="AT4" s="91">
        <f t="shared" si="0"/>
        <v>2021</v>
      </c>
      <c r="AU4" s="91">
        <f t="shared" si="0"/>
        <v>2021</v>
      </c>
      <c r="AV4" s="91">
        <f t="shared" si="0"/>
        <v>2021</v>
      </c>
      <c r="AW4" s="91">
        <f t="shared" si="0"/>
        <v>2021</v>
      </c>
      <c r="AX4" s="91">
        <f t="shared" si="0"/>
        <v>2021</v>
      </c>
      <c r="AY4" s="91">
        <f t="shared" si="0"/>
        <v>2021</v>
      </c>
      <c r="AZ4" s="91">
        <f t="shared" si="0"/>
        <v>2021</v>
      </c>
      <c r="BA4" s="91">
        <f t="shared" si="0"/>
        <v>2021</v>
      </c>
      <c r="BB4" s="91">
        <f t="shared" si="0"/>
        <v>2021</v>
      </c>
      <c r="BC4" s="91">
        <f t="shared" si="0"/>
        <v>2021</v>
      </c>
      <c r="BD4" s="91">
        <f t="shared" si="0"/>
        <v>2021</v>
      </c>
      <c r="BE4" s="91">
        <f t="shared" si="0"/>
        <v>2021</v>
      </c>
      <c r="BF4" s="91">
        <f t="shared" si="0"/>
        <v>2022</v>
      </c>
      <c r="BG4" s="91">
        <f t="shared" si="0"/>
        <v>2022</v>
      </c>
      <c r="BH4" s="91">
        <f t="shared" si="0"/>
        <v>2022</v>
      </c>
      <c r="BI4" s="91">
        <f t="shared" si="0"/>
        <v>2022</v>
      </c>
      <c r="BJ4" s="91">
        <f t="shared" si="0"/>
        <v>2022</v>
      </c>
      <c r="BK4" s="91">
        <f t="shared" si="0"/>
        <v>2022</v>
      </c>
      <c r="BL4" s="91">
        <f t="shared" si="0"/>
        <v>2022</v>
      </c>
      <c r="BM4" s="91">
        <f t="shared" si="0"/>
        <v>2022</v>
      </c>
      <c r="BN4" s="91">
        <f t="shared" si="0"/>
        <v>2022</v>
      </c>
      <c r="BO4" s="91">
        <f t="shared" si="0"/>
        <v>2022</v>
      </c>
      <c r="BP4" s="91">
        <f t="shared" si="0"/>
        <v>2022</v>
      </c>
      <c r="BQ4" s="91">
        <f t="shared" si="0"/>
        <v>2022</v>
      </c>
    </row>
    <row r="5" spans="1:69" ht="10.199999999999999">
      <c r="B5" s="92" t="s">
        <v>45</v>
      </c>
      <c r="I5" s="114">
        <f>EOMONTH(J5,-1)</f>
        <v>43100</v>
      </c>
      <c r="J5" s="93">
        <f>DATE(First_Fin_Year,1,31)</f>
        <v>43131</v>
      </c>
      <c r="K5" s="93">
        <f>EOMONTH(J5,1)</f>
        <v>43159</v>
      </c>
      <c r="L5" s="93">
        <f t="shared" ref="L5:BQ5" si="1">EOMONTH(K5,1)</f>
        <v>43190</v>
      </c>
      <c r="M5" s="93">
        <f t="shared" si="1"/>
        <v>43220</v>
      </c>
      <c r="N5" s="93">
        <f t="shared" si="1"/>
        <v>43251</v>
      </c>
      <c r="O5" s="93">
        <f t="shared" si="1"/>
        <v>43281</v>
      </c>
      <c r="P5" s="93">
        <f t="shared" si="1"/>
        <v>43312</v>
      </c>
      <c r="Q5" s="93">
        <f t="shared" si="1"/>
        <v>43343</v>
      </c>
      <c r="R5" s="93">
        <f t="shared" si="1"/>
        <v>43373</v>
      </c>
      <c r="S5" s="93">
        <f t="shared" si="1"/>
        <v>43404</v>
      </c>
      <c r="T5" s="93">
        <f t="shared" si="1"/>
        <v>43434</v>
      </c>
      <c r="U5" s="93">
        <f t="shared" si="1"/>
        <v>43465</v>
      </c>
      <c r="V5" s="93">
        <f t="shared" si="1"/>
        <v>43496</v>
      </c>
      <c r="W5" s="93">
        <f t="shared" si="1"/>
        <v>43524</v>
      </c>
      <c r="X5" s="93">
        <f t="shared" si="1"/>
        <v>43555</v>
      </c>
      <c r="Y5" s="93">
        <f t="shared" si="1"/>
        <v>43585</v>
      </c>
      <c r="Z5" s="93">
        <f t="shared" si="1"/>
        <v>43616</v>
      </c>
      <c r="AA5" s="93">
        <f t="shared" si="1"/>
        <v>43646</v>
      </c>
      <c r="AB5" s="93">
        <f t="shared" si="1"/>
        <v>43677</v>
      </c>
      <c r="AC5" s="93">
        <f t="shared" si="1"/>
        <v>43708</v>
      </c>
      <c r="AD5" s="93">
        <f t="shared" si="1"/>
        <v>43738</v>
      </c>
      <c r="AE5" s="93">
        <f t="shared" si="1"/>
        <v>43769</v>
      </c>
      <c r="AF5" s="93">
        <f t="shared" si="1"/>
        <v>43799</v>
      </c>
      <c r="AG5" s="93">
        <f t="shared" si="1"/>
        <v>43830</v>
      </c>
      <c r="AH5" s="93">
        <f t="shared" si="1"/>
        <v>43861</v>
      </c>
      <c r="AI5" s="93">
        <f t="shared" si="1"/>
        <v>43890</v>
      </c>
      <c r="AJ5" s="93">
        <f t="shared" si="1"/>
        <v>43921</v>
      </c>
      <c r="AK5" s="93">
        <f t="shared" si="1"/>
        <v>43951</v>
      </c>
      <c r="AL5" s="93">
        <f t="shared" si="1"/>
        <v>43982</v>
      </c>
      <c r="AM5" s="93">
        <f t="shared" si="1"/>
        <v>44012</v>
      </c>
      <c r="AN5" s="93">
        <f t="shared" si="1"/>
        <v>44043</v>
      </c>
      <c r="AO5" s="93">
        <f t="shared" si="1"/>
        <v>44074</v>
      </c>
      <c r="AP5" s="93">
        <f t="shared" si="1"/>
        <v>44104</v>
      </c>
      <c r="AQ5" s="93">
        <f t="shared" si="1"/>
        <v>44135</v>
      </c>
      <c r="AR5" s="93">
        <f t="shared" si="1"/>
        <v>44165</v>
      </c>
      <c r="AS5" s="93">
        <f t="shared" si="1"/>
        <v>44196</v>
      </c>
      <c r="AT5" s="93">
        <f t="shared" si="1"/>
        <v>44227</v>
      </c>
      <c r="AU5" s="93">
        <f t="shared" si="1"/>
        <v>44255</v>
      </c>
      <c r="AV5" s="93">
        <f t="shared" si="1"/>
        <v>44286</v>
      </c>
      <c r="AW5" s="93">
        <f t="shared" si="1"/>
        <v>44316</v>
      </c>
      <c r="AX5" s="93">
        <f t="shared" si="1"/>
        <v>44347</v>
      </c>
      <c r="AY5" s="93">
        <f t="shared" si="1"/>
        <v>44377</v>
      </c>
      <c r="AZ5" s="93">
        <f t="shared" si="1"/>
        <v>44408</v>
      </c>
      <c r="BA5" s="93">
        <f t="shared" si="1"/>
        <v>44439</v>
      </c>
      <c r="BB5" s="93">
        <f t="shared" si="1"/>
        <v>44469</v>
      </c>
      <c r="BC5" s="93">
        <f t="shared" si="1"/>
        <v>44500</v>
      </c>
      <c r="BD5" s="93">
        <f t="shared" si="1"/>
        <v>44530</v>
      </c>
      <c r="BE5" s="93">
        <f t="shared" si="1"/>
        <v>44561</v>
      </c>
      <c r="BF5" s="93">
        <f t="shared" si="1"/>
        <v>44592</v>
      </c>
      <c r="BG5" s="93">
        <f t="shared" si="1"/>
        <v>44620</v>
      </c>
      <c r="BH5" s="93">
        <f t="shared" si="1"/>
        <v>44651</v>
      </c>
      <c r="BI5" s="93">
        <f t="shared" si="1"/>
        <v>44681</v>
      </c>
      <c r="BJ5" s="93">
        <f t="shared" si="1"/>
        <v>44712</v>
      </c>
      <c r="BK5" s="93">
        <f t="shared" si="1"/>
        <v>44742</v>
      </c>
      <c r="BL5" s="93">
        <f t="shared" si="1"/>
        <v>44773</v>
      </c>
      <c r="BM5" s="93">
        <f t="shared" si="1"/>
        <v>44804</v>
      </c>
      <c r="BN5" s="93">
        <f t="shared" si="1"/>
        <v>44834</v>
      </c>
      <c r="BO5" s="93">
        <f t="shared" si="1"/>
        <v>44865</v>
      </c>
      <c r="BP5" s="93">
        <f t="shared" si="1"/>
        <v>44895</v>
      </c>
      <c r="BQ5" s="93">
        <f t="shared" si="1"/>
        <v>44926</v>
      </c>
    </row>
    <row r="6" spans="1:69" ht="10.199999999999999">
      <c r="A6" s="91"/>
      <c r="B6" s="92"/>
      <c r="C6" s="91"/>
      <c r="D6" s="91"/>
      <c r="E6" s="91"/>
      <c r="F6" s="91"/>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c r="BD6" s="91"/>
      <c r="BE6" s="91"/>
      <c r="BF6" s="91"/>
      <c r="BG6" s="91"/>
      <c r="BH6" s="91"/>
      <c r="BI6" s="91"/>
      <c r="BJ6" s="91"/>
      <c r="BK6" s="91"/>
      <c r="BL6" s="91"/>
      <c r="BM6" s="91"/>
      <c r="BN6" s="91"/>
      <c r="BO6" s="91"/>
      <c r="BP6" s="91"/>
      <c r="BQ6" s="91"/>
    </row>
    <row r="7" spans="1:69" ht="13.8">
      <c r="B7" s="94" t="str">
        <f>"Cash Flow Statement, "&amp;Currency</f>
        <v>Cash Flow Statement, $</v>
      </c>
      <c r="J7" s="142"/>
      <c r="K7" s="142"/>
      <c r="L7" s="142"/>
      <c r="M7" s="142"/>
      <c r="N7" s="142"/>
      <c r="O7" s="142"/>
      <c r="P7" s="142"/>
      <c r="Q7" s="142"/>
      <c r="R7" s="142"/>
      <c r="S7" s="142"/>
      <c r="T7" s="142"/>
      <c r="U7" s="142"/>
      <c r="V7" s="142"/>
      <c r="W7" s="142"/>
      <c r="X7" s="142"/>
      <c r="Y7" s="142"/>
      <c r="Z7" s="142"/>
      <c r="AA7" s="142"/>
      <c r="AB7" s="142"/>
      <c r="AC7" s="142"/>
      <c r="AD7" s="142"/>
      <c r="AE7" s="142"/>
      <c r="AF7" s="142"/>
      <c r="AG7" s="142"/>
      <c r="AH7" s="142"/>
      <c r="AI7" s="142"/>
      <c r="AJ7" s="142"/>
      <c r="AK7" s="142"/>
      <c r="AL7" s="142"/>
      <c r="AM7" s="142"/>
      <c r="AN7" s="142"/>
      <c r="AO7" s="142"/>
      <c r="AP7" s="142"/>
      <c r="AQ7" s="142"/>
      <c r="AR7" s="142"/>
      <c r="AS7" s="142"/>
      <c r="AT7" s="142"/>
      <c r="AU7" s="142"/>
      <c r="AV7" s="142"/>
      <c r="AW7" s="142"/>
      <c r="AX7" s="142"/>
      <c r="AY7" s="142"/>
      <c r="AZ7" s="142"/>
      <c r="BA7" s="142"/>
      <c r="BB7" s="142"/>
      <c r="BC7" s="142"/>
      <c r="BD7" s="142"/>
      <c r="BE7" s="142"/>
      <c r="BF7" s="142"/>
      <c r="BG7" s="142"/>
      <c r="BH7" s="142"/>
      <c r="BI7" s="142"/>
      <c r="BJ7" s="142"/>
      <c r="BK7" s="142"/>
      <c r="BL7" s="142"/>
      <c r="BM7" s="142"/>
      <c r="BN7" s="142"/>
      <c r="BO7" s="142"/>
      <c r="BP7" s="142"/>
      <c r="BQ7" s="142"/>
    </row>
    <row r="8" spans="1:69" ht="10.199999999999999">
      <c r="J8" s="142"/>
      <c r="K8" s="142"/>
      <c r="L8" s="142"/>
      <c r="M8" s="142"/>
      <c r="N8" s="142"/>
      <c r="O8" s="142"/>
      <c r="P8" s="142"/>
      <c r="Q8" s="142"/>
      <c r="R8" s="142"/>
      <c r="S8" s="142"/>
      <c r="T8" s="142"/>
      <c r="U8" s="142"/>
      <c r="V8" s="142"/>
      <c r="W8" s="142"/>
      <c r="X8" s="142"/>
      <c r="Y8" s="142"/>
      <c r="Z8" s="142"/>
      <c r="AA8" s="142"/>
      <c r="AB8" s="142"/>
      <c r="AC8" s="142"/>
      <c r="AD8" s="142"/>
      <c r="AE8" s="142"/>
      <c r="AF8" s="142"/>
      <c r="AG8" s="142"/>
      <c r="AH8" s="142"/>
      <c r="AI8" s="142"/>
      <c r="AJ8" s="142"/>
      <c r="AK8" s="142"/>
      <c r="AL8" s="142"/>
      <c r="AM8" s="142"/>
      <c r="AN8" s="142"/>
      <c r="AO8" s="142"/>
      <c r="AP8" s="142"/>
      <c r="AQ8" s="142"/>
      <c r="AR8" s="142"/>
      <c r="AS8" s="142"/>
      <c r="AT8" s="142"/>
      <c r="AU8" s="142"/>
      <c r="AV8" s="142"/>
      <c r="AW8" s="142"/>
      <c r="AX8" s="142"/>
      <c r="AY8" s="142"/>
      <c r="AZ8" s="142"/>
      <c r="BA8" s="142"/>
      <c r="BB8" s="142"/>
      <c r="BC8" s="142"/>
      <c r="BD8" s="142"/>
      <c r="BE8" s="142"/>
      <c r="BF8" s="142"/>
      <c r="BG8" s="142"/>
      <c r="BH8" s="142"/>
      <c r="BI8" s="142"/>
      <c r="BJ8" s="142"/>
      <c r="BK8" s="142"/>
      <c r="BL8" s="142"/>
      <c r="BM8" s="142"/>
      <c r="BN8" s="142"/>
      <c r="BO8" s="142"/>
      <c r="BP8" s="142"/>
      <c r="BQ8" s="142"/>
    </row>
    <row r="9" spans="1:69" ht="11.4">
      <c r="C9" s="128" t="s">
        <v>110</v>
      </c>
      <c r="J9" s="142"/>
      <c r="K9" s="142"/>
      <c r="L9" s="142"/>
      <c r="M9" s="142"/>
      <c r="N9" s="142"/>
      <c r="O9" s="142"/>
      <c r="P9" s="142"/>
      <c r="Q9" s="142"/>
      <c r="R9" s="142"/>
      <c r="S9" s="142"/>
      <c r="T9" s="142"/>
      <c r="U9" s="142"/>
      <c r="V9" s="142"/>
      <c r="W9" s="142"/>
      <c r="X9" s="142"/>
      <c r="Y9" s="142"/>
      <c r="Z9" s="142"/>
      <c r="AA9" s="142"/>
      <c r="AB9" s="142"/>
      <c r="AC9" s="142"/>
      <c r="AD9" s="142"/>
      <c r="AE9" s="142"/>
      <c r="AF9" s="142"/>
      <c r="AG9" s="142"/>
      <c r="AH9" s="142"/>
      <c r="AI9" s="142"/>
      <c r="AJ9" s="142"/>
      <c r="AK9" s="142"/>
      <c r="AL9" s="142"/>
      <c r="AM9" s="142"/>
      <c r="AN9" s="142"/>
      <c r="AO9" s="142"/>
      <c r="AP9" s="142"/>
      <c r="AQ9" s="142"/>
      <c r="AR9" s="142"/>
      <c r="AS9" s="142"/>
      <c r="AT9" s="142"/>
      <c r="AU9" s="142"/>
      <c r="AV9" s="142"/>
      <c r="AW9" s="142"/>
      <c r="AX9" s="142"/>
      <c r="AY9" s="142"/>
      <c r="AZ9" s="142"/>
      <c r="BA9" s="142"/>
      <c r="BB9" s="142"/>
      <c r="BC9" s="142"/>
      <c r="BD9" s="142"/>
      <c r="BE9" s="142"/>
      <c r="BF9" s="142"/>
      <c r="BG9" s="142"/>
      <c r="BH9" s="142"/>
      <c r="BI9" s="142"/>
      <c r="BJ9" s="142"/>
      <c r="BK9" s="142"/>
      <c r="BL9" s="142"/>
      <c r="BM9" s="142"/>
      <c r="BN9" s="142"/>
      <c r="BO9" s="142"/>
      <c r="BP9" s="142"/>
      <c r="BQ9" s="142"/>
    </row>
    <row r="10" spans="1:69" ht="10.199999999999999">
      <c r="A10" s="107"/>
      <c r="B10" s="143"/>
      <c r="C10" s="143"/>
      <c r="D10" s="139" t="s">
        <v>0</v>
      </c>
      <c r="E10" s="107"/>
      <c r="F10" s="143"/>
      <c r="G10" s="143"/>
      <c r="H10" s="143"/>
      <c r="I10" s="143"/>
      <c r="J10" s="144">
        <f>IS!J21*AR_0+IS!I21*AR_1+IS!H21*AR_2+IS!G21*AR_3</f>
        <v>2000</v>
      </c>
      <c r="K10" s="144">
        <f>IS!K21*AR_0+IS!J21*AR_1+IS!I21*AR_2+IS!H21*AR_3</f>
        <v>6011.363636363636</v>
      </c>
      <c r="L10" s="144">
        <f>IS!L21*AR_0+IS!K21*AR_1+IS!J21*AR_2+IS!I21*AR_3</f>
        <v>9218.181818181818</v>
      </c>
      <c r="M10" s="144">
        <f>IS!M21*AR_0+IS!L21*AR_1+IS!K21*AR_2+IS!J21*AR_3</f>
        <v>9895.454545454546</v>
      </c>
      <c r="N10" s="144">
        <f>IS!N21*AR_0+IS!M21*AR_1+IS!L21*AR_2+IS!K21*AR_3</f>
        <v>10045.454545454546</v>
      </c>
      <c r="O10" s="144">
        <f>IS!O21*AR_0+IS!N21*AR_1+IS!M21*AR_2+IS!L21*AR_3</f>
        <v>10045.454545454546</v>
      </c>
      <c r="P10" s="144">
        <f>IS!P21*AR_0+IS!O21*AR_1+IS!N21*AR_2+IS!M21*AR_3</f>
        <v>10045.454545454546</v>
      </c>
      <c r="Q10" s="144">
        <f>IS!Q21*AR_0+IS!P21*AR_1+IS!O21*AR_2+IS!N21*AR_3</f>
        <v>10045.454545454546</v>
      </c>
      <c r="R10" s="144">
        <f>IS!R21*AR_0+IS!Q21*AR_1+IS!P21*AR_2+IS!O21*AR_3</f>
        <v>10045.454545454546</v>
      </c>
      <c r="S10" s="144">
        <f>IS!S21*AR_0+IS!R21*AR_1+IS!Q21*AR_2+IS!P21*AR_3</f>
        <v>10045.454545454546</v>
      </c>
      <c r="T10" s="144">
        <f>IS!T21*AR_0+IS!S21*AR_1+IS!R21*AR_2+IS!Q21*AR_3</f>
        <v>10045.454545454546</v>
      </c>
      <c r="U10" s="144">
        <f>IS!U21*AR_0+IS!T21*AR_1+IS!S21*AR_2+IS!R21*AR_3</f>
        <v>10045.454545454546</v>
      </c>
      <c r="V10" s="144">
        <f>IS!V21*AR_0+IS!U21*AR_1+IS!T21*AR_2+IS!S21*AR_3</f>
        <v>11689.09090909091</v>
      </c>
      <c r="W10" s="144">
        <f>IS!W21*AR_0+IS!V21*AR_1+IS!U21*AR_2+IS!T21*AR_3</f>
        <v>11997.272727272728</v>
      </c>
      <c r="X10" s="144">
        <f>IS!X21*AR_0+IS!W21*AR_1+IS!V21*AR_2+IS!U21*AR_3</f>
        <v>12100</v>
      </c>
      <c r="Y10" s="144">
        <f>IS!Y21*AR_0+IS!X21*AR_1+IS!W21*AR_2+IS!V21*AR_3</f>
        <v>12100</v>
      </c>
      <c r="Z10" s="144">
        <f>IS!Z21*AR_0+IS!Y21*AR_1+IS!X21*AR_2+IS!W21*AR_3</f>
        <v>12100</v>
      </c>
      <c r="AA10" s="144">
        <f>IS!AA21*AR_0+IS!Z21*AR_1+IS!Y21*AR_2+IS!X21*AR_3</f>
        <v>12100</v>
      </c>
      <c r="AB10" s="144">
        <f>IS!AB21*AR_0+IS!AA21*AR_1+IS!Z21*AR_2+IS!Y21*AR_3</f>
        <v>12100</v>
      </c>
      <c r="AC10" s="144">
        <f>IS!AC21*AR_0+IS!AB21*AR_1+IS!AA21*AR_2+IS!Z21*AR_3</f>
        <v>12100</v>
      </c>
      <c r="AD10" s="144">
        <f>IS!AD21*AR_0+IS!AC21*AR_1+IS!AB21*AR_2+IS!AA21*AR_3</f>
        <v>12100</v>
      </c>
      <c r="AE10" s="144">
        <f>IS!AE21*AR_0+IS!AD21*AR_1+IS!AC21*AR_2+IS!AB21*AR_3</f>
        <v>12100</v>
      </c>
      <c r="AF10" s="144">
        <f>IS!AF21*AR_0+IS!AE21*AR_1+IS!AD21*AR_2+IS!AC21*AR_3</f>
        <v>12100</v>
      </c>
      <c r="AG10" s="144">
        <f>IS!AG21*AR_0+IS!AF21*AR_1+IS!AE21*AR_2+IS!AD21*AR_3</f>
        <v>12100</v>
      </c>
      <c r="AH10" s="144">
        <f>IS!AH21*AR_0+IS!AG21*AR_1+IS!AF21*AR_2+IS!AE21*AR_3</f>
        <v>15197.600000000004</v>
      </c>
      <c r="AI10" s="144">
        <f>IS!AI21*AR_0+IS!AH21*AR_1+IS!AG21*AR_2+IS!AF21*AR_3</f>
        <v>15778.400000000005</v>
      </c>
      <c r="AJ10" s="144">
        <f>IS!AJ21*AR_0+IS!AI21*AR_1+IS!AH21*AR_2+IS!AG21*AR_3</f>
        <v>15972.000000000005</v>
      </c>
      <c r="AK10" s="144">
        <f>IS!AK21*AR_0+IS!AJ21*AR_1+IS!AI21*AR_2+IS!AH21*AR_3</f>
        <v>15972.000000000005</v>
      </c>
      <c r="AL10" s="144">
        <f>IS!AL21*AR_0+IS!AK21*AR_1+IS!AJ21*AR_2+IS!AI21*AR_3</f>
        <v>15972.000000000005</v>
      </c>
      <c r="AM10" s="144">
        <f>IS!AM21*AR_0+IS!AL21*AR_1+IS!AK21*AR_2+IS!AJ21*AR_3</f>
        <v>15972.000000000005</v>
      </c>
      <c r="AN10" s="144">
        <f>IS!AN21*AR_0+IS!AM21*AR_1+IS!AL21*AR_2+IS!AK21*AR_3</f>
        <v>15972.000000000005</v>
      </c>
      <c r="AO10" s="144">
        <f>IS!AO21*AR_0+IS!AN21*AR_1+IS!AM21*AR_2+IS!AL21*AR_3</f>
        <v>15972.000000000005</v>
      </c>
      <c r="AP10" s="144">
        <f>IS!AP21*AR_0+IS!AO21*AR_1+IS!AN21*AR_2+IS!AM21*AR_3</f>
        <v>15972.000000000005</v>
      </c>
      <c r="AQ10" s="144">
        <f>IS!AQ21*AR_0+IS!AP21*AR_1+IS!AO21*AR_2+IS!AN21*AR_3</f>
        <v>15972.000000000005</v>
      </c>
      <c r="AR10" s="144">
        <f>IS!AR21*AR_0+IS!AQ21*AR_1+IS!AP21*AR_2+IS!AO21*AR_3</f>
        <v>15972.000000000005</v>
      </c>
      <c r="AS10" s="144">
        <f>IS!AS21*AR_0+IS!AR21*AR_1+IS!AQ21*AR_2+IS!AP21*AR_3</f>
        <v>15972.000000000005</v>
      </c>
      <c r="AT10" s="144">
        <f>IS!AT21*AR_0+IS!AS21*AR_1+IS!AR21*AR_2+IS!AQ21*AR_3</f>
        <v>20060.832000000006</v>
      </c>
      <c r="AU10" s="144">
        <f>IS!AU21*AR_0+IS!AT21*AR_1+IS!AS21*AR_2+IS!AR21*AR_3</f>
        <v>20827.488000000008</v>
      </c>
      <c r="AV10" s="144">
        <f>IS!AV21*AR_0+IS!AU21*AR_1+IS!AT21*AR_2+IS!AS21*AR_3</f>
        <v>21083.040000000012</v>
      </c>
      <c r="AW10" s="144">
        <f>IS!AW21*AR_0+IS!AV21*AR_1+IS!AU21*AR_2+IS!AT21*AR_3</f>
        <v>21083.040000000012</v>
      </c>
      <c r="AX10" s="144">
        <f>IS!AX21*AR_0+IS!AW21*AR_1+IS!AV21*AR_2+IS!AU21*AR_3</f>
        <v>21083.040000000012</v>
      </c>
      <c r="AY10" s="144">
        <f>IS!AY21*AR_0+IS!AX21*AR_1+IS!AW21*AR_2+IS!AV21*AR_3</f>
        <v>21083.040000000012</v>
      </c>
      <c r="AZ10" s="144">
        <f>IS!AZ21*AR_0+IS!AY21*AR_1+IS!AX21*AR_2+IS!AW21*AR_3</f>
        <v>21083.040000000012</v>
      </c>
      <c r="BA10" s="144">
        <f>IS!BA21*AR_0+IS!AZ21*AR_1+IS!AY21*AR_2+IS!AX21*AR_3</f>
        <v>21083.040000000012</v>
      </c>
      <c r="BB10" s="144">
        <f>IS!BB21*AR_0+IS!BA21*AR_1+IS!AZ21*AR_2+IS!AY21*AR_3</f>
        <v>21083.040000000012</v>
      </c>
      <c r="BC10" s="144">
        <f>IS!BC21*AR_0+IS!BB21*AR_1+IS!BA21*AR_2+IS!AZ21*AR_3</f>
        <v>21083.040000000012</v>
      </c>
      <c r="BD10" s="144">
        <f>IS!BD21*AR_0+IS!BC21*AR_1+IS!BB21*AR_2+IS!BA21*AR_3</f>
        <v>21083.040000000012</v>
      </c>
      <c r="BE10" s="144">
        <f>IS!BE21*AR_0+IS!BD21*AR_1+IS!BC21*AR_2+IS!BB21*AR_3</f>
        <v>21083.040000000012</v>
      </c>
      <c r="BF10" s="144">
        <f>IS!BF21*AR_0+IS!BE21*AR_1+IS!BD21*AR_2+IS!BC21*AR_3</f>
        <v>26480.298240000015</v>
      </c>
      <c r="BG10" s="144">
        <f>IS!BG21*AR_0+IS!BF21*AR_1+IS!BE21*AR_2+IS!BD21*AR_3</f>
        <v>27492.284160000014</v>
      </c>
      <c r="BH10" s="144">
        <f>IS!BH21*AR_0+IS!BG21*AR_1+IS!BF21*AR_2+IS!BE21*AR_3</f>
        <v>27829.612800000014</v>
      </c>
      <c r="BI10" s="144">
        <f>IS!BI21*AR_0+IS!BH21*AR_1+IS!BG21*AR_2+IS!BF21*AR_3</f>
        <v>27829.612800000014</v>
      </c>
      <c r="BJ10" s="144">
        <f>IS!BJ21*AR_0+IS!BI21*AR_1+IS!BH21*AR_2+IS!BG21*AR_3</f>
        <v>27829.612800000014</v>
      </c>
      <c r="BK10" s="144">
        <f>IS!BK21*AR_0+IS!BJ21*AR_1+IS!BI21*AR_2+IS!BH21*AR_3</f>
        <v>27829.612800000014</v>
      </c>
      <c r="BL10" s="144">
        <f>IS!BL21*AR_0+IS!BK21*AR_1+IS!BJ21*AR_2+IS!BI21*AR_3</f>
        <v>27829.612800000014</v>
      </c>
      <c r="BM10" s="144">
        <f>IS!BM21*AR_0+IS!BL21*AR_1+IS!BK21*AR_2+IS!BJ21*AR_3</f>
        <v>27829.612800000014</v>
      </c>
      <c r="BN10" s="144">
        <f>IS!BN21*AR_0+IS!BM21*AR_1+IS!BL21*AR_2+IS!BK21*AR_3</f>
        <v>27829.612800000014</v>
      </c>
      <c r="BO10" s="144">
        <f>IS!BO21*AR_0+IS!BN21*AR_1+IS!BM21*AR_2+IS!BL21*AR_3</f>
        <v>27829.612800000014</v>
      </c>
      <c r="BP10" s="144">
        <f>IS!BP21*AR_0+IS!BO21*AR_1+IS!BN21*AR_2+IS!BM21*AR_3</f>
        <v>27829.612800000014</v>
      </c>
      <c r="BQ10" s="144">
        <f>IS!BQ21*AR_0+IS!BP21*AR_1+IS!BO21*AR_2+IS!BN21*AR_3</f>
        <v>27829.612800000014</v>
      </c>
    </row>
    <row r="11" spans="1:69" ht="10.199999999999999">
      <c r="A11" s="107"/>
      <c r="B11" s="143"/>
      <c r="C11" s="143"/>
      <c r="D11" s="145" t="str">
        <f>IS!C23</f>
        <v>COGS</v>
      </c>
      <c r="E11" s="107"/>
      <c r="F11" s="143"/>
      <c r="G11" s="143"/>
      <c r="H11" s="143"/>
      <c r="I11" s="143"/>
      <c r="J11" s="146">
        <f>Capital!J12*AP_COGS_0+Capital!I12*AP_COGS_1+Capital!H12*AP_COGS_2+Capital!G12*AP_COGS_3</f>
        <v>-450</v>
      </c>
      <c r="K11" s="146">
        <f>Capital!K12*AP_COGS_0+Capital!J12*AP_COGS_1+Capital!I12*AP_COGS_2+Capital!H12*AP_COGS_3</f>
        <v>-1656.8181818181815</v>
      </c>
      <c r="L11" s="146">
        <f>Capital!L12*AP_COGS_0+Capital!K12*AP_COGS_1+Capital!J12*AP_COGS_2+Capital!I12*AP_COGS_3</f>
        <v>-2853.7272727272725</v>
      </c>
      <c r="M11" s="146">
        <f>Capital!M12*AP_COGS_0+Capital!L12*AP_COGS_1+Capital!K12*AP_COGS_2+Capital!J12*AP_COGS_3</f>
        <v>-3122.6363636363635</v>
      </c>
      <c r="N11" s="146">
        <f>Capital!N12*AP_COGS_0+Capital!M12*AP_COGS_1+Capital!L12*AP_COGS_2+Capital!K12*AP_COGS_3</f>
        <v>-3038.6363636363635</v>
      </c>
      <c r="O11" s="146">
        <f>Capital!O12*AP_COGS_0+Capital!N12*AP_COGS_1+Capital!M12*AP_COGS_2+Capital!L12*AP_COGS_3</f>
        <v>-3038.6363636363635</v>
      </c>
      <c r="P11" s="146">
        <f>Capital!P12*AP_COGS_0+Capital!O12*AP_COGS_1+Capital!N12*AP_COGS_2+Capital!M12*AP_COGS_3</f>
        <v>-3038.6363636363635</v>
      </c>
      <c r="Q11" s="146">
        <f>Capital!Q12*AP_COGS_0+Capital!P12*AP_COGS_1+Capital!O12*AP_COGS_2+Capital!N12*AP_COGS_3</f>
        <v>-3038.6363636363635</v>
      </c>
      <c r="R11" s="146">
        <f>Capital!R12*AP_COGS_0+Capital!Q12*AP_COGS_1+Capital!P12*AP_COGS_2+Capital!O12*AP_COGS_3</f>
        <v>-3038.6363636363635</v>
      </c>
      <c r="S11" s="146">
        <f>Capital!S12*AP_COGS_0+Capital!R12*AP_COGS_1+Capital!Q12*AP_COGS_2+Capital!P12*AP_COGS_3</f>
        <v>-3038.6363636363635</v>
      </c>
      <c r="T11" s="146">
        <f>Capital!T12*AP_COGS_0+Capital!S12*AP_COGS_1+Capital!R12*AP_COGS_2+Capital!Q12*AP_COGS_3</f>
        <v>-3038.6363636363635</v>
      </c>
      <c r="U11" s="146">
        <f>Capital!U12*AP_COGS_0+Capital!T12*AP_COGS_1+Capital!S12*AP_COGS_2+Capital!R12*AP_COGS_3</f>
        <v>-3038.6363636363635</v>
      </c>
      <c r="V11" s="146">
        <f>Capital!V12*AP_COGS_0+Capital!U12*AP_COGS_1+Capital!T12*AP_COGS_2+Capital!S12*AP_COGS_3</f>
        <v>-3464.4181818181814</v>
      </c>
      <c r="W11" s="146">
        <f>Capital!W12*AP_COGS_0+Capital!V12*AP_COGS_1+Capital!U12*AP_COGS_2+Capital!T12*AP_COGS_3</f>
        <v>-3677.3090909090906</v>
      </c>
      <c r="X11" s="146">
        <f>Capital!X12*AP_COGS_0+Capital!W12*AP_COGS_1+Capital!V12*AP_COGS_2+Capital!U12*AP_COGS_3</f>
        <v>-3630</v>
      </c>
      <c r="Y11" s="146">
        <f>Capital!Y12*AP_COGS_0+Capital!X12*AP_COGS_1+Capital!W12*AP_COGS_2+Capital!V12*AP_COGS_3</f>
        <v>-3630</v>
      </c>
      <c r="Z11" s="146">
        <f>Capital!Z12*AP_COGS_0+Capital!Y12*AP_COGS_1+Capital!X12*AP_COGS_2+Capital!W12*AP_COGS_3</f>
        <v>-3630</v>
      </c>
      <c r="AA11" s="146">
        <f>Capital!AA12*AP_COGS_0+Capital!Z12*AP_COGS_1+Capital!Y12*AP_COGS_2+Capital!X12*AP_COGS_3</f>
        <v>-3630</v>
      </c>
      <c r="AB11" s="146">
        <f>Capital!AB12*AP_COGS_0+Capital!AA12*AP_COGS_1+Capital!Z12*AP_COGS_2+Capital!Y12*AP_COGS_3</f>
        <v>-3630</v>
      </c>
      <c r="AC11" s="146">
        <f>Capital!AC12*AP_COGS_0+Capital!AB12*AP_COGS_1+Capital!AA12*AP_COGS_2+Capital!Z12*AP_COGS_3</f>
        <v>-3630</v>
      </c>
      <c r="AD11" s="146">
        <f>Capital!AD12*AP_COGS_0+Capital!AC12*AP_COGS_1+Capital!AB12*AP_COGS_2+Capital!AA12*AP_COGS_3</f>
        <v>-3630</v>
      </c>
      <c r="AE11" s="146">
        <f>Capital!AE12*AP_COGS_0+Capital!AD12*AP_COGS_1+Capital!AC12*AP_COGS_2+Capital!AB12*AP_COGS_3</f>
        <v>-3630</v>
      </c>
      <c r="AF11" s="146">
        <f>Capital!AF12*AP_COGS_0+Capital!AE12*AP_COGS_1+Capital!AD12*AP_COGS_2+Capital!AC12*AP_COGS_3</f>
        <v>-3630</v>
      </c>
      <c r="AG11" s="146">
        <f>Capital!AG12*AP_COGS_0+Capital!AF12*AP_COGS_1+Capital!AE12*AP_COGS_2+Capital!AD12*AP_COGS_3</f>
        <v>-3630</v>
      </c>
      <c r="AH11" s="146">
        <f>Capital!AH12*AP_COGS_0+Capital!AG12*AP_COGS_1+Capital!AF12*AP_COGS_2+Capital!AE12*AP_COGS_3</f>
        <v>-4466.3520000000008</v>
      </c>
      <c r="AI11" s="146">
        <f>Capital!AI12*AP_COGS_0+Capital!AH12*AP_COGS_1+Capital!AG12*AP_COGS_2+Capital!AF12*AP_COGS_3</f>
        <v>-4884.5280000000012</v>
      </c>
      <c r="AJ11" s="146">
        <f>Capital!AJ12*AP_COGS_0+Capital!AI12*AP_COGS_1+Capital!AH12*AP_COGS_2+Capital!AG12*AP_COGS_3</f>
        <v>-4791.6000000000013</v>
      </c>
      <c r="AK11" s="146">
        <f>Capital!AK12*AP_COGS_0+Capital!AJ12*AP_COGS_1+Capital!AI12*AP_COGS_2+Capital!AH12*AP_COGS_3</f>
        <v>-4791.6000000000013</v>
      </c>
      <c r="AL11" s="146">
        <f>Capital!AL12*AP_COGS_0+Capital!AK12*AP_COGS_1+Capital!AJ12*AP_COGS_2+Capital!AI12*AP_COGS_3</f>
        <v>-4791.6000000000013</v>
      </c>
      <c r="AM11" s="146">
        <f>Capital!AM12*AP_COGS_0+Capital!AL12*AP_COGS_1+Capital!AK12*AP_COGS_2+Capital!AJ12*AP_COGS_3</f>
        <v>-4791.6000000000013</v>
      </c>
      <c r="AN11" s="146">
        <f>Capital!AN12*AP_COGS_0+Capital!AM12*AP_COGS_1+Capital!AL12*AP_COGS_2+Capital!AK12*AP_COGS_3</f>
        <v>-4791.6000000000013</v>
      </c>
      <c r="AO11" s="146">
        <f>Capital!AO12*AP_COGS_0+Capital!AN12*AP_COGS_1+Capital!AM12*AP_COGS_2+Capital!AL12*AP_COGS_3</f>
        <v>-4791.6000000000013</v>
      </c>
      <c r="AP11" s="146">
        <f>Capital!AP12*AP_COGS_0+Capital!AO12*AP_COGS_1+Capital!AN12*AP_COGS_2+Capital!AM12*AP_COGS_3</f>
        <v>-4791.6000000000013</v>
      </c>
      <c r="AQ11" s="146">
        <f>Capital!AQ12*AP_COGS_0+Capital!AP12*AP_COGS_1+Capital!AO12*AP_COGS_2+Capital!AN12*AP_COGS_3</f>
        <v>-4791.6000000000013</v>
      </c>
      <c r="AR11" s="146">
        <f>Capital!AR12*AP_COGS_0+Capital!AQ12*AP_COGS_1+Capital!AP12*AP_COGS_2+Capital!AO12*AP_COGS_3</f>
        <v>-4791.6000000000013</v>
      </c>
      <c r="AS11" s="146">
        <f>Capital!AS12*AP_COGS_0+Capital!AR12*AP_COGS_1+Capital!AQ12*AP_COGS_2+Capital!AP12*AP_COGS_3</f>
        <v>-4791.6000000000013</v>
      </c>
      <c r="AT11" s="146">
        <f>Capital!AT12*AP_COGS_0+Capital!AS12*AP_COGS_1+Capital!AR12*AP_COGS_2+Capital!AQ12*AP_COGS_3</f>
        <v>-5895.5846400000019</v>
      </c>
      <c r="AU11" s="146">
        <f>Capital!AU12*AP_COGS_0+Capital!AT12*AP_COGS_1+Capital!AS12*AP_COGS_2+Capital!AR12*AP_COGS_3</f>
        <v>-6447.5769600000021</v>
      </c>
      <c r="AV11" s="146">
        <f>Capital!AV12*AP_COGS_0+Capital!AU12*AP_COGS_1+Capital!AT12*AP_COGS_2+Capital!AS12*AP_COGS_3</f>
        <v>-6324.9120000000021</v>
      </c>
      <c r="AW11" s="146">
        <f>Capital!AW12*AP_COGS_0+Capital!AV12*AP_COGS_1+Capital!AU12*AP_COGS_2+Capital!AT12*AP_COGS_3</f>
        <v>-6324.9120000000021</v>
      </c>
      <c r="AX11" s="146">
        <f>Capital!AX12*AP_COGS_0+Capital!AW12*AP_COGS_1+Capital!AV12*AP_COGS_2+Capital!AU12*AP_COGS_3</f>
        <v>-6324.9120000000021</v>
      </c>
      <c r="AY11" s="146">
        <f>Capital!AY12*AP_COGS_0+Capital!AX12*AP_COGS_1+Capital!AW12*AP_COGS_2+Capital!AV12*AP_COGS_3</f>
        <v>-6324.9120000000021</v>
      </c>
      <c r="AZ11" s="146">
        <f>Capital!AZ12*AP_COGS_0+Capital!AY12*AP_COGS_1+Capital!AX12*AP_COGS_2+Capital!AW12*AP_COGS_3</f>
        <v>-6324.9120000000021</v>
      </c>
      <c r="BA11" s="146">
        <f>Capital!BA12*AP_COGS_0+Capital!AZ12*AP_COGS_1+Capital!AY12*AP_COGS_2+Capital!AX12*AP_COGS_3</f>
        <v>-6324.9120000000021</v>
      </c>
      <c r="BB11" s="146">
        <f>Capital!BB12*AP_COGS_0+Capital!BA12*AP_COGS_1+Capital!AZ12*AP_COGS_2+Capital!AY12*AP_COGS_3</f>
        <v>-6324.9120000000021</v>
      </c>
      <c r="BC11" s="146">
        <f>Capital!BC12*AP_COGS_0+Capital!BB12*AP_COGS_1+Capital!BA12*AP_COGS_2+Capital!AZ12*AP_COGS_3</f>
        <v>-6324.9120000000021</v>
      </c>
      <c r="BD11" s="146">
        <f>Capital!BD12*AP_COGS_0+Capital!BC12*AP_COGS_1+Capital!BB12*AP_COGS_2+Capital!BA12*AP_COGS_3</f>
        <v>-6324.9120000000021</v>
      </c>
      <c r="BE11" s="146">
        <f>Capital!BE12*AP_COGS_0+Capital!BD12*AP_COGS_1+Capital!BC12*AP_COGS_2+Capital!BB12*AP_COGS_3</f>
        <v>-6324.9120000000021</v>
      </c>
      <c r="BF11" s="146">
        <f>Capital!BF12*AP_COGS_0+Capital!BE12*AP_COGS_1+Capital!BD12*AP_COGS_2+Capital!BC12*AP_COGS_3</f>
        <v>-7782.1717248000023</v>
      </c>
      <c r="BG11" s="146">
        <f>Capital!BG12*AP_COGS_0+Capital!BF12*AP_COGS_1+Capital!BE12*AP_COGS_2+Capital!BD12*AP_COGS_3</f>
        <v>-8510.8015872000033</v>
      </c>
      <c r="BH11" s="146">
        <f>Capital!BH12*AP_COGS_0+Capital!BG12*AP_COGS_1+Capital!BF12*AP_COGS_2+Capital!BE12*AP_COGS_3</f>
        <v>-8348.8838400000022</v>
      </c>
      <c r="BI11" s="146">
        <f>Capital!BI12*AP_COGS_0+Capital!BH12*AP_COGS_1+Capital!BG12*AP_COGS_2+Capital!BF12*AP_COGS_3</f>
        <v>-8348.8838400000022</v>
      </c>
      <c r="BJ11" s="146">
        <f>Capital!BJ12*AP_COGS_0+Capital!BI12*AP_COGS_1+Capital!BH12*AP_COGS_2+Capital!BG12*AP_COGS_3</f>
        <v>-8348.8838400000022</v>
      </c>
      <c r="BK11" s="146">
        <f>Capital!BK12*AP_COGS_0+Capital!BJ12*AP_COGS_1+Capital!BI12*AP_COGS_2+Capital!BH12*AP_COGS_3</f>
        <v>-8348.8838400000022</v>
      </c>
      <c r="BL11" s="146">
        <f>Capital!BL12*AP_COGS_0+Capital!BK12*AP_COGS_1+Capital!BJ12*AP_COGS_2+Capital!BI12*AP_COGS_3</f>
        <v>-8348.8838400000022</v>
      </c>
      <c r="BM11" s="146">
        <f>Capital!BM12*AP_COGS_0+Capital!BL12*AP_COGS_1+Capital!BK12*AP_COGS_2+Capital!BJ12*AP_COGS_3</f>
        <v>-8348.8838400000022</v>
      </c>
      <c r="BN11" s="146">
        <f>Capital!BN12*AP_COGS_0+Capital!BM12*AP_COGS_1+Capital!BL12*AP_COGS_2+Capital!BK12*AP_COGS_3</f>
        <v>-8348.8838400000022</v>
      </c>
      <c r="BO11" s="146">
        <f>Capital!BO12*AP_COGS_0+Capital!BN12*AP_COGS_1+Capital!BM12*AP_COGS_2+Capital!BL12*AP_COGS_3</f>
        <v>-8348.8838400000022</v>
      </c>
      <c r="BP11" s="146">
        <f>Capital!BP12*AP_COGS_0+Capital!BO12*AP_COGS_1+Capital!BN12*AP_COGS_2+Capital!BM12*AP_COGS_3</f>
        <v>-8348.8838400000022</v>
      </c>
      <c r="BQ11" s="146">
        <f>Capital!BQ12*AP_COGS_0+Capital!BP12*AP_COGS_1+Capital!BO12*AP_COGS_2+Capital!BN12*AP_COGS_3</f>
        <v>-8348.8838400000022</v>
      </c>
    </row>
    <row r="12" spans="1:69" ht="10.199999999999999">
      <c r="A12" s="107"/>
      <c r="B12" s="143"/>
      <c r="C12" s="143"/>
      <c r="D12" s="139" t="s">
        <v>53</v>
      </c>
      <c r="E12" s="107"/>
      <c r="F12" s="143"/>
      <c r="G12" s="143"/>
      <c r="H12" s="143"/>
      <c r="I12" s="143"/>
      <c r="J12" s="144">
        <f>IS!J69*AP_OPEX_0+IS!I69*AP_OPEX_1+IS!H69*AP_OPEX_2+IS!G69*AP_OPEX_3</f>
        <v>-2512.5000000000005</v>
      </c>
      <c r="K12" s="144">
        <f>IS!K69*AP_OPEX_0+IS!J69*AP_OPEX_1+IS!I69*AP_OPEX_2+IS!H69*AP_OPEX_3</f>
        <v>-2996.212121212121</v>
      </c>
      <c r="L12" s="144">
        <f>IS!L69*AP_OPEX_0+IS!K69*AP_OPEX_1+IS!J69*AP_OPEX_2+IS!I69*AP_OPEX_3</f>
        <v>-3153.939393939394</v>
      </c>
      <c r="M12" s="144">
        <f>IS!M69*AP_OPEX_0+IS!L69*AP_OPEX_1+IS!K69*AP_OPEX_2+IS!J69*AP_OPEX_3</f>
        <v>-3168.939393939394</v>
      </c>
      <c r="N12" s="144">
        <f>IS!N69*AP_OPEX_0+IS!M69*AP_OPEX_1+IS!L69*AP_OPEX_2+IS!K69*AP_OPEX_3</f>
        <v>-3168.939393939394</v>
      </c>
      <c r="O12" s="144">
        <f>IS!O69*AP_OPEX_0+IS!N69*AP_OPEX_1+IS!M69*AP_OPEX_2+IS!L69*AP_OPEX_3</f>
        <v>-3168.939393939394</v>
      </c>
      <c r="P12" s="144">
        <f>IS!P69*AP_OPEX_0+IS!O69*AP_OPEX_1+IS!N69*AP_OPEX_2+IS!M69*AP_OPEX_3</f>
        <v>-3168.939393939394</v>
      </c>
      <c r="Q12" s="144">
        <f>IS!Q69*AP_OPEX_0+IS!P69*AP_OPEX_1+IS!O69*AP_OPEX_2+IS!N69*AP_OPEX_3</f>
        <v>-3168.939393939394</v>
      </c>
      <c r="R12" s="144">
        <f>IS!R69*AP_OPEX_0+IS!Q69*AP_OPEX_1+IS!P69*AP_OPEX_2+IS!O69*AP_OPEX_3</f>
        <v>-3168.939393939394</v>
      </c>
      <c r="S12" s="144">
        <f>IS!S69*AP_OPEX_0+IS!R69*AP_OPEX_1+IS!Q69*AP_OPEX_2+IS!P69*AP_OPEX_3</f>
        <v>-3168.939393939394</v>
      </c>
      <c r="T12" s="144">
        <f>IS!T69*AP_OPEX_0+IS!S69*AP_OPEX_1+IS!R69*AP_OPEX_2+IS!Q69*AP_OPEX_3</f>
        <v>-3168.939393939394</v>
      </c>
      <c r="U12" s="144">
        <f>IS!U69*AP_OPEX_0+IS!T69*AP_OPEX_1+IS!S69*AP_OPEX_2+IS!R69*AP_OPEX_3</f>
        <v>-3168.939393939394</v>
      </c>
      <c r="V12" s="144">
        <f>IS!V69*AP_OPEX_0+IS!U69*AP_OPEX_1+IS!T69*AP_OPEX_2+IS!S69*AP_OPEX_3</f>
        <v>-3381.3939393939395</v>
      </c>
      <c r="W12" s="144">
        <f>IS!W69*AP_OPEX_0+IS!V69*AP_OPEX_1+IS!U69*AP_OPEX_2+IS!T69*AP_OPEX_3</f>
        <v>-3405</v>
      </c>
      <c r="X12" s="144">
        <f>IS!X69*AP_OPEX_0+IS!W69*AP_OPEX_1+IS!V69*AP_OPEX_2+IS!U69*AP_OPEX_3</f>
        <v>-3405</v>
      </c>
      <c r="Y12" s="144">
        <f>IS!Y69*AP_OPEX_0+IS!X69*AP_OPEX_1+IS!W69*AP_OPEX_2+IS!V69*AP_OPEX_3</f>
        <v>-3405</v>
      </c>
      <c r="Z12" s="144">
        <f>IS!Z69*AP_OPEX_0+IS!Y69*AP_OPEX_1+IS!X69*AP_OPEX_2+IS!W69*AP_OPEX_3</f>
        <v>-3405</v>
      </c>
      <c r="AA12" s="144">
        <f>IS!AA69*AP_OPEX_0+IS!Z69*AP_OPEX_1+IS!Y69*AP_OPEX_2+IS!X69*AP_OPEX_3</f>
        <v>-3405</v>
      </c>
      <c r="AB12" s="144">
        <f>IS!AB69*AP_OPEX_0+IS!AA69*AP_OPEX_1+IS!Z69*AP_OPEX_2+IS!Y69*AP_OPEX_3</f>
        <v>-3405</v>
      </c>
      <c r="AC12" s="144">
        <f>IS!AC69*AP_OPEX_0+IS!AB69*AP_OPEX_1+IS!AA69*AP_OPEX_2+IS!Z69*AP_OPEX_3</f>
        <v>-3405</v>
      </c>
      <c r="AD12" s="144">
        <f>IS!AD69*AP_OPEX_0+IS!AC69*AP_OPEX_1+IS!AB69*AP_OPEX_2+IS!AA69*AP_OPEX_3</f>
        <v>-3405</v>
      </c>
      <c r="AE12" s="144">
        <f>IS!AE69*AP_OPEX_0+IS!AD69*AP_OPEX_1+IS!AC69*AP_OPEX_2+IS!AB69*AP_OPEX_3</f>
        <v>-3405</v>
      </c>
      <c r="AF12" s="144">
        <f>IS!AF69*AP_OPEX_0+IS!AE69*AP_OPEX_1+IS!AD69*AP_OPEX_2+IS!AC69*AP_OPEX_3</f>
        <v>-3405</v>
      </c>
      <c r="AG12" s="144">
        <f>IS!AG69*AP_OPEX_0+IS!AF69*AP_OPEX_1+IS!AE69*AP_OPEX_2+IS!AD69*AP_OPEX_3</f>
        <v>-3405</v>
      </c>
      <c r="AH12" s="144">
        <f>IS!AH69*AP_OPEX_0+IS!AG69*AP_OPEX_1+IS!AF69*AP_OPEX_2+IS!AE69*AP_OPEX_3</f>
        <v>-3705.2400000000002</v>
      </c>
      <c r="AI12" s="144">
        <f>IS!AI69*AP_OPEX_0+IS!AH69*AP_OPEX_1+IS!AG69*AP_OPEX_2+IS!AF69*AP_OPEX_3</f>
        <v>-3738.6000000000004</v>
      </c>
      <c r="AJ12" s="144">
        <f>IS!AJ69*AP_OPEX_0+IS!AI69*AP_OPEX_1+IS!AH69*AP_OPEX_2+IS!AG69*AP_OPEX_3</f>
        <v>-3738.6000000000004</v>
      </c>
      <c r="AK12" s="144">
        <f>IS!AK69*AP_OPEX_0+IS!AJ69*AP_OPEX_1+IS!AI69*AP_OPEX_2+IS!AH69*AP_OPEX_3</f>
        <v>-3738.6000000000004</v>
      </c>
      <c r="AL12" s="144">
        <f>IS!AL69*AP_OPEX_0+IS!AK69*AP_OPEX_1+IS!AJ69*AP_OPEX_2+IS!AI69*AP_OPEX_3</f>
        <v>-3738.6000000000004</v>
      </c>
      <c r="AM12" s="144">
        <f>IS!AM69*AP_OPEX_0+IS!AL69*AP_OPEX_1+IS!AK69*AP_OPEX_2+IS!AJ69*AP_OPEX_3</f>
        <v>-3738.6000000000004</v>
      </c>
      <c r="AN12" s="144">
        <f>IS!AN69*AP_OPEX_0+IS!AM69*AP_OPEX_1+IS!AL69*AP_OPEX_2+IS!AK69*AP_OPEX_3</f>
        <v>-3738.6000000000004</v>
      </c>
      <c r="AO12" s="144">
        <f>IS!AO69*AP_OPEX_0+IS!AN69*AP_OPEX_1+IS!AM69*AP_OPEX_2+IS!AL69*AP_OPEX_3</f>
        <v>-3738.6000000000004</v>
      </c>
      <c r="AP12" s="144">
        <f>IS!AP69*AP_OPEX_0+IS!AO69*AP_OPEX_1+IS!AN69*AP_OPEX_2+IS!AM69*AP_OPEX_3</f>
        <v>-3738.6000000000004</v>
      </c>
      <c r="AQ12" s="144">
        <f>IS!AQ69*AP_OPEX_0+IS!AP69*AP_OPEX_1+IS!AO69*AP_OPEX_2+IS!AN69*AP_OPEX_3</f>
        <v>-3738.6000000000004</v>
      </c>
      <c r="AR12" s="144">
        <f>IS!AR69*AP_OPEX_0+IS!AQ69*AP_OPEX_1+IS!AP69*AP_OPEX_2+IS!AO69*AP_OPEX_3</f>
        <v>-3738.6000000000004</v>
      </c>
      <c r="AS12" s="144">
        <f>IS!AS69*AP_OPEX_0+IS!AR69*AP_OPEX_1+IS!AQ69*AP_OPEX_2+IS!AP69*AP_OPEX_3</f>
        <v>-3738.6000000000004</v>
      </c>
      <c r="AT12" s="144">
        <f>IS!AT69*AP_OPEX_0+IS!AS69*AP_OPEX_1+IS!AR69*AP_OPEX_2+IS!AQ69*AP_OPEX_3</f>
        <v>-4100.8968000000004</v>
      </c>
      <c r="AU12" s="144">
        <f>IS!AU69*AP_OPEX_0+IS!AT69*AP_OPEX_1+IS!AS69*AP_OPEX_2+IS!AR69*AP_OPEX_3</f>
        <v>-4141.152</v>
      </c>
      <c r="AV12" s="144">
        <f>IS!AV69*AP_OPEX_0+IS!AU69*AP_OPEX_1+IS!AT69*AP_OPEX_2+IS!AS69*AP_OPEX_3</f>
        <v>-4141.152</v>
      </c>
      <c r="AW12" s="144">
        <f>IS!AW69*AP_OPEX_0+IS!AV69*AP_OPEX_1+IS!AU69*AP_OPEX_2+IS!AT69*AP_OPEX_3</f>
        <v>-4141.152</v>
      </c>
      <c r="AX12" s="144">
        <f>IS!AX69*AP_OPEX_0+IS!AW69*AP_OPEX_1+IS!AV69*AP_OPEX_2+IS!AU69*AP_OPEX_3</f>
        <v>-4141.152</v>
      </c>
      <c r="AY12" s="144">
        <f>IS!AY69*AP_OPEX_0+IS!AX69*AP_OPEX_1+IS!AW69*AP_OPEX_2+IS!AV69*AP_OPEX_3</f>
        <v>-4141.152</v>
      </c>
      <c r="AZ12" s="144">
        <f>IS!AZ69*AP_OPEX_0+IS!AY69*AP_OPEX_1+IS!AX69*AP_OPEX_2+IS!AW69*AP_OPEX_3</f>
        <v>-4141.152</v>
      </c>
      <c r="BA12" s="144">
        <f>IS!BA69*AP_OPEX_0+IS!AZ69*AP_OPEX_1+IS!AY69*AP_OPEX_2+IS!AX69*AP_OPEX_3</f>
        <v>-4141.152</v>
      </c>
      <c r="BB12" s="144">
        <f>IS!BB69*AP_OPEX_0+IS!BA69*AP_OPEX_1+IS!AZ69*AP_OPEX_2+IS!AY69*AP_OPEX_3</f>
        <v>-4141.152</v>
      </c>
      <c r="BC12" s="144">
        <f>IS!BC69*AP_OPEX_0+IS!BB69*AP_OPEX_1+IS!BA69*AP_OPEX_2+IS!AZ69*AP_OPEX_3</f>
        <v>-4141.152</v>
      </c>
      <c r="BD12" s="144">
        <f>IS!BD69*AP_OPEX_0+IS!BC69*AP_OPEX_1+IS!BB69*AP_OPEX_2+IS!BA69*AP_OPEX_3</f>
        <v>-4141.152</v>
      </c>
      <c r="BE12" s="144">
        <f>IS!BE69*AP_OPEX_0+IS!BD69*AP_OPEX_1+IS!BC69*AP_OPEX_2+IS!BB69*AP_OPEX_3</f>
        <v>-4141.152</v>
      </c>
      <c r="BF12" s="144">
        <f>IS!BF69*AP_OPEX_0+IS!BE69*AP_OPEX_1+IS!BD69*AP_OPEX_2+IS!BC69*AP_OPEX_3</f>
        <v>-4583.662776000001</v>
      </c>
      <c r="BG12" s="144">
        <f>IS!BG69*AP_OPEX_0+IS!BF69*AP_OPEX_1+IS!BE69*AP_OPEX_2+IS!BD69*AP_OPEX_3</f>
        <v>-4632.830640000001</v>
      </c>
      <c r="BH12" s="144">
        <f>IS!BH69*AP_OPEX_0+IS!BG69*AP_OPEX_1+IS!BF69*AP_OPEX_2+IS!BE69*AP_OPEX_3</f>
        <v>-4632.830640000001</v>
      </c>
      <c r="BI12" s="144">
        <f>IS!BI69*AP_OPEX_0+IS!BH69*AP_OPEX_1+IS!BG69*AP_OPEX_2+IS!BF69*AP_OPEX_3</f>
        <v>-4632.830640000001</v>
      </c>
      <c r="BJ12" s="144">
        <f>IS!BJ69*AP_OPEX_0+IS!BI69*AP_OPEX_1+IS!BH69*AP_OPEX_2+IS!BG69*AP_OPEX_3</f>
        <v>-4632.830640000001</v>
      </c>
      <c r="BK12" s="144">
        <f>IS!BK69*AP_OPEX_0+IS!BJ69*AP_OPEX_1+IS!BI69*AP_OPEX_2+IS!BH69*AP_OPEX_3</f>
        <v>-4632.830640000001</v>
      </c>
      <c r="BL12" s="144">
        <f>IS!BL69*AP_OPEX_0+IS!BK69*AP_OPEX_1+IS!BJ69*AP_OPEX_2+IS!BI69*AP_OPEX_3</f>
        <v>-4632.830640000001</v>
      </c>
      <c r="BM12" s="144">
        <f>IS!BM69*AP_OPEX_0+IS!BL69*AP_OPEX_1+IS!BK69*AP_OPEX_2+IS!BJ69*AP_OPEX_3</f>
        <v>-4632.830640000001</v>
      </c>
      <c r="BN12" s="144">
        <f>IS!BN69*AP_OPEX_0+IS!BM69*AP_OPEX_1+IS!BL69*AP_OPEX_2+IS!BK69*AP_OPEX_3</f>
        <v>-4632.830640000001</v>
      </c>
      <c r="BO12" s="144">
        <f>IS!BO69*AP_OPEX_0+IS!BN69*AP_OPEX_1+IS!BM69*AP_OPEX_2+IS!BL69*AP_OPEX_3</f>
        <v>-4632.830640000001</v>
      </c>
      <c r="BP12" s="144">
        <f>IS!BP69*AP_OPEX_0+IS!BO69*AP_OPEX_1+IS!BN69*AP_OPEX_2+IS!BM69*AP_OPEX_3</f>
        <v>-4632.830640000001</v>
      </c>
      <c r="BQ12" s="144">
        <f>IS!BQ69*AP_OPEX_0+IS!BP69*AP_OPEX_1+IS!BO69*AP_OPEX_2+IS!BN69*AP_OPEX_3</f>
        <v>-4632.830640000001</v>
      </c>
    </row>
    <row r="13" spans="1:69" ht="10.199999999999999">
      <c r="B13" s="122"/>
      <c r="C13" s="122"/>
      <c r="D13" s="147" t="s">
        <v>38</v>
      </c>
      <c r="E13" s="122"/>
      <c r="F13" s="122"/>
      <c r="G13" s="122"/>
      <c r="H13" s="122"/>
      <c r="I13" s="122"/>
      <c r="J13" s="148">
        <f>IS!J81</f>
        <v>0</v>
      </c>
      <c r="K13" s="124">
        <f>IS!K81</f>
        <v>0</v>
      </c>
      <c r="L13" s="124">
        <f>IS!L81</f>
        <v>0</v>
      </c>
      <c r="M13" s="124">
        <f>IS!M81</f>
        <v>0</v>
      </c>
      <c r="N13" s="124">
        <f>IS!N81</f>
        <v>0</v>
      </c>
      <c r="O13" s="124">
        <f>IS!O81</f>
        <v>0</v>
      </c>
      <c r="P13" s="124">
        <f>IS!P81</f>
        <v>0</v>
      </c>
      <c r="Q13" s="124">
        <f>IS!Q81</f>
        <v>0</v>
      </c>
      <c r="R13" s="124">
        <f>IS!R81</f>
        <v>0</v>
      </c>
      <c r="S13" s="124">
        <f>IS!S81</f>
        <v>0</v>
      </c>
      <c r="T13" s="124">
        <f>IS!T81</f>
        <v>0</v>
      </c>
      <c r="U13" s="124">
        <f>IS!U81</f>
        <v>0</v>
      </c>
      <c r="V13" s="124">
        <f>IS!V81</f>
        <v>0</v>
      </c>
      <c r="W13" s="124">
        <f>IS!W81</f>
        <v>0</v>
      </c>
      <c r="X13" s="124">
        <f>IS!X81</f>
        <v>0</v>
      </c>
      <c r="Y13" s="124">
        <f>IS!Y81</f>
        <v>0</v>
      </c>
      <c r="Z13" s="124">
        <f>IS!Z81</f>
        <v>0</v>
      </c>
      <c r="AA13" s="124">
        <f>IS!AA81</f>
        <v>0</v>
      </c>
      <c r="AB13" s="124">
        <f>IS!AB81</f>
        <v>0</v>
      </c>
      <c r="AC13" s="124">
        <f>IS!AC81</f>
        <v>0</v>
      </c>
      <c r="AD13" s="124">
        <f>IS!AD81</f>
        <v>0</v>
      </c>
      <c r="AE13" s="124">
        <f>IS!AE81</f>
        <v>0</v>
      </c>
      <c r="AF13" s="124">
        <f>IS!AF81</f>
        <v>0</v>
      </c>
      <c r="AG13" s="124">
        <f>IS!AG81</f>
        <v>0</v>
      </c>
      <c r="AH13" s="124">
        <f>IS!AH81</f>
        <v>0</v>
      </c>
      <c r="AI13" s="124">
        <f>IS!AI81</f>
        <v>0</v>
      </c>
      <c r="AJ13" s="124">
        <f>IS!AJ81</f>
        <v>0</v>
      </c>
      <c r="AK13" s="124">
        <f>IS!AK81</f>
        <v>0</v>
      </c>
      <c r="AL13" s="124">
        <f>IS!AL81</f>
        <v>0</v>
      </c>
      <c r="AM13" s="124">
        <f>IS!AM81</f>
        <v>0</v>
      </c>
      <c r="AN13" s="124">
        <f>IS!AN81</f>
        <v>0</v>
      </c>
      <c r="AO13" s="124">
        <f>IS!AO81</f>
        <v>0</v>
      </c>
      <c r="AP13" s="124">
        <f>IS!AP81</f>
        <v>0</v>
      </c>
      <c r="AQ13" s="124">
        <f>IS!AQ81</f>
        <v>0</v>
      </c>
      <c r="AR13" s="124">
        <f>IS!AR81</f>
        <v>0</v>
      </c>
      <c r="AS13" s="124">
        <f>IS!AS81</f>
        <v>0</v>
      </c>
      <c r="AT13" s="124">
        <f>IS!AT81</f>
        <v>0</v>
      </c>
      <c r="AU13" s="124">
        <f>IS!AU81</f>
        <v>0</v>
      </c>
      <c r="AV13" s="124">
        <f>IS!AV81</f>
        <v>0</v>
      </c>
      <c r="AW13" s="124">
        <f>IS!AW81</f>
        <v>0</v>
      </c>
      <c r="AX13" s="124">
        <f>IS!AX81</f>
        <v>0</v>
      </c>
      <c r="AY13" s="124">
        <f>IS!AY81</f>
        <v>0</v>
      </c>
      <c r="AZ13" s="124">
        <f>IS!AZ81</f>
        <v>0</v>
      </c>
      <c r="BA13" s="124">
        <f>IS!BA81</f>
        <v>0</v>
      </c>
      <c r="BB13" s="124">
        <f>IS!BB81</f>
        <v>0</v>
      </c>
      <c r="BC13" s="124">
        <f>IS!BC81</f>
        <v>0</v>
      </c>
      <c r="BD13" s="124">
        <f>IS!BD81</f>
        <v>0</v>
      </c>
      <c r="BE13" s="124">
        <f>IS!BE81</f>
        <v>0</v>
      </c>
      <c r="BF13" s="124">
        <f>IS!BF81</f>
        <v>0</v>
      </c>
      <c r="BG13" s="124">
        <f>IS!BG81</f>
        <v>0</v>
      </c>
      <c r="BH13" s="124">
        <f>IS!BH81</f>
        <v>0</v>
      </c>
      <c r="BI13" s="124">
        <f>IS!BI81</f>
        <v>-833.33333333333337</v>
      </c>
      <c r="BJ13" s="124">
        <f>IS!BJ81</f>
        <v>-801.82367249651406</v>
      </c>
      <c r="BK13" s="124">
        <f>IS!BK81</f>
        <v>-770.05143115272119</v>
      </c>
      <c r="BL13" s="124">
        <f>IS!BL81</f>
        <v>-738.0144211310635</v>
      </c>
      <c r="BM13" s="124">
        <f>IS!BM81</f>
        <v>-705.71043602589214</v>
      </c>
      <c r="BN13" s="124">
        <f>IS!BN81</f>
        <v>-673.13725104484388</v>
      </c>
      <c r="BO13" s="124">
        <f>IS!BO81</f>
        <v>-640.29262285562061</v>
      </c>
      <c r="BP13" s="124">
        <f>IS!BP81</f>
        <v>-607.17428943148695</v>
      </c>
      <c r="BQ13" s="124">
        <f>IS!BQ81</f>
        <v>-573.77996989548569</v>
      </c>
    </row>
    <row r="14" spans="1:69" ht="10.199999999999999">
      <c r="A14" s="122"/>
      <c r="B14" s="122"/>
      <c r="C14" s="122"/>
      <c r="D14" s="147" t="s">
        <v>23</v>
      </c>
      <c r="E14" s="122"/>
      <c r="F14" s="122"/>
      <c r="G14" s="122"/>
      <c r="H14" s="122"/>
      <c r="I14" s="122"/>
      <c r="J14" s="148">
        <f>IS!J85</f>
        <v>0</v>
      </c>
      <c r="K14" s="148">
        <f>IS!K85</f>
        <v>-55.681818181818187</v>
      </c>
      <c r="L14" s="148">
        <f>IS!L85</f>
        <v>-200.68181818181819</v>
      </c>
      <c r="M14" s="148">
        <f>IS!M85</f>
        <v>-200.68181818181819</v>
      </c>
      <c r="N14" s="148">
        <f>IS!N85</f>
        <v>-200.68181818181819</v>
      </c>
      <c r="O14" s="148">
        <f>IS!O85</f>
        <v>-200.68181818181819</v>
      </c>
      <c r="P14" s="148">
        <f>IS!P85</f>
        <v>-200.68181818181819</v>
      </c>
      <c r="Q14" s="148">
        <f>IS!Q85</f>
        <v>-200.68181818181819</v>
      </c>
      <c r="R14" s="148">
        <f>IS!R85</f>
        <v>-200.68181818181819</v>
      </c>
      <c r="S14" s="148">
        <f>IS!S85</f>
        <v>-200.68181818181819</v>
      </c>
      <c r="T14" s="148">
        <f>IS!T85</f>
        <v>-200.68181818181819</v>
      </c>
      <c r="U14" s="148">
        <f>IS!U85</f>
        <v>-200.68181818181819</v>
      </c>
      <c r="V14" s="148">
        <f>IS!V85</f>
        <v>-384.75</v>
      </c>
      <c r="W14" s="148">
        <f>IS!W85</f>
        <v>-384.75</v>
      </c>
      <c r="X14" s="148">
        <f>IS!X85</f>
        <v>-384.75</v>
      </c>
      <c r="Y14" s="148">
        <f>IS!Y85</f>
        <v>-384.75</v>
      </c>
      <c r="Z14" s="148">
        <f>IS!Z85</f>
        <v>-384.75</v>
      </c>
      <c r="AA14" s="148">
        <f>IS!AA85</f>
        <v>-384.75</v>
      </c>
      <c r="AB14" s="148">
        <f>IS!AB85</f>
        <v>-384.75</v>
      </c>
      <c r="AC14" s="148">
        <f>IS!AC85</f>
        <v>-384.75</v>
      </c>
      <c r="AD14" s="148">
        <f>IS!AD85</f>
        <v>-384.75</v>
      </c>
      <c r="AE14" s="148">
        <f>IS!AE85</f>
        <v>-384.75</v>
      </c>
      <c r="AF14" s="148">
        <f>IS!AF85</f>
        <v>-384.75</v>
      </c>
      <c r="AG14" s="148">
        <f>IS!AG85</f>
        <v>-384.75</v>
      </c>
      <c r="AH14" s="148">
        <f>IS!AH85</f>
        <v>-741.27000000000066</v>
      </c>
      <c r="AI14" s="148">
        <f>IS!AI85</f>
        <v>-741.27000000000066</v>
      </c>
      <c r="AJ14" s="148">
        <f>IS!AJ85</f>
        <v>-741.27000000000066</v>
      </c>
      <c r="AK14" s="148">
        <f>IS!AK85</f>
        <v>-741.27000000000066</v>
      </c>
      <c r="AL14" s="148">
        <f>IS!AL85</f>
        <v>-741.27000000000066</v>
      </c>
      <c r="AM14" s="148">
        <f>IS!AM85</f>
        <v>-741.27000000000066</v>
      </c>
      <c r="AN14" s="148">
        <f>IS!AN85</f>
        <v>-741.27000000000066</v>
      </c>
      <c r="AO14" s="148">
        <f>IS!AO85</f>
        <v>-741.27000000000066</v>
      </c>
      <c r="AP14" s="148">
        <f>IS!AP85</f>
        <v>-741.27000000000066</v>
      </c>
      <c r="AQ14" s="148">
        <f>IS!AQ85</f>
        <v>-741.27000000000066</v>
      </c>
      <c r="AR14" s="148">
        <f>IS!AR85</f>
        <v>-741.27000000000066</v>
      </c>
      <c r="AS14" s="148">
        <f>IS!AS85</f>
        <v>-741.27000000000066</v>
      </c>
      <c r="AT14" s="148">
        <f>IS!AT85</f>
        <v>-1217.5464000000006</v>
      </c>
      <c r="AU14" s="148">
        <f>IS!AU85</f>
        <v>-1217.5464000000006</v>
      </c>
      <c r="AV14" s="148">
        <f>IS!AV85</f>
        <v>-1217.5464000000006</v>
      </c>
      <c r="AW14" s="148">
        <f>IS!AW85</f>
        <v>-1217.5464000000006</v>
      </c>
      <c r="AX14" s="148">
        <f>IS!AX85</f>
        <v>-1217.5464000000006</v>
      </c>
      <c r="AY14" s="148">
        <f>IS!AY85</f>
        <v>-1217.5464000000006</v>
      </c>
      <c r="AZ14" s="148">
        <f>IS!AZ85</f>
        <v>-1217.5464000000006</v>
      </c>
      <c r="BA14" s="148">
        <f>IS!BA85</f>
        <v>-1217.5464000000006</v>
      </c>
      <c r="BB14" s="148">
        <f>IS!BB85</f>
        <v>-1217.5464000000006</v>
      </c>
      <c r="BC14" s="148">
        <f>IS!BC85</f>
        <v>-1217.5464000000006</v>
      </c>
      <c r="BD14" s="148">
        <f>IS!BD85</f>
        <v>-1217.5464000000006</v>
      </c>
      <c r="BE14" s="148">
        <f>IS!BE85</f>
        <v>-1217.5464000000006</v>
      </c>
      <c r="BF14" s="148">
        <f>IS!BF85</f>
        <v>-1852.184748000001</v>
      </c>
      <c r="BG14" s="148">
        <f>IS!BG85</f>
        <v>-1852.184748000001</v>
      </c>
      <c r="BH14" s="148">
        <f>IS!BH85</f>
        <v>-1852.184748000001</v>
      </c>
      <c r="BI14" s="148">
        <f>IS!BI85</f>
        <v>-1727.184748000001</v>
      </c>
      <c r="BJ14" s="148">
        <f>IS!BJ85</f>
        <v>-1731.911197125524</v>
      </c>
      <c r="BK14" s="148">
        <f>IS!BK85</f>
        <v>-1736.6770333270931</v>
      </c>
      <c r="BL14" s="148">
        <f>IS!BL85</f>
        <v>-1741.4825848303415</v>
      </c>
      <c r="BM14" s="148">
        <f>IS!BM85</f>
        <v>-1746.3281825961171</v>
      </c>
      <c r="BN14" s="148">
        <f>IS!BN85</f>
        <v>-1751.2141603432744</v>
      </c>
      <c r="BO14" s="148">
        <f>IS!BO85</f>
        <v>-1756.1408545716579</v>
      </c>
      <c r="BP14" s="148">
        <f>IS!BP85</f>
        <v>-1761.108604585278</v>
      </c>
      <c r="BQ14" s="148">
        <f>IS!BQ85</f>
        <v>-1766.1177525156781</v>
      </c>
    </row>
    <row r="15" spans="1:69" ht="10.199999999999999">
      <c r="B15" s="122"/>
      <c r="C15" s="122"/>
      <c r="D15" s="149" t="str">
        <f>"Net "&amp;C9</f>
        <v>Net Operating Activities</v>
      </c>
      <c r="E15" s="122"/>
      <c r="F15" s="122"/>
      <c r="G15" s="122"/>
      <c r="H15" s="122"/>
      <c r="I15" s="122"/>
      <c r="J15" s="150">
        <f t="shared" ref="J15:AO15" si="2">SUM(J10:J14)</f>
        <v>-962.50000000000045</v>
      </c>
      <c r="K15" s="126">
        <f t="shared" si="2"/>
        <v>1302.6515151515148</v>
      </c>
      <c r="L15" s="126">
        <f t="shared" si="2"/>
        <v>3009.8333333333339</v>
      </c>
      <c r="M15" s="126">
        <f t="shared" si="2"/>
        <v>3403.19696969697</v>
      </c>
      <c r="N15" s="126">
        <f t="shared" si="2"/>
        <v>3637.19696969697</v>
      </c>
      <c r="O15" s="126">
        <f t="shared" si="2"/>
        <v>3637.19696969697</v>
      </c>
      <c r="P15" s="126">
        <f t="shared" si="2"/>
        <v>3637.19696969697</v>
      </c>
      <c r="Q15" s="126">
        <f t="shared" si="2"/>
        <v>3637.19696969697</v>
      </c>
      <c r="R15" s="126">
        <f t="shared" si="2"/>
        <v>3637.19696969697</v>
      </c>
      <c r="S15" s="126">
        <f t="shared" si="2"/>
        <v>3637.19696969697</v>
      </c>
      <c r="T15" s="126">
        <f t="shared" si="2"/>
        <v>3637.19696969697</v>
      </c>
      <c r="U15" s="126">
        <f t="shared" si="2"/>
        <v>3637.19696969697</v>
      </c>
      <c r="V15" s="126">
        <f t="shared" si="2"/>
        <v>4458.5287878787894</v>
      </c>
      <c r="W15" s="126">
        <f t="shared" si="2"/>
        <v>4530.2136363636382</v>
      </c>
      <c r="X15" s="126">
        <f t="shared" si="2"/>
        <v>4680.25</v>
      </c>
      <c r="Y15" s="126">
        <f t="shared" si="2"/>
        <v>4680.25</v>
      </c>
      <c r="Z15" s="126">
        <f t="shared" si="2"/>
        <v>4680.25</v>
      </c>
      <c r="AA15" s="126">
        <f t="shared" si="2"/>
        <v>4680.25</v>
      </c>
      <c r="AB15" s="126">
        <f t="shared" si="2"/>
        <v>4680.25</v>
      </c>
      <c r="AC15" s="126">
        <f t="shared" si="2"/>
        <v>4680.25</v>
      </c>
      <c r="AD15" s="126">
        <f t="shared" si="2"/>
        <v>4680.25</v>
      </c>
      <c r="AE15" s="126">
        <f t="shared" si="2"/>
        <v>4680.25</v>
      </c>
      <c r="AF15" s="126">
        <f t="shared" si="2"/>
        <v>4680.25</v>
      </c>
      <c r="AG15" s="126">
        <f t="shared" si="2"/>
        <v>4680.25</v>
      </c>
      <c r="AH15" s="126">
        <f t="shared" si="2"/>
        <v>6284.738000000003</v>
      </c>
      <c r="AI15" s="126">
        <f t="shared" si="2"/>
        <v>6414.0020000000022</v>
      </c>
      <c r="AJ15" s="126">
        <f t="shared" si="2"/>
        <v>6700.5300000000043</v>
      </c>
      <c r="AK15" s="126">
        <f t="shared" si="2"/>
        <v>6700.5300000000043</v>
      </c>
      <c r="AL15" s="126">
        <f t="shared" si="2"/>
        <v>6700.5300000000043</v>
      </c>
      <c r="AM15" s="126">
        <f t="shared" si="2"/>
        <v>6700.5300000000043</v>
      </c>
      <c r="AN15" s="126">
        <f t="shared" si="2"/>
        <v>6700.5300000000043</v>
      </c>
      <c r="AO15" s="126">
        <f t="shared" si="2"/>
        <v>6700.5300000000043</v>
      </c>
      <c r="AP15" s="126">
        <f t="shared" ref="AP15:BQ15" si="3">SUM(AP10:AP14)</f>
        <v>6700.5300000000043</v>
      </c>
      <c r="AQ15" s="126">
        <f t="shared" si="3"/>
        <v>6700.5300000000043</v>
      </c>
      <c r="AR15" s="126">
        <f t="shared" si="3"/>
        <v>6700.5300000000043</v>
      </c>
      <c r="AS15" s="126">
        <f t="shared" si="3"/>
        <v>6700.5300000000043</v>
      </c>
      <c r="AT15" s="126">
        <f t="shared" si="3"/>
        <v>8846.8041600000033</v>
      </c>
      <c r="AU15" s="126">
        <f t="shared" si="3"/>
        <v>9021.2126400000052</v>
      </c>
      <c r="AV15" s="126">
        <f t="shared" si="3"/>
        <v>9399.4296000000086</v>
      </c>
      <c r="AW15" s="126">
        <f t="shared" si="3"/>
        <v>9399.4296000000086</v>
      </c>
      <c r="AX15" s="126">
        <f t="shared" si="3"/>
        <v>9399.4296000000086</v>
      </c>
      <c r="AY15" s="126">
        <f t="shared" si="3"/>
        <v>9399.4296000000086</v>
      </c>
      <c r="AZ15" s="126">
        <f t="shared" si="3"/>
        <v>9399.4296000000086</v>
      </c>
      <c r="BA15" s="126">
        <f t="shared" si="3"/>
        <v>9399.4296000000086</v>
      </c>
      <c r="BB15" s="126">
        <f t="shared" si="3"/>
        <v>9399.4296000000086</v>
      </c>
      <c r="BC15" s="126">
        <f t="shared" si="3"/>
        <v>9399.4296000000086</v>
      </c>
      <c r="BD15" s="126">
        <f t="shared" si="3"/>
        <v>9399.4296000000086</v>
      </c>
      <c r="BE15" s="126">
        <f t="shared" si="3"/>
        <v>9399.4296000000086</v>
      </c>
      <c r="BF15" s="126">
        <f t="shared" si="3"/>
        <v>12262.27899120001</v>
      </c>
      <c r="BG15" s="126">
        <f t="shared" si="3"/>
        <v>12496.467184800009</v>
      </c>
      <c r="BH15" s="126">
        <f t="shared" si="3"/>
        <v>12995.71357200001</v>
      </c>
      <c r="BI15" s="126">
        <f t="shared" si="3"/>
        <v>12287.380238666676</v>
      </c>
      <c r="BJ15" s="126">
        <f t="shared" si="3"/>
        <v>12314.163450377973</v>
      </c>
      <c r="BK15" s="126">
        <f t="shared" si="3"/>
        <v>12341.169855520198</v>
      </c>
      <c r="BL15" s="126">
        <f t="shared" si="3"/>
        <v>12368.401314038607</v>
      </c>
      <c r="BM15" s="126">
        <f t="shared" si="3"/>
        <v>12395.859701378002</v>
      </c>
      <c r="BN15" s="126">
        <f t="shared" si="3"/>
        <v>12423.546908611894</v>
      </c>
      <c r="BO15" s="126">
        <f t="shared" si="3"/>
        <v>12451.464842572732</v>
      </c>
      <c r="BP15" s="126">
        <f t="shared" si="3"/>
        <v>12479.615425983247</v>
      </c>
      <c r="BQ15" s="126">
        <f t="shared" si="3"/>
        <v>12508.000597588847</v>
      </c>
    </row>
    <row r="16" spans="1:69" s="107" customFormat="1" ht="10.199999999999999">
      <c r="B16" s="143"/>
      <c r="C16" s="143"/>
      <c r="D16" s="143"/>
      <c r="E16" s="143"/>
      <c r="F16" s="143"/>
      <c r="G16" s="143"/>
      <c r="H16" s="143"/>
      <c r="I16" s="143"/>
      <c r="J16" s="146"/>
      <c r="K16" s="130"/>
      <c r="L16" s="130"/>
      <c r="M16" s="130"/>
      <c r="N16" s="130"/>
      <c r="O16" s="130"/>
      <c r="P16" s="130"/>
      <c r="Q16" s="130"/>
      <c r="R16" s="130"/>
      <c r="S16" s="130"/>
      <c r="T16" s="130"/>
      <c r="U16" s="130"/>
      <c r="V16" s="130"/>
      <c r="W16" s="130"/>
      <c r="X16" s="130"/>
      <c r="Y16" s="130"/>
      <c r="Z16" s="130"/>
      <c r="AA16" s="130"/>
      <c r="AB16" s="130"/>
      <c r="AC16" s="130"/>
      <c r="AD16" s="130"/>
      <c r="AE16" s="130"/>
      <c r="AF16" s="130"/>
      <c r="AG16" s="130"/>
      <c r="AH16" s="130"/>
      <c r="AI16" s="130"/>
      <c r="AJ16" s="130"/>
      <c r="AK16" s="130"/>
      <c r="AL16" s="130"/>
      <c r="AM16" s="130"/>
      <c r="AN16" s="130"/>
      <c r="AO16" s="130"/>
      <c r="AP16" s="130"/>
      <c r="AQ16" s="130"/>
      <c r="AR16" s="130"/>
      <c r="AS16" s="130"/>
      <c r="AT16" s="130"/>
      <c r="AU16" s="130"/>
      <c r="AV16" s="130"/>
      <c r="AW16" s="130"/>
      <c r="AX16" s="130"/>
      <c r="AY16" s="130"/>
      <c r="AZ16" s="130"/>
      <c r="BA16" s="130"/>
      <c r="BB16" s="130"/>
      <c r="BC16" s="130"/>
      <c r="BD16" s="130"/>
      <c r="BE16" s="130"/>
      <c r="BF16" s="130"/>
      <c r="BG16" s="130"/>
      <c r="BH16" s="130"/>
      <c r="BI16" s="130"/>
      <c r="BJ16" s="130"/>
      <c r="BK16" s="130"/>
      <c r="BL16" s="130"/>
      <c r="BM16" s="130"/>
      <c r="BN16" s="130"/>
      <c r="BO16" s="130"/>
      <c r="BP16" s="130"/>
      <c r="BQ16" s="130"/>
    </row>
    <row r="17" spans="2:69" ht="11.4">
      <c r="B17" s="122"/>
      <c r="C17" s="128" t="s">
        <v>111</v>
      </c>
      <c r="D17" s="122"/>
      <c r="E17" s="122"/>
      <c r="F17" s="122"/>
      <c r="G17" s="122"/>
      <c r="H17" s="122"/>
      <c r="I17" s="122"/>
      <c r="J17" s="151"/>
      <c r="K17" s="100"/>
      <c r="L17" s="100"/>
      <c r="M17" s="100"/>
      <c r="N17" s="100"/>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row>
    <row r="18" spans="2:69" ht="10.199999999999999">
      <c r="B18" s="122"/>
      <c r="C18" s="122"/>
      <c r="D18" s="147" t="str">
        <f>CAPEX!G11</f>
        <v>Equipment</v>
      </c>
      <c r="E18" s="122"/>
      <c r="F18" s="122"/>
      <c r="G18" s="122"/>
      <c r="H18" s="122"/>
      <c r="I18" s="122"/>
      <c r="J18" s="148">
        <f>-CAPEX!J15</f>
        <v>-50000</v>
      </c>
      <c r="K18" s="124">
        <f>-CAPEX!K15</f>
        <v>-50000</v>
      </c>
      <c r="L18" s="124">
        <f>-CAPEX!L15</f>
        <v>-50000</v>
      </c>
      <c r="M18" s="124">
        <f>-CAPEX!M15</f>
        <v>0</v>
      </c>
      <c r="N18" s="124">
        <f>-CAPEX!N15</f>
        <v>0</v>
      </c>
      <c r="O18" s="124">
        <f>-CAPEX!O15</f>
        <v>0</v>
      </c>
      <c r="P18" s="124">
        <f>-CAPEX!P15</f>
        <v>0</v>
      </c>
      <c r="Q18" s="124">
        <f>-CAPEX!Q15</f>
        <v>0</v>
      </c>
      <c r="R18" s="124">
        <f>-CAPEX!R15</f>
        <v>0</v>
      </c>
      <c r="S18" s="124">
        <f>-CAPEX!S15</f>
        <v>0</v>
      </c>
      <c r="T18" s="124">
        <f>-CAPEX!T15</f>
        <v>0</v>
      </c>
      <c r="U18" s="124">
        <f>-CAPEX!U15</f>
        <v>0</v>
      </c>
      <c r="V18" s="124">
        <f>-CAPEX!V15</f>
        <v>0</v>
      </c>
      <c r="W18" s="124">
        <f>-CAPEX!W15</f>
        <v>0</v>
      </c>
      <c r="X18" s="124">
        <f>-CAPEX!X15</f>
        <v>0</v>
      </c>
      <c r="Y18" s="124">
        <f>-CAPEX!Y15</f>
        <v>0</v>
      </c>
      <c r="Z18" s="124">
        <f>-CAPEX!Z15</f>
        <v>0</v>
      </c>
      <c r="AA18" s="124">
        <f>-CAPEX!AA15</f>
        <v>0</v>
      </c>
      <c r="AB18" s="124">
        <f>-CAPEX!AB15</f>
        <v>0</v>
      </c>
      <c r="AC18" s="124">
        <f>-CAPEX!AC15</f>
        <v>0</v>
      </c>
      <c r="AD18" s="124">
        <f>-CAPEX!AD15</f>
        <v>0</v>
      </c>
      <c r="AE18" s="124">
        <f>-CAPEX!AE15</f>
        <v>0</v>
      </c>
      <c r="AF18" s="124">
        <f>-CAPEX!AF15</f>
        <v>0</v>
      </c>
      <c r="AG18" s="124">
        <f>-CAPEX!AG15</f>
        <v>0</v>
      </c>
      <c r="AH18" s="124">
        <f>-CAPEX!AH15</f>
        <v>0</v>
      </c>
      <c r="AI18" s="124">
        <f>-CAPEX!AI15</f>
        <v>0</v>
      </c>
      <c r="AJ18" s="124">
        <f>-CAPEX!AJ15</f>
        <v>0</v>
      </c>
      <c r="AK18" s="124">
        <f>-CAPEX!AK15</f>
        <v>0</v>
      </c>
      <c r="AL18" s="124">
        <f>-CAPEX!AL15</f>
        <v>0</v>
      </c>
      <c r="AM18" s="124">
        <f>-CAPEX!AM15</f>
        <v>0</v>
      </c>
      <c r="AN18" s="124">
        <f>-CAPEX!AN15</f>
        <v>0</v>
      </c>
      <c r="AO18" s="124">
        <f>-CAPEX!AO15</f>
        <v>0</v>
      </c>
      <c r="AP18" s="124">
        <f>-CAPEX!AP15</f>
        <v>0</v>
      </c>
      <c r="AQ18" s="124">
        <f>-CAPEX!AQ15</f>
        <v>0</v>
      </c>
      <c r="AR18" s="124">
        <f>-CAPEX!AR15</f>
        <v>0</v>
      </c>
      <c r="AS18" s="124">
        <f>-CAPEX!AS15</f>
        <v>0</v>
      </c>
      <c r="AT18" s="124">
        <f>-CAPEX!AT15</f>
        <v>0</v>
      </c>
      <c r="AU18" s="124">
        <f>-CAPEX!AU15</f>
        <v>0</v>
      </c>
      <c r="AV18" s="124">
        <f>-CAPEX!AV15</f>
        <v>0</v>
      </c>
      <c r="AW18" s="124">
        <f>-CAPEX!AW15</f>
        <v>0</v>
      </c>
      <c r="AX18" s="124">
        <f>-CAPEX!AX15</f>
        <v>0</v>
      </c>
      <c r="AY18" s="124">
        <f>-CAPEX!AY15</f>
        <v>0</v>
      </c>
      <c r="AZ18" s="124">
        <f>-CAPEX!AZ15</f>
        <v>0</v>
      </c>
      <c r="BA18" s="124">
        <f>-CAPEX!BA15</f>
        <v>0</v>
      </c>
      <c r="BB18" s="124">
        <f>-CAPEX!BB15</f>
        <v>0</v>
      </c>
      <c r="BC18" s="124">
        <f>-CAPEX!BC15</f>
        <v>0</v>
      </c>
      <c r="BD18" s="124">
        <f>-CAPEX!BD15</f>
        <v>0</v>
      </c>
      <c r="BE18" s="124">
        <f>-CAPEX!BE15</f>
        <v>0</v>
      </c>
      <c r="BF18" s="124">
        <f>-CAPEX!BF15</f>
        <v>0</v>
      </c>
      <c r="BG18" s="124">
        <f>-CAPEX!BG15</f>
        <v>0</v>
      </c>
      <c r="BH18" s="124">
        <f>-CAPEX!BH15</f>
        <v>0</v>
      </c>
      <c r="BI18" s="124">
        <f>-CAPEX!BI15</f>
        <v>0</v>
      </c>
      <c r="BJ18" s="124">
        <f>-CAPEX!BJ15</f>
        <v>0</v>
      </c>
      <c r="BK18" s="124">
        <f>-CAPEX!BK15</f>
        <v>0</v>
      </c>
      <c r="BL18" s="124">
        <f>-CAPEX!BL15</f>
        <v>0</v>
      </c>
      <c r="BM18" s="124">
        <f>-CAPEX!BM15</f>
        <v>0</v>
      </c>
      <c r="BN18" s="124">
        <f>-CAPEX!BN15</f>
        <v>0</v>
      </c>
      <c r="BO18" s="124">
        <f>-CAPEX!BO15</f>
        <v>0</v>
      </c>
      <c r="BP18" s="124">
        <f>-CAPEX!BP15</f>
        <v>0</v>
      </c>
      <c r="BQ18" s="124">
        <f>-CAPEX!BQ15</f>
        <v>0</v>
      </c>
    </row>
    <row r="19" spans="2:69" ht="10.199999999999999">
      <c r="B19" s="122"/>
      <c r="C19" s="122"/>
      <c r="D19" s="147" t="str">
        <f>CAPEX!G21</f>
        <v>Asset_2</v>
      </c>
      <c r="E19" s="122"/>
      <c r="F19" s="122"/>
      <c r="G19" s="122"/>
      <c r="H19" s="122"/>
      <c r="I19" s="122"/>
      <c r="J19" s="148">
        <f>-CAPEX!J25</f>
        <v>0</v>
      </c>
      <c r="K19" s="124">
        <f>-CAPEX!K25</f>
        <v>0</v>
      </c>
      <c r="L19" s="124">
        <f>-CAPEX!L25</f>
        <v>0</v>
      </c>
      <c r="M19" s="124">
        <f>-CAPEX!M25</f>
        <v>0</v>
      </c>
      <c r="N19" s="124">
        <f>-CAPEX!N25</f>
        <v>0</v>
      </c>
      <c r="O19" s="124">
        <f>-CAPEX!O25</f>
        <v>0</v>
      </c>
      <c r="P19" s="124">
        <f>-CAPEX!P25</f>
        <v>0</v>
      </c>
      <c r="Q19" s="124">
        <f>-CAPEX!Q25</f>
        <v>0</v>
      </c>
      <c r="R19" s="124">
        <f>-CAPEX!R25</f>
        <v>0</v>
      </c>
      <c r="S19" s="124">
        <f>-CAPEX!S25</f>
        <v>0</v>
      </c>
      <c r="T19" s="124">
        <f>-CAPEX!T25</f>
        <v>0</v>
      </c>
      <c r="U19" s="124">
        <f>-CAPEX!U25</f>
        <v>0</v>
      </c>
      <c r="V19" s="124">
        <f>-CAPEX!V25</f>
        <v>0</v>
      </c>
      <c r="W19" s="124">
        <f>-CAPEX!W25</f>
        <v>0</v>
      </c>
      <c r="X19" s="124">
        <f>-CAPEX!X25</f>
        <v>0</v>
      </c>
      <c r="Y19" s="124">
        <f>-CAPEX!Y25</f>
        <v>0</v>
      </c>
      <c r="Z19" s="124">
        <f>-CAPEX!Z25</f>
        <v>0</v>
      </c>
      <c r="AA19" s="124">
        <f>-CAPEX!AA25</f>
        <v>0</v>
      </c>
      <c r="AB19" s="124">
        <f>-CAPEX!AB25</f>
        <v>0</v>
      </c>
      <c r="AC19" s="124">
        <f>-CAPEX!AC25</f>
        <v>0</v>
      </c>
      <c r="AD19" s="124">
        <f>-CAPEX!AD25</f>
        <v>0</v>
      </c>
      <c r="AE19" s="124">
        <f>-CAPEX!AE25</f>
        <v>0</v>
      </c>
      <c r="AF19" s="124">
        <f>-CAPEX!AF25</f>
        <v>0</v>
      </c>
      <c r="AG19" s="124">
        <f>-CAPEX!AG25</f>
        <v>0</v>
      </c>
      <c r="AH19" s="124">
        <f>-CAPEX!AH25</f>
        <v>0</v>
      </c>
      <c r="AI19" s="124">
        <f>-CAPEX!AI25</f>
        <v>0</v>
      </c>
      <c r="AJ19" s="124">
        <f>-CAPEX!AJ25</f>
        <v>0</v>
      </c>
      <c r="AK19" s="124">
        <f>-CAPEX!AK25</f>
        <v>0</v>
      </c>
      <c r="AL19" s="124">
        <f>-CAPEX!AL25</f>
        <v>0</v>
      </c>
      <c r="AM19" s="124">
        <f>-CAPEX!AM25</f>
        <v>0</v>
      </c>
      <c r="AN19" s="124">
        <f>-CAPEX!AN25</f>
        <v>0</v>
      </c>
      <c r="AO19" s="124">
        <f>-CAPEX!AO25</f>
        <v>0</v>
      </c>
      <c r="AP19" s="124">
        <f>-CAPEX!AP25</f>
        <v>0</v>
      </c>
      <c r="AQ19" s="124">
        <f>-CAPEX!AQ25</f>
        <v>0</v>
      </c>
      <c r="AR19" s="124">
        <f>-CAPEX!AR25</f>
        <v>0</v>
      </c>
      <c r="AS19" s="124">
        <f>-CAPEX!AS25</f>
        <v>0</v>
      </c>
      <c r="AT19" s="124">
        <f>-CAPEX!AT25</f>
        <v>0</v>
      </c>
      <c r="AU19" s="124">
        <f>-CAPEX!AU25</f>
        <v>0</v>
      </c>
      <c r="AV19" s="124">
        <f>-CAPEX!AV25</f>
        <v>0</v>
      </c>
      <c r="AW19" s="124">
        <f>-CAPEX!AW25</f>
        <v>0</v>
      </c>
      <c r="AX19" s="124">
        <f>-CAPEX!AX25</f>
        <v>0</v>
      </c>
      <c r="AY19" s="124">
        <f>-CAPEX!AY25</f>
        <v>0</v>
      </c>
      <c r="AZ19" s="124">
        <f>-CAPEX!AZ25</f>
        <v>0</v>
      </c>
      <c r="BA19" s="124">
        <f>-CAPEX!BA25</f>
        <v>0</v>
      </c>
      <c r="BB19" s="124">
        <f>-CAPEX!BB25</f>
        <v>0</v>
      </c>
      <c r="BC19" s="124">
        <f>-CAPEX!BC25</f>
        <v>0</v>
      </c>
      <c r="BD19" s="124">
        <f>-CAPEX!BD25</f>
        <v>0</v>
      </c>
      <c r="BE19" s="124">
        <f>-CAPEX!BE25</f>
        <v>0</v>
      </c>
      <c r="BF19" s="124">
        <f>-CAPEX!BF25</f>
        <v>0</v>
      </c>
      <c r="BG19" s="124">
        <f>-CAPEX!BG25</f>
        <v>0</v>
      </c>
      <c r="BH19" s="124">
        <f>-CAPEX!BH25</f>
        <v>0</v>
      </c>
      <c r="BI19" s="124">
        <f>-CAPEX!BI25</f>
        <v>0</v>
      </c>
      <c r="BJ19" s="124">
        <f>-CAPEX!BJ25</f>
        <v>0</v>
      </c>
      <c r="BK19" s="124">
        <f>-CAPEX!BK25</f>
        <v>0</v>
      </c>
      <c r="BL19" s="124">
        <f>-CAPEX!BL25</f>
        <v>0</v>
      </c>
      <c r="BM19" s="124">
        <f>-CAPEX!BM25</f>
        <v>0</v>
      </c>
      <c r="BN19" s="124">
        <f>-CAPEX!BN25</f>
        <v>0</v>
      </c>
      <c r="BO19" s="124">
        <f>-CAPEX!BO25</f>
        <v>0</v>
      </c>
      <c r="BP19" s="124">
        <f>-CAPEX!BP25</f>
        <v>0</v>
      </c>
      <c r="BQ19" s="124">
        <f>-CAPEX!BQ25</f>
        <v>0</v>
      </c>
    </row>
    <row r="20" spans="2:69" ht="10.199999999999999">
      <c r="B20" s="122"/>
      <c r="C20" s="122"/>
      <c r="D20" s="147" t="str">
        <f>CAPEX!G31</f>
        <v>Asset_3</v>
      </c>
      <c r="E20" s="122"/>
      <c r="F20" s="122"/>
      <c r="G20" s="122"/>
      <c r="H20" s="122"/>
      <c r="I20" s="122"/>
      <c r="J20" s="148">
        <f>-CAPEX!J35</f>
        <v>0</v>
      </c>
      <c r="K20" s="124">
        <f>-CAPEX!K35</f>
        <v>0</v>
      </c>
      <c r="L20" s="124">
        <f>-CAPEX!L35</f>
        <v>0</v>
      </c>
      <c r="M20" s="124">
        <f>-CAPEX!M35</f>
        <v>0</v>
      </c>
      <c r="N20" s="124">
        <f>-CAPEX!N35</f>
        <v>0</v>
      </c>
      <c r="O20" s="124">
        <f>-CAPEX!O35</f>
        <v>0</v>
      </c>
      <c r="P20" s="124">
        <f>-CAPEX!P35</f>
        <v>0</v>
      </c>
      <c r="Q20" s="124">
        <f>-CAPEX!Q35</f>
        <v>0</v>
      </c>
      <c r="R20" s="124">
        <f>-CAPEX!R35</f>
        <v>0</v>
      </c>
      <c r="S20" s="124">
        <f>-CAPEX!S35</f>
        <v>0</v>
      </c>
      <c r="T20" s="124">
        <f>-CAPEX!T35</f>
        <v>0</v>
      </c>
      <c r="U20" s="124">
        <f>-CAPEX!U35</f>
        <v>0</v>
      </c>
      <c r="V20" s="124">
        <f>-CAPEX!V35</f>
        <v>0</v>
      </c>
      <c r="W20" s="124">
        <f>-CAPEX!W35</f>
        <v>0</v>
      </c>
      <c r="X20" s="124">
        <f>-CAPEX!X35</f>
        <v>0</v>
      </c>
      <c r="Y20" s="124">
        <f>-CAPEX!Y35</f>
        <v>0</v>
      </c>
      <c r="Z20" s="124">
        <f>-CAPEX!Z35</f>
        <v>0</v>
      </c>
      <c r="AA20" s="124">
        <f>-CAPEX!AA35</f>
        <v>0</v>
      </c>
      <c r="AB20" s="124">
        <f>-CAPEX!AB35</f>
        <v>0</v>
      </c>
      <c r="AC20" s="124">
        <f>-CAPEX!AC35</f>
        <v>0</v>
      </c>
      <c r="AD20" s="124">
        <f>-CAPEX!AD35</f>
        <v>0</v>
      </c>
      <c r="AE20" s="124">
        <f>-CAPEX!AE35</f>
        <v>0</v>
      </c>
      <c r="AF20" s="124">
        <f>-CAPEX!AF35</f>
        <v>0</v>
      </c>
      <c r="AG20" s="124">
        <f>-CAPEX!AG35</f>
        <v>0</v>
      </c>
      <c r="AH20" s="124">
        <f>-CAPEX!AH35</f>
        <v>0</v>
      </c>
      <c r="AI20" s="124">
        <f>-CAPEX!AI35</f>
        <v>0</v>
      </c>
      <c r="AJ20" s="124">
        <f>-CAPEX!AJ35</f>
        <v>0</v>
      </c>
      <c r="AK20" s="124">
        <f>-CAPEX!AK35</f>
        <v>0</v>
      </c>
      <c r="AL20" s="124">
        <f>-CAPEX!AL35</f>
        <v>0</v>
      </c>
      <c r="AM20" s="124">
        <f>-CAPEX!AM35</f>
        <v>0</v>
      </c>
      <c r="AN20" s="124">
        <f>-CAPEX!AN35</f>
        <v>0</v>
      </c>
      <c r="AO20" s="124">
        <f>-CAPEX!AO35</f>
        <v>0</v>
      </c>
      <c r="AP20" s="124">
        <f>-CAPEX!AP35</f>
        <v>0</v>
      </c>
      <c r="AQ20" s="124">
        <f>-CAPEX!AQ35</f>
        <v>0</v>
      </c>
      <c r="AR20" s="124">
        <f>-CAPEX!AR35</f>
        <v>0</v>
      </c>
      <c r="AS20" s="124">
        <f>-CAPEX!AS35</f>
        <v>0</v>
      </c>
      <c r="AT20" s="124">
        <f>-CAPEX!AT35</f>
        <v>0</v>
      </c>
      <c r="AU20" s="124">
        <f>-CAPEX!AU35</f>
        <v>0</v>
      </c>
      <c r="AV20" s="124">
        <f>-CAPEX!AV35</f>
        <v>0</v>
      </c>
      <c r="AW20" s="124">
        <f>-CAPEX!AW35</f>
        <v>0</v>
      </c>
      <c r="AX20" s="124">
        <f>-CAPEX!AX35</f>
        <v>0</v>
      </c>
      <c r="AY20" s="124">
        <f>-CAPEX!AY35</f>
        <v>0</v>
      </c>
      <c r="AZ20" s="124">
        <f>-CAPEX!AZ35</f>
        <v>0</v>
      </c>
      <c r="BA20" s="124">
        <f>-CAPEX!BA35</f>
        <v>0</v>
      </c>
      <c r="BB20" s="124">
        <f>-CAPEX!BB35</f>
        <v>0</v>
      </c>
      <c r="BC20" s="124">
        <f>-CAPEX!BC35</f>
        <v>0</v>
      </c>
      <c r="BD20" s="124">
        <f>-CAPEX!BD35</f>
        <v>0</v>
      </c>
      <c r="BE20" s="124">
        <f>-CAPEX!BE35</f>
        <v>0</v>
      </c>
      <c r="BF20" s="124">
        <f>-CAPEX!BF35</f>
        <v>0</v>
      </c>
      <c r="BG20" s="124">
        <f>-CAPEX!BG35</f>
        <v>0</v>
      </c>
      <c r="BH20" s="124">
        <f>-CAPEX!BH35</f>
        <v>0</v>
      </c>
      <c r="BI20" s="124">
        <f>-CAPEX!BI35</f>
        <v>0</v>
      </c>
      <c r="BJ20" s="124">
        <f>-CAPEX!BJ35</f>
        <v>0</v>
      </c>
      <c r="BK20" s="124">
        <f>-CAPEX!BK35</f>
        <v>0</v>
      </c>
      <c r="BL20" s="124">
        <f>-CAPEX!BL35</f>
        <v>0</v>
      </c>
      <c r="BM20" s="124">
        <f>-CAPEX!BM35</f>
        <v>0</v>
      </c>
      <c r="BN20" s="124">
        <f>-CAPEX!BN35</f>
        <v>0</v>
      </c>
      <c r="BO20" s="124">
        <f>-CAPEX!BO35</f>
        <v>0</v>
      </c>
      <c r="BP20" s="124">
        <f>-CAPEX!BP35</f>
        <v>0</v>
      </c>
      <c r="BQ20" s="124">
        <f>-CAPEX!BQ35</f>
        <v>0</v>
      </c>
    </row>
    <row r="21" spans="2:69" ht="10.199999999999999">
      <c r="B21" s="122"/>
      <c r="C21" s="122"/>
      <c r="D21" s="149" t="str">
        <f>"Net "&amp;C17</f>
        <v>Net Investing Activities</v>
      </c>
      <c r="E21" s="122"/>
      <c r="F21" s="122"/>
      <c r="G21" s="122"/>
      <c r="H21" s="122"/>
      <c r="I21" s="122"/>
      <c r="J21" s="150">
        <f>SUM(J18:J20)</f>
        <v>-50000</v>
      </c>
      <c r="K21" s="126">
        <f t="shared" ref="K21:BQ21" si="4">SUM(K18:K20)</f>
        <v>-50000</v>
      </c>
      <c r="L21" s="126">
        <f t="shared" si="4"/>
        <v>-50000</v>
      </c>
      <c r="M21" s="126">
        <f t="shared" si="4"/>
        <v>0</v>
      </c>
      <c r="N21" s="126">
        <f t="shared" si="4"/>
        <v>0</v>
      </c>
      <c r="O21" s="126">
        <f t="shared" si="4"/>
        <v>0</v>
      </c>
      <c r="P21" s="126">
        <f t="shared" si="4"/>
        <v>0</v>
      </c>
      <c r="Q21" s="126">
        <f t="shared" si="4"/>
        <v>0</v>
      </c>
      <c r="R21" s="126">
        <f t="shared" si="4"/>
        <v>0</v>
      </c>
      <c r="S21" s="126">
        <f t="shared" si="4"/>
        <v>0</v>
      </c>
      <c r="T21" s="126">
        <f t="shared" si="4"/>
        <v>0</v>
      </c>
      <c r="U21" s="126">
        <f t="shared" si="4"/>
        <v>0</v>
      </c>
      <c r="V21" s="126">
        <f t="shared" si="4"/>
        <v>0</v>
      </c>
      <c r="W21" s="126">
        <f t="shared" si="4"/>
        <v>0</v>
      </c>
      <c r="X21" s="126">
        <f t="shared" si="4"/>
        <v>0</v>
      </c>
      <c r="Y21" s="126">
        <f t="shared" si="4"/>
        <v>0</v>
      </c>
      <c r="Z21" s="126">
        <f t="shared" si="4"/>
        <v>0</v>
      </c>
      <c r="AA21" s="126">
        <f t="shared" si="4"/>
        <v>0</v>
      </c>
      <c r="AB21" s="126">
        <f t="shared" si="4"/>
        <v>0</v>
      </c>
      <c r="AC21" s="126">
        <f t="shared" si="4"/>
        <v>0</v>
      </c>
      <c r="AD21" s="126">
        <f t="shared" si="4"/>
        <v>0</v>
      </c>
      <c r="AE21" s="126">
        <f t="shared" si="4"/>
        <v>0</v>
      </c>
      <c r="AF21" s="126">
        <f t="shared" si="4"/>
        <v>0</v>
      </c>
      <c r="AG21" s="126">
        <f t="shared" si="4"/>
        <v>0</v>
      </c>
      <c r="AH21" s="126">
        <f t="shared" si="4"/>
        <v>0</v>
      </c>
      <c r="AI21" s="126">
        <f t="shared" si="4"/>
        <v>0</v>
      </c>
      <c r="AJ21" s="126">
        <f t="shared" si="4"/>
        <v>0</v>
      </c>
      <c r="AK21" s="126">
        <f t="shared" si="4"/>
        <v>0</v>
      </c>
      <c r="AL21" s="126">
        <f t="shared" si="4"/>
        <v>0</v>
      </c>
      <c r="AM21" s="126">
        <f t="shared" si="4"/>
        <v>0</v>
      </c>
      <c r="AN21" s="126">
        <f t="shared" si="4"/>
        <v>0</v>
      </c>
      <c r="AO21" s="126">
        <f t="shared" si="4"/>
        <v>0</v>
      </c>
      <c r="AP21" s="126">
        <f t="shared" si="4"/>
        <v>0</v>
      </c>
      <c r="AQ21" s="126">
        <f t="shared" si="4"/>
        <v>0</v>
      </c>
      <c r="AR21" s="126">
        <f t="shared" si="4"/>
        <v>0</v>
      </c>
      <c r="AS21" s="126">
        <f t="shared" si="4"/>
        <v>0</v>
      </c>
      <c r="AT21" s="126">
        <f t="shared" si="4"/>
        <v>0</v>
      </c>
      <c r="AU21" s="126">
        <f t="shared" si="4"/>
        <v>0</v>
      </c>
      <c r="AV21" s="126">
        <f t="shared" si="4"/>
        <v>0</v>
      </c>
      <c r="AW21" s="126">
        <f t="shared" si="4"/>
        <v>0</v>
      </c>
      <c r="AX21" s="126">
        <f t="shared" si="4"/>
        <v>0</v>
      </c>
      <c r="AY21" s="126">
        <f t="shared" si="4"/>
        <v>0</v>
      </c>
      <c r="AZ21" s="126">
        <f t="shared" si="4"/>
        <v>0</v>
      </c>
      <c r="BA21" s="126">
        <f t="shared" si="4"/>
        <v>0</v>
      </c>
      <c r="BB21" s="126">
        <f t="shared" si="4"/>
        <v>0</v>
      </c>
      <c r="BC21" s="126">
        <f t="shared" si="4"/>
        <v>0</v>
      </c>
      <c r="BD21" s="126">
        <f t="shared" si="4"/>
        <v>0</v>
      </c>
      <c r="BE21" s="126">
        <f t="shared" si="4"/>
        <v>0</v>
      </c>
      <c r="BF21" s="126">
        <f t="shared" si="4"/>
        <v>0</v>
      </c>
      <c r="BG21" s="126">
        <f t="shared" si="4"/>
        <v>0</v>
      </c>
      <c r="BH21" s="126">
        <f t="shared" si="4"/>
        <v>0</v>
      </c>
      <c r="BI21" s="126">
        <f t="shared" si="4"/>
        <v>0</v>
      </c>
      <c r="BJ21" s="126">
        <f t="shared" si="4"/>
        <v>0</v>
      </c>
      <c r="BK21" s="126">
        <f t="shared" si="4"/>
        <v>0</v>
      </c>
      <c r="BL21" s="126">
        <f t="shared" si="4"/>
        <v>0</v>
      </c>
      <c r="BM21" s="126">
        <f t="shared" si="4"/>
        <v>0</v>
      </c>
      <c r="BN21" s="126">
        <f t="shared" si="4"/>
        <v>0</v>
      </c>
      <c r="BO21" s="126">
        <f t="shared" si="4"/>
        <v>0</v>
      </c>
      <c r="BP21" s="126">
        <f t="shared" si="4"/>
        <v>0</v>
      </c>
      <c r="BQ21" s="126">
        <f t="shared" si="4"/>
        <v>0</v>
      </c>
    </row>
    <row r="22" spans="2:69" ht="10.199999999999999">
      <c r="J22" s="142"/>
      <c r="K22" s="142"/>
      <c r="L22" s="142"/>
      <c r="M22" s="142"/>
      <c r="N22" s="142"/>
      <c r="O22" s="142"/>
      <c r="P22" s="142"/>
      <c r="Q22" s="142"/>
      <c r="R22" s="142"/>
      <c r="S22" s="142"/>
      <c r="T22" s="142"/>
      <c r="U22" s="142"/>
      <c r="V22" s="142"/>
      <c r="W22" s="142"/>
      <c r="X22" s="142"/>
      <c r="Y22" s="142"/>
      <c r="Z22" s="142"/>
      <c r="AA22" s="142"/>
      <c r="AB22" s="142"/>
      <c r="AC22" s="142"/>
      <c r="AD22" s="142"/>
      <c r="AE22" s="142"/>
      <c r="AF22" s="142"/>
      <c r="AG22" s="142"/>
      <c r="AH22" s="142"/>
      <c r="AI22" s="142"/>
      <c r="AJ22" s="142"/>
      <c r="AK22" s="142"/>
      <c r="AL22" s="142"/>
      <c r="AM22" s="142"/>
      <c r="AN22" s="142"/>
      <c r="AO22" s="142"/>
      <c r="AP22" s="142"/>
      <c r="AQ22" s="142"/>
      <c r="AR22" s="142"/>
      <c r="AS22" s="142"/>
      <c r="AT22" s="142"/>
      <c r="AU22" s="142"/>
      <c r="AV22" s="142"/>
      <c r="AW22" s="142"/>
      <c r="AX22" s="142"/>
      <c r="AY22" s="142"/>
      <c r="AZ22" s="142"/>
      <c r="BA22" s="142"/>
      <c r="BB22" s="142"/>
      <c r="BC22" s="142"/>
      <c r="BD22" s="142"/>
      <c r="BE22" s="142"/>
      <c r="BF22" s="142"/>
      <c r="BG22" s="142"/>
      <c r="BH22" s="142"/>
      <c r="BI22" s="142"/>
      <c r="BJ22" s="142"/>
      <c r="BK22" s="142"/>
      <c r="BL22" s="142"/>
      <c r="BM22" s="142"/>
      <c r="BN22" s="142"/>
      <c r="BO22" s="142"/>
      <c r="BP22" s="142"/>
      <c r="BQ22" s="142"/>
    </row>
    <row r="23" spans="2:69" ht="11.4">
      <c r="B23" s="122"/>
      <c r="C23" s="128" t="s">
        <v>100</v>
      </c>
      <c r="D23" s="128"/>
      <c r="E23" s="122"/>
      <c r="F23" s="122"/>
      <c r="G23" s="122"/>
      <c r="H23" s="122"/>
      <c r="I23" s="122"/>
      <c r="J23" s="150">
        <f t="shared" ref="J23:AO23" si="5">J15+J21</f>
        <v>-50962.5</v>
      </c>
      <c r="K23" s="126">
        <f t="shared" si="5"/>
        <v>-48697.348484848488</v>
      </c>
      <c r="L23" s="126">
        <f t="shared" si="5"/>
        <v>-46990.166666666664</v>
      </c>
      <c r="M23" s="126">
        <f t="shared" si="5"/>
        <v>3403.19696969697</v>
      </c>
      <c r="N23" s="126">
        <f t="shared" si="5"/>
        <v>3637.19696969697</v>
      </c>
      <c r="O23" s="126">
        <f t="shared" si="5"/>
        <v>3637.19696969697</v>
      </c>
      <c r="P23" s="126">
        <f t="shared" si="5"/>
        <v>3637.19696969697</v>
      </c>
      <c r="Q23" s="126">
        <f t="shared" si="5"/>
        <v>3637.19696969697</v>
      </c>
      <c r="R23" s="126">
        <f t="shared" si="5"/>
        <v>3637.19696969697</v>
      </c>
      <c r="S23" s="126">
        <f t="shared" si="5"/>
        <v>3637.19696969697</v>
      </c>
      <c r="T23" s="126">
        <f t="shared" si="5"/>
        <v>3637.19696969697</v>
      </c>
      <c r="U23" s="126">
        <f t="shared" si="5"/>
        <v>3637.19696969697</v>
      </c>
      <c r="V23" s="126">
        <f t="shared" si="5"/>
        <v>4458.5287878787894</v>
      </c>
      <c r="W23" s="126">
        <f t="shared" si="5"/>
        <v>4530.2136363636382</v>
      </c>
      <c r="X23" s="126">
        <f t="shared" si="5"/>
        <v>4680.25</v>
      </c>
      <c r="Y23" s="126">
        <f t="shared" si="5"/>
        <v>4680.25</v>
      </c>
      <c r="Z23" s="126">
        <f t="shared" si="5"/>
        <v>4680.25</v>
      </c>
      <c r="AA23" s="126">
        <f t="shared" si="5"/>
        <v>4680.25</v>
      </c>
      <c r="AB23" s="126">
        <f t="shared" si="5"/>
        <v>4680.25</v>
      </c>
      <c r="AC23" s="126">
        <f t="shared" si="5"/>
        <v>4680.25</v>
      </c>
      <c r="AD23" s="126">
        <f t="shared" si="5"/>
        <v>4680.25</v>
      </c>
      <c r="AE23" s="126">
        <f t="shared" si="5"/>
        <v>4680.25</v>
      </c>
      <c r="AF23" s="126">
        <f t="shared" si="5"/>
        <v>4680.25</v>
      </c>
      <c r="AG23" s="126">
        <f t="shared" si="5"/>
        <v>4680.25</v>
      </c>
      <c r="AH23" s="126">
        <f t="shared" si="5"/>
        <v>6284.738000000003</v>
      </c>
      <c r="AI23" s="126">
        <f t="shared" si="5"/>
        <v>6414.0020000000022</v>
      </c>
      <c r="AJ23" s="126">
        <f t="shared" si="5"/>
        <v>6700.5300000000043</v>
      </c>
      <c r="AK23" s="126">
        <f t="shared" si="5"/>
        <v>6700.5300000000043</v>
      </c>
      <c r="AL23" s="126">
        <f t="shared" si="5"/>
        <v>6700.5300000000043</v>
      </c>
      <c r="AM23" s="126">
        <f t="shared" si="5"/>
        <v>6700.5300000000043</v>
      </c>
      <c r="AN23" s="126">
        <f t="shared" si="5"/>
        <v>6700.5300000000043</v>
      </c>
      <c r="AO23" s="126">
        <f t="shared" si="5"/>
        <v>6700.5300000000043</v>
      </c>
      <c r="AP23" s="126">
        <f t="shared" ref="AP23:BQ23" si="6">AP15+AP21</f>
        <v>6700.5300000000043</v>
      </c>
      <c r="AQ23" s="126">
        <f t="shared" si="6"/>
        <v>6700.5300000000043</v>
      </c>
      <c r="AR23" s="126">
        <f t="shared" si="6"/>
        <v>6700.5300000000043</v>
      </c>
      <c r="AS23" s="126">
        <f t="shared" si="6"/>
        <v>6700.5300000000043</v>
      </c>
      <c r="AT23" s="126">
        <f t="shared" si="6"/>
        <v>8846.8041600000033</v>
      </c>
      <c r="AU23" s="126">
        <f t="shared" si="6"/>
        <v>9021.2126400000052</v>
      </c>
      <c r="AV23" s="126">
        <f t="shared" si="6"/>
        <v>9399.4296000000086</v>
      </c>
      <c r="AW23" s="126">
        <f t="shared" si="6"/>
        <v>9399.4296000000086</v>
      </c>
      <c r="AX23" s="126">
        <f t="shared" si="6"/>
        <v>9399.4296000000086</v>
      </c>
      <c r="AY23" s="126">
        <f t="shared" si="6"/>
        <v>9399.4296000000086</v>
      </c>
      <c r="AZ23" s="126">
        <f t="shared" si="6"/>
        <v>9399.4296000000086</v>
      </c>
      <c r="BA23" s="126">
        <f t="shared" si="6"/>
        <v>9399.4296000000086</v>
      </c>
      <c r="BB23" s="126">
        <f t="shared" si="6"/>
        <v>9399.4296000000086</v>
      </c>
      <c r="BC23" s="126">
        <f t="shared" si="6"/>
        <v>9399.4296000000086</v>
      </c>
      <c r="BD23" s="126">
        <f t="shared" si="6"/>
        <v>9399.4296000000086</v>
      </c>
      <c r="BE23" s="126">
        <f t="shared" si="6"/>
        <v>9399.4296000000086</v>
      </c>
      <c r="BF23" s="126">
        <f t="shared" si="6"/>
        <v>12262.27899120001</v>
      </c>
      <c r="BG23" s="126">
        <f t="shared" si="6"/>
        <v>12496.467184800009</v>
      </c>
      <c r="BH23" s="126">
        <f t="shared" si="6"/>
        <v>12995.71357200001</v>
      </c>
      <c r="BI23" s="126">
        <f t="shared" si="6"/>
        <v>12287.380238666676</v>
      </c>
      <c r="BJ23" s="126">
        <f t="shared" si="6"/>
        <v>12314.163450377973</v>
      </c>
      <c r="BK23" s="126">
        <f t="shared" si="6"/>
        <v>12341.169855520198</v>
      </c>
      <c r="BL23" s="126">
        <f t="shared" si="6"/>
        <v>12368.401314038607</v>
      </c>
      <c r="BM23" s="126">
        <f t="shared" si="6"/>
        <v>12395.859701378002</v>
      </c>
      <c r="BN23" s="126">
        <f t="shared" si="6"/>
        <v>12423.546908611894</v>
      </c>
      <c r="BO23" s="126">
        <f t="shared" si="6"/>
        <v>12451.464842572732</v>
      </c>
      <c r="BP23" s="126">
        <f t="shared" si="6"/>
        <v>12479.615425983247</v>
      </c>
      <c r="BQ23" s="126">
        <f t="shared" si="6"/>
        <v>12508.000597588847</v>
      </c>
    </row>
    <row r="24" spans="2:69" s="107" customFormat="1" ht="10.199999999999999">
      <c r="J24" s="130"/>
      <c r="K24" s="130"/>
      <c r="L24" s="130"/>
      <c r="M24" s="130"/>
      <c r="N24" s="130"/>
      <c r="O24" s="130"/>
      <c r="P24" s="130"/>
      <c r="Q24" s="130"/>
      <c r="R24" s="130"/>
      <c r="S24" s="130"/>
      <c r="T24" s="130"/>
      <c r="U24" s="130"/>
      <c r="V24" s="130"/>
      <c r="W24" s="130"/>
      <c r="X24" s="130"/>
      <c r="Y24" s="130"/>
      <c r="Z24" s="130"/>
      <c r="AA24" s="130"/>
      <c r="AB24" s="130"/>
      <c r="AC24" s="130"/>
      <c r="AD24" s="130"/>
      <c r="AE24" s="130"/>
      <c r="AF24" s="130"/>
      <c r="AG24" s="130"/>
      <c r="AH24" s="130"/>
      <c r="AI24" s="130"/>
      <c r="AJ24" s="130"/>
      <c r="AK24" s="130"/>
      <c r="AL24" s="130"/>
      <c r="AM24" s="130"/>
      <c r="AN24" s="130"/>
      <c r="AO24" s="130"/>
      <c r="AP24" s="130"/>
      <c r="AQ24" s="130"/>
      <c r="AR24" s="130"/>
      <c r="AS24" s="130"/>
      <c r="AT24" s="130"/>
      <c r="AU24" s="130"/>
      <c r="AV24" s="130"/>
      <c r="AW24" s="130"/>
      <c r="AX24" s="130"/>
      <c r="AY24" s="130"/>
      <c r="AZ24" s="130"/>
      <c r="BA24" s="130"/>
      <c r="BB24" s="130"/>
      <c r="BC24" s="130"/>
      <c r="BD24" s="130"/>
      <c r="BE24" s="130"/>
      <c r="BF24" s="130"/>
      <c r="BG24" s="130"/>
      <c r="BH24" s="130"/>
      <c r="BI24" s="130"/>
      <c r="BJ24" s="130"/>
      <c r="BK24" s="130"/>
      <c r="BL24" s="130"/>
      <c r="BM24" s="130"/>
      <c r="BN24" s="130"/>
      <c r="BO24" s="130"/>
      <c r="BP24" s="130"/>
      <c r="BQ24" s="130"/>
    </row>
    <row r="25" spans="2:69" ht="11.4">
      <c r="C25" s="128" t="s">
        <v>112</v>
      </c>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row>
    <row r="26" spans="2:69" ht="10.199999999999999">
      <c r="D26" s="123" t="s">
        <v>24</v>
      </c>
      <c r="J26" s="124">
        <f>Capital!J20</f>
        <v>0</v>
      </c>
      <c r="K26" s="124">
        <f>Capital!K20</f>
        <v>0</v>
      </c>
      <c r="L26" s="124">
        <f>Capital!L20</f>
        <v>0</v>
      </c>
      <c r="M26" s="124">
        <f>Capital!M20</f>
        <v>0</v>
      </c>
      <c r="N26" s="124">
        <f>Capital!N20</f>
        <v>0</v>
      </c>
      <c r="O26" s="124">
        <f>Capital!O20</f>
        <v>0</v>
      </c>
      <c r="P26" s="124">
        <f>Capital!P20</f>
        <v>0</v>
      </c>
      <c r="Q26" s="124">
        <f>Capital!Q20</f>
        <v>0</v>
      </c>
      <c r="R26" s="124">
        <f>Capital!R20</f>
        <v>0</v>
      </c>
      <c r="S26" s="124">
        <f>Capital!S20</f>
        <v>0</v>
      </c>
      <c r="T26" s="124">
        <f>Capital!T20</f>
        <v>0</v>
      </c>
      <c r="U26" s="124">
        <f>Capital!U20</f>
        <v>0</v>
      </c>
      <c r="V26" s="124">
        <f>Capital!V20</f>
        <v>0</v>
      </c>
      <c r="W26" s="124">
        <f>Capital!W20</f>
        <v>0</v>
      </c>
      <c r="X26" s="124">
        <f>Capital!X20</f>
        <v>0</v>
      </c>
      <c r="Y26" s="124">
        <f>Capital!Y20</f>
        <v>0</v>
      </c>
      <c r="Z26" s="124">
        <f>Capital!Z20</f>
        <v>0</v>
      </c>
      <c r="AA26" s="124">
        <f>Capital!AA20</f>
        <v>0</v>
      </c>
      <c r="AB26" s="124">
        <f>Capital!AB20</f>
        <v>0</v>
      </c>
      <c r="AC26" s="124">
        <f>Capital!AC20</f>
        <v>0</v>
      </c>
      <c r="AD26" s="124">
        <f>Capital!AD20</f>
        <v>0</v>
      </c>
      <c r="AE26" s="124">
        <f>Capital!AE20</f>
        <v>0</v>
      </c>
      <c r="AF26" s="124">
        <f>Capital!AF20</f>
        <v>0</v>
      </c>
      <c r="AG26" s="124">
        <f>Capital!AG20</f>
        <v>0</v>
      </c>
      <c r="AH26" s="124">
        <f>Capital!AH20</f>
        <v>0</v>
      </c>
      <c r="AI26" s="124">
        <f>Capital!AI20</f>
        <v>0</v>
      </c>
      <c r="AJ26" s="124">
        <f>Capital!AJ20</f>
        <v>0</v>
      </c>
      <c r="AK26" s="124">
        <f>Capital!AK20</f>
        <v>0</v>
      </c>
      <c r="AL26" s="124">
        <f>Capital!AL20</f>
        <v>0</v>
      </c>
      <c r="AM26" s="124">
        <f>Capital!AM20</f>
        <v>0</v>
      </c>
      <c r="AN26" s="124">
        <f>Capital!AN20</f>
        <v>0</v>
      </c>
      <c r="AO26" s="124">
        <f>Capital!AO20</f>
        <v>0</v>
      </c>
      <c r="AP26" s="124">
        <f>Capital!AP20</f>
        <v>0</v>
      </c>
      <c r="AQ26" s="124">
        <f>Capital!AQ20</f>
        <v>0</v>
      </c>
      <c r="AR26" s="124">
        <f>Capital!AR20</f>
        <v>0</v>
      </c>
      <c r="AS26" s="124">
        <f>Capital!AS20</f>
        <v>0</v>
      </c>
      <c r="AT26" s="124">
        <f>Capital!AT20</f>
        <v>0</v>
      </c>
      <c r="AU26" s="124">
        <f>Capital!AU20</f>
        <v>0</v>
      </c>
      <c r="AV26" s="124">
        <f>Capital!AV20</f>
        <v>0</v>
      </c>
      <c r="AW26" s="124">
        <f>Capital!AW20</f>
        <v>0</v>
      </c>
      <c r="AX26" s="124">
        <f>Capital!AX20</f>
        <v>0</v>
      </c>
      <c r="AY26" s="124">
        <f>Capital!AY20</f>
        <v>0</v>
      </c>
      <c r="AZ26" s="124">
        <f>Capital!AZ20</f>
        <v>0</v>
      </c>
      <c r="BA26" s="124">
        <f>Capital!BA20</f>
        <v>0</v>
      </c>
      <c r="BB26" s="124">
        <f>Capital!BB20</f>
        <v>0</v>
      </c>
      <c r="BC26" s="124">
        <f>Capital!BC20</f>
        <v>0</v>
      </c>
      <c r="BD26" s="124">
        <f>Capital!BD20</f>
        <v>0</v>
      </c>
      <c r="BE26" s="124">
        <f>Capital!BE20</f>
        <v>0</v>
      </c>
      <c r="BF26" s="124">
        <f>Capital!BF20</f>
        <v>0</v>
      </c>
      <c r="BG26" s="124">
        <f>Capital!BG20</f>
        <v>0</v>
      </c>
      <c r="BH26" s="124">
        <f>Capital!BH20</f>
        <v>0</v>
      </c>
      <c r="BI26" s="124">
        <f>Capital!BI20</f>
        <v>100000</v>
      </c>
      <c r="BJ26" s="124">
        <f>Capital!BJ20</f>
        <v>0</v>
      </c>
      <c r="BK26" s="124">
        <f>Capital!BK20</f>
        <v>0</v>
      </c>
      <c r="BL26" s="124">
        <f>Capital!BL20</f>
        <v>0</v>
      </c>
      <c r="BM26" s="124">
        <f>Capital!BM20</f>
        <v>0</v>
      </c>
      <c r="BN26" s="124">
        <f>Capital!BN20</f>
        <v>0</v>
      </c>
      <c r="BO26" s="124">
        <f>Capital!BO20</f>
        <v>0</v>
      </c>
      <c r="BP26" s="124">
        <f>Capital!BP20</f>
        <v>0</v>
      </c>
      <c r="BQ26" s="124">
        <f>Capital!BQ20</f>
        <v>0</v>
      </c>
    </row>
    <row r="27" spans="2:69" ht="10.199999999999999">
      <c r="D27" s="123" t="s">
        <v>25</v>
      </c>
      <c r="J27" s="124">
        <f>Capital!J21</f>
        <v>0</v>
      </c>
      <c r="K27" s="124">
        <f>Capital!K21</f>
        <v>0</v>
      </c>
      <c r="L27" s="124">
        <f>Capital!L21</f>
        <v>0</v>
      </c>
      <c r="M27" s="124">
        <f>Capital!M21</f>
        <v>0</v>
      </c>
      <c r="N27" s="124">
        <f>Capital!N21</f>
        <v>0</v>
      </c>
      <c r="O27" s="124">
        <f>Capital!O21</f>
        <v>0</v>
      </c>
      <c r="P27" s="124">
        <f>Capital!P21</f>
        <v>0</v>
      </c>
      <c r="Q27" s="124">
        <f>Capital!Q21</f>
        <v>0</v>
      </c>
      <c r="R27" s="124">
        <f>Capital!R21</f>
        <v>0</v>
      </c>
      <c r="S27" s="124">
        <f>Capital!S21</f>
        <v>0</v>
      </c>
      <c r="T27" s="124">
        <f>Capital!T21</f>
        <v>0</v>
      </c>
      <c r="U27" s="124">
        <f>Capital!U21</f>
        <v>0</v>
      </c>
      <c r="V27" s="124">
        <f>Capital!V21</f>
        <v>0</v>
      </c>
      <c r="W27" s="124">
        <f>Capital!W21</f>
        <v>0</v>
      </c>
      <c r="X27" s="124">
        <f>Capital!X21</f>
        <v>0</v>
      </c>
      <c r="Y27" s="124">
        <f>Capital!Y21</f>
        <v>0</v>
      </c>
      <c r="Z27" s="124">
        <f>Capital!Z21</f>
        <v>0</v>
      </c>
      <c r="AA27" s="124">
        <f>Capital!AA21</f>
        <v>0</v>
      </c>
      <c r="AB27" s="124">
        <f>Capital!AB21</f>
        <v>0</v>
      </c>
      <c r="AC27" s="124">
        <f>Capital!AC21</f>
        <v>0</v>
      </c>
      <c r="AD27" s="124">
        <f>Capital!AD21</f>
        <v>0</v>
      </c>
      <c r="AE27" s="124">
        <f>Capital!AE21</f>
        <v>0</v>
      </c>
      <c r="AF27" s="124">
        <f>Capital!AF21</f>
        <v>0</v>
      </c>
      <c r="AG27" s="124">
        <f>Capital!AG21</f>
        <v>0</v>
      </c>
      <c r="AH27" s="124">
        <f>Capital!AH21</f>
        <v>0</v>
      </c>
      <c r="AI27" s="124">
        <f>Capital!AI21</f>
        <v>0</v>
      </c>
      <c r="AJ27" s="124">
        <f>Capital!AJ21</f>
        <v>0</v>
      </c>
      <c r="AK27" s="124">
        <f>Capital!AK21</f>
        <v>0</v>
      </c>
      <c r="AL27" s="124">
        <f>Capital!AL21</f>
        <v>0</v>
      </c>
      <c r="AM27" s="124">
        <f>Capital!AM21</f>
        <v>0</v>
      </c>
      <c r="AN27" s="124">
        <f>Capital!AN21</f>
        <v>0</v>
      </c>
      <c r="AO27" s="124">
        <f>Capital!AO21</f>
        <v>0</v>
      </c>
      <c r="AP27" s="124">
        <f>Capital!AP21</f>
        <v>0</v>
      </c>
      <c r="AQ27" s="124">
        <f>Capital!AQ21</f>
        <v>0</v>
      </c>
      <c r="AR27" s="124">
        <f>Capital!AR21</f>
        <v>0</v>
      </c>
      <c r="AS27" s="124">
        <f>Capital!AS21</f>
        <v>0</v>
      </c>
      <c r="AT27" s="124">
        <f>Capital!AT21</f>
        <v>0</v>
      </c>
      <c r="AU27" s="124">
        <f>Capital!AU21</f>
        <v>0</v>
      </c>
      <c r="AV27" s="124">
        <f>Capital!AV21</f>
        <v>0</v>
      </c>
      <c r="AW27" s="124">
        <f>Capital!AW21</f>
        <v>0</v>
      </c>
      <c r="AX27" s="124">
        <f>Capital!AX21</f>
        <v>0</v>
      </c>
      <c r="AY27" s="124">
        <f>Capital!AY21</f>
        <v>0</v>
      </c>
      <c r="AZ27" s="124">
        <f>Capital!AZ21</f>
        <v>0</v>
      </c>
      <c r="BA27" s="124">
        <f>Capital!BA21</f>
        <v>0</v>
      </c>
      <c r="BB27" s="124">
        <f>Capital!BB21</f>
        <v>0</v>
      </c>
      <c r="BC27" s="124">
        <f>Capital!BC21</f>
        <v>0</v>
      </c>
      <c r="BD27" s="124">
        <f>Capital!BD21</f>
        <v>0</v>
      </c>
      <c r="BE27" s="124">
        <f>Capital!BE21</f>
        <v>0</v>
      </c>
      <c r="BF27" s="124">
        <f>Capital!BF21</f>
        <v>0</v>
      </c>
      <c r="BG27" s="124">
        <f>Capital!BG21</f>
        <v>0</v>
      </c>
      <c r="BH27" s="124">
        <f>Capital!BH21</f>
        <v>0</v>
      </c>
      <c r="BI27" s="124">
        <f>Capital!BI21</f>
        <v>-3781.1593004183173</v>
      </c>
      <c r="BJ27" s="124">
        <f>Capital!BJ21</f>
        <v>-3812.6689612551363</v>
      </c>
      <c r="BK27" s="124">
        <f>Capital!BK21</f>
        <v>-3844.4412025989295</v>
      </c>
      <c r="BL27" s="124">
        <f>Capital!BL21</f>
        <v>-3876.4782126205869</v>
      </c>
      <c r="BM27" s="124">
        <f>Capital!BM21</f>
        <v>-3908.7821977257586</v>
      </c>
      <c r="BN27" s="124">
        <f>Capital!BN21</f>
        <v>-3941.3553827068063</v>
      </c>
      <c r="BO27" s="124">
        <f>Capital!BO21</f>
        <v>-3974.2000108960297</v>
      </c>
      <c r="BP27" s="124">
        <f>Capital!BP21</f>
        <v>-4007.3183443201638</v>
      </c>
      <c r="BQ27" s="124">
        <f>Capital!BQ21</f>
        <v>-4040.7126638561654</v>
      </c>
    </row>
    <row r="28" spans="2:69" ht="10.199999999999999">
      <c r="D28" s="123" t="s">
        <v>97</v>
      </c>
      <c r="J28" s="124">
        <f>SUM(Capital!J30:J33)</f>
        <v>250000</v>
      </c>
      <c r="K28" s="124">
        <f>SUM(Capital!K30:K33)</f>
        <v>0</v>
      </c>
      <c r="L28" s="124">
        <f>SUM(Capital!L30:L33)</f>
        <v>0</v>
      </c>
      <c r="M28" s="124">
        <f>SUM(Capital!M30:M33)</f>
        <v>0</v>
      </c>
      <c r="N28" s="124">
        <f>SUM(Capital!N30:N33)</f>
        <v>0</v>
      </c>
      <c r="O28" s="124">
        <f>SUM(Capital!O30:O33)</f>
        <v>0</v>
      </c>
      <c r="P28" s="124">
        <f>SUM(Capital!P30:P33)</f>
        <v>0</v>
      </c>
      <c r="Q28" s="124">
        <f>SUM(Capital!Q30:Q33)</f>
        <v>0</v>
      </c>
      <c r="R28" s="124">
        <f>SUM(Capital!R30:R33)</f>
        <v>0</v>
      </c>
      <c r="S28" s="124">
        <f>SUM(Capital!S30:S33)</f>
        <v>0</v>
      </c>
      <c r="T28" s="124">
        <f>SUM(Capital!T30:T33)</f>
        <v>0</v>
      </c>
      <c r="U28" s="124">
        <f>SUM(Capital!U30:U33)</f>
        <v>0</v>
      </c>
      <c r="V28" s="124">
        <f>SUM(Capital!V30:V33)</f>
        <v>0</v>
      </c>
      <c r="W28" s="124">
        <f>SUM(Capital!W30:W33)</f>
        <v>0</v>
      </c>
      <c r="X28" s="124">
        <f>SUM(Capital!X30:X33)</f>
        <v>0</v>
      </c>
      <c r="Y28" s="124">
        <f>SUM(Capital!Y30:Y33)</f>
        <v>0</v>
      </c>
      <c r="Z28" s="124">
        <f>SUM(Capital!Z30:Z33)</f>
        <v>0</v>
      </c>
      <c r="AA28" s="124">
        <f>SUM(Capital!AA30:AA33)</f>
        <v>0</v>
      </c>
      <c r="AB28" s="124">
        <f>SUM(Capital!AB30:AB33)</f>
        <v>0</v>
      </c>
      <c r="AC28" s="124">
        <f>SUM(Capital!AC30:AC33)</f>
        <v>0</v>
      </c>
      <c r="AD28" s="124">
        <f>SUM(Capital!AD30:AD33)</f>
        <v>0</v>
      </c>
      <c r="AE28" s="124">
        <f>SUM(Capital!AE30:AE33)</f>
        <v>0</v>
      </c>
      <c r="AF28" s="124">
        <f>SUM(Capital!AF30:AF33)</f>
        <v>0</v>
      </c>
      <c r="AG28" s="124">
        <f>SUM(Capital!AG30:AG33)</f>
        <v>0</v>
      </c>
      <c r="AH28" s="124">
        <f>SUM(Capital!AH30:AH33)</f>
        <v>0</v>
      </c>
      <c r="AI28" s="124">
        <f>SUM(Capital!AI30:AI33)</f>
        <v>0</v>
      </c>
      <c r="AJ28" s="124">
        <f>SUM(Capital!AJ30:AJ33)</f>
        <v>0</v>
      </c>
      <c r="AK28" s="124">
        <f>SUM(Capital!AK30:AK33)</f>
        <v>0</v>
      </c>
      <c r="AL28" s="124">
        <f>SUM(Capital!AL30:AL33)</f>
        <v>0</v>
      </c>
      <c r="AM28" s="124">
        <f>SUM(Capital!AM30:AM33)</f>
        <v>0</v>
      </c>
      <c r="AN28" s="124">
        <f>SUM(Capital!AN30:AN33)</f>
        <v>0</v>
      </c>
      <c r="AO28" s="124">
        <f>SUM(Capital!AO30:AO33)</f>
        <v>0</v>
      </c>
      <c r="AP28" s="124">
        <f>SUM(Capital!AP30:AP33)</f>
        <v>0</v>
      </c>
      <c r="AQ28" s="124">
        <f>SUM(Capital!AQ30:AQ33)</f>
        <v>0</v>
      </c>
      <c r="AR28" s="124">
        <f>SUM(Capital!AR30:AR33)</f>
        <v>0</v>
      </c>
      <c r="AS28" s="124">
        <f>SUM(Capital!AS30:AS33)</f>
        <v>0</v>
      </c>
      <c r="AT28" s="124">
        <f>SUM(Capital!AT30:AT33)</f>
        <v>0</v>
      </c>
      <c r="AU28" s="124">
        <f>SUM(Capital!AU30:AU33)</f>
        <v>0</v>
      </c>
      <c r="AV28" s="124">
        <f>SUM(Capital!AV30:AV33)</f>
        <v>0</v>
      </c>
      <c r="AW28" s="124">
        <f>SUM(Capital!AW30:AW33)</f>
        <v>0</v>
      </c>
      <c r="AX28" s="124">
        <f>SUM(Capital!AX30:AX33)</f>
        <v>0</v>
      </c>
      <c r="AY28" s="124">
        <f>SUM(Capital!AY30:AY33)</f>
        <v>0</v>
      </c>
      <c r="AZ28" s="124">
        <f>SUM(Capital!AZ30:AZ33)</f>
        <v>0</v>
      </c>
      <c r="BA28" s="124">
        <f>SUM(Capital!BA30:BA33)</f>
        <v>0</v>
      </c>
      <c r="BB28" s="124">
        <f>SUM(Capital!BB30:BB33)</f>
        <v>0</v>
      </c>
      <c r="BC28" s="124">
        <f>SUM(Capital!BC30:BC33)</f>
        <v>0</v>
      </c>
      <c r="BD28" s="124">
        <f>SUM(Capital!BD30:BD33)</f>
        <v>0</v>
      </c>
      <c r="BE28" s="124">
        <f>SUM(Capital!BE30:BE33)</f>
        <v>0</v>
      </c>
      <c r="BF28" s="124">
        <f>SUM(Capital!BF30:BF33)</f>
        <v>0</v>
      </c>
      <c r="BG28" s="124">
        <f>SUM(Capital!BG30:BG33)</f>
        <v>0</v>
      </c>
      <c r="BH28" s="124">
        <f>SUM(Capital!BH30:BH33)</f>
        <v>0</v>
      </c>
      <c r="BI28" s="124">
        <f>SUM(Capital!BI30:BI33)</f>
        <v>0</v>
      </c>
      <c r="BJ28" s="124">
        <f>SUM(Capital!BJ30:BJ33)</f>
        <v>0</v>
      </c>
      <c r="BK28" s="124">
        <f>SUM(Capital!BK30:BK33)</f>
        <v>0</v>
      </c>
      <c r="BL28" s="124">
        <f>SUM(Capital!BL30:BL33)</f>
        <v>0</v>
      </c>
      <c r="BM28" s="124">
        <f>SUM(Capital!BM30:BM33)</f>
        <v>0</v>
      </c>
      <c r="BN28" s="124">
        <f>SUM(Capital!BN30:BN33)</f>
        <v>0</v>
      </c>
      <c r="BO28" s="124">
        <f>SUM(Capital!BO30:BO33)</f>
        <v>0</v>
      </c>
      <c r="BP28" s="124">
        <f>SUM(Capital!BP30:BP33)</f>
        <v>0</v>
      </c>
      <c r="BQ28" s="124">
        <f>SUM(Capital!BQ30:BQ33)</f>
        <v>0</v>
      </c>
    </row>
    <row r="29" spans="2:69" ht="10.199999999999999">
      <c r="D29" s="123" t="s">
        <v>98</v>
      </c>
      <c r="J29" s="124">
        <f>Capital!J34</f>
        <v>0</v>
      </c>
      <c r="K29" s="124">
        <f>Capital!K34</f>
        <v>0</v>
      </c>
      <c r="L29" s="124">
        <f>Capital!L34</f>
        <v>0</v>
      </c>
      <c r="M29" s="124">
        <f>Capital!M34</f>
        <v>0</v>
      </c>
      <c r="N29" s="124">
        <f>Capital!N34</f>
        <v>0</v>
      </c>
      <c r="O29" s="124">
        <f>Capital!O34</f>
        <v>0</v>
      </c>
      <c r="P29" s="124">
        <f>Capital!P34</f>
        <v>0</v>
      </c>
      <c r="Q29" s="124">
        <f>Capital!Q34</f>
        <v>0</v>
      </c>
      <c r="R29" s="124">
        <f>Capital!R34</f>
        <v>0</v>
      </c>
      <c r="S29" s="124">
        <f>Capital!S34</f>
        <v>0</v>
      </c>
      <c r="T29" s="124">
        <f>Capital!T34</f>
        <v>0</v>
      </c>
      <c r="U29" s="124">
        <f>Capital!U34</f>
        <v>-10000</v>
      </c>
      <c r="V29" s="124">
        <f>Capital!V34</f>
        <v>0</v>
      </c>
      <c r="W29" s="124">
        <f>Capital!W34</f>
        <v>0</v>
      </c>
      <c r="X29" s="124">
        <f>Capital!X34</f>
        <v>0</v>
      </c>
      <c r="Y29" s="124">
        <f>Capital!Y34</f>
        <v>0</v>
      </c>
      <c r="Z29" s="124">
        <f>Capital!Z34</f>
        <v>0</v>
      </c>
      <c r="AA29" s="124">
        <f>Capital!AA34</f>
        <v>0</v>
      </c>
      <c r="AB29" s="124">
        <f>Capital!AB34</f>
        <v>0</v>
      </c>
      <c r="AC29" s="124">
        <f>Capital!AC34</f>
        <v>0</v>
      </c>
      <c r="AD29" s="124">
        <f>Capital!AD34</f>
        <v>0</v>
      </c>
      <c r="AE29" s="124">
        <f>Capital!AE34</f>
        <v>0</v>
      </c>
      <c r="AF29" s="124">
        <f>Capital!AF34</f>
        <v>0</v>
      </c>
      <c r="AG29" s="124">
        <f>Capital!AG34</f>
        <v>0</v>
      </c>
      <c r="AH29" s="124">
        <f>Capital!AH34</f>
        <v>0</v>
      </c>
      <c r="AI29" s="124">
        <f>Capital!AI34</f>
        <v>0</v>
      </c>
      <c r="AJ29" s="124">
        <f>Capital!AJ34</f>
        <v>0</v>
      </c>
      <c r="AK29" s="124">
        <f>Capital!AK34</f>
        <v>0</v>
      </c>
      <c r="AL29" s="124">
        <f>Capital!AL34</f>
        <v>0</v>
      </c>
      <c r="AM29" s="124">
        <f>Capital!AM34</f>
        <v>0</v>
      </c>
      <c r="AN29" s="124">
        <f>Capital!AN34</f>
        <v>0</v>
      </c>
      <c r="AO29" s="124">
        <f>Capital!AO34</f>
        <v>0</v>
      </c>
      <c r="AP29" s="124">
        <f>Capital!AP34</f>
        <v>0</v>
      </c>
      <c r="AQ29" s="124">
        <f>Capital!AQ34</f>
        <v>0</v>
      </c>
      <c r="AR29" s="124">
        <f>Capital!AR34</f>
        <v>0</v>
      </c>
      <c r="AS29" s="124">
        <f>Capital!AS34</f>
        <v>0</v>
      </c>
      <c r="AT29" s="124">
        <f>Capital!AT34</f>
        <v>0</v>
      </c>
      <c r="AU29" s="124">
        <f>Capital!AU34</f>
        <v>0</v>
      </c>
      <c r="AV29" s="124">
        <f>Capital!AV34</f>
        <v>0</v>
      </c>
      <c r="AW29" s="124">
        <f>Capital!AW34</f>
        <v>0</v>
      </c>
      <c r="AX29" s="124">
        <f>Capital!AX34</f>
        <v>0</v>
      </c>
      <c r="AY29" s="124">
        <f>Capital!AY34</f>
        <v>0</v>
      </c>
      <c r="AZ29" s="124">
        <f>Capital!AZ34</f>
        <v>0</v>
      </c>
      <c r="BA29" s="124">
        <f>Capital!BA34</f>
        <v>0</v>
      </c>
      <c r="BB29" s="124">
        <f>Capital!BB34</f>
        <v>0</v>
      </c>
      <c r="BC29" s="124">
        <f>Capital!BC34</f>
        <v>0</v>
      </c>
      <c r="BD29" s="124">
        <f>Capital!BD34</f>
        <v>0</v>
      </c>
      <c r="BE29" s="124">
        <f>Capital!BE34</f>
        <v>0</v>
      </c>
      <c r="BF29" s="124">
        <f>Capital!BF34</f>
        <v>0</v>
      </c>
      <c r="BG29" s="124">
        <f>Capital!BG34</f>
        <v>0</v>
      </c>
      <c r="BH29" s="124">
        <f>Capital!BH34</f>
        <v>0</v>
      </c>
      <c r="BI29" s="124">
        <f>Capital!BI34</f>
        <v>0</v>
      </c>
      <c r="BJ29" s="124">
        <f>Capital!BJ34</f>
        <v>0</v>
      </c>
      <c r="BK29" s="124">
        <f>Capital!BK34</f>
        <v>0</v>
      </c>
      <c r="BL29" s="124">
        <f>Capital!BL34</f>
        <v>0</v>
      </c>
      <c r="BM29" s="124">
        <f>Capital!BM34</f>
        <v>0</v>
      </c>
      <c r="BN29" s="124">
        <f>Capital!BN34</f>
        <v>0</v>
      </c>
      <c r="BO29" s="124">
        <f>Capital!BO34</f>
        <v>0</v>
      </c>
      <c r="BP29" s="124">
        <f>Capital!BP34</f>
        <v>0</v>
      </c>
      <c r="BQ29" s="124">
        <f>Capital!BQ34</f>
        <v>0</v>
      </c>
    </row>
    <row r="30" spans="2:69" ht="10.199999999999999">
      <c r="D30" s="123" t="s">
        <v>152</v>
      </c>
      <c r="J30" s="124">
        <f>Capital!J41</f>
        <v>0</v>
      </c>
      <c r="K30" s="124">
        <f>Capital!K41</f>
        <v>0</v>
      </c>
      <c r="L30" s="124">
        <f>Capital!L41</f>
        <v>0</v>
      </c>
      <c r="M30" s="124">
        <f>Capital!M41</f>
        <v>0</v>
      </c>
      <c r="N30" s="124">
        <f>Capital!N41</f>
        <v>0</v>
      </c>
      <c r="O30" s="124">
        <f>Capital!O41</f>
        <v>0</v>
      </c>
      <c r="P30" s="124">
        <f>Capital!P41</f>
        <v>0</v>
      </c>
      <c r="Q30" s="124">
        <f>Capital!Q41</f>
        <v>0</v>
      </c>
      <c r="R30" s="124">
        <f>Capital!R41</f>
        <v>0</v>
      </c>
      <c r="S30" s="124">
        <f>Capital!S41</f>
        <v>0</v>
      </c>
      <c r="T30" s="124">
        <f>Capital!T41</f>
        <v>0</v>
      </c>
      <c r="U30" s="124">
        <f>Capital!U41</f>
        <v>0</v>
      </c>
      <c r="V30" s="124">
        <f>Capital!V41</f>
        <v>-50000</v>
      </c>
      <c r="W30" s="124">
        <f>Capital!W41</f>
        <v>0</v>
      </c>
      <c r="X30" s="124">
        <f>Capital!X41</f>
        <v>0</v>
      </c>
      <c r="Y30" s="124">
        <f>Capital!Y41</f>
        <v>0</v>
      </c>
      <c r="Z30" s="124">
        <f>Capital!Z41</f>
        <v>0</v>
      </c>
      <c r="AA30" s="124">
        <f>Capital!AA41</f>
        <v>0</v>
      </c>
      <c r="AB30" s="124">
        <f>Capital!AB41</f>
        <v>0</v>
      </c>
      <c r="AC30" s="124">
        <f>Capital!AC41</f>
        <v>0</v>
      </c>
      <c r="AD30" s="124">
        <f>Capital!AD41</f>
        <v>0</v>
      </c>
      <c r="AE30" s="124">
        <f>Capital!AE41</f>
        <v>0</v>
      </c>
      <c r="AF30" s="124">
        <f>Capital!AF41</f>
        <v>0</v>
      </c>
      <c r="AG30" s="124">
        <f>Capital!AG41</f>
        <v>0</v>
      </c>
      <c r="AH30" s="124">
        <f>Capital!AH41</f>
        <v>0</v>
      </c>
      <c r="AI30" s="124">
        <f>Capital!AI41</f>
        <v>0</v>
      </c>
      <c r="AJ30" s="124">
        <f>Capital!AJ41</f>
        <v>0</v>
      </c>
      <c r="AK30" s="124">
        <f>Capital!AK41</f>
        <v>0</v>
      </c>
      <c r="AL30" s="124">
        <f>Capital!AL41</f>
        <v>0</v>
      </c>
      <c r="AM30" s="124">
        <f>Capital!AM41</f>
        <v>0</v>
      </c>
      <c r="AN30" s="124">
        <f>Capital!AN41</f>
        <v>0</v>
      </c>
      <c r="AO30" s="124">
        <f>Capital!AO41</f>
        <v>0</v>
      </c>
      <c r="AP30" s="124">
        <f>Capital!AP41</f>
        <v>0</v>
      </c>
      <c r="AQ30" s="124">
        <f>Capital!AQ41</f>
        <v>0</v>
      </c>
      <c r="AR30" s="124">
        <f>Capital!AR41</f>
        <v>0</v>
      </c>
      <c r="AS30" s="124">
        <f>Capital!AS41</f>
        <v>0</v>
      </c>
      <c r="AT30" s="124">
        <f>Capital!AT41</f>
        <v>0</v>
      </c>
      <c r="AU30" s="124">
        <f>Capital!AU41</f>
        <v>0</v>
      </c>
      <c r="AV30" s="124">
        <f>Capital!AV41</f>
        <v>0</v>
      </c>
      <c r="AW30" s="124">
        <f>Capital!AW41</f>
        <v>0</v>
      </c>
      <c r="AX30" s="124">
        <f>Capital!AX41</f>
        <v>0</v>
      </c>
      <c r="AY30" s="124">
        <f>Capital!AY41</f>
        <v>0</v>
      </c>
      <c r="AZ30" s="124">
        <f>Capital!AZ41</f>
        <v>0</v>
      </c>
      <c r="BA30" s="124">
        <f>Capital!BA41</f>
        <v>0</v>
      </c>
      <c r="BB30" s="124">
        <f>Capital!BB41</f>
        <v>0</v>
      </c>
      <c r="BC30" s="124">
        <f>Capital!BC41</f>
        <v>0</v>
      </c>
      <c r="BD30" s="124">
        <f>Capital!BD41</f>
        <v>0</v>
      </c>
      <c r="BE30" s="124">
        <f>Capital!BE41</f>
        <v>0</v>
      </c>
      <c r="BF30" s="124">
        <f>Capital!BF41</f>
        <v>0</v>
      </c>
      <c r="BG30" s="124">
        <f>Capital!BG41</f>
        <v>0</v>
      </c>
      <c r="BH30" s="124">
        <f>Capital!BH41</f>
        <v>0</v>
      </c>
      <c r="BI30" s="124">
        <f>Capital!BI41</f>
        <v>0</v>
      </c>
      <c r="BJ30" s="124">
        <f>Capital!BJ41</f>
        <v>0</v>
      </c>
      <c r="BK30" s="124">
        <f>Capital!BK41</f>
        <v>0</v>
      </c>
      <c r="BL30" s="124">
        <f>Capital!BL41</f>
        <v>0</v>
      </c>
      <c r="BM30" s="124">
        <f>Capital!BM41</f>
        <v>0</v>
      </c>
      <c r="BN30" s="124">
        <f>Capital!BN41</f>
        <v>0</v>
      </c>
      <c r="BO30" s="124">
        <f>Capital!BO41</f>
        <v>0</v>
      </c>
      <c r="BP30" s="124">
        <f>Capital!BP41</f>
        <v>0</v>
      </c>
      <c r="BQ30" s="124">
        <f>Capital!BQ41</f>
        <v>0</v>
      </c>
    </row>
    <row r="31" spans="2:69" ht="10.199999999999999">
      <c r="D31" s="140" t="str">
        <f>"Net "&amp;C25</f>
        <v>Net Financing Activities</v>
      </c>
      <c r="J31" s="126">
        <f>SUM(J26:J30)</f>
        <v>250000</v>
      </c>
      <c r="K31" s="126">
        <f t="shared" ref="K31:BQ31" si="7">SUM(K26:K30)</f>
        <v>0</v>
      </c>
      <c r="L31" s="126">
        <f t="shared" si="7"/>
        <v>0</v>
      </c>
      <c r="M31" s="126">
        <f t="shared" si="7"/>
        <v>0</v>
      </c>
      <c r="N31" s="126">
        <f t="shared" si="7"/>
        <v>0</v>
      </c>
      <c r="O31" s="126">
        <f t="shared" si="7"/>
        <v>0</v>
      </c>
      <c r="P31" s="126">
        <f t="shared" si="7"/>
        <v>0</v>
      </c>
      <c r="Q31" s="126">
        <f t="shared" si="7"/>
        <v>0</v>
      </c>
      <c r="R31" s="126">
        <f t="shared" si="7"/>
        <v>0</v>
      </c>
      <c r="S31" s="126">
        <f t="shared" si="7"/>
        <v>0</v>
      </c>
      <c r="T31" s="126">
        <f t="shared" si="7"/>
        <v>0</v>
      </c>
      <c r="U31" s="126">
        <f t="shared" si="7"/>
        <v>-10000</v>
      </c>
      <c r="V31" s="126">
        <f t="shared" si="7"/>
        <v>-50000</v>
      </c>
      <c r="W31" s="126">
        <f t="shared" si="7"/>
        <v>0</v>
      </c>
      <c r="X31" s="126">
        <f t="shared" si="7"/>
        <v>0</v>
      </c>
      <c r="Y31" s="126">
        <f t="shared" si="7"/>
        <v>0</v>
      </c>
      <c r="Z31" s="126">
        <f t="shared" si="7"/>
        <v>0</v>
      </c>
      <c r="AA31" s="126">
        <f t="shared" si="7"/>
        <v>0</v>
      </c>
      <c r="AB31" s="126">
        <f t="shared" si="7"/>
        <v>0</v>
      </c>
      <c r="AC31" s="126">
        <f t="shared" si="7"/>
        <v>0</v>
      </c>
      <c r="AD31" s="126">
        <f t="shared" si="7"/>
        <v>0</v>
      </c>
      <c r="AE31" s="126">
        <f t="shared" si="7"/>
        <v>0</v>
      </c>
      <c r="AF31" s="126">
        <f t="shared" si="7"/>
        <v>0</v>
      </c>
      <c r="AG31" s="126">
        <f t="shared" si="7"/>
        <v>0</v>
      </c>
      <c r="AH31" s="126">
        <f t="shared" si="7"/>
        <v>0</v>
      </c>
      <c r="AI31" s="126">
        <f t="shared" si="7"/>
        <v>0</v>
      </c>
      <c r="AJ31" s="126">
        <f t="shared" si="7"/>
        <v>0</v>
      </c>
      <c r="AK31" s="126">
        <f t="shared" si="7"/>
        <v>0</v>
      </c>
      <c r="AL31" s="126">
        <f t="shared" si="7"/>
        <v>0</v>
      </c>
      <c r="AM31" s="126">
        <f t="shared" si="7"/>
        <v>0</v>
      </c>
      <c r="AN31" s="126">
        <f t="shared" si="7"/>
        <v>0</v>
      </c>
      <c r="AO31" s="126">
        <f t="shared" si="7"/>
        <v>0</v>
      </c>
      <c r="AP31" s="126">
        <f t="shared" si="7"/>
        <v>0</v>
      </c>
      <c r="AQ31" s="126">
        <f t="shared" si="7"/>
        <v>0</v>
      </c>
      <c r="AR31" s="126">
        <f t="shared" si="7"/>
        <v>0</v>
      </c>
      <c r="AS31" s="126">
        <f t="shared" si="7"/>
        <v>0</v>
      </c>
      <c r="AT31" s="126">
        <f t="shared" si="7"/>
        <v>0</v>
      </c>
      <c r="AU31" s="126">
        <f t="shared" si="7"/>
        <v>0</v>
      </c>
      <c r="AV31" s="126">
        <f t="shared" si="7"/>
        <v>0</v>
      </c>
      <c r="AW31" s="126">
        <f t="shared" si="7"/>
        <v>0</v>
      </c>
      <c r="AX31" s="126">
        <f t="shared" si="7"/>
        <v>0</v>
      </c>
      <c r="AY31" s="126">
        <f t="shared" si="7"/>
        <v>0</v>
      </c>
      <c r="AZ31" s="126">
        <f t="shared" si="7"/>
        <v>0</v>
      </c>
      <c r="BA31" s="126">
        <f t="shared" si="7"/>
        <v>0</v>
      </c>
      <c r="BB31" s="126">
        <f t="shared" si="7"/>
        <v>0</v>
      </c>
      <c r="BC31" s="126">
        <f t="shared" si="7"/>
        <v>0</v>
      </c>
      <c r="BD31" s="126">
        <f t="shared" si="7"/>
        <v>0</v>
      </c>
      <c r="BE31" s="126">
        <f t="shared" si="7"/>
        <v>0</v>
      </c>
      <c r="BF31" s="126">
        <f t="shared" si="7"/>
        <v>0</v>
      </c>
      <c r="BG31" s="126">
        <f t="shared" si="7"/>
        <v>0</v>
      </c>
      <c r="BH31" s="126">
        <f t="shared" si="7"/>
        <v>0</v>
      </c>
      <c r="BI31" s="126">
        <f t="shared" si="7"/>
        <v>96218.840699581677</v>
      </c>
      <c r="BJ31" s="126">
        <f t="shared" si="7"/>
        <v>-3812.6689612551363</v>
      </c>
      <c r="BK31" s="126">
        <f t="shared" si="7"/>
        <v>-3844.4412025989295</v>
      </c>
      <c r="BL31" s="126">
        <f t="shared" si="7"/>
        <v>-3876.4782126205869</v>
      </c>
      <c r="BM31" s="126">
        <f t="shared" si="7"/>
        <v>-3908.7821977257586</v>
      </c>
      <c r="BN31" s="126">
        <f t="shared" si="7"/>
        <v>-3941.3553827068063</v>
      </c>
      <c r="BO31" s="126">
        <f t="shared" si="7"/>
        <v>-3974.2000108960297</v>
      </c>
      <c r="BP31" s="126">
        <f t="shared" si="7"/>
        <v>-4007.3183443201638</v>
      </c>
      <c r="BQ31" s="126">
        <f t="shared" si="7"/>
        <v>-4040.7126638561654</v>
      </c>
    </row>
    <row r="32" spans="2:69" s="107" customFormat="1" ht="10.8" thickBot="1">
      <c r="J32" s="137"/>
      <c r="K32" s="137"/>
      <c r="L32" s="137"/>
      <c r="M32" s="137"/>
      <c r="N32" s="137"/>
      <c r="O32" s="137"/>
      <c r="P32" s="137"/>
      <c r="Q32" s="137"/>
      <c r="R32" s="137"/>
      <c r="S32" s="137"/>
      <c r="T32" s="137"/>
      <c r="U32" s="137"/>
      <c r="V32" s="137"/>
      <c r="W32" s="137"/>
      <c r="X32" s="137"/>
      <c r="Y32" s="137"/>
      <c r="Z32" s="137"/>
      <c r="AA32" s="137"/>
      <c r="AB32" s="137"/>
      <c r="AC32" s="137"/>
      <c r="AD32" s="137"/>
      <c r="AE32" s="137"/>
      <c r="AF32" s="137"/>
      <c r="AG32" s="137"/>
      <c r="AH32" s="137"/>
      <c r="AI32" s="137"/>
      <c r="AJ32" s="137"/>
      <c r="AK32" s="137"/>
      <c r="AL32" s="137"/>
      <c r="AM32" s="137"/>
      <c r="AN32" s="137"/>
      <c r="AO32" s="137"/>
      <c r="AP32" s="137"/>
      <c r="AQ32" s="137"/>
      <c r="AR32" s="137"/>
      <c r="AS32" s="137"/>
      <c r="AT32" s="137"/>
      <c r="AU32" s="137"/>
      <c r="AV32" s="137"/>
      <c r="AW32" s="137"/>
      <c r="AX32" s="137"/>
      <c r="AY32" s="137"/>
      <c r="AZ32" s="137"/>
      <c r="BA32" s="137"/>
      <c r="BB32" s="137"/>
      <c r="BC32" s="137"/>
      <c r="BD32" s="137"/>
      <c r="BE32" s="137"/>
      <c r="BF32" s="137"/>
      <c r="BG32" s="137"/>
      <c r="BH32" s="137"/>
      <c r="BI32" s="137"/>
      <c r="BJ32" s="137"/>
      <c r="BK32" s="137"/>
      <c r="BL32" s="137"/>
      <c r="BM32" s="137"/>
      <c r="BN32" s="137"/>
      <c r="BO32" s="137"/>
      <c r="BP32" s="137"/>
      <c r="BQ32" s="137"/>
    </row>
    <row r="33" spans="3:69" s="107" customFormat="1" ht="12" thickTop="1">
      <c r="C33" s="128" t="s">
        <v>121</v>
      </c>
      <c r="J33" s="135">
        <f t="shared" ref="J33:AO33" si="8">J15+J21+J31</f>
        <v>199037.5</v>
      </c>
      <c r="K33" s="135">
        <f t="shared" si="8"/>
        <v>-48697.348484848488</v>
      </c>
      <c r="L33" s="135">
        <f t="shared" si="8"/>
        <v>-46990.166666666664</v>
      </c>
      <c r="M33" s="135">
        <f t="shared" si="8"/>
        <v>3403.19696969697</v>
      </c>
      <c r="N33" s="135">
        <f t="shared" si="8"/>
        <v>3637.19696969697</v>
      </c>
      <c r="O33" s="135">
        <f t="shared" si="8"/>
        <v>3637.19696969697</v>
      </c>
      <c r="P33" s="135">
        <f t="shared" si="8"/>
        <v>3637.19696969697</v>
      </c>
      <c r="Q33" s="135">
        <f t="shared" si="8"/>
        <v>3637.19696969697</v>
      </c>
      <c r="R33" s="135">
        <f t="shared" si="8"/>
        <v>3637.19696969697</v>
      </c>
      <c r="S33" s="135">
        <f t="shared" si="8"/>
        <v>3637.19696969697</v>
      </c>
      <c r="T33" s="135">
        <f t="shared" si="8"/>
        <v>3637.19696969697</v>
      </c>
      <c r="U33" s="135">
        <f t="shared" si="8"/>
        <v>-6362.80303030303</v>
      </c>
      <c r="V33" s="135">
        <f t="shared" si="8"/>
        <v>-45541.471212121207</v>
      </c>
      <c r="W33" s="135">
        <f t="shared" si="8"/>
        <v>4530.2136363636382</v>
      </c>
      <c r="X33" s="135">
        <f t="shared" si="8"/>
        <v>4680.25</v>
      </c>
      <c r="Y33" s="135">
        <f t="shared" si="8"/>
        <v>4680.25</v>
      </c>
      <c r="Z33" s="135">
        <f t="shared" si="8"/>
        <v>4680.25</v>
      </c>
      <c r="AA33" s="135">
        <f t="shared" si="8"/>
        <v>4680.25</v>
      </c>
      <c r="AB33" s="135">
        <f t="shared" si="8"/>
        <v>4680.25</v>
      </c>
      <c r="AC33" s="135">
        <f t="shared" si="8"/>
        <v>4680.25</v>
      </c>
      <c r="AD33" s="135">
        <f t="shared" si="8"/>
        <v>4680.25</v>
      </c>
      <c r="AE33" s="135">
        <f t="shared" si="8"/>
        <v>4680.25</v>
      </c>
      <c r="AF33" s="135">
        <f t="shared" si="8"/>
        <v>4680.25</v>
      </c>
      <c r="AG33" s="135">
        <f t="shared" si="8"/>
        <v>4680.25</v>
      </c>
      <c r="AH33" s="135">
        <f t="shared" si="8"/>
        <v>6284.738000000003</v>
      </c>
      <c r="AI33" s="135">
        <f t="shared" si="8"/>
        <v>6414.0020000000022</v>
      </c>
      <c r="AJ33" s="135">
        <f t="shared" si="8"/>
        <v>6700.5300000000043</v>
      </c>
      <c r="AK33" s="135">
        <f t="shared" si="8"/>
        <v>6700.5300000000043</v>
      </c>
      <c r="AL33" s="135">
        <f t="shared" si="8"/>
        <v>6700.5300000000043</v>
      </c>
      <c r="AM33" s="135">
        <f t="shared" si="8"/>
        <v>6700.5300000000043</v>
      </c>
      <c r="AN33" s="135">
        <f t="shared" si="8"/>
        <v>6700.5300000000043</v>
      </c>
      <c r="AO33" s="135">
        <f t="shared" si="8"/>
        <v>6700.5300000000043</v>
      </c>
      <c r="AP33" s="135">
        <f t="shared" ref="AP33:BQ33" si="9">AP15+AP21+AP31</f>
        <v>6700.5300000000043</v>
      </c>
      <c r="AQ33" s="135">
        <f t="shared" si="9"/>
        <v>6700.5300000000043</v>
      </c>
      <c r="AR33" s="135">
        <f t="shared" si="9"/>
        <v>6700.5300000000043</v>
      </c>
      <c r="AS33" s="135">
        <f t="shared" si="9"/>
        <v>6700.5300000000043</v>
      </c>
      <c r="AT33" s="135">
        <f t="shared" si="9"/>
        <v>8846.8041600000033</v>
      </c>
      <c r="AU33" s="135">
        <f t="shared" si="9"/>
        <v>9021.2126400000052</v>
      </c>
      <c r="AV33" s="135">
        <f t="shared" si="9"/>
        <v>9399.4296000000086</v>
      </c>
      <c r="AW33" s="135">
        <f t="shared" si="9"/>
        <v>9399.4296000000086</v>
      </c>
      <c r="AX33" s="135">
        <f t="shared" si="9"/>
        <v>9399.4296000000086</v>
      </c>
      <c r="AY33" s="135">
        <f t="shared" si="9"/>
        <v>9399.4296000000086</v>
      </c>
      <c r="AZ33" s="135">
        <f t="shared" si="9"/>
        <v>9399.4296000000086</v>
      </c>
      <c r="BA33" s="135">
        <f t="shared" si="9"/>
        <v>9399.4296000000086</v>
      </c>
      <c r="BB33" s="135">
        <f t="shared" si="9"/>
        <v>9399.4296000000086</v>
      </c>
      <c r="BC33" s="135">
        <f t="shared" si="9"/>
        <v>9399.4296000000086</v>
      </c>
      <c r="BD33" s="135">
        <f t="shared" si="9"/>
        <v>9399.4296000000086</v>
      </c>
      <c r="BE33" s="135">
        <f t="shared" si="9"/>
        <v>9399.4296000000086</v>
      </c>
      <c r="BF33" s="135">
        <f t="shared" si="9"/>
        <v>12262.27899120001</v>
      </c>
      <c r="BG33" s="135">
        <f t="shared" si="9"/>
        <v>12496.467184800009</v>
      </c>
      <c r="BH33" s="135">
        <f t="shared" si="9"/>
        <v>12995.71357200001</v>
      </c>
      <c r="BI33" s="135">
        <f t="shared" si="9"/>
        <v>108506.22093824836</v>
      </c>
      <c r="BJ33" s="135">
        <f t="shared" si="9"/>
        <v>8501.494489122837</v>
      </c>
      <c r="BK33" s="135">
        <f t="shared" si="9"/>
        <v>8496.7286529212688</v>
      </c>
      <c r="BL33" s="135">
        <f t="shared" si="9"/>
        <v>8491.9231014180205</v>
      </c>
      <c r="BM33" s="135">
        <f t="shared" si="9"/>
        <v>8487.0775036522427</v>
      </c>
      <c r="BN33" s="135">
        <f t="shared" si="9"/>
        <v>8482.1915259050875</v>
      </c>
      <c r="BO33" s="135">
        <f t="shared" si="9"/>
        <v>8477.2648316767027</v>
      </c>
      <c r="BP33" s="135">
        <f t="shared" si="9"/>
        <v>8472.2970816630841</v>
      </c>
      <c r="BQ33" s="135">
        <f t="shared" si="9"/>
        <v>8467.2879337326813</v>
      </c>
    </row>
  </sheetData>
  <pageMargins left="0.5" right="0.5" top="0.25" bottom="0.25" header="0" footer="0.25"/>
  <pageSetup paperSize="9" scale="79" fitToWidth="5" orientation="landscape" r:id="rId1"/>
  <headerFooter>
    <oddFooter>&amp;L&amp;12Built with finmodelslab.com template&amp;C&amp;12Cash Flow Statement&amp;R&amp;D</oddFooter>
  </headerFooter>
  <colBreaks count="4" manualBreakCount="4">
    <brk id="21" max="80" man="1"/>
    <brk id="33" max="80" man="1"/>
    <brk id="45" max="80" man="1"/>
    <brk id="57" max="80"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tabColor rgb="FFFFC000"/>
    <pageSetUpPr autoPageBreaks="0"/>
  </sheetPr>
  <dimension ref="A1:BQ38"/>
  <sheetViews>
    <sheetView showGridLines="0" zoomScaleNormal="100" zoomScaleSheetLayoutView="85" workbookViewId="0">
      <pane xSplit="9" ySplit="5" topLeftCell="J6" activePane="bottomRight" state="frozen"/>
      <selection sqref="A1:A1048576"/>
      <selection pane="topRight" sqref="A1:A1048576"/>
      <selection pane="bottomLeft" sqref="A1:A1048576"/>
      <selection pane="bottomRight" activeCell="E40" sqref="E40"/>
    </sheetView>
  </sheetViews>
  <sheetFormatPr defaultColWidth="11.7109375" defaultRowHeight="10.5" customHeight="1"/>
  <cols>
    <col min="1" max="1" width="2.140625" style="84" customWidth="1"/>
    <col min="2" max="2" width="1.85546875" style="84" customWidth="1"/>
    <col min="3" max="5" width="3.7109375" style="84" customWidth="1"/>
    <col min="6" max="9" width="6.28515625" style="84" customWidth="1"/>
    <col min="10" max="69" width="13.7109375" style="84" customWidth="1"/>
    <col min="70" max="16384" width="11.7109375" style="84"/>
  </cols>
  <sheetData>
    <row r="1" spans="1:69" ht="17.399999999999999">
      <c r="B1" s="85" t="s">
        <v>7</v>
      </c>
    </row>
    <row r="2" spans="1:69" ht="15">
      <c r="B2" s="87" t="s">
        <v>163</v>
      </c>
    </row>
    <row r="3" spans="1:69" ht="10.199999999999999">
      <c r="B3" s="88"/>
      <c r="C3" s="89"/>
      <c r="D3" s="89"/>
      <c r="E3" s="89"/>
      <c r="F3" s="89"/>
      <c r="G3" s="90"/>
      <c r="H3" s="90"/>
      <c r="I3" s="89"/>
    </row>
    <row r="4" spans="1:69" ht="10.199999999999999">
      <c r="A4" s="91"/>
      <c r="B4" s="92" t="s">
        <v>72</v>
      </c>
      <c r="C4" s="91"/>
      <c r="D4" s="91"/>
      <c r="E4" s="91"/>
      <c r="F4" s="91"/>
      <c r="G4" s="91"/>
      <c r="H4" s="91"/>
      <c r="I4" s="91"/>
      <c r="J4" s="91">
        <f>YEAR(J5)</f>
        <v>2018</v>
      </c>
      <c r="K4" s="91">
        <f t="shared" ref="K4:BQ4" si="0">YEAR(K5)</f>
        <v>2018</v>
      </c>
      <c r="L4" s="91">
        <f t="shared" si="0"/>
        <v>2018</v>
      </c>
      <c r="M4" s="91">
        <f t="shared" si="0"/>
        <v>2018</v>
      </c>
      <c r="N4" s="91">
        <f t="shared" si="0"/>
        <v>2018</v>
      </c>
      <c r="O4" s="91">
        <f t="shared" si="0"/>
        <v>2018</v>
      </c>
      <c r="P4" s="91">
        <f t="shared" si="0"/>
        <v>2018</v>
      </c>
      <c r="Q4" s="91">
        <f t="shared" si="0"/>
        <v>2018</v>
      </c>
      <c r="R4" s="91">
        <f t="shared" si="0"/>
        <v>2018</v>
      </c>
      <c r="S4" s="91">
        <f t="shared" si="0"/>
        <v>2018</v>
      </c>
      <c r="T4" s="91">
        <f t="shared" si="0"/>
        <v>2018</v>
      </c>
      <c r="U4" s="91">
        <f t="shared" si="0"/>
        <v>2018</v>
      </c>
      <c r="V4" s="91">
        <f t="shared" si="0"/>
        <v>2019</v>
      </c>
      <c r="W4" s="91">
        <f t="shared" si="0"/>
        <v>2019</v>
      </c>
      <c r="X4" s="91">
        <f t="shared" si="0"/>
        <v>2019</v>
      </c>
      <c r="Y4" s="91">
        <f t="shared" si="0"/>
        <v>2019</v>
      </c>
      <c r="Z4" s="91">
        <f t="shared" si="0"/>
        <v>2019</v>
      </c>
      <c r="AA4" s="91">
        <f t="shared" si="0"/>
        <v>2019</v>
      </c>
      <c r="AB4" s="91">
        <f t="shared" si="0"/>
        <v>2019</v>
      </c>
      <c r="AC4" s="91">
        <f t="shared" si="0"/>
        <v>2019</v>
      </c>
      <c r="AD4" s="91">
        <f t="shared" si="0"/>
        <v>2019</v>
      </c>
      <c r="AE4" s="91">
        <f t="shared" si="0"/>
        <v>2019</v>
      </c>
      <c r="AF4" s="91">
        <f t="shared" si="0"/>
        <v>2019</v>
      </c>
      <c r="AG4" s="91">
        <f t="shared" si="0"/>
        <v>2019</v>
      </c>
      <c r="AH4" s="91">
        <f t="shared" si="0"/>
        <v>2020</v>
      </c>
      <c r="AI4" s="91">
        <f t="shared" si="0"/>
        <v>2020</v>
      </c>
      <c r="AJ4" s="91">
        <f t="shared" si="0"/>
        <v>2020</v>
      </c>
      <c r="AK4" s="91">
        <f t="shared" si="0"/>
        <v>2020</v>
      </c>
      <c r="AL4" s="91">
        <f t="shared" si="0"/>
        <v>2020</v>
      </c>
      <c r="AM4" s="91">
        <f t="shared" si="0"/>
        <v>2020</v>
      </c>
      <c r="AN4" s="91">
        <f t="shared" si="0"/>
        <v>2020</v>
      </c>
      <c r="AO4" s="91">
        <f t="shared" si="0"/>
        <v>2020</v>
      </c>
      <c r="AP4" s="91">
        <f t="shared" si="0"/>
        <v>2020</v>
      </c>
      <c r="AQ4" s="91">
        <f t="shared" si="0"/>
        <v>2020</v>
      </c>
      <c r="AR4" s="91">
        <f t="shared" si="0"/>
        <v>2020</v>
      </c>
      <c r="AS4" s="91">
        <f t="shared" si="0"/>
        <v>2020</v>
      </c>
      <c r="AT4" s="91">
        <f t="shared" si="0"/>
        <v>2021</v>
      </c>
      <c r="AU4" s="91">
        <f t="shared" si="0"/>
        <v>2021</v>
      </c>
      <c r="AV4" s="91">
        <f t="shared" si="0"/>
        <v>2021</v>
      </c>
      <c r="AW4" s="91">
        <f t="shared" si="0"/>
        <v>2021</v>
      </c>
      <c r="AX4" s="91">
        <f t="shared" si="0"/>
        <v>2021</v>
      </c>
      <c r="AY4" s="91">
        <f t="shared" si="0"/>
        <v>2021</v>
      </c>
      <c r="AZ4" s="91">
        <f t="shared" si="0"/>
        <v>2021</v>
      </c>
      <c r="BA4" s="91">
        <f t="shared" si="0"/>
        <v>2021</v>
      </c>
      <c r="BB4" s="91">
        <f t="shared" si="0"/>
        <v>2021</v>
      </c>
      <c r="BC4" s="91">
        <f t="shared" si="0"/>
        <v>2021</v>
      </c>
      <c r="BD4" s="91">
        <f t="shared" si="0"/>
        <v>2021</v>
      </c>
      <c r="BE4" s="91">
        <f t="shared" si="0"/>
        <v>2021</v>
      </c>
      <c r="BF4" s="91">
        <f t="shared" si="0"/>
        <v>2022</v>
      </c>
      <c r="BG4" s="91">
        <f t="shared" si="0"/>
        <v>2022</v>
      </c>
      <c r="BH4" s="91">
        <f t="shared" si="0"/>
        <v>2022</v>
      </c>
      <c r="BI4" s="91">
        <f t="shared" si="0"/>
        <v>2022</v>
      </c>
      <c r="BJ4" s="91">
        <f t="shared" si="0"/>
        <v>2022</v>
      </c>
      <c r="BK4" s="91">
        <f t="shared" si="0"/>
        <v>2022</v>
      </c>
      <c r="BL4" s="91">
        <f t="shared" si="0"/>
        <v>2022</v>
      </c>
      <c r="BM4" s="91">
        <f t="shared" si="0"/>
        <v>2022</v>
      </c>
      <c r="BN4" s="91">
        <f t="shared" si="0"/>
        <v>2022</v>
      </c>
      <c r="BO4" s="91">
        <f t="shared" si="0"/>
        <v>2022</v>
      </c>
      <c r="BP4" s="91">
        <f t="shared" si="0"/>
        <v>2022</v>
      </c>
      <c r="BQ4" s="91">
        <f t="shared" si="0"/>
        <v>2022</v>
      </c>
    </row>
    <row r="5" spans="1:69" ht="10.199999999999999">
      <c r="B5" s="92" t="s">
        <v>45</v>
      </c>
      <c r="I5" s="114">
        <f>EOMONTH(J5,-1)</f>
        <v>43100</v>
      </c>
      <c r="J5" s="93">
        <f>DATE(First_Fin_Year,1,31)</f>
        <v>43131</v>
      </c>
      <c r="K5" s="93">
        <f>EOMONTH(J5,1)</f>
        <v>43159</v>
      </c>
      <c r="L5" s="93">
        <f t="shared" ref="L5:BQ5" si="1">EOMONTH(K5,1)</f>
        <v>43190</v>
      </c>
      <c r="M5" s="93">
        <f t="shared" si="1"/>
        <v>43220</v>
      </c>
      <c r="N5" s="93">
        <f t="shared" si="1"/>
        <v>43251</v>
      </c>
      <c r="O5" s="93">
        <f t="shared" si="1"/>
        <v>43281</v>
      </c>
      <c r="P5" s="93">
        <f t="shared" si="1"/>
        <v>43312</v>
      </c>
      <c r="Q5" s="93">
        <f t="shared" si="1"/>
        <v>43343</v>
      </c>
      <c r="R5" s="93">
        <f t="shared" si="1"/>
        <v>43373</v>
      </c>
      <c r="S5" s="93">
        <f t="shared" si="1"/>
        <v>43404</v>
      </c>
      <c r="T5" s="93">
        <f t="shared" si="1"/>
        <v>43434</v>
      </c>
      <c r="U5" s="93">
        <f t="shared" si="1"/>
        <v>43465</v>
      </c>
      <c r="V5" s="93">
        <f t="shared" si="1"/>
        <v>43496</v>
      </c>
      <c r="W5" s="93">
        <f t="shared" si="1"/>
        <v>43524</v>
      </c>
      <c r="X5" s="93">
        <f t="shared" si="1"/>
        <v>43555</v>
      </c>
      <c r="Y5" s="93">
        <f t="shared" si="1"/>
        <v>43585</v>
      </c>
      <c r="Z5" s="93">
        <f t="shared" si="1"/>
        <v>43616</v>
      </c>
      <c r="AA5" s="93">
        <f t="shared" si="1"/>
        <v>43646</v>
      </c>
      <c r="AB5" s="93">
        <f t="shared" si="1"/>
        <v>43677</v>
      </c>
      <c r="AC5" s="93">
        <f t="shared" si="1"/>
        <v>43708</v>
      </c>
      <c r="AD5" s="93">
        <f t="shared" si="1"/>
        <v>43738</v>
      </c>
      <c r="AE5" s="93">
        <f t="shared" si="1"/>
        <v>43769</v>
      </c>
      <c r="AF5" s="93">
        <f t="shared" si="1"/>
        <v>43799</v>
      </c>
      <c r="AG5" s="93">
        <f t="shared" si="1"/>
        <v>43830</v>
      </c>
      <c r="AH5" s="93">
        <f t="shared" si="1"/>
        <v>43861</v>
      </c>
      <c r="AI5" s="93">
        <f t="shared" si="1"/>
        <v>43890</v>
      </c>
      <c r="AJ5" s="93">
        <f t="shared" si="1"/>
        <v>43921</v>
      </c>
      <c r="AK5" s="93">
        <f t="shared" si="1"/>
        <v>43951</v>
      </c>
      <c r="AL5" s="93">
        <f t="shared" si="1"/>
        <v>43982</v>
      </c>
      <c r="AM5" s="93">
        <f t="shared" si="1"/>
        <v>44012</v>
      </c>
      <c r="AN5" s="93">
        <f t="shared" si="1"/>
        <v>44043</v>
      </c>
      <c r="AO5" s="93">
        <f t="shared" si="1"/>
        <v>44074</v>
      </c>
      <c r="AP5" s="93">
        <f t="shared" si="1"/>
        <v>44104</v>
      </c>
      <c r="AQ5" s="93">
        <f t="shared" si="1"/>
        <v>44135</v>
      </c>
      <c r="AR5" s="93">
        <f t="shared" si="1"/>
        <v>44165</v>
      </c>
      <c r="AS5" s="93">
        <f t="shared" si="1"/>
        <v>44196</v>
      </c>
      <c r="AT5" s="93">
        <f t="shared" si="1"/>
        <v>44227</v>
      </c>
      <c r="AU5" s="93">
        <f t="shared" si="1"/>
        <v>44255</v>
      </c>
      <c r="AV5" s="93">
        <f t="shared" si="1"/>
        <v>44286</v>
      </c>
      <c r="AW5" s="93">
        <f t="shared" si="1"/>
        <v>44316</v>
      </c>
      <c r="AX5" s="93">
        <f t="shared" si="1"/>
        <v>44347</v>
      </c>
      <c r="AY5" s="93">
        <f t="shared" si="1"/>
        <v>44377</v>
      </c>
      <c r="AZ5" s="93">
        <f t="shared" si="1"/>
        <v>44408</v>
      </c>
      <c r="BA5" s="93">
        <f t="shared" si="1"/>
        <v>44439</v>
      </c>
      <c r="BB5" s="93">
        <f t="shared" si="1"/>
        <v>44469</v>
      </c>
      <c r="BC5" s="93">
        <f t="shared" si="1"/>
        <v>44500</v>
      </c>
      <c r="BD5" s="93">
        <f t="shared" si="1"/>
        <v>44530</v>
      </c>
      <c r="BE5" s="93">
        <f t="shared" si="1"/>
        <v>44561</v>
      </c>
      <c r="BF5" s="93">
        <f t="shared" si="1"/>
        <v>44592</v>
      </c>
      <c r="BG5" s="93">
        <f t="shared" si="1"/>
        <v>44620</v>
      </c>
      <c r="BH5" s="93">
        <f t="shared" si="1"/>
        <v>44651</v>
      </c>
      <c r="BI5" s="93">
        <f t="shared" si="1"/>
        <v>44681</v>
      </c>
      <c r="BJ5" s="93">
        <f t="shared" si="1"/>
        <v>44712</v>
      </c>
      <c r="BK5" s="93">
        <f t="shared" si="1"/>
        <v>44742</v>
      </c>
      <c r="BL5" s="93">
        <f t="shared" si="1"/>
        <v>44773</v>
      </c>
      <c r="BM5" s="93">
        <f t="shared" si="1"/>
        <v>44804</v>
      </c>
      <c r="BN5" s="93">
        <f t="shared" si="1"/>
        <v>44834</v>
      </c>
      <c r="BO5" s="93">
        <f t="shared" si="1"/>
        <v>44865</v>
      </c>
      <c r="BP5" s="93">
        <f t="shared" si="1"/>
        <v>44895</v>
      </c>
      <c r="BQ5" s="93">
        <f t="shared" si="1"/>
        <v>44926</v>
      </c>
    </row>
    <row r="6" spans="1:69" ht="10.199999999999999">
      <c r="A6" s="91"/>
      <c r="B6" s="92"/>
      <c r="C6" s="91"/>
      <c r="D6" s="91"/>
      <c r="E6" s="91"/>
      <c r="F6" s="91"/>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c r="BD6" s="91"/>
      <c r="BE6" s="91"/>
      <c r="BF6" s="91"/>
      <c r="BG6" s="91"/>
      <c r="BH6" s="91"/>
      <c r="BI6" s="91"/>
      <c r="BJ6" s="91"/>
      <c r="BK6" s="91"/>
      <c r="BL6" s="91"/>
      <c r="BM6" s="91"/>
      <c r="BN6" s="91"/>
      <c r="BO6" s="91"/>
      <c r="BP6" s="91"/>
      <c r="BQ6" s="91"/>
    </row>
    <row r="7" spans="1:69" ht="13.8">
      <c r="B7" s="94" t="str">
        <f>"Balance Sheet, "&amp;Currency</f>
        <v>Balance Sheet, $</v>
      </c>
      <c r="K7" s="100"/>
    </row>
    <row r="8" spans="1:69" ht="10.199999999999999"/>
    <row r="9" spans="1:69" ht="11.4">
      <c r="C9" s="128" t="s">
        <v>8</v>
      </c>
    </row>
    <row r="10" spans="1:69" ht="10.199999999999999">
      <c r="D10" s="139" t="s">
        <v>9</v>
      </c>
      <c r="J10" s="124">
        <f>I10+CF!J33</f>
        <v>199037.5</v>
      </c>
      <c r="K10" s="124">
        <f>J10+CF!K33</f>
        <v>150340.15151515152</v>
      </c>
      <c r="L10" s="124">
        <f>K10+CF!L33</f>
        <v>103349.98484848486</v>
      </c>
      <c r="M10" s="124">
        <f>L10+CF!M33</f>
        <v>106753.18181818184</v>
      </c>
      <c r="N10" s="124">
        <f>M10+CF!N33</f>
        <v>110390.37878787881</v>
      </c>
      <c r="O10" s="124">
        <f>N10+CF!O33</f>
        <v>114027.57575757579</v>
      </c>
      <c r="P10" s="124">
        <f>O10+CF!P33</f>
        <v>117664.77272727276</v>
      </c>
      <c r="Q10" s="124">
        <f>P10+CF!Q33</f>
        <v>121301.96969696974</v>
      </c>
      <c r="R10" s="124">
        <f>Q10+CF!R33</f>
        <v>124939.16666666672</v>
      </c>
      <c r="S10" s="124">
        <f>R10+CF!S33</f>
        <v>128576.36363636369</v>
      </c>
      <c r="T10" s="124">
        <f>S10+CF!T33</f>
        <v>132213.56060606067</v>
      </c>
      <c r="U10" s="124">
        <f>T10+CF!U33</f>
        <v>125850.75757575764</v>
      </c>
      <c r="V10" s="124">
        <f>U10+CF!V33</f>
        <v>80309.286363636435</v>
      </c>
      <c r="W10" s="124">
        <f>V10+CF!W33</f>
        <v>84839.500000000073</v>
      </c>
      <c r="X10" s="124">
        <f>W10+CF!X33</f>
        <v>89519.750000000073</v>
      </c>
      <c r="Y10" s="124">
        <f>X10+CF!Y33</f>
        <v>94200.000000000073</v>
      </c>
      <c r="Z10" s="124">
        <f>Y10+CF!Z33</f>
        <v>98880.250000000073</v>
      </c>
      <c r="AA10" s="124">
        <f>Z10+CF!AA33</f>
        <v>103560.50000000007</v>
      </c>
      <c r="AB10" s="124">
        <f>AA10+CF!AB33</f>
        <v>108240.75000000007</v>
      </c>
      <c r="AC10" s="124">
        <f>AB10+CF!AC33</f>
        <v>112921.00000000007</v>
      </c>
      <c r="AD10" s="124">
        <f>AC10+CF!AD33</f>
        <v>117601.25000000007</v>
      </c>
      <c r="AE10" s="124">
        <f>AD10+CF!AE33</f>
        <v>122281.50000000007</v>
      </c>
      <c r="AF10" s="124">
        <f>AE10+CF!AF33</f>
        <v>126961.75000000007</v>
      </c>
      <c r="AG10" s="124">
        <f>AF10+CF!AG33</f>
        <v>131642.00000000006</v>
      </c>
      <c r="AH10" s="124">
        <f>AG10+CF!AH33</f>
        <v>137926.73800000007</v>
      </c>
      <c r="AI10" s="124">
        <f>AH10+CF!AI33</f>
        <v>144340.74000000008</v>
      </c>
      <c r="AJ10" s="124">
        <f>AI10+CF!AJ33</f>
        <v>151041.27000000008</v>
      </c>
      <c r="AK10" s="124">
        <f>AJ10+CF!AK33</f>
        <v>157741.80000000008</v>
      </c>
      <c r="AL10" s="124">
        <f>AK10+CF!AL33</f>
        <v>164442.33000000007</v>
      </c>
      <c r="AM10" s="124">
        <f>AL10+CF!AM33</f>
        <v>171142.86000000007</v>
      </c>
      <c r="AN10" s="124">
        <f>AM10+CF!AN33</f>
        <v>177843.39000000007</v>
      </c>
      <c r="AO10" s="124">
        <f>AN10+CF!AO33</f>
        <v>184543.92000000007</v>
      </c>
      <c r="AP10" s="124">
        <f>AO10+CF!AP33</f>
        <v>191244.45000000007</v>
      </c>
      <c r="AQ10" s="124">
        <f>AP10+CF!AQ33</f>
        <v>197944.98000000007</v>
      </c>
      <c r="AR10" s="124">
        <f>AQ10+CF!AR33</f>
        <v>204645.51000000007</v>
      </c>
      <c r="AS10" s="124">
        <f>AR10+CF!AS33</f>
        <v>211346.04000000007</v>
      </c>
      <c r="AT10" s="124">
        <f>AS10+CF!AT33</f>
        <v>220192.84416000007</v>
      </c>
      <c r="AU10" s="124">
        <f>AT10+CF!AU33</f>
        <v>229214.05680000008</v>
      </c>
      <c r="AV10" s="124">
        <f>AU10+CF!AV33</f>
        <v>238613.48640000008</v>
      </c>
      <c r="AW10" s="124">
        <f>AV10+CF!AW33</f>
        <v>248012.91600000008</v>
      </c>
      <c r="AX10" s="124">
        <f>AW10+CF!AX33</f>
        <v>257412.34560000009</v>
      </c>
      <c r="AY10" s="124">
        <f>AX10+CF!AY33</f>
        <v>266811.77520000009</v>
      </c>
      <c r="AZ10" s="124">
        <f>AY10+CF!AZ33</f>
        <v>276211.20480000012</v>
      </c>
      <c r="BA10" s="124">
        <f>AZ10+CF!BA33</f>
        <v>285610.63440000016</v>
      </c>
      <c r="BB10" s="124">
        <f>BA10+CF!BB33</f>
        <v>295010.06400000019</v>
      </c>
      <c r="BC10" s="124">
        <f>BB10+CF!BC33</f>
        <v>304409.49360000022</v>
      </c>
      <c r="BD10" s="124">
        <f>BC10+CF!BD33</f>
        <v>313808.92320000025</v>
      </c>
      <c r="BE10" s="124">
        <f>BD10+CF!BE33</f>
        <v>323208.35280000028</v>
      </c>
      <c r="BF10" s="124">
        <f>BE10+CF!BF33</f>
        <v>335470.63179120031</v>
      </c>
      <c r="BG10" s="124">
        <f>BF10+CF!BG33</f>
        <v>347967.09897600033</v>
      </c>
      <c r="BH10" s="124">
        <f>BG10+CF!BH33</f>
        <v>360962.81254800037</v>
      </c>
      <c r="BI10" s="124">
        <f>BH10+CF!BI33</f>
        <v>469469.03348624869</v>
      </c>
      <c r="BJ10" s="124">
        <f>BI10+CF!BJ33</f>
        <v>477970.52797537151</v>
      </c>
      <c r="BK10" s="124">
        <f>BJ10+CF!BK33</f>
        <v>486467.25662829279</v>
      </c>
      <c r="BL10" s="124">
        <f>BK10+CF!BL33</f>
        <v>494959.1797297108</v>
      </c>
      <c r="BM10" s="124">
        <f>BL10+CF!BM33</f>
        <v>503446.25723336305</v>
      </c>
      <c r="BN10" s="124">
        <f>BM10+CF!BN33</f>
        <v>511928.44875926815</v>
      </c>
      <c r="BO10" s="124">
        <f>BN10+CF!BO33</f>
        <v>520405.71359094488</v>
      </c>
      <c r="BP10" s="124">
        <f>BO10+CF!BP33</f>
        <v>528878.01067260792</v>
      </c>
      <c r="BQ10" s="124">
        <f>BP10+CF!BQ33</f>
        <v>537345.29860634066</v>
      </c>
    </row>
    <row r="11" spans="1:69" ht="10.199999999999999">
      <c r="D11" s="139" t="s">
        <v>42</v>
      </c>
      <c r="J11" s="124">
        <f>I11+IS!J21-CF!J10</f>
        <v>500</v>
      </c>
      <c r="K11" s="124">
        <f>J11+IS!K21-CF!K10</f>
        <v>1534.090909090909</v>
      </c>
      <c r="L11" s="124">
        <f>K11+IS!L21-CF!L10</f>
        <v>2361.3636363636342</v>
      </c>
      <c r="M11" s="124">
        <f>L11+IS!M21-CF!M10</f>
        <v>2511.3636363636324</v>
      </c>
      <c r="N11" s="124">
        <f>M11+IS!N21-CF!N10</f>
        <v>2511.3636363636306</v>
      </c>
      <c r="O11" s="124">
        <f>N11+IS!O21-CF!O10</f>
        <v>2511.3636363636288</v>
      </c>
      <c r="P11" s="124">
        <f>O11+IS!P21-CF!P10</f>
        <v>2511.3636363636269</v>
      </c>
      <c r="Q11" s="124">
        <f>P11+IS!Q21-CF!Q10</f>
        <v>2511.3636363636251</v>
      </c>
      <c r="R11" s="124">
        <f>Q11+IS!R21-CF!R10</f>
        <v>2511.3636363636233</v>
      </c>
      <c r="S11" s="124">
        <f>R11+IS!S21-CF!S10</f>
        <v>2511.3636363636215</v>
      </c>
      <c r="T11" s="124">
        <f>S11+IS!T21-CF!T10</f>
        <v>2511.3636363636197</v>
      </c>
      <c r="U11" s="124">
        <f>T11+IS!U21-CF!U10</f>
        <v>2511.3636363636178</v>
      </c>
      <c r="V11" s="124">
        <f>U11+IS!V21-CF!V10</f>
        <v>2922.2727272727079</v>
      </c>
      <c r="W11" s="124">
        <f>V11+IS!W21-CF!W10</f>
        <v>3024.99999999998</v>
      </c>
      <c r="X11" s="124">
        <f>W11+IS!X21-CF!X10</f>
        <v>3024.99999999998</v>
      </c>
      <c r="Y11" s="124">
        <f>X11+IS!Y21-CF!Y10</f>
        <v>3024.99999999998</v>
      </c>
      <c r="Z11" s="124">
        <f>Y11+IS!Z21-CF!Z10</f>
        <v>3024.99999999998</v>
      </c>
      <c r="AA11" s="124">
        <f>Z11+IS!AA21-CF!AA10</f>
        <v>3024.99999999998</v>
      </c>
      <c r="AB11" s="124">
        <f>AA11+IS!AB21-CF!AB10</f>
        <v>3024.99999999998</v>
      </c>
      <c r="AC11" s="124">
        <f>AB11+IS!AC21-CF!AC10</f>
        <v>3024.99999999998</v>
      </c>
      <c r="AD11" s="124">
        <f>AC11+IS!AD21-CF!AD10</f>
        <v>3024.99999999998</v>
      </c>
      <c r="AE11" s="124">
        <f>AD11+IS!AE21-CF!AE10</f>
        <v>3024.99999999998</v>
      </c>
      <c r="AF11" s="124">
        <f>AE11+IS!AF21-CF!AF10</f>
        <v>3024.99999999998</v>
      </c>
      <c r="AG11" s="124">
        <f>AF11+IS!AG21-CF!AG10</f>
        <v>3024.99999999998</v>
      </c>
      <c r="AH11" s="124">
        <f>AG11+IS!AH21-CF!AH10</f>
        <v>3799.3999999999814</v>
      </c>
      <c r="AI11" s="124">
        <f>AH11+IS!AI21-CF!AI10</f>
        <v>3992.9999999999818</v>
      </c>
      <c r="AJ11" s="124">
        <f>AI11+IS!AJ21-CF!AJ10</f>
        <v>3992.99999999998</v>
      </c>
      <c r="AK11" s="124">
        <f>AJ11+IS!AK21-CF!AK10</f>
        <v>3992.99999999998</v>
      </c>
      <c r="AL11" s="124">
        <f>AK11+IS!AL21-CF!AL10</f>
        <v>3992.99999999998</v>
      </c>
      <c r="AM11" s="124">
        <f>AL11+IS!AM21-CF!AM10</f>
        <v>3992.99999999998</v>
      </c>
      <c r="AN11" s="124">
        <f>AM11+IS!AN21-CF!AN10</f>
        <v>3992.99999999998</v>
      </c>
      <c r="AO11" s="124">
        <f>AN11+IS!AO21-CF!AO10</f>
        <v>3992.99999999998</v>
      </c>
      <c r="AP11" s="124">
        <f>AO11+IS!AP21-CF!AP10</f>
        <v>3992.99999999998</v>
      </c>
      <c r="AQ11" s="124">
        <f>AP11+IS!AQ21-CF!AQ10</f>
        <v>3992.99999999998</v>
      </c>
      <c r="AR11" s="124">
        <f>AQ11+IS!AR21-CF!AR10</f>
        <v>3992.99999999998</v>
      </c>
      <c r="AS11" s="124">
        <f>AR11+IS!AS21-CF!AS10</f>
        <v>3992.99999999998</v>
      </c>
      <c r="AT11" s="124">
        <f>AS11+IS!AT21-CF!AT10</f>
        <v>5015.2079999999805</v>
      </c>
      <c r="AU11" s="124">
        <f>AT11+IS!AU21-CF!AU10</f>
        <v>5270.7599999999802</v>
      </c>
      <c r="AV11" s="124">
        <f>AU11+IS!AV21-CF!AV10</f>
        <v>5270.7599999999766</v>
      </c>
      <c r="AW11" s="124">
        <f>AV11+IS!AW21-CF!AW10</f>
        <v>5270.7599999999729</v>
      </c>
      <c r="AX11" s="124">
        <f>AW11+IS!AX21-CF!AX10</f>
        <v>5270.7599999999693</v>
      </c>
      <c r="AY11" s="124">
        <f>AX11+IS!AY21-CF!AY10</f>
        <v>5270.7599999999657</v>
      </c>
      <c r="AZ11" s="124">
        <f>AY11+IS!AZ21-CF!AZ10</f>
        <v>5270.759999999962</v>
      </c>
      <c r="BA11" s="124">
        <f>AZ11+IS!BA21-CF!BA10</f>
        <v>5270.7599999999584</v>
      </c>
      <c r="BB11" s="124">
        <f>BA11+IS!BB21-CF!BB10</f>
        <v>5270.7599999999547</v>
      </c>
      <c r="BC11" s="124">
        <f>BB11+IS!BC21-CF!BC10</f>
        <v>5270.7599999999511</v>
      </c>
      <c r="BD11" s="124">
        <f>BC11+IS!BD21-CF!BD10</f>
        <v>5270.7599999999475</v>
      </c>
      <c r="BE11" s="124">
        <f>BD11+IS!BE21-CF!BE10</f>
        <v>5270.7599999999438</v>
      </c>
      <c r="BF11" s="124">
        <f>BE11+IS!BF21-CF!BF10</f>
        <v>6620.0745599999391</v>
      </c>
      <c r="BG11" s="124">
        <f>BF11+IS!BG21-CF!BG10</f>
        <v>6957.4031999999388</v>
      </c>
      <c r="BH11" s="124">
        <f>BG11+IS!BH21-CF!BH10</f>
        <v>6957.4031999999315</v>
      </c>
      <c r="BI11" s="124">
        <f>BH11+IS!BI21-CF!BI10</f>
        <v>6957.4031999999315</v>
      </c>
      <c r="BJ11" s="124">
        <f>BI11+IS!BJ21-CF!BJ10</f>
        <v>6957.4031999999315</v>
      </c>
      <c r="BK11" s="124">
        <f>BJ11+IS!BK21-CF!BK10</f>
        <v>6957.4031999999315</v>
      </c>
      <c r="BL11" s="124">
        <f>BK11+IS!BL21-CF!BL10</f>
        <v>6957.4031999999315</v>
      </c>
      <c r="BM11" s="124">
        <f>BL11+IS!BM21-CF!BM10</f>
        <v>6957.4031999999315</v>
      </c>
      <c r="BN11" s="124">
        <f>BM11+IS!BN21-CF!BN10</f>
        <v>6957.4031999999315</v>
      </c>
      <c r="BO11" s="124">
        <f>BN11+IS!BO21-CF!BO10</f>
        <v>6957.4031999999315</v>
      </c>
      <c r="BP11" s="124">
        <f>BO11+IS!BP21-CF!BP10</f>
        <v>6957.4031999999315</v>
      </c>
      <c r="BQ11" s="124">
        <f>BP11+IS!BQ21-CF!BQ10</f>
        <v>6957.4031999999315</v>
      </c>
    </row>
    <row r="12" spans="1:69" ht="10.199999999999999">
      <c r="D12" s="139" t="s">
        <v>70</v>
      </c>
      <c r="J12" s="124">
        <f>-Capital!J10</f>
        <v>125</v>
      </c>
      <c r="K12" s="124">
        <f>-Capital!K10</f>
        <v>397.72727272727275</v>
      </c>
      <c r="L12" s="124">
        <f>-Capital!L10</f>
        <v>607.72727272727275</v>
      </c>
      <c r="M12" s="124">
        <f>-Capital!M10</f>
        <v>607.72727272727275</v>
      </c>
      <c r="N12" s="124">
        <f>-Capital!N10</f>
        <v>607.72727272727275</v>
      </c>
      <c r="O12" s="124">
        <f>-Capital!O10</f>
        <v>607.72727272727275</v>
      </c>
      <c r="P12" s="124">
        <f>-Capital!P10</f>
        <v>607.72727272727275</v>
      </c>
      <c r="Q12" s="124">
        <f>-Capital!Q10</f>
        <v>607.72727272727275</v>
      </c>
      <c r="R12" s="124">
        <f>-Capital!R10</f>
        <v>607.72727272727275</v>
      </c>
      <c r="S12" s="124">
        <f>-Capital!S10</f>
        <v>607.72727272727275</v>
      </c>
      <c r="T12" s="124">
        <f>-Capital!T10</f>
        <v>607.72727272727275</v>
      </c>
      <c r="U12" s="124">
        <f>-Capital!U10</f>
        <v>607.72727272727275</v>
      </c>
      <c r="V12" s="124">
        <f>-Capital!V10</f>
        <v>726</v>
      </c>
      <c r="W12" s="124">
        <f>-Capital!W10</f>
        <v>726</v>
      </c>
      <c r="X12" s="124">
        <f>-Capital!X10</f>
        <v>726</v>
      </c>
      <c r="Y12" s="124">
        <f>-Capital!Y10</f>
        <v>726</v>
      </c>
      <c r="Z12" s="124">
        <f>-Capital!Z10</f>
        <v>726</v>
      </c>
      <c r="AA12" s="124">
        <f>-Capital!AA10</f>
        <v>726</v>
      </c>
      <c r="AB12" s="124">
        <f>-Capital!AB10</f>
        <v>726</v>
      </c>
      <c r="AC12" s="124">
        <f>-Capital!AC10</f>
        <v>726</v>
      </c>
      <c r="AD12" s="124">
        <f>-Capital!AD10</f>
        <v>726</v>
      </c>
      <c r="AE12" s="124">
        <f>-Capital!AE10</f>
        <v>726</v>
      </c>
      <c r="AF12" s="124">
        <f>-Capital!AF10</f>
        <v>726</v>
      </c>
      <c r="AG12" s="124">
        <f>-Capital!AG10</f>
        <v>726</v>
      </c>
      <c r="AH12" s="124">
        <f>-Capital!AH10</f>
        <v>958.32000000000028</v>
      </c>
      <c r="AI12" s="124">
        <f>-Capital!AI10</f>
        <v>958.32000000000028</v>
      </c>
      <c r="AJ12" s="124">
        <f>-Capital!AJ10</f>
        <v>958.32000000000028</v>
      </c>
      <c r="AK12" s="124">
        <f>-Capital!AK10</f>
        <v>958.32000000000028</v>
      </c>
      <c r="AL12" s="124">
        <f>-Capital!AL10</f>
        <v>958.32000000000028</v>
      </c>
      <c r="AM12" s="124">
        <f>-Capital!AM10</f>
        <v>958.32000000000028</v>
      </c>
      <c r="AN12" s="124">
        <f>-Capital!AN10</f>
        <v>958.32000000000028</v>
      </c>
      <c r="AO12" s="124">
        <f>-Capital!AO10</f>
        <v>958.32000000000028</v>
      </c>
      <c r="AP12" s="124">
        <f>-Capital!AP10</f>
        <v>958.32000000000028</v>
      </c>
      <c r="AQ12" s="124">
        <f>-Capital!AQ10</f>
        <v>958.32000000000028</v>
      </c>
      <c r="AR12" s="124">
        <f>-Capital!AR10</f>
        <v>958.32000000000028</v>
      </c>
      <c r="AS12" s="124">
        <f>-Capital!AS10</f>
        <v>958.32000000000028</v>
      </c>
      <c r="AT12" s="124">
        <f>-Capital!AT10</f>
        <v>1264.9824000000006</v>
      </c>
      <c r="AU12" s="124">
        <f>-Capital!AU10</f>
        <v>1264.9824000000006</v>
      </c>
      <c r="AV12" s="124">
        <f>-Capital!AV10</f>
        <v>1264.9824000000006</v>
      </c>
      <c r="AW12" s="124">
        <f>-Capital!AW10</f>
        <v>1264.9824000000006</v>
      </c>
      <c r="AX12" s="124">
        <f>-Capital!AX10</f>
        <v>1264.9824000000006</v>
      </c>
      <c r="AY12" s="124">
        <f>-Capital!AY10</f>
        <v>1264.9824000000006</v>
      </c>
      <c r="AZ12" s="124">
        <f>-Capital!AZ10</f>
        <v>1264.9824000000006</v>
      </c>
      <c r="BA12" s="124">
        <f>-Capital!BA10</f>
        <v>1264.9824000000006</v>
      </c>
      <c r="BB12" s="124">
        <f>-Capital!BB10</f>
        <v>1264.9824000000006</v>
      </c>
      <c r="BC12" s="124">
        <f>-Capital!BC10</f>
        <v>1264.9824000000006</v>
      </c>
      <c r="BD12" s="124">
        <f>-Capital!BD10</f>
        <v>1264.9824000000006</v>
      </c>
      <c r="BE12" s="124">
        <f>-Capital!BE10</f>
        <v>1264.9824000000006</v>
      </c>
      <c r="BF12" s="124">
        <f>-Capital!BF10</f>
        <v>1669.7767680000006</v>
      </c>
      <c r="BG12" s="124">
        <f>-Capital!BG10</f>
        <v>1669.7767680000006</v>
      </c>
      <c r="BH12" s="124">
        <f>-Capital!BH10</f>
        <v>1669.7767680000006</v>
      </c>
      <c r="BI12" s="124">
        <f>-Capital!BI10</f>
        <v>1669.7767680000006</v>
      </c>
      <c r="BJ12" s="124">
        <f>-Capital!BJ10</f>
        <v>1669.7767680000006</v>
      </c>
      <c r="BK12" s="124">
        <f>-Capital!BK10</f>
        <v>1669.7767680000006</v>
      </c>
      <c r="BL12" s="124">
        <f>-Capital!BL10</f>
        <v>1669.7767680000006</v>
      </c>
      <c r="BM12" s="124">
        <f>-Capital!BM10</f>
        <v>1669.7767680000006</v>
      </c>
      <c r="BN12" s="124">
        <f>-Capital!BN10</f>
        <v>1669.7767680000006</v>
      </c>
      <c r="BO12" s="124">
        <f>-Capital!BO10</f>
        <v>1669.7767680000006</v>
      </c>
      <c r="BP12" s="124">
        <f>-Capital!BP10</f>
        <v>1669.7767680000006</v>
      </c>
      <c r="BQ12" s="124">
        <f>-Capital!BQ10</f>
        <v>1669.7767680000006</v>
      </c>
    </row>
    <row r="13" spans="1:69" ht="10.199999999999999">
      <c r="D13" s="140" t="s">
        <v>44</v>
      </c>
      <c r="J13" s="126">
        <f>SUM(J10:J12)</f>
        <v>199662.5</v>
      </c>
      <c r="K13" s="126">
        <f t="shared" ref="K13:BQ13" si="2">SUM(K10:K12)</f>
        <v>152271.9696969697</v>
      </c>
      <c r="L13" s="126">
        <f t="shared" si="2"/>
        <v>106319.07575757577</v>
      </c>
      <c r="M13" s="126">
        <f t="shared" si="2"/>
        <v>109872.27272727275</v>
      </c>
      <c r="N13" s="126">
        <f t="shared" si="2"/>
        <v>113509.46969696973</v>
      </c>
      <c r="O13" s="126">
        <f t="shared" si="2"/>
        <v>117146.6666666667</v>
      </c>
      <c r="P13" s="126">
        <f t="shared" si="2"/>
        <v>120783.86363636368</v>
      </c>
      <c r="Q13" s="126">
        <f t="shared" si="2"/>
        <v>124421.06060606065</v>
      </c>
      <c r="R13" s="126">
        <f t="shared" si="2"/>
        <v>128058.25757575761</v>
      </c>
      <c r="S13" s="126">
        <f t="shared" si="2"/>
        <v>131695.45454545459</v>
      </c>
      <c r="T13" s="126">
        <f t="shared" si="2"/>
        <v>135332.65151515155</v>
      </c>
      <c r="U13" s="126">
        <f t="shared" si="2"/>
        <v>128969.84848484854</v>
      </c>
      <c r="V13" s="126">
        <f t="shared" si="2"/>
        <v>83957.559090909141</v>
      </c>
      <c r="W13" s="126">
        <f t="shared" si="2"/>
        <v>88590.500000000058</v>
      </c>
      <c r="X13" s="126">
        <f t="shared" si="2"/>
        <v>93270.750000000058</v>
      </c>
      <c r="Y13" s="126">
        <f t="shared" si="2"/>
        <v>97951.000000000058</v>
      </c>
      <c r="Z13" s="126">
        <f t="shared" si="2"/>
        <v>102631.25000000006</v>
      </c>
      <c r="AA13" s="126">
        <f t="shared" si="2"/>
        <v>107311.50000000006</v>
      </c>
      <c r="AB13" s="126">
        <f t="shared" si="2"/>
        <v>111991.75000000006</v>
      </c>
      <c r="AC13" s="126">
        <f t="shared" si="2"/>
        <v>116672.00000000006</v>
      </c>
      <c r="AD13" s="126">
        <f t="shared" si="2"/>
        <v>121352.25000000006</v>
      </c>
      <c r="AE13" s="126">
        <f t="shared" si="2"/>
        <v>126032.50000000006</v>
      </c>
      <c r="AF13" s="126">
        <f t="shared" si="2"/>
        <v>130712.75000000006</v>
      </c>
      <c r="AG13" s="126">
        <f t="shared" si="2"/>
        <v>135393.00000000003</v>
      </c>
      <c r="AH13" s="126">
        <f t="shared" si="2"/>
        <v>142684.45800000007</v>
      </c>
      <c r="AI13" s="126">
        <f t="shared" si="2"/>
        <v>149292.06000000006</v>
      </c>
      <c r="AJ13" s="126">
        <f t="shared" si="2"/>
        <v>155992.59000000005</v>
      </c>
      <c r="AK13" s="126">
        <f t="shared" si="2"/>
        <v>162693.12000000005</v>
      </c>
      <c r="AL13" s="126">
        <f t="shared" si="2"/>
        <v>169393.65000000005</v>
      </c>
      <c r="AM13" s="126">
        <f t="shared" si="2"/>
        <v>176094.18000000005</v>
      </c>
      <c r="AN13" s="126">
        <f t="shared" si="2"/>
        <v>182794.71000000005</v>
      </c>
      <c r="AO13" s="126">
        <f t="shared" si="2"/>
        <v>189495.24000000005</v>
      </c>
      <c r="AP13" s="126">
        <f t="shared" si="2"/>
        <v>196195.77000000005</v>
      </c>
      <c r="AQ13" s="126">
        <f t="shared" si="2"/>
        <v>202896.30000000005</v>
      </c>
      <c r="AR13" s="126">
        <f t="shared" si="2"/>
        <v>209596.83000000005</v>
      </c>
      <c r="AS13" s="126">
        <f t="shared" si="2"/>
        <v>216297.36000000004</v>
      </c>
      <c r="AT13" s="126">
        <f t="shared" si="2"/>
        <v>226473.03456000006</v>
      </c>
      <c r="AU13" s="126">
        <f t="shared" si="2"/>
        <v>235749.79920000007</v>
      </c>
      <c r="AV13" s="126">
        <f t="shared" si="2"/>
        <v>245149.22880000007</v>
      </c>
      <c r="AW13" s="126">
        <f t="shared" si="2"/>
        <v>254548.65840000007</v>
      </c>
      <c r="AX13" s="126">
        <f t="shared" si="2"/>
        <v>263948.08800000005</v>
      </c>
      <c r="AY13" s="126">
        <f t="shared" si="2"/>
        <v>273347.51760000002</v>
      </c>
      <c r="AZ13" s="126">
        <f t="shared" si="2"/>
        <v>282746.94720000005</v>
      </c>
      <c r="BA13" s="126">
        <f t="shared" si="2"/>
        <v>292146.37680000009</v>
      </c>
      <c r="BB13" s="126">
        <f t="shared" si="2"/>
        <v>301545.80640000012</v>
      </c>
      <c r="BC13" s="126">
        <f t="shared" si="2"/>
        <v>310945.23600000015</v>
      </c>
      <c r="BD13" s="126">
        <f t="shared" si="2"/>
        <v>320344.66560000018</v>
      </c>
      <c r="BE13" s="126">
        <f t="shared" si="2"/>
        <v>329744.09520000021</v>
      </c>
      <c r="BF13" s="126">
        <f t="shared" si="2"/>
        <v>343760.48311920022</v>
      </c>
      <c r="BG13" s="126">
        <f t="shared" si="2"/>
        <v>356594.27894400025</v>
      </c>
      <c r="BH13" s="126">
        <f t="shared" si="2"/>
        <v>369589.99251600029</v>
      </c>
      <c r="BI13" s="126">
        <f t="shared" si="2"/>
        <v>478096.21345424862</v>
      </c>
      <c r="BJ13" s="126">
        <f t="shared" si="2"/>
        <v>486597.70794337144</v>
      </c>
      <c r="BK13" s="126">
        <f t="shared" si="2"/>
        <v>495094.43659629271</v>
      </c>
      <c r="BL13" s="126">
        <f t="shared" si="2"/>
        <v>503586.35969771072</v>
      </c>
      <c r="BM13" s="126">
        <f t="shared" si="2"/>
        <v>512073.43720136298</v>
      </c>
      <c r="BN13" s="126">
        <f t="shared" si="2"/>
        <v>520555.62872726808</v>
      </c>
      <c r="BO13" s="126">
        <f t="shared" si="2"/>
        <v>529032.89355894481</v>
      </c>
      <c r="BP13" s="126">
        <f t="shared" si="2"/>
        <v>537505.19064060785</v>
      </c>
      <c r="BQ13" s="126">
        <f t="shared" si="2"/>
        <v>545972.47857434058</v>
      </c>
    </row>
    <row r="14" spans="1:69" ht="10.199999999999999">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row>
    <row r="15" spans="1:69" ht="11.4">
      <c r="C15" s="128" t="s">
        <v>10</v>
      </c>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row>
    <row r="16" spans="1:69" ht="10.199999999999999">
      <c r="D16" s="139" t="s">
        <v>11</v>
      </c>
      <c r="J16" s="124">
        <f>CAPEX!J17+CAPEX!J27+CAPEX!J37</f>
        <v>49166.666666666664</v>
      </c>
      <c r="K16" s="124">
        <f>CAPEX!K17+CAPEX!K27+CAPEX!K37</f>
        <v>97499.999999999985</v>
      </c>
      <c r="L16" s="124">
        <f>CAPEX!L17+CAPEX!L27+CAPEX!L37</f>
        <v>145000</v>
      </c>
      <c r="M16" s="124">
        <f>CAPEX!M17+CAPEX!M27+CAPEX!M37</f>
        <v>142500</v>
      </c>
      <c r="N16" s="124">
        <f>CAPEX!N17+CAPEX!N27+CAPEX!N37</f>
        <v>140000</v>
      </c>
      <c r="O16" s="124">
        <f>CAPEX!O17+CAPEX!O27+CAPEX!O37</f>
        <v>137500</v>
      </c>
      <c r="P16" s="124">
        <f>CAPEX!P17+CAPEX!P27+CAPEX!P37</f>
        <v>135000</v>
      </c>
      <c r="Q16" s="124">
        <f>CAPEX!Q17+CAPEX!Q27+CAPEX!Q37</f>
        <v>132500</v>
      </c>
      <c r="R16" s="124">
        <f>CAPEX!R17+CAPEX!R27+CAPEX!R37</f>
        <v>130000</v>
      </c>
      <c r="S16" s="124">
        <f>CAPEX!S17+CAPEX!S27+CAPEX!S37</f>
        <v>127500</v>
      </c>
      <c r="T16" s="124">
        <f>CAPEX!T17+CAPEX!T27+CAPEX!T37</f>
        <v>125000</v>
      </c>
      <c r="U16" s="124">
        <f>CAPEX!U17+CAPEX!U27+CAPEX!U37</f>
        <v>122500</v>
      </c>
      <c r="V16" s="124">
        <f>CAPEX!V17+CAPEX!V27+CAPEX!V37</f>
        <v>120000</v>
      </c>
      <c r="W16" s="124">
        <f>CAPEX!W17+CAPEX!W27+CAPEX!W37</f>
        <v>117500</v>
      </c>
      <c r="X16" s="124">
        <f>CAPEX!X17+CAPEX!X27+CAPEX!X37</f>
        <v>115000</v>
      </c>
      <c r="Y16" s="124">
        <f>CAPEX!Y17+CAPEX!Y27+CAPEX!Y37</f>
        <v>112500</v>
      </c>
      <c r="Z16" s="124">
        <f>CAPEX!Z17+CAPEX!Z27+CAPEX!Z37</f>
        <v>110000</v>
      </c>
      <c r="AA16" s="124">
        <f>CAPEX!AA17+CAPEX!AA27+CAPEX!AA37</f>
        <v>107500</v>
      </c>
      <c r="AB16" s="124">
        <f>CAPEX!AB17+CAPEX!AB27+CAPEX!AB37</f>
        <v>105000</v>
      </c>
      <c r="AC16" s="124">
        <f>CAPEX!AC17+CAPEX!AC27+CAPEX!AC37</f>
        <v>102500</v>
      </c>
      <c r="AD16" s="124">
        <f>CAPEX!AD17+CAPEX!AD27+CAPEX!AD37</f>
        <v>100000</v>
      </c>
      <c r="AE16" s="124">
        <f>CAPEX!AE17+CAPEX!AE27+CAPEX!AE37</f>
        <v>97500</v>
      </c>
      <c r="AF16" s="124">
        <f>CAPEX!AF17+CAPEX!AF27+CAPEX!AF37</f>
        <v>95000</v>
      </c>
      <c r="AG16" s="124">
        <f>CAPEX!AG17+CAPEX!AG27+CAPEX!AG37</f>
        <v>92500</v>
      </c>
      <c r="AH16" s="124">
        <f>CAPEX!AH17+CAPEX!AH27+CAPEX!AH37</f>
        <v>90000</v>
      </c>
      <c r="AI16" s="124">
        <f>CAPEX!AI17+CAPEX!AI27+CAPEX!AI37</f>
        <v>87500</v>
      </c>
      <c r="AJ16" s="124">
        <f>CAPEX!AJ17+CAPEX!AJ27+CAPEX!AJ37</f>
        <v>85000</v>
      </c>
      <c r="AK16" s="124">
        <f>CAPEX!AK17+CAPEX!AK27+CAPEX!AK37</f>
        <v>82500</v>
      </c>
      <c r="AL16" s="124">
        <f>CAPEX!AL17+CAPEX!AL27+CAPEX!AL37</f>
        <v>80000</v>
      </c>
      <c r="AM16" s="124">
        <f>CAPEX!AM17+CAPEX!AM27+CAPEX!AM37</f>
        <v>77500</v>
      </c>
      <c r="AN16" s="124">
        <f>CAPEX!AN17+CAPEX!AN27+CAPEX!AN37</f>
        <v>75000</v>
      </c>
      <c r="AO16" s="124">
        <f>CAPEX!AO17+CAPEX!AO27+CAPEX!AO37</f>
        <v>72500</v>
      </c>
      <c r="AP16" s="124">
        <f>CAPEX!AP17+CAPEX!AP27+CAPEX!AP37</f>
        <v>70000</v>
      </c>
      <c r="AQ16" s="124">
        <f>CAPEX!AQ17+CAPEX!AQ27+CAPEX!AQ37</f>
        <v>67500</v>
      </c>
      <c r="AR16" s="124">
        <f>CAPEX!AR17+CAPEX!AR27+CAPEX!AR37</f>
        <v>65000</v>
      </c>
      <c r="AS16" s="124">
        <f>CAPEX!AS17+CAPEX!AS27+CAPEX!AS37</f>
        <v>62500</v>
      </c>
      <c r="AT16" s="124">
        <f>CAPEX!AT17+CAPEX!AT27+CAPEX!AT37</f>
        <v>60000</v>
      </c>
      <c r="AU16" s="124">
        <f>CAPEX!AU17+CAPEX!AU27+CAPEX!AU37</f>
        <v>57500</v>
      </c>
      <c r="AV16" s="124">
        <f>CAPEX!AV17+CAPEX!AV27+CAPEX!AV37</f>
        <v>55000</v>
      </c>
      <c r="AW16" s="124">
        <f>CAPEX!AW17+CAPEX!AW27+CAPEX!AW37</f>
        <v>52500</v>
      </c>
      <c r="AX16" s="124">
        <f>CAPEX!AX17+CAPEX!AX27+CAPEX!AX37</f>
        <v>50000</v>
      </c>
      <c r="AY16" s="124">
        <f>CAPEX!AY17+CAPEX!AY27+CAPEX!AY37</f>
        <v>47500</v>
      </c>
      <c r="AZ16" s="124">
        <f>CAPEX!AZ17+CAPEX!AZ27+CAPEX!AZ37</f>
        <v>45000</v>
      </c>
      <c r="BA16" s="124">
        <f>CAPEX!BA17+CAPEX!BA27+CAPEX!BA37</f>
        <v>42500</v>
      </c>
      <c r="BB16" s="124">
        <f>CAPEX!BB17+CAPEX!BB27+CAPEX!BB37</f>
        <v>40000</v>
      </c>
      <c r="BC16" s="124">
        <f>CAPEX!BC17+CAPEX!BC27+CAPEX!BC37</f>
        <v>37500</v>
      </c>
      <c r="BD16" s="124">
        <f>CAPEX!BD17+CAPEX!BD27+CAPEX!BD37</f>
        <v>35000</v>
      </c>
      <c r="BE16" s="124">
        <f>CAPEX!BE17+CAPEX!BE27+CAPEX!BE37</f>
        <v>32500</v>
      </c>
      <c r="BF16" s="124">
        <f>CAPEX!BF17+CAPEX!BF27+CAPEX!BF37</f>
        <v>30000</v>
      </c>
      <c r="BG16" s="124">
        <f>CAPEX!BG17+CAPEX!BG27+CAPEX!BG37</f>
        <v>27500</v>
      </c>
      <c r="BH16" s="124">
        <f>CAPEX!BH17+CAPEX!BH27+CAPEX!BH37</f>
        <v>25000</v>
      </c>
      <c r="BI16" s="124">
        <f>CAPEX!BI17+CAPEX!BI27+CAPEX!BI37</f>
        <v>22500</v>
      </c>
      <c r="BJ16" s="124">
        <f>CAPEX!BJ17+CAPEX!BJ27+CAPEX!BJ37</f>
        <v>20000</v>
      </c>
      <c r="BK16" s="124">
        <f>CAPEX!BK17+CAPEX!BK27+CAPEX!BK37</f>
        <v>17500</v>
      </c>
      <c r="BL16" s="124">
        <f>CAPEX!BL17+CAPEX!BL27+CAPEX!BL37</f>
        <v>15000</v>
      </c>
      <c r="BM16" s="124">
        <f>CAPEX!BM17+CAPEX!BM27+CAPEX!BM37</f>
        <v>12500</v>
      </c>
      <c r="BN16" s="124">
        <f>CAPEX!BN17+CAPEX!BN27+CAPEX!BN37</f>
        <v>10000</v>
      </c>
      <c r="BO16" s="124">
        <f>CAPEX!BO17+CAPEX!BO27+CAPEX!BO37</f>
        <v>7500</v>
      </c>
      <c r="BP16" s="124">
        <f>CAPEX!BP17+CAPEX!BP27+CAPEX!BP37</f>
        <v>5000</v>
      </c>
      <c r="BQ16" s="124">
        <f>CAPEX!BQ17+CAPEX!BQ27+CAPEX!BQ37</f>
        <v>2500</v>
      </c>
    </row>
    <row r="17" spans="3:69" ht="10.199999999999999">
      <c r="D17" s="140" t="str">
        <f>"Total "&amp;C15</f>
        <v>Total Non-Current Assets</v>
      </c>
      <c r="J17" s="126">
        <f t="shared" ref="J17:AO17" si="3">J16</f>
        <v>49166.666666666664</v>
      </c>
      <c r="K17" s="126">
        <f t="shared" si="3"/>
        <v>97499.999999999985</v>
      </c>
      <c r="L17" s="126">
        <f t="shared" si="3"/>
        <v>145000</v>
      </c>
      <c r="M17" s="126">
        <f t="shared" si="3"/>
        <v>142500</v>
      </c>
      <c r="N17" s="126">
        <f t="shared" si="3"/>
        <v>140000</v>
      </c>
      <c r="O17" s="126">
        <f t="shared" si="3"/>
        <v>137500</v>
      </c>
      <c r="P17" s="126">
        <f t="shared" si="3"/>
        <v>135000</v>
      </c>
      <c r="Q17" s="126">
        <f t="shared" si="3"/>
        <v>132500</v>
      </c>
      <c r="R17" s="126">
        <f t="shared" si="3"/>
        <v>130000</v>
      </c>
      <c r="S17" s="126">
        <f t="shared" si="3"/>
        <v>127500</v>
      </c>
      <c r="T17" s="126">
        <f t="shared" si="3"/>
        <v>125000</v>
      </c>
      <c r="U17" s="126">
        <f t="shared" si="3"/>
        <v>122500</v>
      </c>
      <c r="V17" s="126">
        <f t="shared" si="3"/>
        <v>120000</v>
      </c>
      <c r="W17" s="126">
        <f t="shared" si="3"/>
        <v>117500</v>
      </c>
      <c r="X17" s="126">
        <f t="shared" si="3"/>
        <v>115000</v>
      </c>
      <c r="Y17" s="126">
        <f t="shared" si="3"/>
        <v>112500</v>
      </c>
      <c r="Z17" s="126">
        <f t="shared" si="3"/>
        <v>110000</v>
      </c>
      <c r="AA17" s="126">
        <f t="shared" si="3"/>
        <v>107500</v>
      </c>
      <c r="AB17" s="126">
        <f t="shared" si="3"/>
        <v>105000</v>
      </c>
      <c r="AC17" s="126">
        <f t="shared" si="3"/>
        <v>102500</v>
      </c>
      <c r="AD17" s="126">
        <f t="shared" si="3"/>
        <v>100000</v>
      </c>
      <c r="AE17" s="126">
        <f t="shared" si="3"/>
        <v>97500</v>
      </c>
      <c r="AF17" s="126">
        <f t="shared" si="3"/>
        <v>95000</v>
      </c>
      <c r="AG17" s="126">
        <f t="shared" si="3"/>
        <v>92500</v>
      </c>
      <c r="AH17" s="126">
        <f t="shared" si="3"/>
        <v>90000</v>
      </c>
      <c r="AI17" s="126">
        <f t="shared" si="3"/>
        <v>87500</v>
      </c>
      <c r="AJ17" s="126">
        <f t="shared" si="3"/>
        <v>85000</v>
      </c>
      <c r="AK17" s="126">
        <f t="shared" si="3"/>
        <v>82500</v>
      </c>
      <c r="AL17" s="126">
        <f t="shared" si="3"/>
        <v>80000</v>
      </c>
      <c r="AM17" s="126">
        <f t="shared" si="3"/>
        <v>77500</v>
      </c>
      <c r="AN17" s="126">
        <f t="shared" si="3"/>
        <v>75000</v>
      </c>
      <c r="AO17" s="126">
        <f t="shared" si="3"/>
        <v>72500</v>
      </c>
      <c r="AP17" s="126">
        <f t="shared" ref="AP17:BQ17" si="4">AP16</f>
        <v>70000</v>
      </c>
      <c r="AQ17" s="126">
        <f t="shared" si="4"/>
        <v>67500</v>
      </c>
      <c r="AR17" s="126">
        <f t="shared" si="4"/>
        <v>65000</v>
      </c>
      <c r="AS17" s="126">
        <f t="shared" si="4"/>
        <v>62500</v>
      </c>
      <c r="AT17" s="126">
        <f t="shared" si="4"/>
        <v>60000</v>
      </c>
      <c r="AU17" s="126">
        <f t="shared" si="4"/>
        <v>57500</v>
      </c>
      <c r="AV17" s="126">
        <f t="shared" si="4"/>
        <v>55000</v>
      </c>
      <c r="AW17" s="126">
        <f t="shared" si="4"/>
        <v>52500</v>
      </c>
      <c r="AX17" s="126">
        <f t="shared" si="4"/>
        <v>50000</v>
      </c>
      <c r="AY17" s="126">
        <f t="shared" si="4"/>
        <v>47500</v>
      </c>
      <c r="AZ17" s="126">
        <f t="shared" si="4"/>
        <v>45000</v>
      </c>
      <c r="BA17" s="126">
        <f t="shared" si="4"/>
        <v>42500</v>
      </c>
      <c r="BB17" s="126">
        <f t="shared" si="4"/>
        <v>40000</v>
      </c>
      <c r="BC17" s="126">
        <f t="shared" si="4"/>
        <v>37500</v>
      </c>
      <c r="BD17" s="126">
        <f t="shared" si="4"/>
        <v>35000</v>
      </c>
      <c r="BE17" s="126">
        <f t="shared" si="4"/>
        <v>32500</v>
      </c>
      <c r="BF17" s="126">
        <f t="shared" si="4"/>
        <v>30000</v>
      </c>
      <c r="BG17" s="126">
        <f t="shared" si="4"/>
        <v>27500</v>
      </c>
      <c r="BH17" s="126">
        <f t="shared" si="4"/>
        <v>25000</v>
      </c>
      <c r="BI17" s="126">
        <f t="shared" si="4"/>
        <v>22500</v>
      </c>
      <c r="BJ17" s="126">
        <f t="shared" si="4"/>
        <v>20000</v>
      </c>
      <c r="BK17" s="126">
        <f t="shared" si="4"/>
        <v>17500</v>
      </c>
      <c r="BL17" s="126">
        <f t="shared" si="4"/>
        <v>15000</v>
      </c>
      <c r="BM17" s="126">
        <f t="shared" si="4"/>
        <v>12500</v>
      </c>
      <c r="BN17" s="126">
        <f t="shared" si="4"/>
        <v>10000</v>
      </c>
      <c r="BO17" s="126">
        <f t="shared" si="4"/>
        <v>7500</v>
      </c>
      <c r="BP17" s="126">
        <f t="shared" si="4"/>
        <v>5000</v>
      </c>
      <c r="BQ17" s="126">
        <f t="shared" si="4"/>
        <v>2500</v>
      </c>
    </row>
    <row r="18" spans="3:69" ht="10.8" thickBot="1">
      <c r="J18" s="137"/>
      <c r="K18" s="137"/>
      <c r="L18" s="137"/>
      <c r="M18" s="137"/>
      <c r="N18" s="137"/>
      <c r="O18" s="137"/>
      <c r="P18" s="137"/>
      <c r="Q18" s="137"/>
      <c r="R18" s="137"/>
      <c r="S18" s="137"/>
      <c r="T18" s="137"/>
      <c r="U18" s="137"/>
      <c r="V18" s="137"/>
      <c r="W18" s="137"/>
      <c r="X18" s="137"/>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137"/>
      <c r="AW18" s="137"/>
      <c r="AX18" s="137"/>
      <c r="AY18" s="137"/>
      <c r="AZ18" s="137"/>
      <c r="BA18" s="137"/>
      <c r="BB18" s="137"/>
      <c r="BC18" s="137"/>
      <c r="BD18" s="137"/>
      <c r="BE18" s="137"/>
      <c r="BF18" s="137"/>
      <c r="BG18" s="137"/>
      <c r="BH18" s="137"/>
      <c r="BI18" s="137"/>
      <c r="BJ18" s="137"/>
      <c r="BK18" s="137"/>
      <c r="BL18" s="137"/>
      <c r="BM18" s="137"/>
      <c r="BN18" s="137"/>
      <c r="BO18" s="137"/>
      <c r="BP18" s="137"/>
      <c r="BQ18" s="137"/>
    </row>
    <row r="19" spans="3:69" s="107" customFormat="1" ht="12" thickTop="1">
      <c r="C19" s="138" t="s">
        <v>12</v>
      </c>
      <c r="J19" s="135">
        <f t="shared" ref="J19:AO19" si="5">J13+J17</f>
        <v>248829.16666666666</v>
      </c>
      <c r="K19" s="135">
        <f t="shared" si="5"/>
        <v>249771.96969696967</v>
      </c>
      <c r="L19" s="135">
        <f t="shared" si="5"/>
        <v>251319.07575757577</v>
      </c>
      <c r="M19" s="135">
        <f t="shared" si="5"/>
        <v>252372.27272727276</v>
      </c>
      <c r="N19" s="135">
        <f t="shared" si="5"/>
        <v>253509.46969696973</v>
      </c>
      <c r="O19" s="135">
        <f t="shared" si="5"/>
        <v>254646.66666666669</v>
      </c>
      <c r="P19" s="135">
        <f t="shared" si="5"/>
        <v>255783.86363636368</v>
      </c>
      <c r="Q19" s="135">
        <f t="shared" si="5"/>
        <v>256921.06060606067</v>
      </c>
      <c r="R19" s="135">
        <f t="shared" si="5"/>
        <v>258058.25757575763</v>
      </c>
      <c r="S19" s="135">
        <f t="shared" si="5"/>
        <v>259195.45454545459</v>
      </c>
      <c r="T19" s="135">
        <f t="shared" si="5"/>
        <v>260332.65151515155</v>
      </c>
      <c r="U19" s="135">
        <f t="shared" si="5"/>
        <v>251469.84848484854</v>
      </c>
      <c r="V19" s="135">
        <f t="shared" si="5"/>
        <v>203957.55909090914</v>
      </c>
      <c r="W19" s="135">
        <f t="shared" si="5"/>
        <v>206090.50000000006</v>
      </c>
      <c r="X19" s="135">
        <f t="shared" si="5"/>
        <v>208270.75000000006</v>
      </c>
      <c r="Y19" s="135">
        <f t="shared" si="5"/>
        <v>210451.00000000006</v>
      </c>
      <c r="Z19" s="135">
        <f t="shared" si="5"/>
        <v>212631.25000000006</v>
      </c>
      <c r="AA19" s="135">
        <f t="shared" si="5"/>
        <v>214811.50000000006</v>
      </c>
      <c r="AB19" s="135">
        <f t="shared" si="5"/>
        <v>216991.75000000006</v>
      </c>
      <c r="AC19" s="135">
        <f t="shared" si="5"/>
        <v>219172.00000000006</v>
      </c>
      <c r="AD19" s="135">
        <f t="shared" si="5"/>
        <v>221352.25000000006</v>
      </c>
      <c r="AE19" s="135">
        <f t="shared" si="5"/>
        <v>223532.50000000006</v>
      </c>
      <c r="AF19" s="135">
        <f t="shared" si="5"/>
        <v>225712.75000000006</v>
      </c>
      <c r="AG19" s="135">
        <f t="shared" si="5"/>
        <v>227893.00000000003</v>
      </c>
      <c r="AH19" s="135">
        <f t="shared" si="5"/>
        <v>232684.45800000007</v>
      </c>
      <c r="AI19" s="135">
        <f t="shared" si="5"/>
        <v>236792.06000000006</v>
      </c>
      <c r="AJ19" s="135">
        <f t="shared" si="5"/>
        <v>240992.59000000005</v>
      </c>
      <c r="AK19" s="135">
        <f t="shared" si="5"/>
        <v>245193.12000000005</v>
      </c>
      <c r="AL19" s="135">
        <f t="shared" si="5"/>
        <v>249393.65000000005</v>
      </c>
      <c r="AM19" s="135">
        <f t="shared" si="5"/>
        <v>253594.18000000005</v>
      </c>
      <c r="AN19" s="135">
        <f t="shared" si="5"/>
        <v>257794.71000000005</v>
      </c>
      <c r="AO19" s="135">
        <f t="shared" si="5"/>
        <v>261995.24000000005</v>
      </c>
      <c r="AP19" s="135">
        <f t="shared" ref="AP19:BQ19" si="6">AP13+AP17</f>
        <v>266195.77</v>
      </c>
      <c r="AQ19" s="135">
        <f t="shared" si="6"/>
        <v>270396.30000000005</v>
      </c>
      <c r="AR19" s="135">
        <f t="shared" si="6"/>
        <v>274596.83000000007</v>
      </c>
      <c r="AS19" s="135">
        <f t="shared" si="6"/>
        <v>278797.36000000004</v>
      </c>
      <c r="AT19" s="135">
        <f t="shared" si="6"/>
        <v>286473.03456000006</v>
      </c>
      <c r="AU19" s="135">
        <f t="shared" si="6"/>
        <v>293249.79920000007</v>
      </c>
      <c r="AV19" s="135">
        <f t="shared" si="6"/>
        <v>300149.22880000004</v>
      </c>
      <c r="AW19" s="135">
        <f t="shared" si="6"/>
        <v>307048.65840000007</v>
      </c>
      <c r="AX19" s="135">
        <f t="shared" si="6"/>
        <v>313948.08800000005</v>
      </c>
      <c r="AY19" s="135">
        <f t="shared" si="6"/>
        <v>320847.51760000002</v>
      </c>
      <c r="AZ19" s="135">
        <f t="shared" si="6"/>
        <v>327746.94720000005</v>
      </c>
      <c r="BA19" s="135">
        <f t="shared" si="6"/>
        <v>334646.37680000009</v>
      </c>
      <c r="BB19" s="135">
        <f t="shared" si="6"/>
        <v>341545.80640000012</v>
      </c>
      <c r="BC19" s="135">
        <f t="shared" si="6"/>
        <v>348445.23600000015</v>
      </c>
      <c r="BD19" s="135">
        <f t="shared" si="6"/>
        <v>355344.66560000018</v>
      </c>
      <c r="BE19" s="135">
        <f t="shared" si="6"/>
        <v>362244.09520000021</v>
      </c>
      <c r="BF19" s="135">
        <f t="shared" si="6"/>
        <v>373760.48311920022</v>
      </c>
      <c r="BG19" s="135">
        <f t="shared" si="6"/>
        <v>384094.27894400025</v>
      </c>
      <c r="BH19" s="135">
        <f t="shared" si="6"/>
        <v>394589.99251600029</v>
      </c>
      <c r="BI19" s="135">
        <f t="shared" si="6"/>
        <v>500596.21345424862</v>
      </c>
      <c r="BJ19" s="135">
        <f t="shared" si="6"/>
        <v>506597.70794337144</v>
      </c>
      <c r="BK19" s="135">
        <f t="shared" si="6"/>
        <v>512594.43659629271</v>
      </c>
      <c r="BL19" s="135">
        <f t="shared" si="6"/>
        <v>518586.35969771072</v>
      </c>
      <c r="BM19" s="135">
        <f t="shared" si="6"/>
        <v>524573.43720136303</v>
      </c>
      <c r="BN19" s="135">
        <f t="shared" si="6"/>
        <v>530555.62872726808</v>
      </c>
      <c r="BO19" s="135">
        <f t="shared" si="6"/>
        <v>536532.89355894481</v>
      </c>
      <c r="BP19" s="135">
        <f t="shared" si="6"/>
        <v>542505.19064060785</v>
      </c>
      <c r="BQ19" s="135">
        <f t="shared" si="6"/>
        <v>548472.47857434058</v>
      </c>
    </row>
    <row r="20" spans="3:69" ht="10.199999999999999">
      <c r="J20" s="10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100"/>
      <c r="AW20" s="100"/>
      <c r="AX20" s="100"/>
      <c r="AY20" s="100"/>
      <c r="AZ20" s="100"/>
      <c r="BA20" s="100"/>
      <c r="BB20" s="100"/>
      <c r="BC20" s="100"/>
      <c r="BD20" s="100"/>
      <c r="BE20" s="100"/>
      <c r="BF20" s="100"/>
      <c r="BG20" s="100"/>
      <c r="BH20" s="100"/>
      <c r="BI20" s="100"/>
      <c r="BJ20" s="100"/>
      <c r="BK20" s="100"/>
      <c r="BL20" s="100"/>
      <c r="BM20" s="100"/>
      <c r="BN20" s="100"/>
      <c r="BO20" s="100"/>
      <c r="BP20" s="100"/>
      <c r="BQ20" s="100"/>
    </row>
    <row r="21" spans="3:69" ht="11.4">
      <c r="C21" s="128" t="s">
        <v>13</v>
      </c>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c r="BA21" s="100"/>
      <c r="BB21" s="100"/>
      <c r="BC21" s="100"/>
      <c r="BD21" s="100"/>
      <c r="BE21" s="100"/>
      <c r="BF21" s="100"/>
      <c r="BG21" s="100"/>
      <c r="BH21" s="100"/>
      <c r="BI21" s="100"/>
      <c r="BJ21" s="100"/>
      <c r="BK21" s="100"/>
      <c r="BL21" s="100"/>
      <c r="BM21" s="100"/>
      <c r="BN21" s="100"/>
      <c r="BO21" s="100"/>
      <c r="BP21" s="100"/>
      <c r="BQ21" s="100"/>
    </row>
    <row r="22" spans="3:69" ht="10.199999999999999">
      <c r="D22" s="139" t="s">
        <v>52</v>
      </c>
      <c r="J22" s="124">
        <f>I22-Capital!J12+CF!J11-IS!J69+CF!J12</f>
        <v>579.16666666666652</v>
      </c>
      <c r="K22" s="124">
        <f>J22-Capital!K12+CF!K11-IS!K69+CF!K12</f>
        <v>1206.439393939394</v>
      </c>
      <c r="L22" s="124">
        <f>K22-Capital!L12+CF!L11-IS!L69+CF!L12</f>
        <v>1616.3484848484859</v>
      </c>
      <c r="M22" s="124">
        <f>L22-Capital!M12+CF!M11-IS!M69+CF!M12</f>
        <v>1532.3484848484859</v>
      </c>
      <c r="N22" s="124">
        <f>M22-Capital!N12+CF!N11-IS!N69+CF!N12</f>
        <v>1532.3484848484859</v>
      </c>
      <c r="O22" s="124">
        <f>N22-Capital!O12+CF!O11-IS!O69+CF!O12</f>
        <v>1532.3484848484859</v>
      </c>
      <c r="P22" s="124">
        <f>O22-Capital!P12+CF!P11-IS!P69+CF!P12</f>
        <v>1532.3484848484859</v>
      </c>
      <c r="Q22" s="124">
        <f>P22-Capital!Q12+CF!Q11-IS!Q69+CF!Q12</f>
        <v>1532.3484848484859</v>
      </c>
      <c r="R22" s="124">
        <f>Q22-Capital!R12+CF!R11-IS!R69+CF!R12</f>
        <v>1532.3484848484859</v>
      </c>
      <c r="S22" s="124">
        <f>R22-Capital!S12+CF!S11-IS!S69+CF!S12</f>
        <v>1532.3484848484859</v>
      </c>
      <c r="T22" s="124">
        <f>S22-Capital!T12+CF!T11-IS!T69+CF!T12</f>
        <v>1532.3484848484859</v>
      </c>
      <c r="U22" s="124">
        <f>T22-Capital!U12+CF!U11-IS!U69+CF!U12</f>
        <v>1532.3484848484859</v>
      </c>
      <c r="V22" s="124">
        <f>U22-Capital!V12+CF!V11-IS!V69+CF!V12</f>
        <v>1839.809090909092</v>
      </c>
      <c r="W22" s="124">
        <f>V22-Capital!W12+CF!W11-IS!W69+CF!W12</f>
        <v>1792.5000000000009</v>
      </c>
      <c r="X22" s="124">
        <f>W22-Capital!X12+CF!X11-IS!X69+CF!X12</f>
        <v>1792.5000000000009</v>
      </c>
      <c r="Y22" s="124">
        <f>X22-Capital!Y12+CF!Y11-IS!Y69+CF!Y12</f>
        <v>1792.5000000000009</v>
      </c>
      <c r="Z22" s="124">
        <f>Y22-Capital!Z12+CF!Z11-IS!Z69+CF!Z12</f>
        <v>1792.5000000000009</v>
      </c>
      <c r="AA22" s="124">
        <f>Z22-Capital!AA12+CF!AA11-IS!AA69+CF!AA12</f>
        <v>1792.5000000000009</v>
      </c>
      <c r="AB22" s="124">
        <f>AA22-Capital!AB12+CF!AB11-IS!AB69+CF!AB12</f>
        <v>1792.5000000000009</v>
      </c>
      <c r="AC22" s="124">
        <f>AB22-Capital!AC12+CF!AC11-IS!AC69+CF!AC12</f>
        <v>1792.5000000000009</v>
      </c>
      <c r="AD22" s="124">
        <f>AC22-Capital!AD12+CF!AD11-IS!AD69+CF!AD12</f>
        <v>1792.5000000000009</v>
      </c>
      <c r="AE22" s="124">
        <f>AD22-Capital!AE12+CF!AE11-IS!AE69+CF!AE12</f>
        <v>1792.5000000000009</v>
      </c>
      <c r="AF22" s="124">
        <f>AE22-Capital!AF12+CF!AF11-IS!AF69+CF!AF12</f>
        <v>1792.5000000000009</v>
      </c>
      <c r="AG22" s="124">
        <f>AF22-Capital!AG12+CF!AG11-IS!AG69+CF!AG12</f>
        <v>1792.5000000000009</v>
      </c>
      <c r="AH22" s="124">
        <f>AG22-Capital!AH12+CF!AH11-IS!AH69+CF!AH12</f>
        <v>2383.4280000000022</v>
      </c>
      <c r="AI22" s="124">
        <f>AH22-Capital!AI12+CF!AI11-IS!AI69+CF!AI12</f>
        <v>2290.5000000000027</v>
      </c>
      <c r="AJ22" s="124">
        <f>AI22-Capital!AJ12+CF!AJ11-IS!AJ69+CF!AJ12</f>
        <v>2290.5000000000027</v>
      </c>
      <c r="AK22" s="124">
        <f>AJ22-Capital!AK12+CF!AK11-IS!AK69+CF!AK12</f>
        <v>2290.5000000000027</v>
      </c>
      <c r="AL22" s="124">
        <f>AK22-Capital!AL12+CF!AL11-IS!AL69+CF!AL12</f>
        <v>2290.5000000000027</v>
      </c>
      <c r="AM22" s="124">
        <f>AL22-Capital!AM12+CF!AM11-IS!AM69+CF!AM12</f>
        <v>2290.5000000000027</v>
      </c>
      <c r="AN22" s="124">
        <f>AM22-Capital!AN12+CF!AN11-IS!AN69+CF!AN12</f>
        <v>2290.5000000000027</v>
      </c>
      <c r="AO22" s="124">
        <f>AN22-Capital!AO12+CF!AO11-IS!AO69+CF!AO12</f>
        <v>2290.5000000000027</v>
      </c>
      <c r="AP22" s="124">
        <f>AO22-Capital!AP12+CF!AP11-IS!AP69+CF!AP12</f>
        <v>2290.5000000000027</v>
      </c>
      <c r="AQ22" s="124">
        <f>AP22-Capital!AQ12+CF!AQ11-IS!AQ69+CF!AQ12</f>
        <v>2290.5000000000027</v>
      </c>
      <c r="AR22" s="124">
        <f>AQ22-Capital!AR12+CF!AR11-IS!AR69+CF!AR12</f>
        <v>2290.5000000000027</v>
      </c>
      <c r="AS22" s="124">
        <f>AR22-Capital!AS12+CF!AS11-IS!AS69+CF!AS12</f>
        <v>2290.5000000000027</v>
      </c>
      <c r="AT22" s="124">
        <f>AS22-Capital!AT12+CF!AT11-IS!AT69+CF!AT12</f>
        <v>3066.7449600000027</v>
      </c>
      <c r="AU22" s="124">
        <f>AT22-Capital!AU12+CF!AU11-IS!AU69+CF!AU12</f>
        <v>2944.0800000000017</v>
      </c>
      <c r="AV22" s="124">
        <f>AU22-Capital!AV12+CF!AV11-IS!AV69+CF!AV12</f>
        <v>2944.0800000000017</v>
      </c>
      <c r="AW22" s="124">
        <f>AV22-Capital!AW12+CF!AW11-IS!AW69+CF!AW12</f>
        <v>2944.0800000000017</v>
      </c>
      <c r="AX22" s="124">
        <f>AW22-Capital!AX12+CF!AX11-IS!AX69+CF!AX12</f>
        <v>2944.0800000000017</v>
      </c>
      <c r="AY22" s="124">
        <f>AX22-Capital!AY12+CF!AY11-IS!AY69+CF!AY12</f>
        <v>2944.0800000000017</v>
      </c>
      <c r="AZ22" s="124">
        <f>AY22-Capital!AZ12+CF!AZ11-IS!AZ69+CF!AZ12</f>
        <v>2944.0800000000017</v>
      </c>
      <c r="BA22" s="124">
        <f>AZ22-Capital!BA12+CF!BA11-IS!BA69+CF!BA12</f>
        <v>2944.0800000000017</v>
      </c>
      <c r="BB22" s="124">
        <f>BA22-Capital!BB12+CF!BB11-IS!BB69+CF!BB12</f>
        <v>2944.0800000000017</v>
      </c>
      <c r="BC22" s="124">
        <f>BB22-Capital!BC12+CF!BC11-IS!BC69+CF!BC12</f>
        <v>2944.0800000000017</v>
      </c>
      <c r="BD22" s="124">
        <f>BC22-Capital!BD12+CF!BD11-IS!BD69+CF!BD12</f>
        <v>2944.0800000000017</v>
      </c>
      <c r="BE22" s="124">
        <f>BD22-Capital!BE12+CF!BE11-IS!BE69+CF!BE12</f>
        <v>2944.0800000000017</v>
      </c>
      <c r="BF22" s="124">
        <f>BE22-Capital!BF12+CF!BF11-IS!BF69+CF!BF12</f>
        <v>3964.7543472000034</v>
      </c>
      <c r="BG22" s="124">
        <f>BF22-Capital!BG12+CF!BG11-IS!BG69+CF!BG12</f>
        <v>3802.8366000000015</v>
      </c>
      <c r="BH22" s="124">
        <f>BG22-Capital!BH12+CF!BH11-IS!BH69+CF!BH12</f>
        <v>3802.8366000000015</v>
      </c>
      <c r="BI22" s="124">
        <f>BH22-Capital!BI12+CF!BI11-IS!BI69+CF!BI12</f>
        <v>3802.8366000000015</v>
      </c>
      <c r="BJ22" s="124">
        <f>BI22-Capital!BJ12+CF!BJ11-IS!BJ69+CF!BJ12</f>
        <v>3802.8366000000015</v>
      </c>
      <c r="BK22" s="124">
        <f>BJ22-Capital!BK12+CF!BK11-IS!BK69+CF!BK12</f>
        <v>3802.8366000000015</v>
      </c>
      <c r="BL22" s="124">
        <f>BK22-Capital!BL12+CF!BL11-IS!BL69+CF!BL12</f>
        <v>3802.8366000000015</v>
      </c>
      <c r="BM22" s="124">
        <f>BL22-Capital!BM12+CF!BM11-IS!BM69+CF!BM12</f>
        <v>3802.8366000000015</v>
      </c>
      <c r="BN22" s="124">
        <f>BM22-Capital!BN12+CF!BN11-IS!BN69+CF!BN12</f>
        <v>3802.8366000000015</v>
      </c>
      <c r="BO22" s="124">
        <f>BN22-Capital!BO12+CF!BO11-IS!BO69+CF!BO12</f>
        <v>3802.8366000000015</v>
      </c>
      <c r="BP22" s="124">
        <f>BO22-Capital!BP12+CF!BP11-IS!BP69+CF!BP12</f>
        <v>3802.8366000000015</v>
      </c>
      <c r="BQ22" s="124">
        <f>BP22-Capital!BQ12+CF!BQ11-IS!BQ69+CF!BQ12</f>
        <v>3802.8366000000015</v>
      </c>
    </row>
    <row r="23" spans="3:69" ht="10.199999999999999" collapsed="1">
      <c r="D23" s="140" t="str">
        <f>"Total "&amp;C21</f>
        <v>Total Current Liabilities</v>
      </c>
      <c r="J23" s="126">
        <f>J22</f>
        <v>579.16666666666652</v>
      </c>
      <c r="K23" s="126">
        <f t="shared" ref="K23:BQ23" si="7">K22</f>
        <v>1206.439393939394</v>
      </c>
      <c r="L23" s="126">
        <f t="shared" si="7"/>
        <v>1616.3484848484859</v>
      </c>
      <c r="M23" s="126">
        <f t="shared" si="7"/>
        <v>1532.3484848484859</v>
      </c>
      <c r="N23" s="126">
        <f t="shared" si="7"/>
        <v>1532.3484848484859</v>
      </c>
      <c r="O23" s="126">
        <f t="shared" si="7"/>
        <v>1532.3484848484859</v>
      </c>
      <c r="P23" s="126">
        <f t="shared" si="7"/>
        <v>1532.3484848484859</v>
      </c>
      <c r="Q23" s="126">
        <f t="shared" si="7"/>
        <v>1532.3484848484859</v>
      </c>
      <c r="R23" s="126">
        <f t="shared" si="7"/>
        <v>1532.3484848484859</v>
      </c>
      <c r="S23" s="126">
        <f t="shared" si="7"/>
        <v>1532.3484848484859</v>
      </c>
      <c r="T23" s="126">
        <f t="shared" si="7"/>
        <v>1532.3484848484859</v>
      </c>
      <c r="U23" s="126">
        <f t="shared" si="7"/>
        <v>1532.3484848484859</v>
      </c>
      <c r="V23" s="126">
        <f t="shared" si="7"/>
        <v>1839.809090909092</v>
      </c>
      <c r="W23" s="126">
        <f t="shared" si="7"/>
        <v>1792.5000000000009</v>
      </c>
      <c r="X23" s="126">
        <f t="shared" si="7"/>
        <v>1792.5000000000009</v>
      </c>
      <c r="Y23" s="126">
        <f t="shared" si="7"/>
        <v>1792.5000000000009</v>
      </c>
      <c r="Z23" s="126">
        <f t="shared" si="7"/>
        <v>1792.5000000000009</v>
      </c>
      <c r="AA23" s="126">
        <f t="shared" si="7"/>
        <v>1792.5000000000009</v>
      </c>
      <c r="AB23" s="126">
        <f t="shared" si="7"/>
        <v>1792.5000000000009</v>
      </c>
      <c r="AC23" s="126">
        <f t="shared" si="7"/>
        <v>1792.5000000000009</v>
      </c>
      <c r="AD23" s="126">
        <f t="shared" si="7"/>
        <v>1792.5000000000009</v>
      </c>
      <c r="AE23" s="126">
        <f t="shared" si="7"/>
        <v>1792.5000000000009</v>
      </c>
      <c r="AF23" s="126">
        <f t="shared" si="7"/>
        <v>1792.5000000000009</v>
      </c>
      <c r="AG23" s="126">
        <f t="shared" si="7"/>
        <v>1792.5000000000009</v>
      </c>
      <c r="AH23" s="126">
        <f t="shared" si="7"/>
        <v>2383.4280000000022</v>
      </c>
      <c r="AI23" s="126">
        <f t="shared" si="7"/>
        <v>2290.5000000000027</v>
      </c>
      <c r="AJ23" s="126">
        <f t="shared" si="7"/>
        <v>2290.5000000000027</v>
      </c>
      <c r="AK23" s="126">
        <f t="shared" si="7"/>
        <v>2290.5000000000027</v>
      </c>
      <c r="AL23" s="126">
        <f t="shared" si="7"/>
        <v>2290.5000000000027</v>
      </c>
      <c r="AM23" s="126">
        <f t="shared" si="7"/>
        <v>2290.5000000000027</v>
      </c>
      <c r="AN23" s="126">
        <f t="shared" si="7"/>
        <v>2290.5000000000027</v>
      </c>
      <c r="AO23" s="126">
        <f t="shared" si="7"/>
        <v>2290.5000000000027</v>
      </c>
      <c r="AP23" s="126">
        <f t="shared" si="7"/>
        <v>2290.5000000000027</v>
      </c>
      <c r="AQ23" s="126">
        <f t="shared" si="7"/>
        <v>2290.5000000000027</v>
      </c>
      <c r="AR23" s="126">
        <f t="shared" si="7"/>
        <v>2290.5000000000027</v>
      </c>
      <c r="AS23" s="126">
        <f t="shared" si="7"/>
        <v>2290.5000000000027</v>
      </c>
      <c r="AT23" s="126">
        <f t="shared" si="7"/>
        <v>3066.7449600000027</v>
      </c>
      <c r="AU23" s="126">
        <f t="shared" si="7"/>
        <v>2944.0800000000017</v>
      </c>
      <c r="AV23" s="126">
        <f t="shared" si="7"/>
        <v>2944.0800000000017</v>
      </c>
      <c r="AW23" s="126">
        <f t="shared" si="7"/>
        <v>2944.0800000000017</v>
      </c>
      <c r="AX23" s="126">
        <f t="shared" si="7"/>
        <v>2944.0800000000017</v>
      </c>
      <c r="AY23" s="126">
        <f t="shared" si="7"/>
        <v>2944.0800000000017</v>
      </c>
      <c r="AZ23" s="126">
        <f t="shared" si="7"/>
        <v>2944.0800000000017</v>
      </c>
      <c r="BA23" s="126">
        <f t="shared" si="7"/>
        <v>2944.0800000000017</v>
      </c>
      <c r="BB23" s="126">
        <f t="shared" si="7"/>
        <v>2944.0800000000017</v>
      </c>
      <c r="BC23" s="126">
        <f t="shared" si="7"/>
        <v>2944.0800000000017</v>
      </c>
      <c r="BD23" s="126">
        <f t="shared" si="7"/>
        <v>2944.0800000000017</v>
      </c>
      <c r="BE23" s="126">
        <f t="shared" si="7"/>
        <v>2944.0800000000017</v>
      </c>
      <c r="BF23" s="126">
        <f t="shared" si="7"/>
        <v>3964.7543472000034</v>
      </c>
      <c r="BG23" s="126">
        <f t="shared" si="7"/>
        <v>3802.8366000000015</v>
      </c>
      <c r="BH23" s="126">
        <f t="shared" si="7"/>
        <v>3802.8366000000015</v>
      </c>
      <c r="BI23" s="126">
        <f t="shared" si="7"/>
        <v>3802.8366000000015</v>
      </c>
      <c r="BJ23" s="126">
        <f t="shared" si="7"/>
        <v>3802.8366000000015</v>
      </c>
      <c r="BK23" s="126">
        <f t="shared" si="7"/>
        <v>3802.8366000000015</v>
      </c>
      <c r="BL23" s="126">
        <f t="shared" si="7"/>
        <v>3802.8366000000015</v>
      </c>
      <c r="BM23" s="126">
        <f t="shared" si="7"/>
        <v>3802.8366000000015</v>
      </c>
      <c r="BN23" s="126">
        <f t="shared" si="7"/>
        <v>3802.8366000000015</v>
      </c>
      <c r="BO23" s="126">
        <f t="shared" si="7"/>
        <v>3802.8366000000015</v>
      </c>
      <c r="BP23" s="126">
        <f t="shared" si="7"/>
        <v>3802.8366000000015</v>
      </c>
      <c r="BQ23" s="126">
        <f t="shared" si="7"/>
        <v>3802.8366000000015</v>
      </c>
    </row>
    <row r="24" spans="3:69" ht="10.199999999999999">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row>
    <row r="25" spans="3:69" ht="11.4">
      <c r="C25" s="128" t="s">
        <v>14</v>
      </c>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row>
    <row r="26" spans="3:69" ht="10.199999999999999">
      <c r="D26" s="139" t="s">
        <v>15</v>
      </c>
      <c r="J26" s="124">
        <f>Capital!J22</f>
        <v>0</v>
      </c>
      <c r="K26" s="124">
        <f>Capital!K22</f>
        <v>0</v>
      </c>
      <c r="L26" s="124">
        <f>Capital!L22</f>
        <v>0</v>
      </c>
      <c r="M26" s="124">
        <f>Capital!M22</f>
        <v>0</v>
      </c>
      <c r="N26" s="124">
        <f>Capital!N22</f>
        <v>0</v>
      </c>
      <c r="O26" s="124">
        <f>Capital!O22</f>
        <v>0</v>
      </c>
      <c r="P26" s="124">
        <f>Capital!P22</f>
        <v>0</v>
      </c>
      <c r="Q26" s="124">
        <f>Capital!Q22</f>
        <v>0</v>
      </c>
      <c r="R26" s="124">
        <f>Capital!R22</f>
        <v>0</v>
      </c>
      <c r="S26" s="124">
        <f>Capital!S22</f>
        <v>0</v>
      </c>
      <c r="T26" s="124">
        <f>Capital!T22</f>
        <v>0</v>
      </c>
      <c r="U26" s="124">
        <f>Capital!U22</f>
        <v>0</v>
      </c>
      <c r="V26" s="124">
        <f>Capital!V22</f>
        <v>0</v>
      </c>
      <c r="W26" s="124">
        <f>Capital!W22</f>
        <v>0</v>
      </c>
      <c r="X26" s="124">
        <f>Capital!X22</f>
        <v>0</v>
      </c>
      <c r="Y26" s="124">
        <f>Capital!Y22</f>
        <v>0</v>
      </c>
      <c r="Z26" s="124">
        <f>Capital!Z22</f>
        <v>0</v>
      </c>
      <c r="AA26" s="124">
        <f>Capital!AA22</f>
        <v>0</v>
      </c>
      <c r="AB26" s="124">
        <f>Capital!AB22</f>
        <v>0</v>
      </c>
      <c r="AC26" s="124">
        <f>Capital!AC22</f>
        <v>0</v>
      </c>
      <c r="AD26" s="124">
        <f>Capital!AD22</f>
        <v>0</v>
      </c>
      <c r="AE26" s="124">
        <f>Capital!AE22</f>
        <v>0</v>
      </c>
      <c r="AF26" s="124">
        <f>Capital!AF22</f>
        <v>0</v>
      </c>
      <c r="AG26" s="124">
        <f>Capital!AG22</f>
        <v>0</v>
      </c>
      <c r="AH26" s="124">
        <f>Capital!AH22</f>
        <v>0</v>
      </c>
      <c r="AI26" s="124">
        <f>Capital!AI22</f>
        <v>0</v>
      </c>
      <c r="AJ26" s="124">
        <f>Capital!AJ22</f>
        <v>0</v>
      </c>
      <c r="AK26" s="124">
        <f>Capital!AK22</f>
        <v>0</v>
      </c>
      <c r="AL26" s="124">
        <f>Capital!AL22</f>
        <v>0</v>
      </c>
      <c r="AM26" s="124">
        <f>Capital!AM22</f>
        <v>0</v>
      </c>
      <c r="AN26" s="124">
        <f>Capital!AN22</f>
        <v>0</v>
      </c>
      <c r="AO26" s="124">
        <f>Capital!AO22</f>
        <v>0</v>
      </c>
      <c r="AP26" s="124">
        <f>Capital!AP22</f>
        <v>0</v>
      </c>
      <c r="AQ26" s="124">
        <f>Capital!AQ22</f>
        <v>0</v>
      </c>
      <c r="AR26" s="124">
        <f>Capital!AR22</f>
        <v>0</v>
      </c>
      <c r="AS26" s="124">
        <f>Capital!AS22</f>
        <v>0</v>
      </c>
      <c r="AT26" s="124">
        <f>Capital!AT22</f>
        <v>0</v>
      </c>
      <c r="AU26" s="124">
        <f>Capital!AU22</f>
        <v>0</v>
      </c>
      <c r="AV26" s="124">
        <f>Capital!AV22</f>
        <v>0</v>
      </c>
      <c r="AW26" s="124">
        <f>Capital!AW22</f>
        <v>0</v>
      </c>
      <c r="AX26" s="124">
        <f>Capital!AX22</f>
        <v>0</v>
      </c>
      <c r="AY26" s="124">
        <f>Capital!AY22</f>
        <v>0</v>
      </c>
      <c r="AZ26" s="124">
        <f>Capital!AZ22</f>
        <v>0</v>
      </c>
      <c r="BA26" s="124">
        <f>Capital!BA22</f>
        <v>0</v>
      </c>
      <c r="BB26" s="124">
        <f>Capital!BB22</f>
        <v>0</v>
      </c>
      <c r="BC26" s="124">
        <f>Capital!BC22</f>
        <v>0</v>
      </c>
      <c r="BD26" s="124">
        <f>Capital!BD22</f>
        <v>0</v>
      </c>
      <c r="BE26" s="124">
        <f>Capital!BE22</f>
        <v>0</v>
      </c>
      <c r="BF26" s="124">
        <f>Capital!BF22</f>
        <v>0</v>
      </c>
      <c r="BG26" s="124">
        <f>Capital!BG22</f>
        <v>0</v>
      </c>
      <c r="BH26" s="124">
        <f>Capital!BH22</f>
        <v>0</v>
      </c>
      <c r="BI26" s="124">
        <f>Capital!BI22</f>
        <v>96218.840699581677</v>
      </c>
      <c r="BJ26" s="124">
        <f>Capital!BJ22</f>
        <v>92406.171738326535</v>
      </c>
      <c r="BK26" s="124">
        <f>Capital!BK22</f>
        <v>88561.730535727605</v>
      </c>
      <c r="BL26" s="124">
        <f>Capital!BL22</f>
        <v>84685.252323107023</v>
      </c>
      <c r="BM26" s="124">
        <f>Capital!BM22</f>
        <v>80776.470125381267</v>
      </c>
      <c r="BN26" s="124">
        <f>Capital!BN22</f>
        <v>76835.114742674457</v>
      </c>
      <c r="BO26" s="124">
        <f>Capital!BO22</f>
        <v>72860.914731778423</v>
      </c>
      <c r="BP26" s="124">
        <f>Capital!BP22</f>
        <v>68853.596387458252</v>
      </c>
      <c r="BQ26" s="124">
        <f>Capital!BQ22</f>
        <v>64812.883723602085</v>
      </c>
    </row>
    <row r="27" spans="3:69" ht="10.199999999999999" collapsed="1">
      <c r="D27" s="140" t="str">
        <f>"Total "&amp;C25</f>
        <v>Total Non-Current Liabilities</v>
      </c>
      <c r="J27" s="126">
        <f>J26</f>
        <v>0</v>
      </c>
      <c r="K27" s="126">
        <f t="shared" ref="K27:BQ27" si="8">K26</f>
        <v>0</v>
      </c>
      <c r="L27" s="126">
        <f t="shared" si="8"/>
        <v>0</v>
      </c>
      <c r="M27" s="126">
        <f t="shared" si="8"/>
        <v>0</v>
      </c>
      <c r="N27" s="126">
        <f t="shared" si="8"/>
        <v>0</v>
      </c>
      <c r="O27" s="126">
        <f t="shared" si="8"/>
        <v>0</v>
      </c>
      <c r="P27" s="126">
        <f t="shared" si="8"/>
        <v>0</v>
      </c>
      <c r="Q27" s="126">
        <f t="shared" si="8"/>
        <v>0</v>
      </c>
      <c r="R27" s="126">
        <f t="shared" si="8"/>
        <v>0</v>
      </c>
      <c r="S27" s="126">
        <f t="shared" si="8"/>
        <v>0</v>
      </c>
      <c r="T27" s="126">
        <f t="shared" si="8"/>
        <v>0</v>
      </c>
      <c r="U27" s="126">
        <f t="shared" si="8"/>
        <v>0</v>
      </c>
      <c r="V27" s="126">
        <f t="shared" si="8"/>
        <v>0</v>
      </c>
      <c r="W27" s="126">
        <f t="shared" si="8"/>
        <v>0</v>
      </c>
      <c r="X27" s="126">
        <f t="shared" si="8"/>
        <v>0</v>
      </c>
      <c r="Y27" s="126">
        <f t="shared" si="8"/>
        <v>0</v>
      </c>
      <c r="Z27" s="126">
        <f t="shared" si="8"/>
        <v>0</v>
      </c>
      <c r="AA27" s="126">
        <f t="shared" si="8"/>
        <v>0</v>
      </c>
      <c r="AB27" s="126">
        <f t="shared" si="8"/>
        <v>0</v>
      </c>
      <c r="AC27" s="126">
        <f t="shared" si="8"/>
        <v>0</v>
      </c>
      <c r="AD27" s="126">
        <f t="shared" si="8"/>
        <v>0</v>
      </c>
      <c r="AE27" s="126">
        <f t="shared" si="8"/>
        <v>0</v>
      </c>
      <c r="AF27" s="126">
        <f t="shared" si="8"/>
        <v>0</v>
      </c>
      <c r="AG27" s="126">
        <f t="shared" si="8"/>
        <v>0</v>
      </c>
      <c r="AH27" s="126">
        <f t="shared" si="8"/>
        <v>0</v>
      </c>
      <c r="AI27" s="126">
        <f t="shared" si="8"/>
        <v>0</v>
      </c>
      <c r="AJ27" s="126">
        <f t="shared" si="8"/>
        <v>0</v>
      </c>
      <c r="AK27" s="126">
        <f t="shared" si="8"/>
        <v>0</v>
      </c>
      <c r="AL27" s="126">
        <f t="shared" si="8"/>
        <v>0</v>
      </c>
      <c r="AM27" s="126">
        <f t="shared" si="8"/>
        <v>0</v>
      </c>
      <c r="AN27" s="126">
        <f t="shared" si="8"/>
        <v>0</v>
      </c>
      <c r="AO27" s="126">
        <f t="shared" si="8"/>
        <v>0</v>
      </c>
      <c r="AP27" s="126">
        <f t="shared" si="8"/>
        <v>0</v>
      </c>
      <c r="AQ27" s="126">
        <f t="shared" si="8"/>
        <v>0</v>
      </c>
      <c r="AR27" s="126">
        <f t="shared" si="8"/>
        <v>0</v>
      </c>
      <c r="AS27" s="126">
        <f t="shared" si="8"/>
        <v>0</v>
      </c>
      <c r="AT27" s="126">
        <f t="shared" si="8"/>
        <v>0</v>
      </c>
      <c r="AU27" s="126">
        <f t="shared" si="8"/>
        <v>0</v>
      </c>
      <c r="AV27" s="126">
        <f t="shared" si="8"/>
        <v>0</v>
      </c>
      <c r="AW27" s="126">
        <f t="shared" si="8"/>
        <v>0</v>
      </c>
      <c r="AX27" s="126">
        <f t="shared" si="8"/>
        <v>0</v>
      </c>
      <c r="AY27" s="126">
        <f t="shared" si="8"/>
        <v>0</v>
      </c>
      <c r="AZ27" s="126">
        <f t="shared" si="8"/>
        <v>0</v>
      </c>
      <c r="BA27" s="126">
        <f t="shared" si="8"/>
        <v>0</v>
      </c>
      <c r="BB27" s="126">
        <f t="shared" si="8"/>
        <v>0</v>
      </c>
      <c r="BC27" s="126">
        <f t="shared" si="8"/>
        <v>0</v>
      </c>
      <c r="BD27" s="126">
        <f t="shared" si="8"/>
        <v>0</v>
      </c>
      <c r="BE27" s="126">
        <f t="shared" si="8"/>
        <v>0</v>
      </c>
      <c r="BF27" s="126">
        <f t="shared" si="8"/>
        <v>0</v>
      </c>
      <c r="BG27" s="126">
        <f t="shared" si="8"/>
        <v>0</v>
      </c>
      <c r="BH27" s="126">
        <f t="shared" si="8"/>
        <v>0</v>
      </c>
      <c r="BI27" s="126">
        <f t="shared" si="8"/>
        <v>96218.840699581677</v>
      </c>
      <c r="BJ27" s="126">
        <f t="shared" si="8"/>
        <v>92406.171738326535</v>
      </c>
      <c r="BK27" s="126">
        <f t="shared" si="8"/>
        <v>88561.730535727605</v>
      </c>
      <c r="BL27" s="126">
        <f t="shared" si="8"/>
        <v>84685.252323107023</v>
      </c>
      <c r="BM27" s="126">
        <f t="shared" si="8"/>
        <v>80776.470125381267</v>
      </c>
      <c r="BN27" s="126">
        <f t="shared" si="8"/>
        <v>76835.114742674457</v>
      </c>
      <c r="BO27" s="126">
        <f t="shared" si="8"/>
        <v>72860.914731778423</v>
      </c>
      <c r="BP27" s="126">
        <f t="shared" si="8"/>
        <v>68853.596387458252</v>
      </c>
      <c r="BQ27" s="126">
        <f t="shared" si="8"/>
        <v>64812.883723602085</v>
      </c>
    </row>
    <row r="28" spans="3:69" ht="10.8" thickBot="1">
      <c r="J28" s="137"/>
      <c r="K28" s="137"/>
      <c r="L28" s="137"/>
      <c r="M28" s="137"/>
      <c r="N28" s="137"/>
      <c r="O28" s="137"/>
      <c r="P28" s="137"/>
      <c r="Q28" s="137"/>
      <c r="R28" s="137"/>
      <c r="S28" s="137"/>
      <c r="T28" s="137"/>
      <c r="U28" s="137"/>
      <c r="V28" s="137"/>
      <c r="W28" s="137"/>
      <c r="X28" s="137"/>
      <c r="Y28" s="137"/>
      <c r="Z28" s="137"/>
      <c r="AA28" s="137"/>
      <c r="AB28" s="137"/>
      <c r="AC28" s="137"/>
      <c r="AD28" s="137"/>
      <c r="AE28" s="137"/>
      <c r="AF28" s="137"/>
      <c r="AG28" s="137"/>
      <c r="AH28" s="137"/>
      <c r="AI28" s="137"/>
      <c r="AJ28" s="137"/>
      <c r="AK28" s="137"/>
      <c r="AL28" s="137"/>
      <c r="AM28" s="137"/>
      <c r="AN28" s="137"/>
      <c r="AO28" s="137"/>
      <c r="AP28" s="137"/>
      <c r="AQ28" s="137"/>
      <c r="AR28" s="137"/>
      <c r="AS28" s="137"/>
      <c r="AT28" s="137"/>
      <c r="AU28" s="137"/>
      <c r="AV28" s="137"/>
      <c r="AW28" s="137"/>
      <c r="AX28" s="137"/>
      <c r="AY28" s="137"/>
      <c r="AZ28" s="137"/>
      <c r="BA28" s="137"/>
      <c r="BB28" s="137"/>
      <c r="BC28" s="137"/>
      <c r="BD28" s="137"/>
      <c r="BE28" s="137"/>
      <c r="BF28" s="137"/>
      <c r="BG28" s="137"/>
      <c r="BH28" s="137"/>
      <c r="BI28" s="137"/>
      <c r="BJ28" s="137"/>
      <c r="BK28" s="137"/>
      <c r="BL28" s="137"/>
      <c r="BM28" s="137"/>
      <c r="BN28" s="137"/>
      <c r="BO28" s="137"/>
      <c r="BP28" s="137"/>
      <c r="BQ28" s="137"/>
    </row>
    <row r="29" spans="3:69" s="107" customFormat="1" ht="12" thickTop="1">
      <c r="C29" s="138" t="s">
        <v>16</v>
      </c>
      <c r="J29" s="135">
        <f t="shared" ref="J29:AO29" si="9">J23+J27</f>
        <v>579.16666666666652</v>
      </c>
      <c r="K29" s="135">
        <f t="shared" si="9"/>
        <v>1206.439393939394</v>
      </c>
      <c r="L29" s="135">
        <f t="shared" si="9"/>
        <v>1616.3484848484859</v>
      </c>
      <c r="M29" s="135">
        <f t="shared" si="9"/>
        <v>1532.3484848484859</v>
      </c>
      <c r="N29" s="135">
        <f t="shared" si="9"/>
        <v>1532.3484848484859</v>
      </c>
      <c r="O29" s="135">
        <f t="shared" si="9"/>
        <v>1532.3484848484859</v>
      </c>
      <c r="P29" s="135">
        <f t="shared" si="9"/>
        <v>1532.3484848484859</v>
      </c>
      <c r="Q29" s="135">
        <f t="shared" si="9"/>
        <v>1532.3484848484859</v>
      </c>
      <c r="R29" s="135">
        <f t="shared" si="9"/>
        <v>1532.3484848484859</v>
      </c>
      <c r="S29" s="135">
        <f t="shared" si="9"/>
        <v>1532.3484848484859</v>
      </c>
      <c r="T29" s="135">
        <f t="shared" si="9"/>
        <v>1532.3484848484859</v>
      </c>
      <c r="U29" s="135">
        <f t="shared" si="9"/>
        <v>1532.3484848484859</v>
      </c>
      <c r="V29" s="135">
        <f t="shared" si="9"/>
        <v>1839.809090909092</v>
      </c>
      <c r="W29" s="135">
        <f t="shared" si="9"/>
        <v>1792.5000000000009</v>
      </c>
      <c r="X29" s="135">
        <f t="shared" si="9"/>
        <v>1792.5000000000009</v>
      </c>
      <c r="Y29" s="135">
        <f t="shared" si="9"/>
        <v>1792.5000000000009</v>
      </c>
      <c r="Z29" s="135">
        <f t="shared" si="9"/>
        <v>1792.5000000000009</v>
      </c>
      <c r="AA29" s="135">
        <f t="shared" si="9"/>
        <v>1792.5000000000009</v>
      </c>
      <c r="AB29" s="135">
        <f t="shared" si="9"/>
        <v>1792.5000000000009</v>
      </c>
      <c r="AC29" s="135">
        <f t="shared" si="9"/>
        <v>1792.5000000000009</v>
      </c>
      <c r="AD29" s="135">
        <f t="shared" si="9"/>
        <v>1792.5000000000009</v>
      </c>
      <c r="AE29" s="135">
        <f t="shared" si="9"/>
        <v>1792.5000000000009</v>
      </c>
      <c r="AF29" s="135">
        <f t="shared" si="9"/>
        <v>1792.5000000000009</v>
      </c>
      <c r="AG29" s="135">
        <f t="shared" si="9"/>
        <v>1792.5000000000009</v>
      </c>
      <c r="AH29" s="135">
        <f t="shared" si="9"/>
        <v>2383.4280000000022</v>
      </c>
      <c r="AI29" s="135">
        <f t="shared" si="9"/>
        <v>2290.5000000000027</v>
      </c>
      <c r="AJ29" s="135">
        <f t="shared" si="9"/>
        <v>2290.5000000000027</v>
      </c>
      <c r="AK29" s="135">
        <f t="shared" si="9"/>
        <v>2290.5000000000027</v>
      </c>
      <c r="AL29" s="135">
        <f t="shared" si="9"/>
        <v>2290.5000000000027</v>
      </c>
      <c r="AM29" s="135">
        <f t="shared" si="9"/>
        <v>2290.5000000000027</v>
      </c>
      <c r="AN29" s="135">
        <f t="shared" si="9"/>
        <v>2290.5000000000027</v>
      </c>
      <c r="AO29" s="135">
        <f t="shared" si="9"/>
        <v>2290.5000000000027</v>
      </c>
      <c r="AP29" s="135">
        <f t="shared" ref="AP29:BQ29" si="10">AP23+AP27</f>
        <v>2290.5000000000027</v>
      </c>
      <c r="AQ29" s="135">
        <f t="shared" si="10"/>
        <v>2290.5000000000027</v>
      </c>
      <c r="AR29" s="135">
        <f t="shared" si="10"/>
        <v>2290.5000000000027</v>
      </c>
      <c r="AS29" s="135">
        <f t="shared" si="10"/>
        <v>2290.5000000000027</v>
      </c>
      <c r="AT29" s="135">
        <f t="shared" si="10"/>
        <v>3066.7449600000027</v>
      </c>
      <c r="AU29" s="135">
        <f t="shared" si="10"/>
        <v>2944.0800000000017</v>
      </c>
      <c r="AV29" s="135">
        <f t="shared" si="10"/>
        <v>2944.0800000000017</v>
      </c>
      <c r="AW29" s="135">
        <f t="shared" si="10"/>
        <v>2944.0800000000017</v>
      </c>
      <c r="AX29" s="135">
        <f t="shared" si="10"/>
        <v>2944.0800000000017</v>
      </c>
      <c r="AY29" s="135">
        <f t="shared" si="10"/>
        <v>2944.0800000000017</v>
      </c>
      <c r="AZ29" s="135">
        <f t="shared" si="10"/>
        <v>2944.0800000000017</v>
      </c>
      <c r="BA29" s="135">
        <f t="shared" si="10"/>
        <v>2944.0800000000017</v>
      </c>
      <c r="BB29" s="135">
        <f t="shared" si="10"/>
        <v>2944.0800000000017</v>
      </c>
      <c r="BC29" s="135">
        <f t="shared" si="10"/>
        <v>2944.0800000000017</v>
      </c>
      <c r="BD29" s="135">
        <f t="shared" si="10"/>
        <v>2944.0800000000017</v>
      </c>
      <c r="BE29" s="135">
        <f t="shared" si="10"/>
        <v>2944.0800000000017</v>
      </c>
      <c r="BF29" s="135">
        <f t="shared" si="10"/>
        <v>3964.7543472000034</v>
      </c>
      <c r="BG29" s="135">
        <f t="shared" si="10"/>
        <v>3802.8366000000015</v>
      </c>
      <c r="BH29" s="135">
        <f t="shared" si="10"/>
        <v>3802.8366000000015</v>
      </c>
      <c r="BI29" s="135">
        <f t="shared" si="10"/>
        <v>100021.67729958167</v>
      </c>
      <c r="BJ29" s="135">
        <f t="shared" si="10"/>
        <v>96209.00833832653</v>
      </c>
      <c r="BK29" s="135">
        <f t="shared" si="10"/>
        <v>92364.567135727601</v>
      </c>
      <c r="BL29" s="135">
        <f t="shared" si="10"/>
        <v>88488.088923107018</v>
      </c>
      <c r="BM29" s="135">
        <f t="shared" si="10"/>
        <v>84579.306725381262</v>
      </c>
      <c r="BN29" s="135">
        <f t="shared" si="10"/>
        <v>80637.951342674452</v>
      </c>
      <c r="BO29" s="135">
        <f t="shared" si="10"/>
        <v>76663.751331778418</v>
      </c>
      <c r="BP29" s="135">
        <f t="shared" si="10"/>
        <v>72656.432987458247</v>
      </c>
      <c r="BQ29" s="135">
        <f t="shared" si="10"/>
        <v>68615.720323602087</v>
      </c>
    </row>
    <row r="30" spans="3:69" ht="10.8" thickBot="1">
      <c r="J30" s="137"/>
      <c r="K30" s="137"/>
      <c r="L30" s="137"/>
      <c r="M30" s="137"/>
      <c r="N30" s="137"/>
      <c r="O30" s="137"/>
      <c r="P30" s="137"/>
      <c r="Q30" s="137"/>
      <c r="R30" s="137"/>
      <c r="S30" s="137"/>
      <c r="T30" s="137"/>
      <c r="U30" s="137"/>
      <c r="V30" s="137"/>
      <c r="W30" s="137"/>
      <c r="X30" s="137"/>
      <c r="Y30" s="137"/>
      <c r="Z30" s="137"/>
      <c r="AA30" s="137"/>
      <c r="AB30" s="137"/>
      <c r="AC30" s="137"/>
      <c r="AD30" s="137"/>
      <c r="AE30" s="137"/>
      <c r="AF30" s="137"/>
      <c r="AG30" s="137"/>
      <c r="AH30" s="137"/>
      <c r="AI30" s="137"/>
      <c r="AJ30" s="137"/>
      <c r="AK30" s="137"/>
      <c r="AL30" s="137"/>
      <c r="AM30" s="137"/>
      <c r="AN30" s="137"/>
      <c r="AO30" s="137"/>
      <c r="AP30" s="137"/>
      <c r="AQ30" s="137"/>
      <c r="AR30" s="137"/>
      <c r="AS30" s="137"/>
      <c r="AT30" s="137"/>
      <c r="AU30" s="137"/>
      <c r="AV30" s="137"/>
      <c r="AW30" s="137"/>
      <c r="AX30" s="137"/>
      <c r="AY30" s="137"/>
      <c r="AZ30" s="137"/>
      <c r="BA30" s="137"/>
      <c r="BB30" s="137"/>
      <c r="BC30" s="137"/>
      <c r="BD30" s="137"/>
      <c r="BE30" s="137"/>
      <c r="BF30" s="137"/>
      <c r="BG30" s="137"/>
      <c r="BH30" s="137"/>
      <c r="BI30" s="137"/>
      <c r="BJ30" s="137"/>
      <c r="BK30" s="137"/>
      <c r="BL30" s="137"/>
      <c r="BM30" s="137"/>
      <c r="BN30" s="137"/>
      <c r="BO30" s="137"/>
      <c r="BP30" s="137"/>
      <c r="BQ30" s="137"/>
    </row>
    <row r="31" spans="3:69" s="107" customFormat="1" ht="12" thickTop="1">
      <c r="C31" s="138" t="s">
        <v>17</v>
      </c>
      <c r="J31" s="135">
        <f t="shared" ref="J31:AO31" si="11">J19-J29</f>
        <v>248250</v>
      </c>
      <c r="K31" s="135">
        <f t="shared" si="11"/>
        <v>248565.53030303027</v>
      </c>
      <c r="L31" s="135">
        <f t="shared" si="11"/>
        <v>249702.72727272729</v>
      </c>
      <c r="M31" s="135">
        <f t="shared" si="11"/>
        <v>250839.92424242428</v>
      </c>
      <c r="N31" s="135">
        <f t="shared" si="11"/>
        <v>251977.12121212124</v>
      </c>
      <c r="O31" s="135">
        <f t="shared" si="11"/>
        <v>253114.31818181821</v>
      </c>
      <c r="P31" s="135">
        <f t="shared" si="11"/>
        <v>254251.5151515152</v>
      </c>
      <c r="Q31" s="135">
        <f t="shared" si="11"/>
        <v>255388.71212121219</v>
      </c>
      <c r="R31" s="135">
        <f t="shared" si="11"/>
        <v>256525.90909090915</v>
      </c>
      <c r="S31" s="135">
        <f t="shared" si="11"/>
        <v>257663.10606060611</v>
      </c>
      <c r="T31" s="135">
        <f t="shared" si="11"/>
        <v>258800.30303030307</v>
      </c>
      <c r="U31" s="135">
        <f t="shared" si="11"/>
        <v>249937.50000000006</v>
      </c>
      <c r="V31" s="135">
        <f t="shared" si="11"/>
        <v>202117.75000000006</v>
      </c>
      <c r="W31" s="135">
        <f t="shared" si="11"/>
        <v>204298.00000000006</v>
      </c>
      <c r="X31" s="135">
        <f t="shared" si="11"/>
        <v>206478.25000000006</v>
      </c>
      <c r="Y31" s="135">
        <f t="shared" si="11"/>
        <v>208658.50000000006</v>
      </c>
      <c r="Z31" s="135">
        <f t="shared" si="11"/>
        <v>210838.75000000006</v>
      </c>
      <c r="AA31" s="135">
        <f t="shared" si="11"/>
        <v>213019.00000000006</v>
      </c>
      <c r="AB31" s="135">
        <f t="shared" si="11"/>
        <v>215199.25000000006</v>
      </c>
      <c r="AC31" s="135">
        <f t="shared" si="11"/>
        <v>217379.50000000006</v>
      </c>
      <c r="AD31" s="135">
        <f t="shared" si="11"/>
        <v>219559.75000000006</v>
      </c>
      <c r="AE31" s="135">
        <f t="shared" si="11"/>
        <v>221740.00000000006</v>
      </c>
      <c r="AF31" s="135">
        <f t="shared" si="11"/>
        <v>223920.25000000006</v>
      </c>
      <c r="AG31" s="135">
        <f t="shared" si="11"/>
        <v>226100.50000000003</v>
      </c>
      <c r="AH31" s="135">
        <f t="shared" si="11"/>
        <v>230301.03000000006</v>
      </c>
      <c r="AI31" s="135">
        <f t="shared" si="11"/>
        <v>234501.56000000006</v>
      </c>
      <c r="AJ31" s="135">
        <f t="shared" si="11"/>
        <v>238702.09000000005</v>
      </c>
      <c r="AK31" s="135">
        <f t="shared" si="11"/>
        <v>242902.62000000005</v>
      </c>
      <c r="AL31" s="135">
        <f t="shared" si="11"/>
        <v>247103.15000000005</v>
      </c>
      <c r="AM31" s="135">
        <f t="shared" si="11"/>
        <v>251303.68000000005</v>
      </c>
      <c r="AN31" s="135">
        <f t="shared" si="11"/>
        <v>255504.21000000005</v>
      </c>
      <c r="AO31" s="135">
        <f t="shared" si="11"/>
        <v>259704.74000000005</v>
      </c>
      <c r="AP31" s="135">
        <f t="shared" ref="AP31:BQ31" si="12">AP19-AP29</f>
        <v>263905.27</v>
      </c>
      <c r="AQ31" s="135">
        <f t="shared" si="12"/>
        <v>268105.80000000005</v>
      </c>
      <c r="AR31" s="135">
        <f t="shared" si="12"/>
        <v>272306.33000000007</v>
      </c>
      <c r="AS31" s="135">
        <f t="shared" si="12"/>
        <v>276506.86000000004</v>
      </c>
      <c r="AT31" s="135">
        <f t="shared" si="12"/>
        <v>283406.28960000008</v>
      </c>
      <c r="AU31" s="135">
        <f t="shared" si="12"/>
        <v>290305.71920000005</v>
      </c>
      <c r="AV31" s="135">
        <f t="shared" si="12"/>
        <v>297205.14880000002</v>
      </c>
      <c r="AW31" s="135">
        <f t="shared" si="12"/>
        <v>304104.57840000006</v>
      </c>
      <c r="AX31" s="135">
        <f t="shared" si="12"/>
        <v>311004.00800000003</v>
      </c>
      <c r="AY31" s="135">
        <f t="shared" si="12"/>
        <v>317903.4376</v>
      </c>
      <c r="AZ31" s="135">
        <f t="shared" si="12"/>
        <v>324802.86720000004</v>
      </c>
      <c r="BA31" s="135">
        <f t="shared" si="12"/>
        <v>331702.29680000007</v>
      </c>
      <c r="BB31" s="135">
        <f t="shared" si="12"/>
        <v>338601.7264000001</v>
      </c>
      <c r="BC31" s="135">
        <f t="shared" si="12"/>
        <v>345501.15600000013</v>
      </c>
      <c r="BD31" s="135">
        <f t="shared" si="12"/>
        <v>352400.58560000017</v>
      </c>
      <c r="BE31" s="135">
        <f t="shared" si="12"/>
        <v>359300.0152000002</v>
      </c>
      <c r="BF31" s="135">
        <f t="shared" si="12"/>
        <v>369795.72877200024</v>
      </c>
      <c r="BG31" s="135">
        <f t="shared" si="12"/>
        <v>380291.44234400027</v>
      </c>
      <c r="BH31" s="135">
        <f t="shared" si="12"/>
        <v>390787.15591600031</v>
      </c>
      <c r="BI31" s="135">
        <f t="shared" si="12"/>
        <v>400574.53615466692</v>
      </c>
      <c r="BJ31" s="135">
        <f t="shared" si="12"/>
        <v>410388.69960504491</v>
      </c>
      <c r="BK31" s="135">
        <f t="shared" si="12"/>
        <v>420229.8694605651</v>
      </c>
      <c r="BL31" s="135">
        <f t="shared" si="12"/>
        <v>430098.2707746037</v>
      </c>
      <c r="BM31" s="135">
        <f t="shared" si="12"/>
        <v>439994.13047598174</v>
      </c>
      <c r="BN31" s="135">
        <f t="shared" si="12"/>
        <v>449917.67738459364</v>
      </c>
      <c r="BO31" s="135">
        <f t="shared" si="12"/>
        <v>459869.14222716639</v>
      </c>
      <c r="BP31" s="135">
        <f t="shared" si="12"/>
        <v>469848.7576531496</v>
      </c>
      <c r="BQ31" s="135">
        <f t="shared" si="12"/>
        <v>479856.75825073849</v>
      </c>
    </row>
    <row r="32" spans="3:69" ht="10.199999999999999"/>
    <row r="33" spans="1:69" ht="11.4">
      <c r="C33" s="128" t="s">
        <v>99</v>
      </c>
    </row>
    <row r="34" spans="1:69" ht="10.199999999999999">
      <c r="D34" s="139" t="s">
        <v>99</v>
      </c>
      <c r="J34" s="124">
        <f>Capital!J35</f>
        <v>250000</v>
      </c>
      <c r="K34" s="124">
        <f>Capital!K35</f>
        <v>250000</v>
      </c>
      <c r="L34" s="124">
        <f>Capital!L35</f>
        <v>250000</v>
      </c>
      <c r="M34" s="124">
        <f>Capital!M35</f>
        <v>250000</v>
      </c>
      <c r="N34" s="124">
        <f>Capital!N35</f>
        <v>250000</v>
      </c>
      <c r="O34" s="124">
        <f>Capital!O35</f>
        <v>250000</v>
      </c>
      <c r="P34" s="124">
        <f>Capital!P35</f>
        <v>250000</v>
      </c>
      <c r="Q34" s="124">
        <f>Capital!Q35</f>
        <v>250000</v>
      </c>
      <c r="R34" s="124">
        <f>Capital!R35</f>
        <v>250000</v>
      </c>
      <c r="S34" s="124">
        <f>Capital!S35</f>
        <v>250000</v>
      </c>
      <c r="T34" s="124">
        <f>Capital!T35</f>
        <v>250000</v>
      </c>
      <c r="U34" s="124">
        <f>Capital!U35</f>
        <v>240000</v>
      </c>
      <c r="V34" s="124">
        <f>Capital!V35</f>
        <v>240000</v>
      </c>
      <c r="W34" s="124">
        <f>Capital!W35</f>
        <v>240000</v>
      </c>
      <c r="X34" s="124">
        <f>Capital!X35</f>
        <v>240000</v>
      </c>
      <c r="Y34" s="124">
        <f>Capital!Y35</f>
        <v>240000</v>
      </c>
      <c r="Z34" s="124">
        <f>Capital!Z35</f>
        <v>240000</v>
      </c>
      <c r="AA34" s="124">
        <f>Capital!AA35</f>
        <v>240000</v>
      </c>
      <c r="AB34" s="124">
        <f>Capital!AB35</f>
        <v>240000</v>
      </c>
      <c r="AC34" s="124">
        <f>Capital!AC35</f>
        <v>240000</v>
      </c>
      <c r="AD34" s="124">
        <f>Capital!AD35</f>
        <v>240000</v>
      </c>
      <c r="AE34" s="124">
        <f>Capital!AE35</f>
        <v>240000</v>
      </c>
      <c r="AF34" s="124">
        <f>Capital!AF35</f>
        <v>240000</v>
      </c>
      <c r="AG34" s="124">
        <f>Capital!AG35</f>
        <v>240000</v>
      </c>
      <c r="AH34" s="124">
        <f>Capital!AH35</f>
        <v>240000</v>
      </c>
      <c r="AI34" s="124">
        <f>Capital!AI35</f>
        <v>240000</v>
      </c>
      <c r="AJ34" s="124">
        <f>Capital!AJ35</f>
        <v>240000</v>
      </c>
      <c r="AK34" s="124">
        <f>Capital!AK35</f>
        <v>240000</v>
      </c>
      <c r="AL34" s="124">
        <f>Capital!AL35</f>
        <v>240000</v>
      </c>
      <c r="AM34" s="124">
        <f>Capital!AM35</f>
        <v>240000</v>
      </c>
      <c r="AN34" s="124">
        <f>Capital!AN35</f>
        <v>240000</v>
      </c>
      <c r="AO34" s="124">
        <f>Capital!AO35</f>
        <v>240000</v>
      </c>
      <c r="AP34" s="124">
        <f>Capital!AP35</f>
        <v>240000</v>
      </c>
      <c r="AQ34" s="124">
        <f>Capital!AQ35</f>
        <v>240000</v>
      </c>
      <c r="AR34" s="124">
        <f>Capital!AR35</f>
        <v>240000</v>
      </c>
      <c r="AS34" s="124">
        <f>Capital!AS35</f>
        <v>240000</v>
      </c>
      <c r="AT34" s="124">
        <f>Capital!AT35</f>
        <v>240000</v>
      </c>
      <c r="AU34" s="124">
        <f>Capital!AU35</f>
        <v>240000</v>
      </c>
      <c r="AV34" s="124">
        <f>Capital!AV35</f>
        <v>240000</v>
      </c>
      <c r="AW34" s="124">
        <f>Capital!AW35</f>
        <v>240000</v>
      </c>
      <c r="AX34" s="124">
        <f>Capital!AX35</f>
        <v>240000</v>
      </c>
      <c r="AY34" s="124">
        <f>Capital!AY35</f>
        <v>240000</v>
      </c>
      <c r="AZ34" s="124">
        <f>Capital!AZ35</f>
        <v>240000</v>
      </c>
      <c r="BA34" s="124">
        <f>Capital!BA35</f>
        <v>240000</v>
      </c>
      <c r="BB34" s="124">
        <f>Capital!BB35</f>
        <v>240000</v>
      </c>
      <c r="BC34" s="124">
        <f>Capital!BC35</f>
        <v>240000</v>
      </c>
      <c r="BD34" s="124">
        <f>Capital!BD35</f>
        <v>240000</v>
      </c>
      <c r="BE34" s="124">
        <f>Capital!BE35</f>
        <v>240000</v>
      </c>
      <c r="BF34" s="124">
        <f>Capital!BF35</f>
        <v>240000</v>
      </c>
      <c r="BG34" s="124">
        <f>Capital!BG35</f>
        <v>240000</v>
      </c>
      <c r="BH34" s="124">
        <f>Capital!BH35</f>
        <v>240000</v>
      </c>
      <c r="BI34" s="124">
        <f>Capital!BI35</f>
        <v>240000</v>
      </c>
      <c r="BJ34" s="124">
        <f>Capital!BJ35</f>
        <v>240000</v>
      </c>
      <c r="BK34" s="124">
        <f>Capital!BK35</f>
        <v>240000</v>
      </c>
      <c r="BL34" s="124">
        <f>Capital!BL35</f>
        <v>240000</v>
      </c>
      <c r="BM34" s="124">
        <f>Capital!BM35</f>
        <v>240000</v>
      </c>
      <c r="BN34" s="124">
        <f>Capital!BN35</f>
        <v>240000</v>
      </c>
      <c r="BO34" s="124">
        <f>Capital!BO35</f>
        <v>240000</v>
      </c>
      <c r="BP34" s="124">
        <f>Capital!BP35</f>
        <v>240000</v>
      </c>
      <c r="BQ34" s="124">
        <f>Capital!BQ35</f>
        <v>240000</v>
      </c>
    </row>
    <row r="35" spans="1:69" ht="10.8" thickBot="1">
      <c r="D35" s="139" t="s">
        <v>19</v>
      </c>
      <c r="J35" s="137">
        <f>I35+IS!J87+CF!J30</f>
        <v>-1750.0000000000005</v>
      </c>
      <c r="K35" s="137">
        <f>J35+IS!K87+CF!K30</f>
        <v>-1434.4696969696975</v>
      </c>
      <c r="L35" s="137">
        <f>K35+IS!L87+CF!L30</f>
        <v>-297.27272727272771</v>
      </c>
      <c r="M35" s="137">
        <f>L35+IS!M87+CF!M30</f>
        <v>839.92424242424204</v>
      </c>
      <c r="N35" s="137">
        <f>M35+IS!N87+CF!N30</f>
        <v>1977.1212121212118</v>
      </c>
      <c r="O35" s="137">
        <f>N35+IS!O87+CF!O30</f>
        <v>3114.3181818181815</v>
      </c>
      <c r="P35" s="137">
        <f>O35+IS!P87+CF!P30</f>
        <v>4251.515151515151</v>
      </c>
      <c r="Q35" s="137">
        <f>P35+IS!Q87+CF!Q30</f>
        <v>5388.712121212121</v>
      </c>
      <c r="R35" s="137">
        <f>Q35+IS!R87+CF!R30</f>
        <v>6525.909090909091</v>
      </c>
      <c r="S35" s="137">
        <f>R35+IS!S87+CF!S30</f>
        <v>7663.106060606061</v>
      </c>
      <c r="T35" s="137">
        <f>S35+IS!T87+CF!T30</f>
        <v>8800.30303030303</v>
      </c>
      <c r="U35" s="137">
        <f>T35+IS!U87+CF!U30</f>
        <v>9937.5</v>
      </c>
      <c r="V35" s="137">
        <f>U35+IS!V87+CF!V30</f>
        <v>-37882.25</v>
      </c>
      <c r="W35" s="137">
        <f>V35+IS!W87+CF!W30</f>
        <v>-35702</v>
      </c>
      <c r="X35" s="137">
        <f>W35+IS!X87+CF!X30</f>
        <v>-33521.75</v>
      </c>
      <c r="Y35" s="137">
        <f>X35+IS!Y87+CF!Y30</f>
        <v>-31341.5</v>
      </c>
      <c r="Z35" s="137">
        <f>Y35+IS!Z87+CF!Z30</f>
        <v>-29161.25</v>
      </c>
      <c r="AA35" s="137">
        <f>Z35+IS!AA87+CF!AA30</f>
        <v>-26981</v>
      </c>
      <c r="AB35" s="137">
        <f>AA35+IS!AB87+CF!AB30</f>
        <v>-24800.75</v>
      </c>
      <c r="AC35" s="137">
        <f>AB35+IS!AC87+CF!AC30</f>
        <v>-22620.5</v>
      </c>
      <c r="AD35" s="137">
        <f>AC35+IS!AD87+CF!AD30</f>
        <v>-20440.25</v>
      </c>
      <c r="AE35" s="137">
        <f>AD35+IS!AE87+CF!AE30</f>
        <v>-18260</v>
      </c>
      <c r="AF35" s="137">
        <f>AE35+IS!AF87+CF!AF30</f>
        <v>-16079.75</v>
      </c>
      <c r="AG35" s="137">
        <f>AF35+IS!AG87+CF!AG30</f>
        <v>-13899.5</v>
      </c>
      <c r="AH35" s="137">
        <f>AG35+IS!AH87+CF!AH30</f>
        <v>-9698.9699999999957</v>
      </c>
      <c r="AI35" s="137">
        <f>AH35+IS!AI87+CF!AI30</f>
        <v>-5498.4399999999914</v>
      </c>
      <c r="AJ35" s="137">
        <f>AI35+IS!AJ87+CF!AJ30</f>
        <v>-1297.9099999999871</v>
      </c>
      <c r="AK35" s="137">
        <f>AJ35+IS!AK87+CF!AK30</f>
        <v>2902.6200000000172</v>
      </c>
      <c r="AL35" s="137">
        <f>AK35+IS!AL87+CF!AL30</f>
        <v>7103.1500000000215</v>
      </c>
      <c r="AM35" s="137">
        <f>AL35+IS!AM87+CF!AM30</f>
        <v>11303.680000000026</v>
      </c>
      <c r="AN35" s="137">
        <f>AM35+IS!AN87+CF!AN30</f>
        <v>15504.21000000003</v>
      </c>
      <c r="AO35" s="137">
        <f>AN35+IS!AO87+CF!AO30</f>
        <v>19704.740000000034</v>
      </c>
      <c r="AP35" s="137">
        <f>AO35+IS!AP87+CF!AP30</f>
        <v>23905.27000000004</v>
      </c>
      <c r="AQ35" s="137">
        <f>AP35+IS!AQ87+CF!AQ30</f>
        <v>28105.800000000047</v>
      </c>
      <c r="AR35" s="137">
        <f>AQ35+IS!AR87+CF!AR30</f>
        <v>32306.330000000053</v>
      </c>
      <c r="AS35" s="137">
        <f>AR35+IS!AS87+CF!AS30</f>
        <v>36506.860000000059</v>
      </c>
      <c r="AT35" s="137">
        <f>AS35+IS!AT87+CF!AT30</f>
        <v>43406.289600000062</v>
      </c>
      <c r="AU35" s="137">
        <f>AT35+IS!AU87+CF!AU30</f>
        <v>50305.719200000065</v>
      </c>
      <c r="AV35" s="137">
        <f>AU35+IS!AV87+CF!AV30</f>
        <v>57205.148800000068</v>
      </c>
      <c r="AW35" s="137">
        <f>AV35+IS!AW87+CF!AW30</f>
        <v>64104.578400000071</v>
      </c>
      <c r="AX35" s="137">
        <f>AW35+IS!AX87+CF!AX30</f>
        <v>71004.008000000074</v>
      </c>
      <c r="AY35" s="137">
        <f>AX35+IS!AY87+CF!AY30</f>
        <v>77903.437600000078</v>
      </c>
      <c r="AZ35" s="137">
        <f>AY35+IS!AZ87+CF!AZ30</f>
        <v>84802.867200000081</v>
      </c>
      <c r="BA35" s="137">
        <f>AZ35+IS!BA87+CF!BA30</f>
        <v>91702.296800000084</v>
      </c>
      <c r="BB35" s="137">
        <f>BA35+IS!BB87+CF!BB30</f>
        <v>98601.726400000087</v>
      </c>
      <c r="BC35" s="137">
        <f>BB35+IS!BC87+CF!BC30</f>
        <v>105501.15600000009</v>
      </c>
      <c r="BD35" s="137">
        <f>BC35+IS!BD87+CF!BD30</f>
        <v>112400.58560000009</v>
      </c>
      <c r="BE35" s="137">
        <f>BD35+IS!BE87+CF!BE30</f>
        <v>119300.0152000001</v>
      </c>
      <c r="BF35" s="137">
        <f>BE35+IS!BF87+CF!BF30</f>
        <v>129795.7287720001</v>
      </c>
      <c r="BG35" s="137">
        <f>BF35+IS!BG87+CF!BG30</f>
        <v>140291.4423440001</v>
      </c>
      <c r="BH35" s="137">
        <f>BG35+IS!BH87+CF!BH30</f>
        <v>150787.15591600011</v>
      </c>
      <c r="BI35" s="137">
        <f>BH35+IS!BI87+CF!BI30</f>
        <v>160574.53615466677</v>
      </c>
      <c r="BJ35" s="137">
        <f>BI35+IS!BJ87+CF!BJ30</f>
        <v>170388.69960504473</v>
      </c>
      <c r="BK35" s="137">
        <f>BJ35+IS!BK87+CF!BK30</f>
        <v>180229.86946056492</v>
      </c>
      <c r="BL35" s="137">
        <f>BK35+IS!BL87+CF!BL30</f>
        <v>190098.27077460353</v>
      </c>
      <c r="BM35" s="137">
        <f>BL35+IS!BM87+CF!BM30</f>
        <v>199994.13047598154</v>
      </c>
      <c r="BN35" s="137">
        <f>BM35+IS!BN87+CF!BN30</f>
        <v>209917.67738459344</v>
      </c>
      <c r="BO35" s="137">
        <f>BN35+IS!BO87+CF!BO30</f>
        <v>219869.14222716616</v>
      </c>
      <c r="BP35" s="137">
        <f>BO35+IS!BP87+CF!BP30</f>
        <v>229848.7576531494</v>
      </c>
      <c r="BQ35" s="137">
        <f>BP35+IS!BQ87+CF!BQ30</f>
        <v>239856.75825073823</v>
      </c>
    </row>
    <row r="36" spans="1:69" s="107" customFormat="1" ht="12" thickTop="1">
      <c r="C36" s="138" t="s">
        <v>20</v>
      </c>
      <c r="J36" s="135">
        <f>SUM(J34:J35)</f>
        <v>248250</v>
      </c>
      <c r="K36" s="135">
        <f t="shared" ref="K36:BQ36" si="13">SUM(K34:K35)</f>
        <v>248565.5303030303</v>
      </c>
      <c r="L36" s="135">
        <f t="shared" si="13"/>
        <v>249702.72727272726</v>
      </c>
      <c r="M36" s="135">
        <f t="shared" si="13"/>
        <v>250839.92424242425</v>
      </c>
      <c r="N36" s="135">
        <f t="shared" si="13"/>
        <v>251977.12121212122</v>
      </c>
      <c r="O36" s="135">
        <f t="shared" si="13"/>
        <v>253114.31818181818</v>
      </c>
      <c r="P36" s="135">
        <f t="shared" si="13"/>
        <v>254251.51515151514</v>
      </c>
      <c r="Q36" s="135">
        <f t="shared" si="13"/>
        <v>255388.71212121213</v>
      </c>
      <c r="R36" s="135">
        <f t="shared" si="13"/>
        <v>256525.90909090909</v>
      </c>
      <c r="S36" s="135">
        <f t="shared" si="13"/>
        <v>257663.10606060605</v>
      </c>
      <c r="T36" s="135">
        <f t="shared" si="13"/>
        <v>258800.30303030304</v>
      </c>
      <c r="U36" s="135">
        <f t="shared" si="13"/>
        <v>249937.5</v>
      </c>
      <c r="V36" s="135">
        <f t="shared" si="13"/>
        <v>202117.75</v>
      </c>
      <c r="W36" s="135">
        <f t="shared" si="13"/>
        <v>204298</v>
      </c>
      <c r="X36" s="135">
        <f t="shared" si="13"/>
        <v>206478.25</v>
      </c>
      <c r="Y36" s="135">
        <f t="shared" si="13"/>
        <v>208658.5</v>
      </c>
      <c r="Z36" s="135">
        <f t="shared" si="13"/>
        <v>210838.75</v>
      </c>
      <c r="AA36" s="135">
        <f t="shared" si="13"/>
        <v>213019</v>
      </c>
      <c r="AB36" s="135">
        <f t="shared" si="13"/>
        <v>215199.25</v>
      </c>
      <c r="AC36" s="135">
        <f t="shared" si="13"/>
        <v>217379.5</v>
      </c>
      <c r="AD36" s="135">
        <f t="shared" si="13"/>
        <v>219559.75</v>
      </c>
      <c r="AE36" s="135">
        <f t="shared" si="13"/>
        <v>221740</v>
      </c>
      <c r="AF36" s="135">
        <f t="shared" si="13"/>
        <v>223920.25</v>
      </c>
      <c r="AG36" s="135">
        <f t="shared" si="13"/>
        <v>226100.5</v>
      </c>
      <c r="AH36" s="135">
        <f t="shared" si="13"/>
        <v>230301.03</v>
      </c>
      <c r="AI36" s="135">
        <f t="shared" si="13"/>
        <v>234501.56</v>
      </c>
      <c r="AJ36" s="135">
        <f t="shared" si="13"/>
        <v>238702.09000000003</v>
      </c>
      <c r="AK36" s="135">
        <f t="shared" si="13"/>
        <v>242902.62000000002</v>
      </c>
      <c r="AL36" s="135">
        <f t="shared" si="13"/>
        <v>247103.15000000002</v>
      </c>
      <c r="AM36" s="135">
        <f t="shared" si="13"/>
        <v>251303.68000000002</v>
      </c>
      <c r="AN36" s="135">
        <f t="shared" si="13"/>
        <v>255504.21000000002</v>
      </c>
      <c r="AO36" s="135">
        <f t="shared" si="13"/>
        <v>259704.74000000005</v>
      </c>
      <c r="AP36" s="135">
        <f t="shared" si="13"/>
        <v>263905.27</v>
      </c>
      <c r="AQ36" s="135">
        <f t="shared" si="13"/>
        <v>268105.80000000005</v>
      </c>
      <c r="AR36" s="135">
        <f t="shared" si="13"/>
        <v>272306.33000000007</v>
      </c>
      <c r="AS36" s="135">
        <f t="shared" si="13"/>
        <v>276506.86000000004</v>
      </c>
      <c r="AT36" s="135">
        <f t="shared" si="13"/>
        <v>283406.28960000008</v>
      </c>
      <c r="AU36" s="135">
        <f t="shared" si="13"/>
        <v>290305.71920000005</v>
      </c>
      <c r="AV36" s="135">
        <f t="shared" si="13"/>
        <v>297205.14880000008</v>
      </c>
      <c r="AW36" s="135">
        <f t="shared" si="13"/>
        <v>304104.57840000006</v>
      </c>
      <c r="AX36" s="135">
        <f t="shared" si="13"/>
        <v>311004.00800000009</v>
      </c>
      <c r="AY36" s="135">
        <f t="shared" si="13"/>
        <v>317903.43760000006</v>
      </c>
      <c r="AZ36" s="135">
        <f t="shared" si="13"/>
        <v>324802.8672000001</v>
      </c>
      <c r="BA36" s="135">
        <f t="shared" si="13"/>
        <v>331702.29680000007</v>
      </c>
      <c r="BB36" s="135">
        <f t="shared" si="13"/>
        <v>338601.7264000001</v>
      </c>
      <c r="BC36" s="135">
        <f t="shared" si="13"/>
        <v>345501.15600000008</v>
      </c>
      <c r="BD36" s="135">
        <f t="shared" si="13"/>
        <v>352400.58560000011</v>
      </c>
      <c r="BE36" s="135">
        <f t="shared" si="13"/>
        <v>359300.01520000008</v>
      </c>
      <c r="BF36" s="135">
        <f t="shared" si="13"/>
        <v>369795.72877200012</v>
      </c>
      <c r="BG36" s="135">
        <f t="shared" si="13"/>
        <v>380291.4423440001</v>
      </c>
      <c r="BH36" s="135">
        <f t="shared" si="13"/>
        <v>390787.15591600013</v>
      </c>
      <c r="BI36" s="135">
        <f t="shared" si="13"/>
        <v>400574.5361546668</v>
      </c>
      <c r="BJ36" s="135">
        <f t="shared" si="13"/>
        <v>410388.69960504473</v>
      </c>
      <c r="BK36" s="135">
        <f t="shared" si="13"/>
        <v>420229.86946056492</v>
      </c>
      <c r="BL36" s="135">
        <f t="shared" si="13"/>
        <v>430098.27077460353</v>
      </c>
      <c r="BM36" s="135">
        <f t="shared" si="13"/>
        <v>439994.13047598151</v>
      </c>
      <c r="BN36" s="135">
        <f t="shared" si="13"/>
        <v>449917.67738459341</v>
      </c>
      <c r="BO36" s="135">
        <f t="shared" si="13"/>
        <v>459869.14222716616</v>
      </c>
      <c r="BP36" s="135">
        <f t="shared" si="13"/>
        <v>469848.75765314943</v>
      </c>
      <c r="BQ36" s="135">
        <f t="shared" si="13"/>
        <v>479856.75825073826</v>
      </c>
    </row>
    <row r="37" spans="1:69" ht="10.199999999999999"/>
    <row r="38" spans="1:69" ht="10.199999999999999">
      <c r="A38" s="91"/>
      <c r="B38" s="91"/>
      <c r="C38" s="92" t="s">
        <v>78</v>
      </c>
      <c r="D38" s="91"/>
      <c r="E38" s="91"/>
      <c r="F38" s="91"/>
      <c r="G38" s="91"/>
      <c r="H38" s="91"/>
      <c r="I38" s="91"/>
      <c r="J38" s="141">
        <f t="shared" ref="J38:AO38" si="14">ROUND(J31-J36,)</f>
        <v>0</v>
      </c>
      <c r="K38" s="141">
        <f t="shared" si="14"/>
        <v>0</v>
      </c>
      <c r="L38" s="141">
        <f t="shared" si="14"/>
        <v>0</v>
      </c>
      <c r="M38" s="141">
        <f t="shared" si="14"/>
        <v>0</v>
      </c>
      <c r="N38" s="141">
        <f t="shared" si="14"/>
        <v>0</v>
      </c>
      <c r="O38" s="141">
        <f t="shared" si="14"/>
        <v>0</v>
      </c>
      <c r="P38" s="141">
        <f t="shared" si="14"/>
        <v>0</v>
      </c>
      <c r="Q38" s="141">
        <f t="shared" si="14"/>
        <v>0</v>
      </c>
      <c r="R38" s="141">
        <f t="shared" si="14"/>
        <v>0</v>
      </c>
      <c r="S38" s="141">
        <f t="shared" si="14"/>
        <v>0</v>
      </c>
      <c r="T38" s="141">
        <f t="shared" si="14"/>
        <v>0</v>
      </c>
      <c r="U38" s="141">
        <f t="shared" si="14"/>
        <v>0</v>
      </c>
      <c r="V38" s="141">
        <f t="shared" si="14"/>
        <v>0</v>
      </c>
      <c r="W38" s="141">
        <f t="shared" si="14"/>
        <v>0</v>
      </c>
      <c r="X38" s="141">
        <f t="shared" si="14"/>
        <v>0</v>
      </c>
      <c r="Y38" s="141">
        <f t="shared" si="14"/>
        <v>0</v>
      </c>
      <c r="Z38" s="141">
        <f t="shared" si="14"/>
        <v>0</v>
      </c>
      <c r="AA38" s="141">
        <f t="shared" si="14"/>
        <v>0</v>
      </c>
      <c r="AB38" s="141">
        <f t="shared" si="14"/>
        <v>0</v>
      </c>
      <c r="AC38" s="141">
        <f t="shared" si="14"/>
        <v>0</v>
      </c>
      <c r="AD38" s="141">
        <f t="shared" si="14"/>
        <v>0</v>
      </c>
      <c r="AE38" s="141">
        <f t="shared" si="14"/>
        <v>0</v>
      </c>
      <c r="AF38" s="141">
        <f t="shared" si="14"/>
        <v>0</v>
      </c>
      <c r="AG38" s="141">
        <f t="shared" si="14"/>
        <v>0</v>
      </c>
      <c r="AH38" s="141">
        <f t="shared" si="14"/>
        <v>0</v>
      </c>
      <c r="AI38" s="141">
        <f t="shared" si="14"/>
        <v>0</v>
      </c>
      <c r="AJ38" s="141">
        <f t="shared" si="14"/>
        <v>0</v>
      </c>
      <c r="AK38" s="141">
        <f t="shared" si="14"/>
        <v>0</v>
      </c>
      <c r="AL38" s="141">
        <f t="shared" si="14"/>
        <v>0</v>
      </c>
      <c r="AM38" s="141">
        <f t="shared" si="14"/>
        <v>0</v>
      </c>
      <c r="AN38" s="141">
        <f t="shared" si="14"/>
        <v>0</v>
      </c>
      <c r="AO38" s="141">
        <f t="shared" si="14"/>
        <v>0</v>
      </c>
      <c r="AP38" s="141">
        <f t="shared" ref="AP38:BQ38" si="15">ROUND(AP31-AP36,)</f>
        <v>0</v>
      </c>
      <c r="AQ38" s="141">
        <f t="shared" si="15"/>
        <v>0</v>
      </c>
      <c r="AR38" s="141">
        <f t="shared" si="15"/>
        <v>0</v>
      </c>
      <c r="AS38" s="141">
        <f t="shared" si="15"/>
        <v>0</v>
      </c>
      <c r="AT38" s="141">
        <f t="shared" si="15"/>
        <v>0</v>
      </c>
      <c r="AU38" s="141">
        <f t="shared" si="15"/>
        <v>0</v>
      </c>
      <c r="AV38" s="141">
        <f t="shared" si="15"/>
        <v>0</v>
      </c>
      <c r="AW38" s="141">
        <f t="shared" si="15"/>
        <v>0</v>
      </c>
      <c r="AX38" s="141">
        <f t="shared" si="15"/>
        <v>0</v>
      </c>
      <c r="AY38" s="141">
        <f t="shared" si="15"/>
        <v>0</v>
      </c>
      <c r="AZ38" s="141">
        <f t="shared" si="15"/>
        <v>0</v>
      </c>
      <c r="BA38" s="141">
        <f t="shared" si="15"/>
        <v>0</v>
      </c>
      <c r="BB38" s="141">
        <f t="shared" si="15"/>
        <v>0</v>
      </c>
      <c r="BC38" s="141">
        <f t="shared" si="15"/>
        <v>0</v>
      </c>
      <c r="BD38" s="141">
        <f t="shared" si="15"/>
        <v>0</v>
      </c>
      <c r="BE38" s="141">
        <f t="shared" si="15"/>
        <v>0</v>
      </c>
      <c r="BF38" s="141">
        <f t="shared" si="15"/>
        <v>0</v>
      </c>
      <c r="BG38" s="141">
        <f t="shared" si="15"/>
        <v>0</v>
      </c>
      <c r="BH38" s="141">
        <f t="shared" si="15"/>
        <v>0</v>
      </c>
      <c r="BI38" s="141">
        <f t="shared" si="15"/>
        <v>0</v>
      </c>
      <c r="BJ38" s="141">
        <f t="shared" si="15"/>
        <v>0</v>
      </c>
      <c r="BK38" s="141">
        <f t="shared" si="15"/>
        <v>0</v>
      </c>
      <c r="BL38" s="141">
        <f t="shared" si="15"/>
        <v>0</v>
      </c>
      <c r="BM38" s="141">
        <f t="shared" si="15"/>
        <v>0</v>
      </c>
      <c r="BN38" s="141">
        <f t="shared" si="15"/>
        <v>0</v>
      </c>
      <c r="BO38" s="141">
        <f t="shared" si="15"/>
        <v>0</v>
      </c>
      <c r="BP38" s="141">
        <f t="shared" si="15"/>
        <v>0</v>
      </c>
      <c r="BQ38" s="141">
        <f t="shared" si="15"/>
        <v>0</v>
      </c>
    </row>
  </sheetData>
  <pageMargins left="0.5" right="0.5" top="0.25" bottom="0.25" header="0" footer="0.25"/>
  <pageSetup paperSize="9" scale="82" fitToWidth="5" orientation="landscape" r:id="rId1"/>
  <headerFooter>
    <oddFooter>&amp;L&amp;12Built with finmodelslab.com template&amp;C&amp;12Balance Sheet&amp;R&amp;D</oddFooter>
  </headerFooter>
  <colBreaks count="4" manualBreakCount="4">
    <brk id="21" max="80" man="1"/>
    <brk id="33" max="80" man="1"/>
    <brk id="45" max="80" man="1"/>
    <brk id="57" max="80"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5" tint="0.39997558519241921"/>
    <pageSetUpPr autoPageBreaks="0"/>
  </sheetPr>
  <dimension ref="A1:AE83"/>
  <sheetViews>
    <sheetView showGridLines="0" zoomScale="70" zoomScaleNormal="70" zoomScaleSheetLayoutView="70" workbookViewId="0">
      <pane ySplit="4" topLeftCell="A10" activePane="bottomLeft" state="frozen"/>
      <selection sqref="A1:A1048576"/>
      <selection pane="bottomLeft" activeCell="AC4" sqref="AC4"/>
    </sheetView>
  </sheetViews>
  <sheetFormatPr defaultColWidth="0" defaultRowHeight="10.5" customHeight="1"/>
  <cols>
    <col min="1" max="1" width="5.85546875" style="122" customWidth="1"/>
    <col min="2" max="5" width="3.7109375" style="122" customWidth="1"/>
    <col min="6" max="6" width="2.140625" style="122" customWidth="1"/>
    <col min="7" max="7" width="3.7109375" style="122" customWidth="1"/>
    <col min="8" max="8" width="4.42578125" style="122" customWidth="1"/>
    <col min="9" max="9" width="3.7109375" style="122" customWidth="1"/>
    <col min="10" max="14" width="12.28515625" style="122" customWidth="1"/>
    <col min="15" max="15" width="3" style="122" bestFit="1" customWidth="1"/>
    <col min="16" max="27" width="13.140625" style="122" customWidth="1"/>
    <col min="28" max="29" width="2.42578125" style="122" customWidth="1"/>
    <col min="30" max="30" width="2" style="122" customWidth="1"/>
    <col min="31" max="31" width="2.42578125" style="122" hidden="1" customWidth="1"/>
    <col min="32" max="16384" width="2.42578125" style="122" hidden="1"/>
  </cols>
  <sheetData>
    <row r="1" spans="1:31" s="189" customFormat="1" ht="10.5" customHeight="1"/>
    <row r="2" spans="1:31" s="84" customFormat="1" ht="17.399999999999999">
      <c r="A2" s="192"/>
      <c r="B2" s="177" t="s">
        <v>154</v>
      </c>
      <c r="C2" s="162"/>
      <c r="D2" s="162"/>
      <c r="E2" s="162"/>
      <c r="F2" s="162"/>
      <c r="G2" s="162"/>
      <c r="H2" s="162"/>
      <c r="I2" s="162"/>
      <c r="J2" s="162"/>
      <c r="K2" s="162"/>
      <c r="L2" s="162"/>
      <c r="M2" s="162"/>
      <c r="N2" s="162"/>
      <c r="O2" s="162"/>
      <c r="P2" s="162"/>
      <c r="Q2" s="162"/>
      <c r="R2" s="162"/>
      <c r="S2" s="162"/>
      <c r="T2" s="163"/>
      <c r="U2" s="163"/>
      <c r="V2" s="163"/>
      <c r="W2" s="162"/>
      <c r="X2" s="162"/>
      <c r="Y2" s="162"/>
      <c r="Z2" s="162"/>
      <c r="AA2" s="162"/>
      <c r="AB2" s="173"/>
      <c r="AC2" s="189"/>
      <c r="AD2" s="189"/>
      <c r="AE2" s="189"/>
    </row>
    <row r="3" spans="1:31" s="84" customFormat="1" ht="15">
      <c r="A3" s="192"/>
      <c r="B3" s="178" t="s">
        <v>163</v>
      </c>
      <c r="C3" s="154"/>
      <c r="D3" s="154"/>
      <c r="E3" s="154"/>
      <c r="F3" s="154"/>
      <c r="G3" s="154"/>
      <c r="H3" s="154"/>
      <c r="I3" s="154"/>
      <c r="J3" s="154"/>
      <c r="K3" s="154"/>
      <c r="L3" s="154"/>
      <c r="M3" s="154"/>
      <c r="N3" s="154"/>
      <c r="O3" s="154"/>
      <c r="P3" s="154"/>
      <c r="Q3" s="154"/>
      <c r="R3" s="154"/>
      <c r="S3" s="158"/>
      <c r="T3" s="164" t="s">
        <v>120</v>
      </c>
      <c r="U3" s="152">
        <v>2018</v>
      </c>
      <c r="V3" s="158"/>
      <c r="W3" s="154"/>
      <c r="X3" s="158"/>
      <c r="Y3" s="158"/>
      <c r="Z3" s="158"/>
      <c r="AA3" s="158"/>
      <c r="AB3" s="174"/>
      <c r="AC3" s="189"/>
      <c r="AD3" s="189"/>
      <c r="AE3" s="189"/>
    </row>
    <row r="4" spans="1:31" s="84" customFormat="1" ht="12" customHeight="1">
      <c r="A4" s="192"/>
      <c r="B4" s="179"/>
      <c r="C4" s="165"/>
      <c r="D4" s="165"/>
      <c r="E4" s="165"/>
      <c r="F4" s="165"/>
      <c r="G4" s="166"/>
      <c r="H4" s="166"/>
      <c r="I4" s="165"/>
      <c r="J4" s="166"/>
      <c r="K4" s="166"/>
      <c r="L4" s="154"/>
      <c r="M4" s="154"/>
      <c r="N4" s="154"/>
      <c r="O4" s="154"/>
      <c r="P4" s="154"/>
      <c r="Q4" s="154"/>
      <c r="R4" s="154"/>
      <c r="S4" s="154"/>
      <c r="T4" s="154"/>
      <c r="U4" s="154"/>
      <c r="V4" s="154"/>
      <c r="W4" s="154"/>
      <c r="X4" s="154"/>
      <c r="Y4" s="154"/>
      <c r="Z4" s="154"/>
      <c r="AA4" s="154"/>
      <c r="AB4" s="174"/>
      <c r="AC4" s="189"/>
      <c r="AD4" s="189"/>
      <c r="AE4" s="189"/>
    </row>
    <row r="5" spans="1:31" s="84" customFormat="1" ht="15">
      <c r="A5" s="193"/>
      <c r="B5" s="180" t="str">
        <f>"Income Statement ("&amp;Currency&amp;") - 5 Years to Dec-"&amp;Last_Fin_Year</f>
        <v>Income Statement ($) - 5 Years to Dec-2022</v>
      </c>
      <c r="C5" s="153"/>
      <c r="D5" s="153"/>
      <c r="E5" s="153"/>
      <c r="F5" s="153"/>
      <c r="G5" s="153"/>
      <c r="H5" s="153"/>
      <c r="I5" s="153"/>
      <c r="J5" s="153"/>
      <c r="K5" s="153"/>
      <c r="L5" s="153"/>
      <c r="M5" s="153"/>
      <c r="N5" s="153"/>
      <c r="O5" s="154"/>
      <c r="P5" s="153" t="str">
        <f>"Income Statement ("&amp;Currency&amp;") - "&amp;U3</f>
        <v>Income Statement ($) - 2018</v>
      </c>
      <c r="Q5" s="153"/>
      <c r="R5" s="153"/>
      <c r="S5" s="153"/>
      <c r="T5" s="153"/>
      <c r="U5" s="153"/>
      <c r="V5" s="153"/>
      <c r="W5" s="153"/>
      <c r="X5" s="153"/>
      <c r="Y5" s="153"/>
      <c r="Z5" s="153"/>
      <c r="AA5" s="153"/>
      <c r="AB5" s="174"/>
      <c r="AC5" s="189"/>
      <c r="AD5" s="189"/>
      <c r="AE5" s="189"/>
    </row>
    <row r="6" spans="1:31" s="84" customFormat="1" ht="2.1" customHeight="1">
      <c r="A6" s="192"/>
      <c r="B6" s="181"/>
      <c r="C6" s="154"/>
      <c r="D6" s="154"/>
      <c r="E6" s="154"/>
      <c r="F6" s="154"/>
      <c r="G6" s="154"/>
      <c r="H6" s="154"/>
      <c r="I6" s="154"/>
      <c r="J6" s="154"/>
      <c r="K6" s="154"/>
      <c r="L6" s="154"/>
      <c r="M6" s="154"/>
      <c r="N6" s="154"/>
      <c r="O6" s="154"/>
      <c r="P6" s="154"/>
      <c r="Q6" s="154"/>
      <c r="R6" s="154"/>
      <c r="S6" s="154"/>
      <c r="T6" s="154"/>
      <c r="U6" s="154"/>
      <c r="V6" s="154"/>
      <c r="W6" s="154"/>
      <c r="X6" s="154"/>
      <c r="Y6" s="154"/>
      <c r="Z6" s="154"/>
      <c r="AA6" s="154"/>
      <c r="AB6" s="174"/>
      <c r="AC6" s="189"/>
      <c r="AD6" s="189"/>
      <c r="AE6" s="189"/>
    </row>
    <row r="7" spans="1:31" s="84" customFormat="1" ht="10.199999999999999">
      <c r="A7" s="192"/>
      <c r="B7" s="182" t="s">
        <v>72</v>
      </c>
      <c r="C7" s="154"/>
      <c r="D7" s="154"/>
      <c r="E7" s="154"/>
      <c r="F7" s="154"/>
      <c r="G7" s="154"/>
      <c r="H7" s="154"/>
      <c r="I7" s="154"/>
      <c r="J7" s="167">
        <f>Dashboard!H13</f>
        <v>2018</v>
      </c>
      <c r="K7" s="167">
        <f>Dashboard!I13</f>
        <v>2019</v>
      </c>
      <c r="L7" s="167">
        <f>Dashboard!J13</f>
        <v>2020</v>
      </c>
      <c r="M7" s="167">
        <f>Dashboard!K13</f>
        <v>2021</v>
      </c>
      <c r="N7" s="167">
        <f>Dashboard!L13</f>
        <v>2022</v>
      </c>
      <c r="O7" s="154"/>
      <c r="P7" s="168">
        <f>DATE($U$3,1,31)</f>
        <v>43131</v>
      </c>
      <c r="Q7" s="168">
        <f>EOMONTH(P7,1)</f>
        <v>43159</v>
      </c>
      <c r="R7" s="168">
        <f t="shared" ref="R7:AA7" si="0">EOMONTH(Q7,1)</f>
        <v>43190</v>
      </c>
      <c r="S7" s="168">
        <f t="shared" si="0"/>
        <v>43220</v>
      </c>
      <c r="T7" s="168">
        <f t="shared" si="0"/>
        <v>43251</v>
      </c>
      <c r="U7" s="168">
        <f t="shared" si="0"/>
        <v>43281</v>
      </c>
      <c r="V7" s="168">
        <f t="shared" si="0"/>
        <v>43312</v>
      </c>
      <c r="W7" s="168">
        <f t="shared" si="0"/>
        <v>43343</v>
      </c>
      <c r="X7" s="168">
        <f t="shared" si="0"/>
        <v>43373</v>
      </c>
      <c r="Y7" s="168">
        <f t="shared" si="0"/>
        <v>43404</v>
      </c>
      <c r="Z7" s="168">
        <f t="shared" si="0"/>
        <v>43434</v>
      </c>
      <c r="AA7" s="168">
        <f t="shared" si="0"/>
        <v>43465</v>
      </c>
      <c r="AB7" s="174"/>
      <c r="AC7" s="189"/>
      <c r="AD7" s="189"/>
      <c r="AE7" s="189"/>
    </row>
    <row r="8" spans="1:31" s="84" customFormat="1" ht="10.199999999999999">
      <c r="A8" s="192"/>
      <c r="B8" s="183" t="s">
        <v>0</v>
      </c>
      <c r="C8" s="154"/>
      <c r="D8" s="154"/>
      <c r="E8" s="154"/>
      <c r="F8" s="154"/>
      <c r="G8" s="154"/>
      <c r="H8" s="154"/>
      <c r="I8" s="154"/>
      <c r="J8" s="157">
        <f>SUMIF(IS!$4:$4,J$7,IS!21:21)</f>
        <v>109999.99999999999</v>
      </c>
      <c r="K8" s="157">
        <f>SUMIF(IS!$4:$4,K$7,IS!21:21)</f>
        <v>145200</v>
      </c>
      <c r="L8" s="157">
        <f>SUMIF(IS!$4:$4,L$7,IS!21:21)</f>
        <v>191664.00000000003</v>
      </c>
      <c r="M8" s="157">
        <f>SUMIF(IS!$4:$4,M$7,IS!21:21)</f>
        <v>252996.4800000001</v>
      </c>
      <c r="N8" s="157">
        <f>SUMIF(IS!$4:$4,N$7,IS!21:21)</f>
        <v>333955.35360000009</v>
      </c>
      <c r="O8" s="154"/>
      <c r="P8" s="157">
        <f>SUMIF(IS!$6:$6,P$7,IS!21:21)</f>
        <v>2500</v>
      </c>
      <c r="Q8" s="157">
        <f>SUMIF(IS!$6:$6,Q$7,IS!21:21)</f>
        <v>7045.454545454545</v>
      </c>
      <c r="R8" s="157">
        <f>SUMIF(IS!$6:$6,R$7,IS!21:21)</f>
        <v>10045.454545454544</v>
      </c>
      <c r="S8" s="157">
        <f>SUMIF(IS!$6:$6,S$7,IS!21:21)</f>
        <v>10045.454545454544</v>
      </c>
      <c r="T8" s="157">
        <f>SUMIF(IS!$6:$6,T$7,IS!21:21)</f>
        <v>10045.454545454544</v>
      </c>
      <c r="U8" s="157">
        <f>SUMIF(IS!$6:$6,U$7,IS!21:21)</f>
        <v>10045.454545454544</v>
      </c>
      <c r="V8" s="157">
        <f>SUMIF(IS!$6:$6,V$7,IS!21:21)</f>
        <v>10045.454545454544</v>
      </c>
      <c r="W8" s="157">
        <f>SUMIF(IS!$6:$6,W$7,IS!21:21)</f>
        <v>10045.454545454544</v>
      </c>
      <c r="X8" s="157">
        <f>SUMIF(IS!$6:$6,X$7,IS!21:21)</f>
        <v>10045.454545454544</v>
      </c>
      <c r="Y8" s="157">
        <f>SUMIF(IS!$6:$6,Y$7,IS!21:21)</f>
        <v>10045.454545454544</v>
      </c>
      <c r="Z8" s="157">
        <f>SUMIF(IS!$6:$6,Z$7,IS!21:21)</f>
        <v>10045.454545454544</v>
      </c>
      <c r="AA8" s="157">
        <f>SUMIF(IS!$6:$6,AA$7,IS!21:21)</f>
        <v>10045.454545454544</v>
      </c>
      <c r="AB8" s="174"/>
      <c r="AC8" s="189"/>
      <c r="AD8" s="189"/>
      <c r="AE8" s="189"/>
    </row>
    <row r="9" spans="1:31" s="84" customFormat="1" ht="10.199999999999999">
      <c r="A9" s="192"/>
      <c r="B9" s="184" t="s">
        <v>31</v>
      </c>
      <c r="C9" s="154"/>
      <c r="D9" s="154"/>
      <c r="E9" s="154"/>
      <c r="F9" s="154"/>
      <c r="G9" s="154"/>
      <c r="H9" s="154"/>
      <c r="I9" s="154"/>
      <c r="J9" s="154"/>
      <c r="K9" s="169">
        <f>IF(J8=0,0,K8/J8-1)</f>
        <v>0.32000000000000028</v>
      </c>
      <c r="L9" s="169">
        <f>IF(K8=0,0,L8/K8-1)</f>
        <v>0.32000000000000028</v>
      </c>
      <c r="M9" s="169">
        <f>IF(L8=0,0,M8/L8-1)</f>
        <v>0.32000000000000028</v>
      </c>
      <c r="N9" s="169">
        <f>IF(M8=0,0,N8/M8-1)</f>
        <v>0.31999999999999984</v>
      </c>
      <c r="O9" s="154"/>
      <c r="P9" s="169"/>
      <c r="Q9" s="169">
        <f t="shared" ref="Q9:AA9" si="1">IF(P8=0,0,Q8/P8-1)</f>
        <v>1.8181818181818179</v>
      </c>
      <c r="R9" s="169">
        <f t="shared" si="1"/>
        <v>0.4258064516129032</v>
      </c>
      <c r="S9" s="169">
        <f t="shared" si="1"/>
        <v>0</v>
      </c>
      <c r="T9" s="169">
        <f t="shared" si="1"/>
        <v>0</v>
      </c>
      <c r="U9" s="169">
        <f t="shared" si="1"/>
        <v>0</v>
      </c>
      <c r="V9" s="169">
        <f t="shared" si="1"/>
        <v>0</v>
      </c>
      <c r="W9" s="169">
        <f t="shared" si="1"/>
        <v>0</v>
      </c>
      <c r="X9" s="169">
        <f t="shared" si="1"/>
        <v>0</v>
      </c>
      <c r="Y9" s="169">
        <f t="shared" si="1"/>
        <v>0</v>
      </c>
      <c r="Z9" s="169">
        <f t="shared" si="1"/>
        <v>0</v>
      </c>
      <c r="AA9" s="169">
        <f t="shared" si="1"/>
        <v>0</v>
      </c>
      <c r="AB9" s="174"/>
      <c r="AC9" s="189"/>
      <c r="AD9" s="189"/>
      <c r="AE9" s="189"/>
    </row>
    <row r="10" spans="1:31" s="84" customFormat="1" ht="10.199999999999999">
      <c r="A10" s="192"/>
      <c r="B10" s="181" t="s">
        <v>50</v>
      </c>
      <c r="C10" s="154"/>
      <c r="D10" s="154"/>
      <c r="E10" s="154"/>
      <c r="F10" s="154"/>
      <c r="G10" s="154"/>
      <c r="H10" s="154"/>
      <c r="I10" s="154"/>
      <c r="J10" s="157">
        <f>SUMIF(IS!$4:$4,J$7,IS!$27:$27)</f>
        <v>-33000</v>
      </c>
      <c r="K10" s="157">
        <f>SUMIF(IS!$4:$4,K$7,IS!$27:$27)</f>
        <v>-43560</v>
      </c>
      <c r="L10" s="157">
        <f>SUMIF(IS!$4:$4,L$7,IS!$27:$27)</f>
        <v>-57499.200000000004</v>
      </c>
      <c r="M10" s="157">
        <f>SUMIF(IS!$4:$4,M$7,IS!$27:$27)</f>
        <v>-75898.944000000032</v>
      </c>
      <c r="N10" s="157">
        <f>SUMIF(IS!$4:$4,N$7,IS!$27:$27)</f>
        <v>-100186.60608</v>
      </c>
      <c r="O10" s="154"/>
      <c r="P10" s="157">
        <f>SUMIF(IS!$6:$6,P$7,IS!$27:$27)</f>
        <v>-625</v>
      </c>
      <c r="Q10" s="157">
        <f>SUMIF(IS!$6:$6,Q$7,IS!$27:$27)</f>
        <v>-1988.6363636363635</v>
      </c>
      <c r="R10" s="157">
        <f>SUMIF(IS!$6:$6,R$7,IS!$27:$27)</f>
        <v>-3038.6363636363635</v>
      </c>
      <c r="S10" s="157">
        <f>SUMIF(IS!$6:$6,S$7,IS!$27:$27)</f>
        <v>-3038.6363636363635</v>
      </c>
      <c r="T10" s="157">
        <f>SUMIF(IS!$6:$6,T$7,IS!$27:$27)</f>
        <v>-3038.6363636363635</v>
      </c>
      <c r="U10" s="157">
        <f>SUMIF(IS!$6:$6,U$7,IS!$27:$27)</f>
        <v>-3038.6363636363635</v>
      </c>
      <c r="V10" s="157">
        <f>SUMIF(IS!$6:$6,V$7,IS!$27:$27)</f>
        <v>-3038.6363636363635</v>
      </c>
      <c r="W10" s="157">
        <f>SUMIF(IS!$6:$6,W$7,IS!$27:$27)</f>
        <v>-3038.6363636363635</v>
      </c>
      <c r="X10" s="157">
        <f>SUMIF(IS!$6:$6,X$7,IS!$27:$27)</f>
        <v>-3038.6363636363635</v>
      </c>
      <c r="Y10" s="157">
        <f>SUMIF(IS!$6:$6,Y$7,IS!$27:$27)</f>
        <v>-3038.6363636363635</v>
      </c>
      <c r="Z10" s="157">
        <f>SUMIF(IS!$6:$6,Z$7,IS!$27:$27)</f>
        <v>-3038.6363636363635</v>
      </c>
      <c r="AA10" s="157">
        <f>SUMIF(IS!$6:$6,AA$7,IS!$27:$27)</f>
        <v>-3038.6363636363635</v>
      </c>
      <c r="AB10" s="174"/>
      <c r="AC10" s="189"/>
      <c r="AD10" s="189"/>
      <c r="AE10" s="189"/>
    </row>
    <row r="11" spans="1:31" s="84" customFormat="1" ht="10.199999999999999">
      <c r="A11" s="192"/>
      <c r="B11" s="184" t="s">
        <v>32</v>
      </c>
      <c r="C11" s="154"/>
      <c r="D11" s="154"/>
      <c r="E11" s="154"/>
      <c r="F11" s="154"/>
      <c r="G11" s="154"/>
      <c r="H11" s="154"/>
      <c r="I11" s="154"/>
      <c r="J11" s="169">
        <f>IF(J$8=0,0,J10/J$8)</f>
        <v>-0.30000000000000004</v>
      </c>
      <c r="K11" s="169">
        <f t="shared" ref="K11:P11" si="2">IF(K$8=0,0,K10/K$8)</f>
        <v>-0.3</v>
      </c>
      <c r="L11" s="169">
        <f t="shared" si="2"/>
        <v>-0.3</v>
      </c>
      <c r="M11" s="169">
        <f t="shared" si="2"/>
        <v>-0.3</v>
      </c>
      <c r="N11" s="169">
        <f t="shared" si="2"/>
        <v>-0.29999999999999993</v>
      </c>
      <c r="O11" s="154"/>
      <c r="P11" s="169">
        <f t="shared" si="2"/>
        <v>-0.25</v>
      </c>
      <c r="Q11" s="169">
        <f t="shared" ref="Q11" si="3">IF(Q$8=0,0,Q10/Q$8)</f>
        <v>-0.282258064516129</v>
      </c>
      <c r="R11" s="169">
        <f t="shared" ref="R11" si="4">IF(R$8=0,0,R10/R$8)</f>
        <v>-0.30248868778280547</v>
      </c>
      <c r="S11" s="169">
        <f t="shared" ref="S11" si="5">IF(S$8=0,0,S10/S$8)</f>
        <v>-0.30248868778280547</v>
      </c>
      <c r="T11" s="169">
        <f t="shared" ref="T11" si="6">IF(T$8=0,0,T10/T$8)</f>
        <v>-0.30248868778280547</v>
      </c>
      <c r="U11" s="169">
        <f t="shared" ref="U11" si="7">IF(U$8=0,0,U10/U$8)</f>
        <v>-0.30248868778280547</v>
      </c>
      <c r="V11" s="169">
        <f t="shared" ref="V11" si="8">IF(V$8=0,0,V10/V$8)</f>
        <v>-0.30248868778280547</v>
      </c>
      <c r="W11" s="169">
        <f t="shared" ref="W11" si="9">IF(W$8=0,0,W10/W$8)</f>
        <v>-0.30248868778280547</v>
      </c>
      <c r="X11" s="169">
        <f t="shared" ref="X11" si="10">IF(X$8=0,0,X10/X$8)</f>
        <v>-0.30248868778280547</v>
      </c>
      <c r="Y11" s="169">
        <f t="shared" ref="Y11" si="11">IF(Y$8=0,0,Y10/Y$8)</f>
        <v>-0.30248868778280547</v>
      </c>
      <c r="Z11" s="169">
        <f t="shared" ref="Z11" si="12">IF(Z$8=0,0,Z10/Z$8)</f>
        <v>-0.30248868778280547</v>
      </c>
      <c r="AA11" s="169">
        <f t="shared" ref="AA11" si="13">IF(AA$8=0,0,AA10/AA$8)</f>
        <v>-0.30248868778280547</v>
      </c>
      <c r="AB11" s="174"/>
      <c r="AC11" s="189"/>
      <c r="AD11" s="189"/>
      <c r="AE11" s="189"/>
    </row>
    <row r="12" spans="1:31" s="84" customFormat="1" ht="10.199999999999999">
      <c r="A12" s="192"/>
      <c r="B12" s="182" t="s">
        <v>48</v>
      </c>
      <c r="C12" s="154"/>
      <c r="D12" s="154"/>
      <c r="E12" s="154"/>
      <c r="F12" s="154"/>
      <c r="G12" s="154"/>
      <c r="H12" s="154"/>
      <c r="I12" s="154"/>
      <c r="J12" s="155">
        <f>J10+J8</f>
        <v>76999.999999999985</v>
      </c>
      <c r="K12" s="155">
        <f t="shared" ref="K12:AA12" si="14">K10+K8</f>
        <v>101640</v>
      </c>
      <c r="L12" s="155">
        <f t="shared" si="14"/>
        <v>134164.80000000002</v>
      </c>
      <c r="M12" s="155">
        <f t="shared" si="14"/>
        <v>177097.53600000008</v>
      </c>
      <c r="N12" s="155">
        <f t="shared" si="14"/>
        <v>233768.74752000009</v>
      </c>
      <c r="O12" s="154"/>
      <c r="P12" s="155">
        <f>P10+P8</f>
        <v>1875</v>
      </c>
      <c r="Q12" s="155">
        <f t="shared" si="14"/>
        <v>5056.818181818182</v>
      </c>
      <c r="R12" s="155">
        <f t="shared" si="14"/>
        <v>7006.8181818181802</v>
      </c>
      <c r="S12" s="155">
        <f t="shared" si="14"/>
        <v>7006.8181818181802</v>
      </c>
      <c r="T12" s="155">
        <f t="shared" si="14"/>
        <v>7006.8181818181802</v>
      </c>
      <c r="U12" s="155">
        <f t="shared" si="14"/>
        <v>7006.8181818181802</v>
      </c>
      <c r="V12" s="155">
        <f t="shared" si="14"/>
        <v>7006.8181818181802</v>
      </c>
      <c r="W12" s="155">
        <f t="shared" si="14"/>
        <v>7006.8181818181802</v>
      </c>
      <c r="X12" s="155">
        <f t="shared" si="14"/>
        <v>7006.8181818181802</v>
      </c>
      <c r="Y12" s="155">
        <f t="shared" si="14"/>
        <v>7006.8181818181802</v>
      </c>
      <c r="Z12" s="155">
        <f t="shared" si="14"/>
        <v>7006.8181818181802</v>
      </c>
      <c r="AA12" s="155">
        <f t="shared" si="14"/>
        <v>7006.8181818181802</v>
      </c>
      <c r="AB12" s="174"/>
      <c r="AC12" s="189"/>
      <c r="AD12" s="189"/>
      <c r="AE12" s="189"/>
    </row>
    <row r="13" spans="1:31" s="84" customFormat="1" ht="10.199999999999999">
      <c r="A13" s="192"/>
      <c r="B13" s="184" t="str">
        <f>B12&amp;" %"</f>
        <v>Gross Margin %</v>
      </c>
      <c r="C13" s="154"/>
      <c r="D13" s="154"/>
      <c r="E13" s="154"/>
      <c r="F13" s="154"/>
      <c r="G13" s="154"/>
      <c r="H13" s="154"/>
      <c r="I13" s="154"/>
      <c r="J13" s="169">
        <f>IF(J$8=0,0,J12/J$8)</f>
        <v>0.7</v>
      </c>
      <c r="K13" s="169">
        <f>IF(K$8=0,0,K12/K$8)</f>
        <v>0.7</v>
      </c>
      <c r="L13" s="169">
        <f>IF(L$8=0,0,L12/L$8)</f>
        <v>0.7</v>
      </c>
      <c r="M13" s="169">
        <f>IF(M$8=0,0,M12/M$8)</f>
        <v>0.70000000000000007</v>
      </c>
      <c r="N13" s="169">
        <f>IF(N$8=0,0,N12/N$8)</f>
        <v>0.70000000000000007</v>
      </c>
      <c r="O13" s="154"/>
      <c r="P13" s="169">
        <f t="shared" ref="P13:AA13" si="15">IF(P$8=0,0,P12/P$8)</f>
        <v>0.75</v>
      </c>
      <c r="Q13" s="169">
        <f t="shared" si="15"/>
        <v>0.717741935483871</v>
      </c>
      <c r="R13" s="169">
        <f t="shared" si="15"/>
        <v>0.69751131221719453</v>
      </c>
      <c r="S13" s="169">
        <f t="shared" si="15"/>
        <v>0.69751131221719453</v>
      </c>
      <c r="T13" s="169">
        <f t="shared" si="15"/>
        <v>0.69751131221719453</v>
      </c>
      <c r="U13" s="169">
        <f t="shared" si="15"/>
        <v>0.69751131221719453</v>
      </c>
      <c r="V13" s="169">
        <f t="shared" si="15"/>
        <v>0.69751131221719453</v>
      </c>
      <c r="W13" s="169">
        <f t="shared" si="15"/>
        <v>0.69751131221719453</v>
      </c>
      <c r="X13" s="169">
        <f t="shared" si="15"/>
        <v>0.69751131221719453</v>
      </c>
      <c r="Y13" s="169">
        <f t="shared" si="15"/>
        <v>0.69751131221719453</v>
      </c>
      <c r="Z13" s="169">
        <f t="shared" si="15"/>
        <v>0.69751131221719453</v>
      </c>
      <c r="AA13" s="169">
        <f t="shared" si="15"/>
        <v>0.69751131221719453</v>
      </c>
      <c r="AB13" s="174"/>
      <c r="AC13" s="189"/>
      <c r="AD13" s="189"/>
      <c r="AE13" s="189"/>
    </row>
    <row r="14" spans="1:31" s="84" customFormat="1" ht="10.199999999999999">
      <c r="A14" s="192"/>
      <c r="B14" s="183" t="s">
        <v>41</v>
      </c>
      <c r="C14" s="154"/>
      <c r="D14" s="154"/>
      <c r="E14" s="154"/>
      <c r="F14" s="154"/>
      <c r="G14" s="154"/>
      <c r="H14" s="154"/>
      <c r="I14" s="154"/>
      <c r="J14" s="157">
        <f>SUMIF(IS!$4:$4,J$7,IS!41:41)</f>
        <v>-5499.9999999999982</v>
      </c>
      <c r="K14" s="157">
        <f>SUMIF(IS!$4:$4,K$7,IS!41:41)</f>
        <v>-7260</v>
      </c>
      <c r="L14" s="157">
        <f>SUMIF(IS!$4:$4,L$7,IS!41:41)</f>
        <v>-9583.2000000000025</v>
      </c>
      <c r="M14" s="157">
        <f>SUMIF(IS!$4:$4,M$7,IS!41:41)</f>
        <v>-12649.824000000002</v>
      </c>
      <c r="N14" s="157">
        <f>SUMIF(IS!$4:$4,N$7,IS!41:41)</f>
        <v>-16697.767680000012</v>
      </c>
      <c r="O14" s="154"/>
      <c r="P14" s="157">
        <f>SUMIF(IS!$6:$6,P$7,IS!41:41)</f>
        <v>-125</v>
      </c>
      <c r="Q14" s="157">
        <f>SUMIF(IS!$6:$6,Q$7,IS!41:41)</f>
        <v>-352.27272727272725</v>
      </c>
      <c r="R14" s="157">
        <f>SUMIF(IS!$6:$6,R$7,IS!41:41)</f>
        <v>-502.27272727272725</v>
      </c>
      <c r="S14" s="157">
        <f>SUMIF(IS!$6:$6,S$7,IS!41:41)</f>
        <v>-502.27272727272725</v>
      </c>
      <c r="T14" s="157">
        <f>SUMIF(IS!$6:$6,T$7,IS!41:41)</f>
        <v>-502.27272727272725</v>
      </c>
      <c r="U14" s="157">
        <f>SUMIF(IS!$6:$6,U$7,IS!41:41)</f>
        <v>-502.27272727272725</v>
      </c>
      <c r="V14" s="157">
        <f>SUMIF(IS!$6:$6,V$7,IS!41:41)</f>
        <v>-502.27272727272725</v>
      </c>
      <c r="W14" s="157">
        <f>SUMIF(IS!$6:$6,W$7,IS!41:41)</f>
        <v>-502.27272727272725</v>
      </c>
      <c r="X14" s="157">
        <f>SUMIF(IS!$6:$6,X$7,IS!41:41)</f>
        <v>-502.27272727272725</v>
      </c>
      <c r="Y14" s="157">
        <f>SUMIF(IS!$6:$6,Y$7,IS!41:41)</f>
        <v>-502.27272727272725</v>
      </c>
      <c r="Z14" s="157">
        <f>SUMIF(IS!$6:$6,Z$7,IS!41:41)</f>
        <v>-502.27272727272725</v>
      </c>
      <c r="AA14" s="157">
        <f>SUMIF(IS!$6:$6,AA$7,IS!41:41)</f>
        <v>-502.27272727272725</v>
      </c>
      <c r="AB14" s="174"/>
      <c r="AC14" s="189"/>
      <c r="AD14" s="189"/>
      <c r="AE14" s="189"/>
    </row>
    <row r="15" spans="1:31" s="84" customFormat="1" ht="10.199999999999999">
      <c r="A15" s="192"/>
      <c r="B15" s="184" t="s">
        <v>32</v>
      </c>
      <c r="C15" s="154"/>
      <c r="D15" s="154"/>
      <c r="E15" s="154"/>
      <c r="F15" s="154"/>
      <c r="G15" s="154"/>
      <c r="H15" s="154"/>
      <c r="I15" s="154"/>
      <c r="J15" s="169">
        <f>IF(J$8=0,0,J14/J$8)</f>
        <v>-4.9999999999999989E-2</v>
      </c>
      <c r="K15" s="169">
        <f>IF(K$8=0,0,K14/K$8)</f>
        <v>-0.05</v>
      </c>
      <c r="L15" s="169">
        <f>IF(L$8=0,0,L14/L$8)</f>
        <v>-0.05</v>
      </c>
      <c r="M15" s="169">
        <f>IF(M$8=0,0,M14/M$8)</f>
        <v>-4.9999999999999989E-2</v>
      </c>
      <c r="N15" s="169">
        <f>IF(N$8=0,0,N14/N$8)</f>
        <v>-5.0000000000000024E-2</v>
      </c>
      <c r="O15" s="154"/>
      <c r="P15" s="169">
        <f>IF(P$8=0,0,P14/P$8)</f>
        <v>-0.05</v>
      </c>
      <c r="Q15" s="169">
        <f t="shared" ref="Q15:AA15" si="16">IF(Q$8=0,0,Q14/Q$8)</f>
        <v>-0.05</v>
      </c>
      <c r="R15" s="169">
        <f t="shared" si="16"/>
        <v>-0.05</v>
      </c>
      <c r="S15" s="169">
        <f t="shared" si="16"/>
        <v>-0.05</v>
      </c>
      <c r="T15" s="169">
        <f t="shared" si="16"/>
        <v>-0.05</v>
      </c>
      <c r="U15" s="169">
        <f t="shared" si="16"/>
        <v>-0.05</v>
      </c>
      <c r="V15" s="169">
        <f t="shared" si="16"/>
        <v>-0.05</v>
      </c>
      <c r="W15" s="169">
        <f t="shared" si="16"/>
        <v>-0.05</v>
      </c>
      <c r="X15" s="169">
        <f t="shared" si="16"/>
        <v>-0.05</v>
      </c>
      <c r="Y15" s="169">
        <f t="shared" si="16"/>
        <v>-0.05</v>
      </c>
      <c r="Z15" s="169">
        <f t="shared" si="16"/>
        <v>-0.05</v>
      </c>
      <c r="AA15" s="169">
        <f t="shared" si="16"/>
        <v>-0.05</v>
      </c>
      <c r="AB15" s="174"/>
      <c r="AC15" s="189"/>
      <c r="AD15" s="189"/>
      <c r="AE15" s="189"/>
    </row>
    <row r="16" spans="1:31" s="84" customFormat="1" ht="10.199999999999999">
      <c r="A16" s="192"/>
      <c r="B16" s="183" t="s">
        <v>22</v>
      </c>
      <c r="C16" s="154"/>
      <c r="D16" s="154"/>
      <c r="E16" s="154"/>
      <c r="F16" s="154"/>
      <c r="G16" s="154"/>
      <c r="H16" s="154"/>
      <c r="I16" s="154"/>
      <c r="J16" s="157">
        <f>SUMIF(IS!$4:$4,J$7,IS!54:54)</f>
        <v>-20000</v>
      </c>
      <c r="K16" s="157">
        <f>SUMIF(IS!$4:$4,K$7,IS!54:54)</f>
        <v>-21000</v>
      </c>
      <c r="L16" s="157">
        <f>SUMIF(IS!$4:$4,L$7,IS!54:54)</f>
        <v>-22050</v>
      </c>
      <c r="M16" s="157">
        <f>SUMIF(IS!$4:$4,M$7,IS!54:54)</f>
        <v>-23152.5</v>
      </c>
      <c r="N16" s="157">
        <f>SUMIF(IS!$4:$4,N$7,IS!54:54)</f>
        <v>-24310.125</v>
      </c>
      <c r="O16" s="154"/>
      <c r="P16" s="157">
        <f>SUMIF(IS!$6:$6,P$7,IS!54:54)</f>
        <v>-1666.6666666666667</v>
      </c>
      <c r="Q16" s="157">
        <f>SUMIF(IS!$6:$6,Q$7,IS!54:54)</f>
        <v>-1666.6666666666667</v>
      </c>
      <c r="R16" s="157">
        <f>SUMIF(IS!$6:$6,R$7,IS!54:54)</f>
        <v>-1666.6666666666667</v>
      </c>
      <c r="S16" s="157">
        <f>SUMIF(IS!$6:$6,S$7,IS!54:54)</f>
        <v>-1666.6666666666667</v>
      </c>
      <c r="T16" s="157">
        <f>SUMIF(IS!$6:$6,T$7,IS!54:54)</f>
        <v>-1666.6666666666667</v>
      </c>
      <c r="U16" s="157">
        <f>SUMIF(IS!$6:$6,U$7,IS!54:54)</f>
        <v>-1666.6666666666667</v>
      </c>
      <c r="V16" s="157">
        <f>SUMIF(IS!$6:$6,V$7,IS!54:54)</f>
        <v>-1666.6666666666667</v>
      </c>
      <c r="W16" s="157">
        <f>SUMIF(IS!$6:$6,W$7,IS!54:54)</f>
        <v>-1666.6666666666667</v>
      </c>
      <c r="X16" s="157">
        <f>SUMIF(IS!$6:$6,X$7,IS!54:54)</f>
        <v>-1666.6666666666667</v>
      </c>
      <c r="Y16" s="157">
        <f>SUMIF(IS!$6:$6,Y$7,IS!54:54)</f>
        <v>-1666.6666666666667</v>
      </c>
      <c r="Z16" s="157">
        <f>SUMIF(IS!$6:$6,Z$7,IS!54:54)</f>
        <v>-1666.6666666666667</v>
      </c>
      <c r="AA16" s="157">
        <f>SUMIF(IS!$6:$6,AA$7,IS!54:54)</f>
        <v>-1666.6666666666667</v>
      </c>
      <c r="AB16" s="174"/>
      <c r="AC16" s="189"/>
      <c r="AD16" s="189"/>
      <c r="AE16" s="189"/>
    </row>
    <row r="17" spans="1:31" s="84" customFormat="1" ht="10.199999999999999">
      <c r="A17" s="192"/>
      <c r="B17" s="184" t="s">
        <v>32</v>
      </c>
      <c r="C17" s="154"/>
      <c r="D17" s="154"/>
      <c r="E17" s="154"/>
      <c r="F17" s="154"/>
      <c r="G17" s="154"/>
      <c r="H17" s="154"/>
      <c r="I17" s="154"/>
      <c r="J17" s="169">
        <f>IF(J$8=0,0,J16/J$8)</f>
        <v>-0.18181818181818185</v>
      </c>
      <c r="K17" s="169">
        <f>IF(K$8=0,0,K16/K$8)</f>
        <v>-0.14462809917355371</v>
      </c>
      <c r="L17" s="169">
        <f t="shared" ref="L17:AA17" si="17">IF(L$8=0,0,L16/L$8)</f>
        <v>-0.11504507888805408</v>
      </c>
      <c r="M17" s="169">
        <f t="shared" si="17"/>
        <v>-9.1513130933679354E-2</v>
      </c>
      <c r="N17" s="169">
        <f t="shared" si="17"/>
        <v>-7.2794535969972221E-2</v>
      </c>
      <c r="O17" s="154"/>
      <c r="P17" s="169">
        <f t="shared" si="17"/>
        <v>-0.66666666666666674</v>
      </c>
      <c r="Q17" s="169">
        <f>IF(Q$8=0,0,Q16/Q$8)</f>
        <v>-0.23655913978494625</v>
      </c>
      <c r="R17" s="169">
        <f t="shared" si="17"/>
        <v>-0.16591251885369535</v>
      </c>
      <c r="S17" s="169">
        <f t="shared" si="17"/>
        <v>-0.16591251885369535</v>
      </c>
      <c r="T17" s="169">
        <f t="shared" si="17"/>
        <v>-0.16591251885369535</v>
      </c>
      <c r="U17" s="169">
        <f>IF(U$8=0,0,U16/U$8)</f>
        <v>-0.16591251885369535</v>
      </c>
      <c r="V17" s="169">
        <f t="shared" si="17"/>
        <v>-0.16591251885369535</v>
      </c>
      <c r="W17" s="169">
        <f>IF(W$8=0,0,W16/W$8)</f>
        <v>-0.16591251885369535</v>
      </c>
      <c r="X17" s="169">
        <f t="shared" si="17"/>
        <v>-0.16591251885369535</v>
      </c>
      <c r="Y17" s="169">
        <f t="shared" si="17"/>
        <v>-0.16591251885369535</v>
      </c>
      <c r="Z17" s="169">
        <f t="shared" si="17"/>
        <v>-0.16591251885369535</v>
      </c>
      <c r="AA17" s="169">
        <f t="shared" si="17"/>
        <v>-0.16591251885369535</v>
      </c>
      <c r="AB17" s="174"/>
      <c r="AC17" s="189"/>
      <c r="AD17" s="189"/>
      <c r="AE17" s="189"/>
    </row>
    <row r="18" spans="1:31" s="84" customFormat="1" ht="10.199999999999999">
      <c r="A18" s="192"/>
      <c r="B18" s="183" t="s">
        <v>40</v>
      </c>
      <c r="C18" s="154"/>
      <c r="D18" s="154"/>
      <c r="E18" s="154"/>
      <c r="F18" s="154"/>
      <c r="G18" s="154"/>
      <c r="H18" s="154"/>
      <c r="I18" s="154"/>
      <c r="J18" s="157">
        <f>SUMIF(IS!$4:$4,J$7,IS!67:67)</f>
        <v>-12000</v>
      </c>
      <c r="K18" s="157">
        <f>SUMIF(IS!$4:$4,K$7,IS!67:67)</f>
        <v>-12600</v>
      </c>
      <c r="L18" s="157">
        <f>SUMIF(IS!$4:$4,L$7,IS!67:67)</f>
        <v>-13230</v>
      </c>
      <c r="M18" s="157">
        <f>SUMIF(IS!$4:$4,M$7,IS!67:67)</f>
        <v>-13891.5</v>
      </c>
      <c r="N18" s="157">
        <f>SUMIF(IS!$4:$4,N$7,IS!67:67)</f>
        <v>-14586.075000000003</v>
      </c>
      <c r="O18" s="154"/>
      <c r="P18" s="157">
        <f>SUMIF(IS!$6:$6,P$7,IS!67:67)</f>
        <v>-1000</v>
      </c>
      <c r="Q18" s="157">
        <f>SUMIF(IS!$6:$6,Q$7,IS!67:67)</f>
        <v>-1000</v>
      </c>
      <c r="R18" s="157">
        <f>SUMIF(IS!$6:$6,R$7,IS!67:67)</f>
        <v>-1000</v>
      </c>
      <c r="S18" s="157">
        <f>SUMIF(IS!$6:$6,S$7,IS!67:67)</f>
        <v>-1000</v>
      </c>
      <c r="T18" s="157">
        <f>SUMIF(IS!$6:$6,T$7,IS!67:67)</f>
        <v>-1000</v>
      </c>
      <c r="U18" s="157">
        <f>SUMIF(IS!$6:$6,U$7,IS!67:67)</f>
        <v>-1000</v>
      </c>
      <c r="V18" s="157">
        <f>SUMIF(IS!$6:$6,V$7,IS!67:67)</f>
        <v>-1000</v>
      </c>
      <c r="W18" s="157">
        <f>SUMIF(IS!$6:$6,W$7,IS!67:67)</f>
        <v>-1000</v>
      </c>
      <c r="X18" s="157">
        <f>SUMIF(IS!$6:$6,X$7,IS!67:67)</f>
        <v>-1000</v>
      </c>
      <c r="Y18" s="157">
        <f>SUMIF(IS!$6:$6,Y$7,IS!67:67)</f>
        <v>-1000</v>
      </c>
      <c r="Z18" s="157">
        <f>SUMIF(IS!$6:$6,Z$7,IS!67:67)</f>
        <v>-1000</v>
      </c>
      <c r="AA18" s="157">
        <f>SUMIF(IS!$6:$6,AA$7,IS!67:67)</f>
        <v>-1000</v>
      </c>
      <c r="AB18" s="174"/>
      <c r="AC18" s="189"/>
      <c r="AD18" s="189"/>
      <c r="AE18" s="189"/>
    </row>
    <row r="19" spans="1:31" s="84" customFormat="1" ht="10.199999999999999">
      <c r="A19" s="192"/>
      <c r="B19" s="184" t="s">
        <v>32</v>
      </c>
      <c r="C19" s="154"/>
      <c r="D19" s="154"/>
      <c r="E19" s="154"/>
      <c r="F19" s="154"/>
      <c r="G19" s="154"/>
      <c r="H19" s="154"/>
      <c r="I19" s="154"/>
      <c r="J19" s="169">
        <f>IF(J$8=0,0,J18/J$8)</f>
        <v>-0.1090909090909091</v>
      </c>
      <c r="K19" s="169">
        <f>IF(K$8=0,0,K18/K$8)</f>
        <v>-8.6776859504132234E-2</v>
      </c>
      <c r="L19" s="169">
        <f>IF(L$8=0,0,L18/L$8)</f>
        <v>-6.902704733283245E-2</v>
      </c>
      <c r="M19" s="169">
        <f>IF(M$8=0,0,M18/M$8)</f>
        <v>-5.4907878560207617E-2</v>
      </c>
      <c r="N19" s="169">
        <f>IF(N$8=0,0,N18/N$8)</f>
        <v>-4.3676721581983345E-2</v>
      </c>
      <c r="O19" s="154"/>
      <c r="P19" s="169">
        <f t="shared" ref="P19:AA19" si="18">IF(P$8=0,0,P18/P$8)</f>
        <v>-0.4</v>
      </c>
      <c r="Q19" s="169">
        <f t="shared" si="18"/>
        <v>-0.14193548387096774</v>
      </c>
      <c r="R19" s="169">
        <f t="shared" si="18"/>
        <v>-9.9547511312217202E-2</v>
      </c>
      <c r="S19" s="169">
        <f t="shared" si="18"/>
        <v>-9.9547511312217202E-2</v>
      </c>
      <c r="T19" s="169">
        <f t="shared" si="18"/>
        <v>-9.9547511312217202E-2</v>
      </c>
      <c r="U19" s="169">
        <f t="shared" si="18"/>
        <v>-9.9547511312217202E-2</v>
      </c>
      <c r="V19" s="169">
        <f t="shared" si="18"/>
        <v>-9.9547511312217202E-2</v>
      </c>
      <c r="W19" s="169">
        <f t="shared" si="18"/>
        <v>-9.9547511312217202E-2</v>
      </c>
      <c r="X19" s="169">
        <f t="shared" si="18"/>
        <v>-9.9547511312217202E-2</v>
      </c>
      <c r="Y19" s="169">
        <f t="shared" si="18"/>
        <v>-9.9547511312217202E-2</v>
      </c>
      <c r="Z19" s="169">
        <f t="shared" si="18"/>
        <v>-9.9547511312217202E-2</v>
      </c>
      <c r="AA19" s="169">
        <f t="shared" si="18"/>
        <v>-9.9547511312217202E-2</v>
      </c>
      <c r="AB19" s="174"/>
      <c r="AC19" s="189"/>
      <c r="AD19" s="189"/>
      <c r="AE19" s="189"/>
    </row>
    <row r="20" spans="1:31" s="84" customFormat="1" ht="10.199999999999999">
      <c r="A20" s="192"/>
      <c r="B20" s="182" t="s">
        <v>1</v>
      </c>
      <c r="C20" s="154"/>
      <c r="D20" s="154"/>
      <c r="E20" s="154"/>
      <c r="F20" s="154"/>
      <c r="G20" s="154"/>
      <c r="H20" s="154"/>
      <c r="I20" s="154"/>
      <c r="J20" s="155">
        <f>J12+J14+J16+J18</f>
        <v>39499.999999999985</v>
      </c>
      <c r="K20" s="155">
        <f>K12+K14+K16+K18</f>
        <v>60780</v>
      </c>
      <c r="L20" s="155">
        <f>L12+L14+L16+L18</f>
        <v>89301.60000000002</v>
      </c>
      <c r="M20" s="155">
        <f>M12+M14+M16+M18</f>
        <v>127403.71200000009</v>
      </c>
      <c r="N20" s="155">
        <f>N12+N14+N16+N18</f>
        <v>178174.77984000006</v>
      </c>
      <c r="O20" s="154"/>
      <c r="P20" s="155">
        <f t="shared" ref="P20:AA20" si="19">P12+P14+P16+P18</f>
        <v>-916.66666666666674</v>
      </c>
      <c r="Q20" s="155">
        <f t="shared" si="19"/>
        <v>2037.878787878788</v>
      </c>
      <c r="R20" s="155">
        <f t="shared" si="19"/>
        <v>3837.8787878787862</v>
      </c>
      <c r="S20" s="155">
        <f t="shared" si="19"/>
        <v>3837.8787878787862</v>
      </c>
      <c r="T20" s="155">
        <f t="shared" si="19"/>
        <v>3837.8787878787862</v>
      </c>
      <c r="U20" s="155">
        <f t="shared" si="19"/>
        <v>3837.8787878787862</v>
      </c>
      <c r="V20" s="155">
        <f t="shared" si="19"/>
        <v>3837.8787878787862</v>
      </c>
      <c r="W20" s="155">
        <f t="shared" si="19"/>
        <v>3837.8787878787862</v>
      </c>
      <c r="X20" s="155">
        <f t="shared" si="19"/>
        <v>3837.8787878787862</v>
      </c>
      <c r="Y20" s="155">
        <f t="shared" si="19"/>
        <v>3837.8787878787862</v>
      </c>
      <c r="Z20" s="155">
        <f t="shared" si="19"/>
        <v>3837.8787878787862</v>
      </c>
      <c r="AA20" s="155">
        <f t="shared" si="19"/>
        <v>3837.8787878787862</v>
      </c>
      <c r="AB20" s="174"/>
      <c r="AC20" s="189"/>
      <c r="AD20" s="189"/>
      <c r="AE20" s="189"/>
    </row>
    <row r="21" spans="1:31" s="84" customFormat="1" ht="10.199999999999999">
      <c r="A21" s="192"/>
      <c r="B21" s="185" t="str">
        <f>B20&amp;" %"</f>
        <v>EBITDA %</v>
      </c>
      <c r="C21" s="154"/>
      <c r="D21" s="154"/>
      <c r="E21" s="154"/>
      <c r="F21" s="154"/>
      <c r="G21" s="154"/>
      <c r="H21" s="154"/>
      <c r="I21" s="154"/>
      <c r="J21" s="169">
        <f>IF(J$8=0,0,J20/J$8)</f>
        <v>0.35909090909090902</v>
      </c>
      <c r="K21" s="169">
        <f>IF(K$8=0,0,K20/K$8)</f>
        <v>0.41859504132231407</v>
      </c>
      <c r="L21" s="169">
        <f>IF(L$8=0,0,L20/L$8)</f>
        <v>0.46592787377911349</v>
      </c>
      <c r="M21" s="169">
        <f>IF(M$8=0,0,M20/M$8)</f>
        <v>0.5035789905061131</v>
      </c>
      <c r="N21" s="169">
        <f>IF(N$8=0,0,N20/N$8)</f>
        <v>0.53352874244804449</v>
      </c>
      <c r="O21" s="154"/>
      <c r="P21" s="169">
        <f t="shared" ref="P21:AA21" si="20">IF(P$8=0,0,P20/P$8)</f>
        <v>-0.3666666666666667</v>
      </c>
      <c r="Q21" s="169">
        <f t="shared" si="20"/>
        <v>0.28924731182795704</v>
      </c>
      <c r="R21" s="169">
        <f t="shared" si="20"/>
        <v>0.38205128205128192</v>
      </c>
      <c r="S21" s="169">
        <f t="shared" si="20"/>
        <v>0.38205128205128192</v>
      </c>
      <c r="T21" s="169">
        <f t="shared" si="20"/>
        <v>0.38205128205128192</v>
      </c>
      <c r="U21" s="169">
        <f t="shared" si="20"/>
        <v>0.38205128205128192</v>
      </c>
      <c r="V21" s="169">
        <f t="shared" si="20"/>
        <v>0.38205128205128192</v>
      </c>
      <c r="W21" s="169">
        <f t="shared" si="20"/>
        <v>0.38205128205128192</v>
      </c>
      <c r="X21" s="169">
        <f t="shared" si="20"/>
        <v>0.38205128205128192</v>
      </c>
      <c r="Y21" s="169">
        <f t="shared" si="20"/>
        <v>0.38205128205128192</v>
      </c>
      <c r="Z21" s="169">
        <f t="shared" si="20"/>
        <v>0.38205128205128192</v>
      </c>
      <c r="AA21" s="169">
        <f t="shared" si="20"/>
        <v>0.38205128205128192</v>
      </c>
      <c r="AB21" s="174"/>
      <c r="AC21" s="189"/>
      <c r="AD21" s="189"/>
      <c r="AE21" s="189"/>
    </row>
    <row r="22" spans="1:31" s="84" customFormat="1" ht="10.199999999999999">
      <c r="A22" s="192"/>
      <c r="B22" s="183" t="s">
        <v>2</v>
      </c>
      <c r="C22" s="154"/>
      <c r="D22" s="154"/>
      <c r="E22" s="154"/>
      <c r="F22" s="154"/>
      <c r="G22" s="154"/>
      <c r="H22" s="154"/>
      <c r="I22" s="154"/>
      <c r="J22" s="157">
        <f>SUMIF(IS!$4:$4,J$7,IS!77:77)</f>
        <v>-27500</v>
      </c>
      <c r="K22" s="157">
        <f>SUMIF(IS!$4:$4,K$7,IS!77:77)</f>
        <v>-30000</v>
      </c>
      <c r="L22" s="157">
        <f>SUMIF(IS!$4:$4,L$7,IS!77:77)</f>
        <v>-30000</v>
      </c>
      <c r="M22" s="157">
        <f>SUMIF(IS!$4:$4,M$7,IS!77:77)</f>
        <v>-30000</v>
      </c>
      <c r="N22" s="157">
        <f>SUMIF(IS!$4:$4,N$7,IS!77:77)</f>
        <v>-30000</v>
      </c>
      <c r="O22" s="154"/>
      <c r="P22" s="157">
        <f>SUMIF(IS!$6:$6,P$7,IS!77:77)</f>
        <v>-833.33333333333337</v>
      </c>
      <c r="Q22" s="157">
        <f>SUMIF(IS!$6:$6,Q$7,IS!77:77)</f>
        <v>-1666.6666666666667</v>
      </c>
      <c r="R22" s="157">
        <f>SUMIF(IS!$6:$6,R$7,IS!77:77)</f>
        <v>-2500</v>
      </c>
      <c r="S22" s="157">
        <f>SUMIF(IS!$6:$6,S$7,IS!77:77)</f>
        <v>-2500</v>
      </c>
      <c r="T22" s="157">
        <f>SUMIF(IS!$6:$6,T$7,IS!77:77)</f>
        <v>-2500</v>
      </c>
      <c r="U22" s="157">
        <f>SUMIF(IS!$6:$6,U$7,IS!77:77)</f>
        <v>-2500</v>
      </c>
      <c r="V22" s="157">
        <f>SUMIF(IS!$6:$6,V$7,IS!77:77)</f>
        <v>-2500</v>
      </c>
      <c r="W22" s="157">
        <f>SUMIF(IS!$6:$6,W$7,IS!77:77)</f>
        <v>-2500</v>
      </c>
      <c r="X22" s="157">
        <f>SUMIF(IS!$6:$6,X$7,IS!77:77)</f>
        <v>-2500</v>
      </c>
      <c r="Y22" s="157">
        <f>SUMIF(IS!$6:$6,Y$7,IS!77:77)</f>
        <v>-2500</v>
      </c>
      <c r="Z22" s="157">
        <f>SUMIF(IS!$6:$6,Z$7,IS!77:77)</f>
        <v>-2500</v>
      </c>
      <c r="AA22" s="157">
        <f>SUMIF(IS!$6:$6,AA$7,IS!77:77)</f>
        <v>-2500</v>
      </c>
      <c r="AB22" s="174"/>
      <c r="AC22" s="189"/>
      <c r="AD22" s="189"/>
      <c r="AE22" s="189"/>
    </row>
    <row r="23" spans="1:31" s="84" customFormat="1" ht="10.199999999999999">
      <c r="A23" s="192"/>
      <c r="B23" s="182" t="s">
        <v>3</v>
      </c>
      <c r="C23" s="154"/>
      <c r="D23" s="154"/>
      <c r="E23" s="154"/>
      <c r="F23" s="154"/>
      <c r="G23" s="154"/>
      <c r="H23" s="154"/>
      <c r="I23" s="154"/>
      <c r="J23" s="155">
        <f>J20+J22</f>
        <v>11999.999999999985</v>
      </c>
      <c r="K23" s="155">
        <f t="shared" ref="K23:N23" si="21">K20+K22</f>
        <v>30780</v>
      </c>
      <c r="L23" s="155">
        <f t="shared" si="21"/>
        <v>59301.60000000002</v>
      </c>
      <c r="M23" s="155">
        <f t="shared" si="21"/>
        <v>97403.712000000087</v>
      </c>
      <c r="N23" s="155">
        <f t="shared" si="21"/>
        <v>148174.77984000006</v>
      </c>
      <c r="O23" s="154"/>
      <c r="P23" s="155">
        <f t="shared" ref="P23" si="22">P20+P22</f>
        <v>-1750</v>
      </c>
      <c r="Q23" s="155">
        <f t="shared" ref="Q23" si="23">Q20+Q22</f>
        <v>371.21212121212125</v>
      </c>
      <c r="R23" s="155">
        <f t="shared" ref="R23" si="24">R20+R22</f>
        <v>1337.8787878787862</v>
      </c>
      <c r="S23" s="155">
        <f t="shared" ref="S23" si="25">S20+S22</f>
        <v>1337.8787878787862</v>
      </c>
      <c r="T23" s="155">
        <f t="shared" ref="T23" si="26">T20+T22</f>
        <v>1337.8787878787862</v>
      </c>
      <c r="U23" s="155">
        <f t="shared" ref="U23" si="27">U20+U22</f>
        <v>1337.8787878787862</v>
      </c>
      <c r="V23" s="155">
        <f t="shared" ref="V23" si="28">V20+V22</f>
        <v>1337.8787878787862</v>
      </c>
      <c r="W23" s="155">
        <f t="shared" ref="W23" si="29">W20+W22</f>
        <v>1337.8787878787862</v>
      </c>
      <c r="X23" s="155">
        <f t="shared" ref="X23" si="30">X20+X22</f>
        <v>1337.8787878787862</v>
      </c>
      <c r="Y23" s="155">
        <f t="shared" ref="Y23" si="31">Y20+Y22</f>
        <v>1337.8787878787862</v>
      </c>
      <c r="Z23" s="155">
        <f t="shared" ref="Z23" si="32">Z20+Z22</f>
        <v>1337.8787878787862</v>
      </c>
      <c r="AA23" s="155">
        <f t="shared" ref="AA23" si="33">AA20+AA22</f>
        <v>1337.8787878787862</v>
      </c>
      <c r="AB23" s="174"/>
      <c r="AC23" s="189"/>
      <c r="AD23" s="189"/>
      <c r="AE23" s="189"/>
    </row>
    <row r="24" spans="1:31" s="84" customFormat="1" ht="10.199999999999999">
      <c r="A24" s="192"/>
      <c r="B24" s="183" t="s">
        <v>37</v>
      </c>
      <c r="C24" s="154"/>
      <c r="D24" s="154"/>
      <c r="E24" s="154"/>
      <c r="F24" s="154"/>
      <c r="G24" s="154"/>
      <c r="H24" s="154"/>
      <c r="I24" s="154"/>
      <c r="J24" s="157">
        <f>SUMIF(IS!$4:$4,J$7,IS!81:81)</f>
        <v>0</v>
      </c>
      <c r="K24" s="157">
        <f>SUMIF(IS!$4:$4,K$7,IS!81:81)</f>
        <v>0</v>
      </c>
      <c r="L24" s="157">
        <f>SUMIF(IS!$4:$4,L$7,IS!81:81)</f>
        <v>0</v>
      </c>
      <c r="M24" s="157">
        <f>SUMIF(IS!$4:$4,M$7,IS!81:81)</f>
        <v>0</v>
      </c>
      <c r="N24" s="157">
        <f>SUMIF(IS!$4:$4,N$7,IS!81:81)</f>
        <v>-6343.317427366962</v>
      </c>
      <c r="O24" s="154"/>
      <c r="P24" s="157">
        <f>SUMIF(IS!$6:$6,P$7,IS!81:81)</f>
        <v>0</v>
      </c>
      <c r="Q24" s="157">
        <f>SUMIF(IS!$6:$6,Q$7,IS!81:81)</f>
        <v>0</v>
      </c>
      <c r="R24" s="157">
        <f>SUMIF(IS!$6:$6,R$7,IS!81:81)</f>
        <v>0</v>
      </c>
      <c r="S24" s="157">
        <f>SUMIF(IS!$6:$6,S$7,IS!81:81)</f>
        <v>0</v>
      </c>
      <c r="T24" s="157">
        <f>SUMIF(IS!$6:$6,T$7,IS!81:81)</f>
        <v>0</v>
      </c>
      <c r="U24" s="157">
        <f>SUMIF(IS!$6:$6,U$7,IS!81:81)</f>
        <v>0</v>
      </c>
      <c r="V24" s="157">
        <f>SUMIF(IS!$6:$6,V$7,IS!81:81)</f>
        <v>0</v>
      </c>
      <c r="W24" s="157">
        <f>SUMIF(IS!$6:$6,W$7,IS!81:81)</f>
        <v>0</v>
      </c>
      <c r="X24" s="157">
        <f>SUMIF(IS!$6:$6,X$7,IS!81:81)</f>
        <v>0</v>
      </c>
      <c r="Y24" s="157">
        <f>SUMIF(IS!$6:$6,Y$7,IS!81:81)</f>
        <v>0</v>
      </c>
      <c r="Z24" s="157">
        <f>SUMIF(IS!$6:$6,Z$7,IS!81:81)</f>
        <v>0</v>
      </c>
      <c r="AA24" s="157">
        <f>SUMIF(IS!$6:$6,AA$7,IS!81:81)</f>
        <v>0</v>
      </c>
      <c r="AB24" s="174"/>
      <c r="AC24" s="189"/>
      <c r="AD24" s="189"/>
      <c r="AE24" s="189"/>
    </row>
    <row r="25" spans="1:31" s="84" customFormat="1" ht="10.199999999999999">
      <c r="A25" s="192"/>
      <c r="B25" s="182" t="s">
        <v>4</v>
      </c>
      <c r="C25" s="154"/>
      <c r="D25" s="154"/>
      <c r="E25" s="154"/>
      <c r="F25" s="154"/>
      <c r="G25" s="154"/>
      <c r="H25" s="154"/>
      <c r="I25" s="154"/>
      <c r="J25" s="155">
        <f>J23+J24</f>
        <v>11999.999999999985</v>
      </c>
      <c r="K25" s="155">
        <f t="shared" ref="K25:N25" si="34">K23+K24</f>
        <v>30780</v>
      </c>
      <c r="L25" s="155">
        <f t="shared" si="34"/>
        <v>59301.60000000002</v>
      </c>
      <c r="M25" s="155">
        <f t="shared" si="34"/>
        <v>97403.712000000087</v>
      </c>
      <c r="N25" s="155">
        <f t="shared" si="34"/>
        <v>141831.46241263309</v>
      </c>
      <c r="O25" s="155"/>
      <c r="P25" s="155">
        <f t="shared" ref="P25" si="35">P23+P24</f>
        <v>-1750</v>
      </c>
      <c r="Q25" s="155">
        <f t="shared" ref="Q25" si="36">Q23+Q24</f>
        <v>371.21212121212125</v>
      </c>
      <c r="R25" s="155">
        <f t="shared" ref="R25" si="37">R23+R24</f>
        <v>1337.8787878787862</v>
      </c>
      <c r="S25" s="155">
        <f t="shared" ref="S25" si="38">S23+S24</f>
        <v>1337.8787878787862</v>
      </c>
      <c r="T25" s="155">
        <f t="shared" ref="T25" si="39">T23+T24</f>
        <v>1337.8787878787862</v>
      </c>
      <c r="U25" s="155">
        <f t="shared" ref="U25" si="40">U23+U24</f>
        <v>1337.8787878787862</v>
      </c>
      <c r="V25" s="155">
        <f t="shared" ref="V25" si="41">V23+V24</f>
        <v>1337.8787878787862</v>
      </c>
      <c r="W25" s="155">
        <f t="shared" ref="W25" si="42">W23+W24</f>
        <v>1337.8787878787862</v>
      </c>
      <c r="X25" s="155">
        <f t="shared" ref="X25" si="43">X23+X24</f>
        <v>1337.8787878787862</v>
      </c>
      <c r="Y25" s="155">
        <f t="shared" ref="Y25" si="44">Y23+Y24</f>
        <v>1337.8787878787862</v>
      </c>
      <c r="Z25" s="155">
        <f t="shared" ref="Z25" si="45">Z23+Z24</f>
        <v>1337.8787878787862</v>
      </c>
      <c r="AA25" s="155">
        <f t="shared" ref="AA25" si="46">AA23+AA24</f>
        <v>1337.8787878787862</v>
      </c>
      <c r="AB25" s="174"/>
      <c r="AC25" s="189"/>
      <c r="AD25" s="189"/>
      <c r="AE25" s="189"/>
    </row>
    <row r="26" spans="1:31" s="84" customFormat="1" ht="10.199999999999999">
      <c r="A26" s="192"/>
      <c r="B26" s="183" t="s">
        <v>5</v>
      </c>
      <c r="C26" s="154"/>
      <c r="D26" s="154"/>
      <c r="E26" s="154"/>
      <c r="F26" s="154"/>
      <c r="G26" s="154"/>
      <c r="H26" s="154"/>
      <c r="I26" s="154"/>
      <c r="J26" s="157">
        <f>SUMIF(IS!$4:$4,J$7,IS!85:85)</f>
        <v>-2062.5000000000005</v>
      </c>
      <c r="K26" s="157">
        <f>SUMIF(IS!$4:$4,K$7,IS!85:85)</f>
        <v>-4617</v>
      </c>
      <c r="L26" s="157">
        <f>SUMIF(IS!$4:$4,L$7,IS!85:85)</f>
        <v>-8895.2400000000071</v>
      </c>
      <c r="M26" s="157">
        <f>SUMIF(IS!$4:$4,M$7,IS!85:85)</f>
        <v>-14610.556800000011</v>
      </c>
      <c r="N26" s="157">
        <f>SUMIF(IS!$4:$4,N$7,IS!85:85)</f>
        <v>-21274.719361894968</v>
      </c>
      <c r="O26" s="154"/>
      <c r="P26" s="157">
        <f>SUMIF(IS!$6:$6,P$7,IS!85:85)</f>
        <v>0</v>
      </c>
      <c r="Q26" s="157">
        <f>SUMIF(IS!$6:$6,Q$7,IS!85:85)</f>
        <v>-55.681818181818187</v>
      </c>
      <c r="R26" s="157">
        <f>SUMIF(IS!$6:$6,R$7,IS!85:85)</f>
        <v>-200.68181818181819</v>
      </c>
      <c r="S26" s="157">
        <f>SUMIF(IS!$6:$6,S$7,IS!85:85)</f>
        <v>-200.68181818181819</v>
      </c>
      <c r="T26" s="157">
        <f>SUMIF(IS!$6:$6,T$7,IS!85:85)</f>
        <v>-200.68181818181819</v>
      </c>
      <c r="U26" s="157">
        <f>SUMIF(IS!$6:$6,U$7,IS!85:85)</f>
        <v>-200.68181818181819</v>
      </c>
      <c r="V26" s="157">
        <f>SUMIF(IS!$6:$6,V$7,IS!85:85)</f>
        <v>-200.68181818181819</v>
      </c>
      <c r="W26" s="157">
        <f>SUMIF(IS!$6:$6,W$7,IS!85:85)</f>
        <v>-200.68181818181819</v>
      </c>
      <c r="X26" s="157">
        <f>SUMIF(IS!$6:$6,X$7,IS!85:85)</f>
        <v>-200.68181818181819</v>
      </c>
      <c r="Y26" s="157">
        <f>SUMIF(IS!$6:$6,Y$7,IS!85:85)</f>
        <v>-200.68181818181819</v>
      </c>
      <c r="Z26" s="157">
        <f>SUMIF(IS!$6:$6,Z$7,IS!85:85)</f>
        <v>-200.68181818181819</v>
      </c>
      <c r="AA26" s="157">
        <f>SUMIF(IS!$6:$6,AA$7,IS!85:85)</f>
        <v>-200.68181818181819</v>
      </c>
      <c r="AB26" s="174"/>
      <c r="AC26" s="189"/>
      <c r="AD26" s="189"/>
      <c r="AE26" s="189"/>
    </row>
    <row r="27" spans="1:31" s="84" customFormat="1" ht="10.8" thickBot="1">
      <c r="A27" s="192"/>
      <c r="B27" s="182" t="s">
        <v>6</v>
      </c>
      <c r="C27" s="154"/>
      <c r="D27" s="154"/>
      <c r="E27" s="154"/>
      <c r="F27" s="154"/>
      <c r="G27" s="154"/>
      <c r="H27" s="154"/>
      <c r="I27" s="154"/>
      <c r="J27" s="156">
        <f>SUM(J25:J26)</f>
        <v>9937.4999999999854</v>
      </c>
      <c r="K27" s="156">
        <f t="shared" ref="K27:AA27" si="47">SUM(K25:K26)</f>
        <v>26163</v>
      </c>
      <c r="L27" s="156">
        <f t="shared" si="47"/>
        <v>50406.360000000015</v>
      </c>
      <c r="M27" s="156">
        <f t="shared" si="47"/>
        <v>82793.155200000081</v>
      </c>
      <c r="N27" s="156">
        <f t="shared" si="47"/>
        <v>120556.74305073812</v>
      </c>
      <c r="O27" s="154"/>
      <c r="P27" s="156">
        <f>SUM(P25:P26)</f>
        <v>-1750</v>
      </c>
      <c r="Q27" s="156">
        <f t="shared" si="47"/>
        <v>315.53030303030306</v>
      </c>
      <c r="R27" s="156">
        <f t="shared" si="47"/>
        <v>1137.1969696969679</v>
      </c>
      <c r="S27" s="156">
        <f t="shared" si="47"/>
        <v>1137.1969696969679</v>
      </c>
      <c r="T27" s="156">
        <f t="shared" si="47"/>
        <v>1137.1969696969679</v>
      </c>
      <c r="U27" s="156">
        <f t="shared" si="47"/>
        <v>1137.1969696969679</v>
      </c>
      <c r="V27" s="156">
        <f t="shared" si="47"/>
        <v>1137.1969696969679</v>
      </c>
      <c r="W27" s="156">
        <f t="shared" si="47"/>
        <v>1137.1969696969679</v>
      </c>
      <c r="X27" s="156">
        <f t="shared" si="47"/>
        <v>1137.1969696969679</v>
      </c>
      <c r="Y27" s="156">
        <f t="shared" si="47"/>
        <v>1137.1969696969679</v>
      </c>
      <c r="Z27" s="156">
        <f t="shared" si="47"/>
        <v>1137.1969696969679</v>
      </c>
      <c r="AA27" s="156">
        <f t="shared" si="47"/>
        <v>1137.1969696969679</v>
      </c>
      <c r="AB27" s="174"/>
      <c r="AC27" s="189"/>
      <c r="AD27" s="189"/>
      <c r="AE27" s="189"/>
    </row>
    <row r="28" spans="1:31" s="84" customFormat="1" ht="10.8" thickTop="1">
      <c r="A28" s="192"/>
      <c r="B28" s="184" t="str">
        <f>B27&amp;" %"</f>
        <v>Net Profit After Tax %</v>
      </c>
      <c r="C28" s="154"/>
      <c r="D28" s="154"/>
      <c r="E28" s="154"/>
      <c r="F28" s="154"/>
      <c r="G28" s="154"/>
      <c r="H28" s="154"/>
      <c r="I28" s="154"/>
      <c r="J28" s="169">
        <f>IF(J$8=0,0,J27/J$8)</f>
        <v>9.0340909090908972E-2</v>
      </c>
      <c r="K28" s="169">
        <f t="shared" ref="K28:AA28" si="48">IF(K$8=0,0,K27/K$8)</f>
        <v>0.18018595041322313</v>
      </c>
      <c r="L28" s="169">
        <f t="shared" si="48"/>
        <v>0.26299336338592538</v>
      </c>
      <c r="M28" s="169">
        <f t="shared" si="48"/>
        <v>0.3272502257738924</v>
      </c>
      <c r="N28" s="169">
        <f t="shared" si="48"/>
        <v>0.36099658757121383</v>
      </c>
      <c r="O28" s="154"/>
      <c r="P28" s="169">
        <f t="shared" si="48"/>
        <v>-0.7</v>
      </c>
      <c r="Q28" s="169">
        <f t="shared" si="48"/>
        <v>4.4784946236559146E-2</v>
      </c>
      <c r="R28" s="169">
        <f t="shared" si="48"/>
        <v>0.11320512820512804</v>
      </c>
      <c r="S28" s="169">
        <f t="shared" si="48"/>
        <v>0.11320512820512804</v>
      </c>
      <c r="T28" s="169">
        <f t="shared" si="48"/>
        <v>0.11320512820512804</v>
      </c>
      <c r="U28" s="169">
        <f t="shared" si="48"/>
        <v>0.11320512820512804</v>
      </c>
      <c r="V28" s="169">
        <f t="shared" si="48"/>
        <v>0.11320512820512804</v>
      </c>
      <c r="W28" s="169">
        <f t="shared" si="48"/>
        <v>0.11320512820512804</v>
      </c>
      <c r="X28" s="169">
        <f t="shared" si="48"/>
        <v>0.11320512820512804</v>
      </c>
      <c r="Y28" s="169">
        <f t="shared" si="48"/>
        <v>0.11320512820512804</v>
      </c>
      <c r="Z28" s="169">
        <f t="shared" si="48"/>
        <v>0.11320512820512804</v>
      </c>
      <c r="AA28" s="169">
        <f t="shared" si="48"/>
        <v>0.11320512820512804</v>
      </c>
      <c r="AB28" s="174"/>
      <c r="AC28" s="189"/>
      <c r="AD28" s="189"/>
      <c r="AE28" s="189"/>
    </row>
    <row r="29" spans="1:31" s="84" customFormat="1" ht="2.1" customHeight="1">
      <c r="A29" s="192"/>
      <c r="B29" s="181"/>
      <c r="C29" s="154"/>
      <c r="D29" s="154"/>
      <c r="E29" s="154"/>
      <c r="F29" s="154"/>
      <c r="G29" s="154"/>
      <c r="H29" s="154"/>
      <c r="I29" s="154"/>
      <c r="J29" s="154"/>
      <c r="K29" s="154"/>
      <c r="L29" s="154"/>
      <c r="M29" s="154"/>
      <c r="N29" s="154"/>
      <c r="O29" s="154"/>
      <c r="P29" s="154"/>
      <c r="Q29" s="154"/>
      <c r="R29" s="154"/>
      <c r="S29" s="154"/>
      <c r="T29" s="154"/>
      <c r="U29" s="154"/>
      <c r="V29" s="154"/>
      <c r="W29" s="154"/>
      <c r="X29" s="154"/>
      <c r="Y29" s="154"/>
      <c r="Z29" s="154"/>
      <c r="AA29" s="154"/>
      <c r="AB29" s="174"/>
      <c r="AC29" s="189"/>
      <c r="AD29" s="189"/>
      <c r="AE29" s="189"/>
    </row>
    <row r="30" spans="1:31" s="84" customFormat="1" ht="15">
      <c r="A30" s="193"/>
      <c r="B30" s="180" t="str">
        <f>B5</f>
        <v>Income Statement ($) - 5 Years to Dec-2022</v>
      </c>
      <c r="C30" s="153"/>
      <c r="D30" s="153"/>
      <c r="E30" s="153"/>
      <c r="F30" s="153"/>
      <c r="G30" s="153"/>
      <c r="H30" s="153"/>
      <c r="I30" s="153"/>
      <c r="J30" s="153"/>
      <c r="K30" s="153"/>
      <c r="L30" s="153"/>
      <c r="M30" s="153"/>
      <c r="N30" s="153"/>
      <c r="O30" s="154"/>
      <c r="P30" s="153" t="str">
        <f>P5</f>
        <v>Income Statement ($) - 2018</v>
      </c>
      <c r="Q30" s="153"/>
      <c r="R30" s="153"/>
      <c r="S30" s="153"/>
      <c r="T30" s="153"/>
      <c r="U30" s="153"/>
      <c r="V30" s="153"/>
      <c r="W30" s="153"/>
      <c r="X30" s="153"/>
      <c r="Y30" s="153"/>
      <c r="Z30" s="153"/>
      <c r="AA30" s="153"/>
      <c r="AB30" s="174"/>
      <c r="AC30" s="189"/>
      <c r="AD30" s="189"/>
      <c r="AE30" s="189"/>
    </row>
    <row r="31" spans="1:31" s="84" customFormat="1" ht="10.199999999999999">
      <c r="A31" s="192"/>
      <c r="B31" s="181"/>
      <c r="C31" s="154"/>
      <c r="D31" s="154"/>
      <c r="E31" s="154"/>
      <c r="F31" s="154"/>
      <c r="G31" s="154"/>
      <c r="H31" s="154"/>
      <c r="I31" s="154"/>
      <c r="J31" s="154"/>
      <c r="K31" s="154"/>
      <c r="L31" s="154"/>
      <c r="M31" s="154"/>
      <c r="N31" s="154"/>
      <c r="O31" s="154"/>
      <c r="P31" s="154"/>
      <c r="Q31" s="154"/>
      <c r="R31" s="154"/>
      <c r="S31" s="154"/>
      <c r="T31" s="154"/>
      <c r="U31" s="154"/>
      <c r="V31" s="154"/>
      <c r="W31" s="154"/>
      <c r="X31" s="154"/>
      <c r="Y31" s="154"/>
      <c r="Z31" s="154"/>
      <c r="AA31" s="154"/>
      <c r="AB31" s="174"/>
      <c r="AC31" s="189"/>
      <c r="AD31" s="189"/>
      <c r="AE31" s="189"/>
    </row>
    <row r="32" spans="1:31" s="84" customFormat="1" ht="10.199999999999999">
      <c r="A32" s="192"/>
      <c r="B32" s="181"/>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4"/>
      <c r="AA32" s="170"/>
      <c r="AB32" s="174"/>
      <c r="AC32" s="189"/>
      <c r="AD32" s="189"/>
      <c r="AE32" s="189"/>
    </row>
    <row r="33" spans="1:31" s="84" customFormat="1" ht="10.199999999999999">
      <c r="A33" s="192"/>
      <c r="B33" s="181"/>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c r="AA33" s="154"/>
      <c r="AB33" s="174"/>
      <c r="AC33" s="189"/>
      <c r="AD33" s="189"/>
      <c r="AE33" s="189"/>
    </row>
    <row r="34" spans="1:31" s="84" customFormat="1" ht="10.199999999999999">
      <c r="A34" s="192"/>
      <c r="B34" s="181"/>
      <c r="C34" s="154"/>
      <c r="D34" s="154"/>
      <c r="E34" s="154"/>
      <c r="F34" s="154"/>
      <c r="G34" s="154"/>
      <c r="H34" s="154"/>
      <c r="I34" s="154"/>
      <c r="J34" s="154"/>
      <c r="K34" s="154"/>
      <c r="L34" s="154"/>
      <c r="M34" s="154"/>
      <c r="N34" s="154"/>
      <c r="O34" s="154"/>
      <c r="P34" s="154"/>
      <c r="Q34" s="154"/>
      <c r="R34" s="154"/>
      <c r="S34" s="154"/>
      <c r="T34" s="154"/>
      <c r="U34" s="154"/>
      <c r="V34" s="154"/>
      <c r="W34" s="154"/>
      <c r="X34" s="154"/>
      <c r="Y34" s="154"/>
      <c r="Z34" s="154"/>
      <c r="AA34" s="154"/>
      <c r="AB34" s="174"/>
      <c r="AC34" s="189"/>
      <c r="AD34" s="189"/>
      <c r="AE34" s="189"/>
    </row>
    <row r="35" spans="1:31" s="84" customFormat="1" ht="10.199999999999999">
      <c r="A35" s="192"/>
      <c r="B35" s="181"/>
      <c r="C35" s="154"/>
      <c r="D35" s="154"/>
      <c r="E35" s="154"/>
      <c r="F35" s="154"/>
      <c r="G35" s="154"/>
      <c r="H35" s="154"/>
      <c r="I35" s="154"/>
      <c r="J35" s="154"/>
      <c r="K35" s="154"/>
      <c r="L35" s="154"/>
      <c r="M35" s="154"/>
      <c r="N35" s="154"/>
      <c r="O35" s="154"/>
      <c r="P35" s="154"/>
      <c r="Q35" s="154"/>
      <c r="R35" s="154"/>
      <c r="S35" s="154"/>
      <c r="T35" s="154"/>
      <c r="U35" s="154"/>
      <c r="V35" s="154"/>
      <c r="W35" s="154"/>
      <c r="X35" s="154"/>
      <c r="Y35" s="154"/>
      <c r="Z35" s="154"/>
      <c r="AA35" s="154"/>
      <c r="AB35" s="174"/>
      <c r="AC35" s="189"/>
      <c r="AD35" s="189"/>
      <c r="AE35" s="189"/>
    </row>
    <row r="36" spans="1:31" s="84" customFormat="1" ht="10.199999999999999">
      <c r="A36" s="192"/>
      <c r="B36" s="181"/>
      <c r="C36" s="154"/>
      <c r="D36" s="154"/>
      <c r="E36" s="154"/>
      <c r="F36" s="154"/>
      <c r="G36" s="154"/>
      <c r="H36" s="154"/>
      <c r="I36" s="154"/>
      <c r="J36" s="154"/>
      <c r="K36" s="154"/>
      <c r="L36" s="154"/>
      <c r="M36" s="154"/>
      <c r="N36" s="154"/>
      <c r="O36" s="154"/>
      <c r="P36" s="154"/>
      <c r="Q36" s="154"/>
      <c r="R36" s="154"/>
      <c r="S36" s="154"/>
      <c r="T36" s="154"/>
      <c r="U36" s="154"/>
      <c r="V36" s="154"/>
      <c r="W36" s="154"/>
      <c r="X36" s="154"/>
      <c r="Y36" s="154"/>
      <c r="Z36" s="154"/>
      <c r="AA36" s="154"/>
      <c r="AB36" s="174"/>
      <c r="AC36" s="189"/>
      <c r="AD36" s="189"/>
      <c r="AE36" s="189"/>
    </row>
    <row r="37" spans="1:31" s="84" customFormat="1" ht="10.199999999999999">
      <c r="A37" s="192"/>
      <c r="B37" s="181"/>
      <c r="C37" s="154"/>
      <c r="D37" s="154"/>
      <c r="E37" s="154"/>
      <c r="F37" s="154"/>
      <c r="G37" s="154"/>
      <c r="H37" s="154"/>
      <c r="I37" s="154"/>
      <c r="J37" s="154"/>
      <c r="K37" s="154"/>
      <c r="L37" s="154"/>
      <c r="M37" s="154"/>
      <c r="N37" s="154"/>
      <c r="O37" s="154"/>
      <c r="P37" s="154"/>
      <c r="Q37" s="154"/>
      <c r="R37" s="154"/>
      <c r="S37" s="154"/>
      <c r="T37" s="154"/>
      <c r="U37" s="154"/>
      <c r="V37" s="154"/>
      <c r="W37" s="154"/>
      <c r="X37" s="154"/>
      <c r="Y37" s="154"/>
      <c r="Z37" s="154"/>
      <c r="AA37" s="154"/>
      <c r="AB37" s="174"/>
      <c r="AC37" s="189"/>
      <c r="AD37" s="189"/>
      <c r="AE37" s="189"/>
    </row>
    <row r="38" spans="1:31" s="84" customFormat="1" ht="10.199999999999999">
      <c r="A38" s="192"/>
      <c r="B38" s="181"/>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74"/>
      <c r="AC38" s="189"/>
      <c r="AD38" s="189"/>
      <c r="AE38" s="189"/>
    </row>
    <row r="39" spans="1:31" s="84" customFormat="1" ht="10.199999999999999">
      <c r="A39" s="192"/>
      <c r="B39" s="181"/>
      <c r="C39" s="154"/>
      <c r="D39" s="154"/>
      <c r="E39" s="154"/>
      <c r="F39" s="154"/>
      <c r="G39" s="154"/>
      <c r="H39" s="154"/>
      <c r="I39" s="154"/>
      <c r="J39" s="154"/>
      <c r="K39" s="154"/>
      <c r="L39" s="154"/>
      <c r="M39" s="154"/>
      <c r="N39" s="154"/>
      <c r="O39" s="154"/>
      <c r="P39" s="154"/>
      <c r="Q39" s="154"/>
      <c r="R39" s="154"/>
      <c r="S39" s="154"/>
      <c r="T39" s="154"/>
      <c r="U39" s="154"/>
      <c r="V39" s="154"/>
      <c r="W39" s="154"/>
      <c r="X39" s="154"/>
      <c r="Y39" s="154"/>
      <c r="Z39" s="154"/>
      <c r="AA39" s="154"/>
      <c r="AB39" s="174"/>
      <c r="AC39" s="189"/>
      <c r="AD39" s="189"/>
      <c r="AE39" s="189"/>
    </row>
    <row r="40" spans="1:31" s="84" customFormat="1" ht="10.199999999999999">
      <c r="A40" s="192"/>
      <c r="B40" s="181"/>
      <c r="C40" s="154"/>
      <c r="D40" s="154"/>
      <c r="E40" s="154"/>
      <c r="F40" s="154"/>
      <c r="G40" s="154"/>
      <c r="H40" s="154"/>
      <c r="I40" s="154"/>
      <c r="J40" s="154"/>
      <c r="K40" s="154"/>
      <c r="L40" s="154"/>
      <c r="M40" s="154"/>
      <c r="N40" s="154"/>
      <c r="O40" s="154"/>
      <c r="P40" s="154"/>
      <c r="Q40" s="154"/>
      <c r="R40" s="154"/>
      <c r="S40" s="154"/>
      <c r="T40" s="154"/>
      <c r="U40" s="154"/>
      <c r="V40" s="154"/>
      <c r="W40" s="154"/>
      <c r="X40" s="154"/>
      <c r="Y40" s="154"/>
      <c r="Z40" s="154"/>
      <c r="AA40" s="154"/>
      <c r="AB40" s="174"/>
      <c r="AC40" s="189"/>
      <c r="AD40" s="189"/>
      <c r="AE40" s="189"/>
    </row>
    <row r="41" spans="1:31" s="84" customFormat="1" ht="10.199999999999999">
      <c r="A41" s="192"/>
      <c r="B41" s="181"/>
      <c r="C41" s="154"/>
      <c r="D41" s="154"/>
      <c r="E41" s="154"/>
      <c r="F41" s="154"/>
      <c r="G41" s="154"/>
      <c r="H41" s="154"/>
      <c r="I41" s="154"/>
      <c r="J41" s="154"/>
      <c r="K41" s="154"/>
      <c r="L41" s="154"/>
      <c r="M41" s="154"/>
      <c r="N41" s="154"/>
      <c r="O41" s="154"/>
      <c r="P41" s="154"/>
      <c r="Q41" s="154"/>
      <c r="R41" s="154"/>
      <c r="S41" s="154"/>
      <c r="T41" s="154"/>
      <c r="U41" s="154"/>
      <c r="V41" s="154"/>
      <c r="W41" s="154"/>
      <c r="X41" s="154"/>
      <c r="Y41" s="154"/>
      <c r="Z41" s="154"/>
      <c r="AA41" s="154"/>
      <c r="AB41" s="174"/>
      <c r="AC41" s="189"/>
      <c r="AD41" s="189"/>
      <c r="AE41" s="189"/>
    </row>
    <row r="42" spans="1:31" s="84" customFormat="1" ht="10.199999999999999">
      <c r="A42" s="192"/>
      <c r="B42" s="181"/>
      <c r="C42" s="154"/>
      <c r="D42" s="154"/>
      <c r="E42" s="154"/>
      <c r="F42" s="154"/>
      <c r="G42" s="154"/>
      <c r="H42" s="154"/>
      <c r="I42" s="154"/>
      <c r="J42" s="154"/>
      <c r="K42" s="154"/>
      <c r="L42" s="154"/>
      <c r="M42" s="154"/>
      <c r="N42" s="154"/>
      <c r="O42" s="154"/>
      <c r="P42" s="154"/>
      <c r="Q42" s="154"/>
      <c r="R42" s="154"/>
      <c r="S42" s="154"/>
      <c r="T42" s="154"/>
      <c r="U42" s="154"/>
      <c r="V42" s="154"/>
      <c r="W42" s="154"/>
      <c r="X42" s="154"/>
      <c r="Y42" s="154"/>
      <c r="Z42" s="154"/>
      <c r="AA42" s="154"/>
      <c r="AB42" s="174"/>
      <c r="AC42" s="189"/>
      <c r="AD42" s="189"/>
      <c r="AE42" s="189"/>
    </row>
    <row r="43" spans="1:31" s="84" customFormat="1" ht="10.199999999999999">
      <c r="A43" s="192"/>
      <c r="B43" s="181"/>
      <c r="C43" s="154"/>
      <c r="D43" s="154"/>
      <c r="E43" s="154"/>
      <c r="F43" s="154"/>
      <c r="G43" s="154"/>
      <c r="H43" s="154"/>
      <c r="I43" s="154"/>
      <c r="J43" s="154"/>
      <c r="K43" s="154"/>
      <c r="L43" s="154"/>
      <c r="M43" s="154"/>
      <c r="N43" s="154"/>
      <c r="O43" s="154"/>
      <c r="P43" s="154"/>
      <c r="Q43" s="154"/>
      <c r="R43" s="154"/>
      <c r="S43" s="154"/>
      <c r="T43" s="154"/>
      <c r="U43" s="154"/>
      <c r="V43" s="154"/>
      <c r="W43" s="154"/>
      <c r="X43" s="154"/>
      <c r="Y43" s="154"/>
      <c r="Z43" s="154"/>
      <c r="AA43" s="154"/>
      <c r="AB43" s="174"/>
      <c r="AC43" s="189"/>
      <c r="AD43" s="189"/>
      <c r="AE43" s="189"/>
    </row>
    <row r="44" spans="1:31" s="84" customFormat="1" ht="10.199999999999999">
      <c r="A44" s="192"/>
      <c r="B44" s="181"/>
      <c r="C44" s="154"/>
      <c r="D44" s="154"/>
      <c r="E44" s="154"/>
      <c r="F44" s="154"/>
      <c r="G44" s="154"/>
      <c r="H44" s="154"/>
      <c r="I44" s="154"/>
      <c r="J44" s="154"/>
      <c r="K44" s="154"/>
      <c r="L44" s="154"/>
      <c r="M44" s="154"/>
      <c r="N44" s="154"/>
      <c r="O44" s="154"/>
      <c r="P44" s="154"/>
      <c r="Q44" s="154"/>
      <c r="R44" s="154"/>
      <c r="S44" s="154"/>
      <c r="T44" s="154"/>
      <c r="U44" s="154"/>
      <c r="V44" s="154"/>
      <c r="W44" s="154"/>
      <c r="X44" s="154"/>
      <c r="Y44" s="154"/>
      <c r="Z44" s="154"/>
      <c r="AA44" s="154"/>
      <c r="AB44" s="174"/>
      <c r="AC44" s="189"/>
      <c r="AD44" s="189"/>
      <c r="AE44" s="189"/>
    </row>
    <row r="45" spans="1:31" s="84" customFormat="1" ht="10.199999999999999">
      <c r="A45" s="192"/>
      <c r="B45" s="181"/>
      <c r="C45" s="154"/>
      <c r="D45" s="154"/>
      <c r="E45" s="154"/>
      <c r="F45" s="154"/>
      <c r="G45" s="154"/>
      <c r="H45" s="154"/>
      <c r="I45" s="154"/>
      <c r="J45" s="154"/>
      <c r="K45" s="154"/>
      <c r="L45" s="154"/>
      <c r="M45" s="154"/>
      <c r="N45" s="154"/>
      <c r="O45" s="154"/>
      <c r="P45" s="154"/>
      <c r="Q45" s="154"/>
      <c r="R45" s="154"/>
      <c r="S45" s="154"/>
      <c r="T45" s="154"/>
      <c r="U45" s="154"/>
      <c r="V45" s="154"/>
      <c r="W45" s="154"/>
      <c r="X45" s="154"/>
      <c r="Y45" s="154"/>
      <c r="Z45" s="154"/>
      <c r="AA45" s="154"/>
      <c r="AB45" s="174"/>
      <c r="AC45" s="189"/>
      <c r="AD45" s="189"/>
      <c r="AE45" s="189"/>
    </row>
    <row r="46" spans="1:31" s="84" customFormat="1" ht="10.199999999999999">
      <c r="A46" s="192"/>
      <c r="B46" s="181"/>
      <c r="C46" s="154"/>
      <c r="D46" s="154"/>
      <c r="E46" s="154"/>
      <c r="F46" s="154"/>
      <c r="G46" s="154"/>
      <c r="H46" s="154"/>
      <c r="I46" s="154"/>
      <c r="J46" s="154"/>
      <c r="K46" s="154"/>
      <c r="L46" s="154"/>
      <c r="M46" s="154"/>
      <c r="N46" s="154"/>
      <c r="O46" s="154"/>
      <c r="P46" s="154"/>
      <c r="Q46" s="154"/>
      <c r="R46" s="154"/>
      <c r="S46" s="154"/>
      <c r="T46" s="154"/>
      <c r="U46" s="154"/>
      <c r="V46" s="154"/>
      <c r="W46" s="154"/>
      <c r="X46" s="154"/>
      <c r="Y46" s="154"/>
      <c r="Z46" s="154"/>
      <c r="AA46" s="154"/>
      <c r="AB46" s="174"/>
      <c r="AC46" s="189"/>
      <c r="AD46" s="189"/>
      <c r="AE46" s="189"/>
    </row>
    <row r="47" spans="1:31" s="84" customFormat="1" ht="10.199999999999999">
      <c r="A47" s="192"/>
      <c r="B47" s="181"/>
      <c r="C47" s="154"/>
      <c r="D47" s="154"/>
      <c r="E47" s="154"/>
      <c r="F47" s="154"/>
      <c r="G47" s="154"/>
      <c r="H47" s="154"/>
      <c r="I47" s="154"/>
      <c r="J47" s="154"/>
      <c r="K47" s="154"/>
      <c r="L47" s="154"/>
      <c r="M47" s="154"/>
      <c r="N47" s="154"/>
      <c r="O47" s="154"/>
      <c r="P47" s="154"/>
      <c r="Q47" s="154"/>
      <c r="R47" s="154"/>
      <c r="S47" s="154"/>
      <c r="T47" s="154"/>
      <c r="U47" s="154"/>
      <c r="V47" s="154"/>
      <c r="W47" s="154"/>
      <c r="X47" s="154"/>
      <c r="Y47" s="154"/>
      <c r="Z47" s="154"/>
      <c r="AA47" s="154"/>
      <c r="AB47" s="174"/>
      <c r="AC47" s="189"/>
      <c r="AD47" s="189"/>
      <c r="AE47" s="189"/>
    </row>
    <row r="48" spans="1:31" s="84" customFormat="1" ht="10.199999999999999">
      <c r="A48" s="192"/>
      <c r="B48" s="181"/>
      <c r="C48" s="154"/>
      <c r="D48" s="154"/>
      <c r="E48" s="154"/>
      <c r="F48" s="154"/>
      <c r="G48" s="154"/>
      <c r="H48" s="154"/>
      <c r="I48" s="154"/>
      <c r="J48" s="154"/>
      <c r="K48" s="154"/>
      <c r="L48" s="154"/>
      <c r="M48" s="154"/>
      <c r="N48" s="154"/>
      <c r="O48" s="154"/>
      <c r="P48" s="154"/>
      <c r="Q48" s="154"/>
      <c r="R48" s="154"/>
      <c r="S48" s="154"/>
      <c r="T48" s="154"/>
      <c r="U48" s="154"/>
      <c r="V48" s="154"/>
      <c r="W48" s="154"/>
      <c r="X48" s="154"/>
      <c r="Y48" s="154"/>
      <c r="Z48" s="154"/>
      <c r="AA48" s="154"/>
      <c r="AB48" s="174"/>
      <c r="AC48" s="189"/>
      <c r="AD48" s="189"/>
      <c r="AE48" s="189"/>
    </row>
    <row r="49" spans="1:31" s="84" customFormat="1" ht="10.199999999999999">
      <c r="A49" s="192"/>
      <c r="B49" s="181"/>
      <c r="C49" s="154"/>
      <c r="D49" s="154"/>
      <c r="E49" s="154"/>
      <c r="F49" s="154"/>
      <c r="G49" s="154"/>
      <c r="H49" s="154"/>
      <c r="I49" s="154"/>
      <c r="J49" s="154"/>
      <c r="K49" s="154"/>
      <c r="L49" s="154"/>
      <c r="M49" s="154"/>
      <c r="N49" s="154"/>
      <c r="O49" s="154"/>
      <c r="P49" s="154"/>
      <c r="Q49" s="154"/>
      <c r="R49" s="154"/>
      <c r="S49" s="154"/>
      <c r="T49" s="154"/>
      <c r="U49" s="154"/>
      <c r="V49" s="154"/>
      <c r="W49" s="154"/>
      <c r="X49" s="154"/>
      <c r="Y49" s="154"/>
      <c r="Z49" s="154"/>
      <c r="AA49" s="154"/>
      <c r="AB49" s="174"/>
      <c r="AC49" s="189"/>
      <c r="AD49" s="189"/>
      <c r="AE49" s="189"/>
    </row>
    <row r="50" spans="1:31" s="84" customFormat="1" ht="10.199999999999999">
      <c r="A50" s="192"/>
      <c r="B50" s="181"/>
      <c r="C50" s="154"/>
      <c r="D50" s="154"/>
      <c r="E50" s="154"/>
      <c r="F50" s="154"/>
      <c r="G50" s="154"/>
      <c r="H50" s="154"/>
      <c r="I50" s="154"/>
      <c r="J50" s="154"/>
      <c r="K50" s="154"/>
      <c r="L50" s="154"/>
      <c r="M50" s="154"/>
      <c r="N50" s="154"/>
      <c r="O50" s="154"/>
      <c r="P50" s="154"/>
      <c r="Q50" s="154"/>
      <c r="R50" s="154"/>
      <c r="S50" s="154"/>
      <c r="T50" s="154"/>
      <c r="U50" s="154"/>
      <c r="V50" s="154"/>
      <c r="W50" s="154"/>
      <c r="X50" s="154"/>
      <c r="Y50" s="154"/>
      <c r="Z50" s="154"/>
      <c r="AA50" s="154"/>
      <c r="AB50" s="174"/>
      <c r="AC50" s="189"/>
      <c r="AD50" s="189"/>
      <c r="AE50" s="189"/>
    </row>
    <row r="51" spans="1:31" s="84" customFormat="1" ht="15">
      <c r="A51" s="193"/>
      <c r="B51" s="180" t="str">
        <f>"Cash Flow Statement ("&amp;Currency&amp;") - 5 Years to Dec-"&amp;Last_Fin_Year</f>
        <v>Cash Flow Statement ($) - 5 Years to Dec-2022</v>
      </c>
      <c r="C51" s="153"/>
      <c r="D51" s="153"/>
      <c r="E51" s="153"/>
      <c r="F51" s="153"/>
      <c r="G51" s="153"/>
      <c r="H51" s="153"/>
      <c r="I51" s="153"/>
      <c r="J51" s="153"/>
      <c r="K51" s="153"/>
      <c r="L51" s="153"/>
      <c r="M51" s="153"/>
      <c r="N51" s="153"/>
      <c r="O51" s="154"/>
      <c r="P51" s="153" t="str">
        <f>"Cash Flow Statement ("&amp;Currency&amp;") - "&amp;U3</f>
        <v>Cash Flow Statement ($) - 2018</v>
      </c>
      <c r="Q51" s="153"/>
      <c r="R51" s="153"/>
      <c r="S51" s="153"/>
      <c r="T51" s="153"/>
      <c r="U51" s="153"/>
      <c r="V51" s="153"/>
      <c r="W51" s="153"/>
      <c r="X51" s="153"/>
      <c r="Y51" s="153"/>
      <c r="Z51" s="153"/>
      <c r="AA51" s="153"/>
      <c r="AB51" s="174"/>
      <c r="AC51" s="189"/>
      <c r="AD51" s="189"/>
      <c r="AE51" s="189"/>
    </row>
    <row r="52" spans="1:31" s="84" customFormat="1" ht="2.1" customHeight="1">
      <c r="A52" s="192"/>
      <c r="B52" s="181"/>
      <c r="C52" s="154"/>
      <c r="D52" s="154"/>
      <c r="E52" s="154"/>
      <c r="F52" s="154"/>
      <c r="G52" s="154"/>
      <c r="H52" s="154"/>
      <c r="I52" s="154"/>
      <c r="J52" s="154"/>
      <c r="K52" s="154"/>
      <c r="L52" s="154"/>
      <c r="M52" s="154"/>
      <c r="N52" s="154"/>
      <c r="O52" s="154"/>
      <c r="P52" s="171"/>
      <c r="Q52" s="171"/>
      <c r="R52" s="171"/>
      <c r="S52" s="171"/>
      <c r="T52" s="171"/>
      <c r="U52" s="171"/>
      <c r="V52" s="171"/>
      <c r="W52" s="171"/>
      <c r="X52" s="171"/>
      <c r="Y52" s="171"/>
      <c r="Z52" s="171"/>
      <c r="AA52" s="171"/>
      <c r="AB52" s="174"/>
      <c r="AC52" s="189"/>
      <c r="AD52" s="189"/>
      <c r="AE52" s="189"/>
    </row>
    <row r="53" spans="1:31" s="84" customFormat="1" ht="10.199999999999999">
      <c r="A53" s="192"/>
      <c r="B53" s="182" t="s">
        <v>72</v>
      </c>
      <c r="C53" s="154"/>
      <c r="D53" s="154"/>
      <c r="E53" s="154"/>
      <c r="F53" s="154"/>
      <c r="G53" s="154"/>
      <c r="H53" s="154"/>
      <c r="I53" s="154"/>
      <c r="J53" s="167">
        <f>Dashboard!H13</f>
        <v>2018</v>
      </c>
      <c r="K53" s="167">
        <f>Dashboard!I13</f>
        <v>2019</v>
      </c>
      <c r="L53" s="167">
        <f>Dashboard!J13</f>
        <v>2020</v>
      </c>
      <c r="M53" s="167">
        <f>Dashboard!K13</f>
        <v>2021</v>
      </c>
      <c r="N53" s="167">
        <f>Dashboard!L13</f>
        <v>2022</v>
      </c>
      <c r="O53" s="154"/>
      <c r="P53" s="168">
        <f>DATE($U$3,1,31)</f>
        <v>43131</v>
      </c>
      <c r="Q53" s="168">
        <f>EOMONTH(P53,1)</f>
        <v>43159</v>
      </c>
      <c r="R53" s="168">
        <f t="shared" ref="R53:AA53" si="49">EOMONTH(Q53,1)</f>
        <v>43190</v>
      </c>
      <c r="S53" s="168">
        <f t="shared" si="49"/>
        <v>43220</v>
      </c>
      <c r="T53" s="168">
        <f t="shared" si="49"/>
        <v>43251</v>
      </c>
      <c r="U53" s="168">
        <f t="shared" si="49"/>
        <v>43281</v>
      </c>
      <c r="V53" s="168">
        <f t="shared" si="49"/>
        <v>43312</v>
      </c>
      <c r="W53" s="168">
        <f t="shared" si="49"/>
        <v>43343</v>
      </c>
      <c r="X53" s="168">
        <f t="shared" si="49"/>
        <v>43373</v>
      </c>
      <c r="Y53" s="168">
        <f t="shared" si="49"/>
        <v>43404</v>
      </c>
      <c r="Z53" s="168">
        <f t="shared" si="49"/>
        <v>43434</v>
      </c>
      <c r="AA53" s="168">
        <f t="shared" si="49"/>
        <v>43465</v>
      </c>
      <c r="AB53" s="174"/>
      <c r="AC53" s="189"/>
      <c r="AD53" s="189"/>
      <c r="AE53" s="189"/>
    </row>
    <row r="54" spans="1:31" s="107" customFormat="1" ht="10.199999999999999">
      <c r="A54" s="193"/>
      <c r="B54" s="186" t="s">
        <v>142</v>
      </c>
      <c r="C54" s="154"/>
      <c r="D54" s="154"/>
      <c r="E54" s="154"/>
      <c r="F54" s="154"/>
      <c r="G54" s="154"/>
      <c r="H54" s="154"/>
      <c r="I54" s="154"/>
      <c r="J54" s="157">
        <f>SUMIF(CF!$4:$4,J$53,CF!15:15)</f>
        <v>35850.757575757569</v>
      </c>
      <c r="K54" s="157">
        <f>SUMIF(CF!$4:$4,K$53,CF!15:15)</f>
        <v>55791.242424242431</v>
      </c>
      <c r="L54" s="157">
        <f>SUMIF(CF!$4:$4,L$53,CF!15:15)</f>
        <v>79704.040000000052</v>
      </c>
      <c r="M54" s="157">
        <f>SUMIF(CF!$4:$4,M$53,CF!15:15)</f>
        <v>111862.31280000007</v>
      </c>
      <c r="N54" s="157">
        <f>SUMIF(CF!$4:$4,N$53,CF!15:15)</f>
        <v>149324.06208273821</v>
      </c>
      <c r="O54" s="154"/>
      <c r="P54" s="157">
        <f>SUMIF(CF!$5:$5,P$53,CF!15:15)</f>
        <v>-962.50000000000045</v>
      </c>
      <c r="Q54" s="157">
        <f>SUMIF(CF!$5:$5,Q$53,CF!15:15)</f>
        <v>1302.6515151515148</v>
      </c>
      <c r="R54" s="157">
        <f>SUMIF(CF!$5:$5,R$53,CF!15:15)</f>
        <v>3009.8333333333339</v>
      </c>
      <c r="S54" s="157">
        <f>SUMIF(CF!$5:$5,S$53,CF!15:15)</f>
        <v>3403.19696969697</v>
      </c>
      <c r="T54" s="157">
        <f>SUMIF(CF!$5:$5,T$53,CF!15:15)</f>
        <v>3637.19696969697</v>
      </c>
      <c r="U54" s="157">
        <f>SUMIF(CF!$5:$5,U$53,CF!15:15)</f>
        <v>3637.19696969697</v>
      </c>
      <c r="V54" s="157">
        <f>SUMIF(CF!$5:$5,V$53,CF!15:15)</f>
        <v>3637.19696969697</v>
      </c>
      <c r="W54" s="157">
        <f>SUMIF(CF!$5:$5,W$53,CF!15:15)</f>
        <v>3637.19696969697</v>
      </c>
      <c r="X54" s="157">
        <f>SUMIF(CF!$5:$5,X$53,CF!15:15)</f>
        <v>3637.19696969697</v>
      </c>
      <c r="Y54" s="157">
        <f>SUMIF(CF!$5:$5,Y$53,CF!15:15)</f>
        <v>3637.19696969697</v>
      </c>
      <c r="Z54" s="157">
        <f>SUMIF(CF!$5:$5,Z$53,CF!15:15)</f>
        <v>3637.19696969697</v>
      </c>
      <c r="AA54" s="157">
        <f>SUMIF(CF!$5:$5,AA$53,CF!15:15)</f>
        <v>3637.19696969697</v>
      </c>
      <c r="AB54" s="174"/>
      <c r="AC54" s="190"/>
      <c r="AD54" s="190"/>
      <c r="AE54" s="190"/>
    </row>
    <row r="55" spans="1:31" s="107" customFormat="1" ht="10.199999999999999">
      <c r="A55" s="193"/>
      <c r="B55" s="186" t="s">
        <v>143</v>
      </c>
      <c r="C55" s="154"/>
      <c r="D55" s="154"/>
      <c r="E55" s="154"/>
      <c r="F55" s="154"/>
      <c r="G55" s="154"/>
      <c r="H55" s="154"/>
      <c r="I55" s="154"/>
      <c r="J55" s="157">
        <f>SUMIF(CF!$4:$4,J$53,CF!21:21)</f>
        <v>-150000</v>
      </c>
      <c r="K55" s="157">
        <f>SUMIF(CF!$4:$4,K$53,CF!21:21)</f>
        <v>0</v>
      </c>
      <c r="L55" s="157">
        <f>SUMIF(CF!$4:$4,L$53,CF!21:21)</f>
        <v>0</v>
      </c>
      <c r="M55" s="157">
        <f>SUMIF(CF!$4:$4,M$53,CF!21:21)</f>
        <v>0</v>
      </c>
      <c r="N55" s="157">
        <f>SUMIF(CF!$4:$4,N$53,CF!21:21)</f>
        <v>0</v>
      </c>
      <c r="O55" s="154"/>
      <c r="P55" s="157">
        <f>SUMIF(CF!$5:$5,P$53,CF!21:21)</f>
        <v>-50000</v>
      </c>
      <c r="Q55" s="157">
        <f>SUMIF(CF!$5:$5,Q$53,CF!21:21)</f>
        <v>-50000</v>
      </c>
      <c r="R55" s="157">
        <f>SUMIF(CF!$5:$5,R$53,CF!21:21)</f>
        <v>-50000</v>
      </c>
      <c r="S55" s="157">
        <f>SUMIF(CF!$5:$5,S$53,CF!21:21)</f>
        <v>0</v>
      </c>
      <c r="T55" s="157">
        <f>SUMIF(CF!$5:$5,T$53,CF!21:21)</f>
        <v>0</v>
      </c>
      <c r="U55" s="157">
        <f>SUMIF(CF!$5:$5,U$53,CF!21:21)</f>
        <v>0</v>
      </c>
      <c r="V55" s="157">
        <f>SUMIF(CF!$5:$5,V$53,CF!21:21)</f>
        <v>0</v>
      </c>
      <c r="W55" s="157">
        <f>SUMIF(CF!$5:$5,W$53,CF!21:21)</f>
        <v>0</v>
      </c>
      <c r="X55" s="157">
        <f>SUMIF(CF!$5:$5,X$53,CF!21:21)</f>
        <v>0</v>
      </c>
      <c r="Y55" s="157">
        <f>SUMIF(CF!$5:$5,Y$53,CF!21:21)</f>
        <v>0</v>
      </c>
      <c r="Z55" s="157">
        <f>SUMIF(CF!$5:$5,Z$53,CF!21:21)</f>
        <v>0</v>
      </c>
      <c r="AA55" s="157">
        <f>SUMIF(CF!$5:$5,AA$53,CF!21:21)</f>
        <v>0</v>
      </c>
      <c r="AB55" s="174"/>
      <c r="AC55" s="190"/>
      <c r="AD55" s="190"/>
      <c r="AE55" s="190"/>
    </row>
    <row r="56" spans="1:31" s="107" customFormat="1" ht="10.199999999999999">
      <c r="A56" s="193"/>
      <c r="B56" s="186" t="s">
        <v>144</v>
      </c>
      <c r="C56" s="154"/>
      <c r="D56" s="154"/>
      <c r="E56" s="154"/>
      <c r="F56" s="154"/>
      <c r="G56" s="154"/>
      <c r="H56" s="154"/>
      <c r="I56" s="154"/>
      <c r="J56" s="159">
        <f>SUMIF(CF!$4:$4,J$53,CF!31:31)</f>
        <v>240000</v>
      </c>
      <c r="K56" s="159">
        <f>SUMIF(CF!$4:$4,K$53,CF!31:31)</f>
        <v>-50000</v>
      </c>
      <c r="L56" s="159">
        <f>SUMIF(CF!$4:$4,L$53,CF!31:31)</f>
        <v>0</v>
      </c>
      <c r="M56" s="159">
        <f>SUMIF(CF!$4:$4,M$53,CF!31:31)</f>
        <v>0</v>
      </c>
      <c r="N56" s="159">
        <f>SUMIF(CF!$4:$4,N$53,CF!31:31)</f>
        <v>64812.883723602085</v>
      </c>
      <c r="O56" s="154"/>
      <c r="P56" s="159">
        <f>SUMIF(CF!$5:$5,P$53,CF!31:31)</f>
        <v>250000</v>
      </c>
      <c r="Q56" s="159">
        <f>SUMIF(CF!$5:$5,Q$53,CF!31:31)</f>
        <v>0</v>
      </c>
      <c r="R56" s="159">
        <f>SUMIF(CF!$5:$5,R$53,CF!31:31)</f>
        <v>0</v>
      </c>
      <c r="S56" s="159">
        <f>SUMIF(CF!$5:$5,S$53,CF!31:31)</f>
        <v>0</v>
      </c>
      <c r="T56" s="159">
        <f>SUMIF(CF!$5:$5,T$53,CF!31:31)</f>
        <v>0</v>
      </c>
      <c r="U56" s="159">
        <f>SUMIF(CF!$5:$5,U$53,CF!31:31)</f>
        <v>0</v>
      </c>
      <c r="V56" s="159">
        <f>SUMIF(CF!$5:$5,V$53,CF!31:31)</f>
        <v>0</v>
      </c>
      <c r="W56" s="159">
        <f>SUMIF(CF!$5:$5,W$53,CF!31:31)</f>
        <v>0</v>
      </c>
      <c r="X56" s="159">
        <f>SUMIF(CF!$5:$5,X$53,CF!31:31)</f>
        <v>0</v>
      </c>
      <c r="Y56" s="159">
        <f>SUMIF(CF!$5:$5,Y$53,CF!31:31)</f>
        <v>0</v>
      </c>
      <c r="Z56" s="159">
        <f>SUMIF(CF!$5:$5,Z$53,CF!31:31)</f>
        <v>0</v>
      </c>
      <c r="AA56" s="159">
        <f>SUMIF(CF!$5:$5,AA$53,CF!31:31)</f>
        <v>-10000</v>
      </c>
      <c r="AB56" s="174"/>
      <c r="AC56" s="190"/>
      <c r="AD56" s="190"/>
      <c r="AE56" s="190"/>
    </row>
    <row r="57" spans="1:31" s="107" customFormat="1" ht="10.8" thickBot="1">
      <c r="A57" s="193"/>
      <c r="B57" s="182" t="s">
        <v>121</v>
      </c>
      <c r="C57" s="154"/>
      <c r="D57" s="154"/>
      <c r="E57" s="154"/>
      <c r="F57" s="154"/>
      <c r="G57" s="154"/>
      <c r="H57" s="154"/>
      <c r="I57" s="154"/>
      <c r="J57" s="156">
        <f>SUM(J54:J56)</f>
        <v>125850.75757575757</v>
      </c>
      <c r="K57" s="156">
        <f t="shared" ref="K57:N57" si="50">SUM(K54:K56)</f>
        <v>5791.2424242424313</v>
      </c>
      <c r="L57" s="156">
        <f t="shared" si="50"/>
        <v>79704.040000000052</v>
      </c>
      <c r="M57" s="156">
        <f t="shared" si="50"/>
        <v>111862.31280000007</v>
      </c>
      <c r="N57" s="156">
        <f t="shared" si="50"/>
        <v>214136.94580634029</v>
      </c>
      <c r="O57" s="154"/>
      <c r="P57" s="156">
        <f t="shared" ref="P57" si="51">SUM(P54:P56)</f>
        <v>199037.5</v>
      </c>
      <c r="Q57" s="156">
        <f t="shared" ref="Q57" si="52">SUM(Q54:Q56)</f>
        <v>-48697.348484848488</v>
      </c>
      <c r="R57" s="156">
        <f t="shared" ref="R57" si="53">SUM(R54:R56)</f>
        <v>-46990.166666666664</v>
      </c>
      <c r="S57" s="156">
        <f t="shared" ref="S57" si="54">SUM(S54:S56)</f>
        <v>3403.19696969697</v>
      </c>
      <c r="T57" s="156">
        <f t="shared" ref="T57" si="55">SUM(T54:T56)</f>
        <v>3637.19696969697</v>
      </c>
      <c r="U57" s="156">
        <f t="shared" ref="U57" si="56">SUM(U54:U56)</f>
        <v>3637.19696969697</v>
      </c>
      <c r="V57" s="156">
        <f t="shared" ref="V57" si="57">SUM(V54:V56)</f>
        <v>3637.19696969697</v>
      </c>
      <c r="W57" s="156">
        <f t="shared" ref="W57" si="58">SUM(W54:W56)</f>
        <v>3637.19696969697</v>
      </c>
      <c r="X57" s="156">
        <f t="shared" ref="X57" si="59">SUM(X54:X56)</f>
        <v>3637.19696969697</v>
      </c>
      <c r="Y57" s="156">
        <f t="shared" ref="Y57" si="60">SUM(Y54:Y56)</f>
        <v>3637.19696969697</v>
      </c>
      <c r="Z57" s="156">
        <f t="shared" ref="Z57" si="61">SUM(Z54:Z56)</f>
        <v>3637.19696969697</v>
      </c>
      <c r="AA57" s="156">
        <f t="shared" ref="AA57" si="62">SUM(AA54:AA56)</f>
        <v>-6362.80303030303</v>
      </c>
      <c r="AB57" s="174"/>
      <c r="AC57" s="190"/>
      <c r="AD57" s="190"/>
      <c r="AE57" s="190"/>
    </row>
    <row r="58" spans="1:31" s="106" customFormat="1" ht="10.8" thickTop="1">
      <c r="A58" s="194"/>
      <c r="B58" s="187" t="s">
        <v>33</v>
      </c>
      <c r="C58" s="160"/>
      <c r="D58" s="160"/>
      <c r="E58" s="160"/>
      <c r="F58" s="160"/>
      <c r="G58" s="160"/>
      <c r="H58" s="160"/>
      <c r="I58" s="160"/>
      <c r="J58" s="161">
        <f>SUMIF(BS!$5:$5,DATE(J53,12,31),BS!10:10)</f>
        <v>125850.75757575764</v>
      </c>
      <c r="K58" s="161">
        <f>SUMIF(BS!$5:$5,DATE(K53,12,31),BS!10:10)</f>
        <v>131642.00000000006</v>
      </c>
      <c r="L58" s="161">
        <f>SUMIF(BS!$5:$5,DATE(L53,12,31),BS!10:10)</f>
        <v>211346.04000000007</v>
      </c>
      <c r="M58" s="161">
        <f>SUMIF(BS!$5:$5,DATE(M53,12,31),BS!10:10)</f>
        <v>323208.35280000028</v>
      </c>
      <c r="N58" s="161">
        <f>SUMIF(BS!$5:$5,DATE(N53,12,31),BS!10:10)</f>
        <v>537345.29860634066</v>
      </c>
      <c r="O58" s="160"/>
      <c r="P58" s="161">
        <f>SUMIF(BS!$5:$5,P$53,BS!10:10)</f>
        <v>199037.5</v>
      </c>
      <c r="Q58" s="161">
        <f>SUMIF(BS!$5:$5,Q$53,BS!10:10)</f>
        <v>150340.15151515152</v>
      </c>
      <c r="R58" s="161">
        <f>SUMIF(BS!$5:$5,R$53,BS!10:10)</f>
        <v>103349.98484848486</v>
      </c>
      <c r="S58" s="161">
        <f>SUMIF(BS!$5:$5,S$53,BS!10:10)</f>
        <v>106753.18181818184</v>
      </c>
      <c r="T58" s="161">
        <f>SUMIF(BS!$5:$5,T$53,BS!10:10)</f>
        <v>110390.37878787881</v>
      </c>
      <c r="U58" s="161">
        <f>SUMIF(BS!$5:$5,U$53,BS!10:10)</f>
        <v>114027.57575757579</v>
      </c>
      <c r="V58" s="161">
        <f>SUMIF(BS!$5:$5,V$53,BS!10:10)</f>
        <v>117664.77272727276</v>
      </c>
      <c r="W58" s="161">
        <f>SUMIF(BS!$5:$5,W$53,BS!10:10)</f>
        <v>121301.96969696974</v>
      </c>
      <c r="X58" s="161">
        <f>SUMIF(BS!$5:$5,X$53,BS!10:10)</f>
        <v>124939.16666666672</v>
      </c>
      <c r="Y58" s="161">
        <f>SUMIF(BS!$5:$5,Y$53,BS!10:10)</f>
        <v>128576.36363636369</v>
      </c>
      <c r="Z58" s="161">
        <f>SUMIF(BS!$5:$5,Z$53,BS!10:10)</f>
        <v>132213.56060606067</v>
      </c>
      <c r="AA58" s="161">
        <f>SUMIF(BS!$5:$5,AA$53,BS!10:10)</f>
        <v>125850.75757575764</v>
      </c>
      <c r="AB58" s="175"/>
      <c r="AC58" s="191"/>
      <c r="AD58" s="191"/>
      <c r="AE58" s="191"/>
    </row>
    <row r="59" spans="1:31" s="84" customFormat="1" ht="2.25" customHeight="1">
      <c r="A59" s="192"/>
      <c r="B59" s="181"/>
      <c r="C59" s="154"/>
      <c r="D59" s="154"/>
      <c r="E59" s="154"/>
      <c r="F59" s="154"/>
      <c r="G59" s="154"/>
      <c r="H59" s="154"/>
      <c r="I59" s="154"/>
      <c r="J59" s="154"/>
      <c r="K59" s="154"/>
      <c r="L59" s="154"/>
      <c r="M59" s="154"/>
      <c r="N59" s="154"/>
      <c r="O59" s="154"/>
      <c r="P59" s="154"/>
      <c r="Q59" s="154"/>
      <c r="R59" s="154"/>
      <c r="S59" s="154"/>
      <c r="T59" s="154"/>
      <c r="U59" s="154"/>
      <c r="V59" s="154"/>
      <c r="W59" s="154"/>
      <c r="X59" s="154"/>
      <c r="Y59" s="154"/>
      <c r="Z59" s="154"/>
      <c r="AA59" s="154"/>
      <c r="AB59" s="174"/>
      <c r="AC59" s="189"/>
      <c r="AD59" s="189"/>
      <c r="AE59" s="189"/>
    </row>
    <row r="60" spans="1:31" s="84" customFormat="1" ht="15">
      <c r="A60" s="193"/>
      <c r="B60" s="180" t="str">
        <f>B51</f>
        <v>Cash Flow Statement ($) - 5 Years to Dec-2022</v>
      </c>
      <c r="C60" s="153"/>
      <c r="D60" s="153"/>
      <c r="E60" s="153"/>
      <c r="F60" s="153"/>
      <c r="G60" s="153"/>
      <c r="H60" s="153"/>
      <c r="I60" s="153"/>
      <c r="J60" s="153"/>
      <c r="K60" s="153"/>
      <c r="L60" s="153"/>
      <c r="M60" s="153"/>
      <c r="N60" s="153"/>
      <c r="O60" s="154"/>
      <c r="P60" s="153" t="str">
        <f>P51</f>
        <v>Cash Flow Statement ($) - 2018</v>
      </c>
      <c r="Q60" s="153"/>
      <c r="R60" s="153"/>
      <c r="S60" s="153"/>
      <c r="T60" s="153"/>
      <c r="U60" s="153"/>
      <c r="V60" s="153"/>
      <c r="W60" s="153"/>
      <c r="X60" s="153"/>
      <c r="Y60" s="153"/>
      <c r="Z60" s="153"/>
      <c r="AA60" s="153"/>
      <c r="AB60" s="174"/>
      <c r="AC60" s="189"/>
      <c r="AD60" s="189"/>
      <c r="AE60" s="189"/>
    </row>
    <row r="61" spans="1:31" s="84" customFormat="1" ht="10.199999999999999">
      <c r="A61" s="192"/>
      <c r="B61" s="181"/>
      <c r="C61" s="154"/>
      <c r="D61" s="154"/>
      <c r="E61" s="154"/>
      <c r="F61" s="154"/>
      <c r="G61" s="154"/>
      <c r="H61" s="154"/>
      <c r="I61" s="154"/>
      <c r="J61" s="154"/>
      <c r="K61" s="154"/>
      <c r="L61" s="154"/>
      <c r="M61" s="154"/>
      <c r="N61" s="154"/>
      <c r="O61" s="154"/>
      <c r="P61" s="154"/>
      <c r="Q61" s="154"/>
      <c r="R61" s="154"/>
      <c r="S61" s="154"/>
      <c r="T61" s="154"/>
      <c r="U61" s="154"/>
      <c r="V61" s="154"/>
      <c r="W61" s="154"/>
      <c r="X61" s="154"/>
      <c r="Y61" s="154"/>
      <c r="Z61" s="154"/>
      <c r="AA61" s="154"/>
      <c r="AB61" s="174"/>
      <c r="AC61" s="189"/>
      <c r="AD61" s="189"/>
      <c r="AE61" s="189"/>
    </row>
    <row r="62" spans="1:31" s="84" customFormat="1" ht="10.199999999999999">
      <c r="A62" s="192"/>
      <c r="B62" s="181"/>
      <c r="C62" s="154"/>
      <c r="D62" s="154"/>
      <c r="E62" s="154"/>
      <c r="F62" s="154"/>
      <c r="G62" s="154"/>
      <c r="H62" s="154"/>
      <c r="I62" s="154"/>
      <c r="J62" s="154"/>
      <c r="K62" s="154"/>
      <c r="L62" s="154"/>
      <c r="M62" s="154"/>
      <c r="N62" s="154"/>
      <c r="O62" s="154"/>
      <c r="P62" s="154"/>
      <c r="Q62" s="154"/>
      <c r="R62" s="154"/>
      <c r="S62" s="154"/>
      <c r="T62" s="154"/>
      <c r="U62" s="154"/>
      <c r="V62" s="154"/>
      <c r="W62" s="154"/>
      <c r="X62" s="154"/>
      <c r="Y62" s="154"/>
      <c r="Z62" s="154"/>
      <c r="AA62" s="154"/>
      <c r="AB62" s="174"/>
      <c r="AC62" s="189"/>
      <c r="AD62" s="189"/>
      <c r="AE62" s="189"/>
    </row>
    <row r="63" spans="1:31" s="84" customFormat="1" ht="10.199999999999999">
      <c r="A63" s="192"/>
      <c r="B63" s="181"/>
      <c r="C63" s="154"/>
      <c r="D63" s="154"/>
      <c r="E63" s="154"/>
      <c r="F63" s="154"/>
      <c r="G63" s="154"/>
      <c r="H63" s="154"/>
      <c r="I63" s="154"/>
      <c r="J63" s="154"/>
      <c r="K63" s="154"/>
      <c r="L63" s="154"/>
      <c r="M63" s="154"/>
      <c r="N63" s="154"/>
      <c r="O63" s="154"/>
      <c r="P63" s="154"/>
      <c r="Q63" s="154"/>
      <c r="R63" s="154"/>
      <c r="S63" s="154"/>
      <c r="T63" s="154"/>
      <c r="U63" s="154"/>
      <c r="V63" s="154"/>
      <c r="W63" s="154"/>
      <c r="X63" s="154"/>
      <c r="Y63" s="154"/>
      <c r="Z63" s="154"/>
      <c r="AA63" s="154"/>
      <c r="AB63" s="174"/>
      <c r="AC63" s="189"/>
      <c r="AD63" s="189"/>
      <c r="AE63" s="189"/>
    </row>
    <row r="64" spans="1:31" s="84" customFormat="1" ht="10.199999999999999">
      <c r="A64" s="192"/>
      <c r="B64" s="181"/>
      <c r="C64" s="154"/>
      <c r="D64" s="154"/>
      <c r="E64" s="154"/>
      <c r="F64" s="154"/>
      <c r="G64" s="154"/>
      <c r="H64" s="154"/>
      <c r="I64" s="154"/>
      <c r="J64" s="154"/>
      <c r="K64" s="154"/>
      <c r="L64" s="154"/>
      <c r="M64" s="154"/>
      <c r="N64" s="154"/>
      <c r="O64" s="154"/>
      <c r="P64" s="154"/>
      <c r="Q64" s="154"/>
      <c r="R64" s="154"/>
      <c r="S64" s="154"/>
      <c r="T64" s="154"/>
      <c r="U64" s="154"/>
      <c r="V64" s="154"/>
      <c r="W64" s="154"/>
      <c r="X64" s="154"/>
      <c r="Y64" s="154"/>
      <c r="Z64" s="154"/>
      <c r="AA64" s="154"/>
      <c r="AB64" s="174"/>
      <c r="AC64" s="189"/>
      <c r="AD64" s="189"/>
      <c r="AE64" s="189"/>
    </row>
    <row r="65" spans="1:31" s="84" customFormat="1" ht="10.199999999999999">
      <c r="A65" s="192"/>
      <c r="B65" s="181"/>
      <c r="C65" s="154"/>
      <c r="D65" s="154"/>
      <c r="E65" s="154"/>
      <c r="F65" s="154"/>
      <c r="G65" s="154"/>
      <c r="H65" s="154"/>
      <c r="I65" s="154"/>
      <c r="J65" s="154"/>
      <c r="K65" s="154"/>
      <c r="L65" s="154"/>
      <c r="M65" s="154"/>
      <c r="N65" s="154"/>
      <c r="O65" s="154"/>
      <c r="P65" s="154"/>
      <c r="Q65" s="154"/>
      <c r="R65" s="154"/>
      <c r="S65" s="154"/>
      <c r="T65" s="154"/>
      <c r="U65" s="154"/>
      <c r="V65" s="154"/>
      <c r="W65" s="154"/>
      <c r="X65" s="154"/>
      <c r="Y65" s="154"/>
      <c r="Z65" s="154"/>
      <c r="AA65" s="154"/>
      <c r="AB65" s="174"/>
      <c r="AC65" s="189"/>
      <c r="AD65" s="189"/>
      <c r="AE65" s="189"/>
    </row>
    <row r="66" spans="1:31" s="84" customFormat="1" ht="10.199999999999999">
      <c r="A66" s="192"/>
      <c r="B66" s="181"/>
      <c r="C66" s="154"/>
      <c r="D66" s="154"/>
      <c r="E66" s="154"/>
      <c r="F66" s="154"/>
      <c r="G66" s="154"/>
      <c r="H66" s="154"/>
      <c r="I66" s="154"/>
      <c r="J66" s="154"/>
      <c r="K66" s="154"/>
      <c r="L66" s="154"/>
      <c r="M66" s="154"/>
      <c r="N66" s="154"/>
      <c r="O66" s="154"/>
      <c r="P66" s="154"/>
      <c r="Q66" s="154"/>
      <c r="R66" s="154"/>
      <c r="S66" s="154"/>
      <c r="T66" s="154"/>
      <c r="U66" s="154"/>
      <c r="V66" s="154"/>
      <c r="W66" s="154"/>
      <c r="X66" s="154"/>
      <c r="Y66" s="154"/>
      <c r="Z66" s="154"/>
      <c r="AA66" s="154"/>
      <c r="AB66" s="174"/>
      <c r="AC66" s="189"/>
      <c r="AD66" s="189"/>
      <c r="AE66" s="189"/>
    </row>
    <row r="67" spans="1:31" s="84" customFormat="1" ht="10.199999999999999">
      <c r="A67" s="192"/>
      <c r="B67" s="181"/>
      <c r="C67" s="154"/>
      <c r="D67" s="154"/>
      <c r="E67" s="154"/>
      <c r="F67" s="154"/>
      <c r="G67" s="154"/>
      <c r="H67" s="154"/>
      <c r="I67" s="154"/>
      <c r="J67" s="154"/>
      <c r="K67" s="154"/>
      <c r="L67" s="154"/>
      <c r="M67" s="154"/>
      <c r="N67" s="154"/>
      <c r="O67" s="154"/>
      <c r="P67" s="154"/>
      <c r="Q67" s="154"/>
      <c r="R67" s="154"/>
      <c r="S67" s="154"/>
      <c r="T67" s="154"/>
      <c r="U67" s="154"/>
      <c r="V67" s="154"/>
      <c r="W67" s="154"/>
      <c r="X67" s="154"/>
      <c r="Y67" s="154"/>
      <c r="Z67" s="154"/>
      <c r="AA67" s="154"/>
      <c r="AB67" s="174"/>
      <c r="AC67" s="189"/>
      <c r="AD67" s="189"/>
      <c r="AE67" s="189"/>
    </row>
    <row r="68" spans="1:31" s="84" customFormat="1" ht="10.199999999999999">
      <c r="A68" s="192"/>
      <c r="B68" s="181"/>
      <c r="C68" s="154"/>
      <c r="D68" s="154"/>
      <c r="E68" s="154"/>
      <c r="F68" s="154"/>
      <c r="G68" s="154"/>
      <c r="H68" s="154"/>
      <c r="I68" s="154"/>
      <c r="J68" s="154"/>
      <c r="K68" s="154"/>
      <c r="L68" s="154"/>
      <c r="M68" s="154"/>
      <c r="N68" s="154"/>
      <c r="O68" s="154"/>
      <c r="P68" s="154"/>
      <c r="Q68" s="154"/>
      <c r="R68" s="154"/>
      <c r="S68" s="154"/>
      <c r="T68" s="154"/>
      <c r="U68" s="154"/>
      <c r="V68" s="154"/>
      <c r="W68" s="154"/>
      <c r="X68" s="154"/>
      <c r="Y68" s="154"/>
      <c r="Z68" s="154"/>
      <c r="AA68" s="154"/>
      <c r="AB68" s="174"/>
      <c r="AC68" s="189"/>
      <c r="AD68" s="189"/>
      <c r="AE68" s="189"/>
    </row>
    <row r="69" spans="1:31" s="84" customFormat="1" ht="10.199999999999999">
      <c r="A69" s="192"/>
      <c r="B69" s="181"/>
      <c r="C69" s="154"/>
      <c r="D69" s="154"/>
      <c r="E69" s="154"/>
      <c r="F69" s="154"/>
      <c r="G69" s="154"/>
      <c r="H69" s="154"/>
      <c r="I69" s="154"/>
      <c r="J69" s="154"/>
      <c r="K69" s="154"/>
      <c r="L69" s="154"/>
      <c r="M69" s="154"/>
      <c r="N69" s="154"/>
      <c r="O69" s="154"/>
      <c r="P69" s="154"/>
      <c r="Q69" s="154"/>
      <c r="R69" s="154"/>
      <c r="S69" s="154"/>
      <c r="T69" s="154"/>
      <c r="U69" s="154"/>
      <c r="V69" s="154"/>
      <c r="W69" s="154"/>
      <c r="X69" s="154"/>
      <c r="Y69" s="154"/>
      <c r="Z69" s="154"/>
      <c r="AA69" s="154"/>
      <c r="AB69" s="174"/>
      <c r="AC69" s="189"/>
      <c r="AD69" s="189"/>
      <c r="AE69" s="189"/>
    </row>
    <row r="70" spans="1:31" s="84" customFormat="1" ht="10.199999999999999">
      <c r="A70" s="192"/>
      <c r="B70" s="181"/>
      <c r="C70" s="154"/>
      <c r="D70" s="154"/>
      <c r="E70" s="154"/>
      <c r="F70" s="154"/>
      <c r="G70" s="154"/>
      <c r="H70" s="154"/>
      <c r="I70" s="154"/>
      <c r="J70" s="154"/>
      <c r="K70" s="154"/>
      <c r="L70" s="154"/>
      <c r="M70" s="154"/>
      <c r="N70" s="154"/>
      <c r="O70" s="154"/>
      <c r="P70" s="154"/>
      <c r="Q70" s="154"/>
      <c r="R70" s="154"/>
      <c r="S70" s="154"/>
      <c r="T70" s="154"/>
      <c r="U70" s="154"/>
      <c r="V70" s="154"/>
      <c r="W70" s="154"/>
      <c r="X70" s="154"/>
      <c r="Y70" s="154"/>
      <c r="Z70" s="154"/>
      <c r="AA70" s="154"/>
      <c r="AB70" s="174"/>
      <c r="AC70" s="189"/>
      <c r="AD70" s="189"/>
      <c r="AE70" s="189"/>
    </row>
    <row r="71" spans="1:31" s="84" customFormat="1" ht="10.199999999999999">
      <c r="A71" s="192"/>
      <c r="B71" s="181"/>
      <c r="C71" s="154"/>
      <c r="D71" s="154"/>
      <c r="E71" s="154"/>
      <c r="F71" s="154"/>
      <c r="G71" s="154"/>
      <c r="H71" s="154"/>
      <c r="I71" s="154"/>
      <c r="J71" s="154"/>
      <c r="K71" s="154"/>
      <c r="L71" s="154"/>
      <c r="M71" s="154"/>
      <c r="N71" s="154"/>
      <c r="O71" s="154"/>
      <c r="P71" s="154"/>
      <c r="Q71" s="154"/>
      <c r="R71" s="154"/>
      <c r="S71" s="154"/>
      <c r="T71" s="154"/>
      <c r="U71" s="154"/>
      <c r="V71" s="154"/>
      <c r="W71" s="154"/>
      <c r="X71" s="154"/>
      <c r="Y71" s="154"/>
      <c r="Z71" s="154"/>
      <c r="AA71" s="154"/>
      <c r="AB71" s="174"/>
      <c r="AC71" s="189"/>
      <c r="AD71" s="189"/>
      <c r="AE71" s="189"/>
    </row>
    <row r="72" spans="1:31" s="84" customFormat="1" ht="10.199999999999999">
      <c r="A72" s="192"/>
      <c r="B72" s="181"/>
      <c r="C72" s="154"/>
      <c r="D72" s="154"/>
      <c r="E72" s="154"/>
      <c r="F72" s="154"/>
      <c r="G72" s="154"/>
      <c r="H72" s="154"/>
      <c r="I72" s="154"/>
      <c r="J72" s="154"/>
      <c r="K72" s="154"/>
      <c r="L72" s="154"/>
      <c r="M72" s="154"/>
      <c r="N72" s="154"/>
      <c r="O72" s="154"/>
      <c r="P72" s="154"/>
      <c r="Q72" s="154"/>
      <c r="R72" s="154"/>
      <c r="S72" s="154"/>
      <c r="T72" s="154"/>
      <c r="U72" s="154"/>
      <c r="V72" s="154"/>
      <c r="W72" s="154"/>
      <c r="X72" s="154"/>
      <c r="Y72" s="154"/>
      <c r="Z72" s="154"/>
      <c r="AA72" s="154"/>
      <c r="AB72" s="174"/>
      <c r="AC72" s="189"/>
      <c r="AD72" s="189"/>
      <c r="AE72" s="189"/>
    </row>
    <row r="73" spans="1:31" s="84" customFormat="1" ht="10.199999999999999">
      <c r="A73" s="192"/>
      <c r="B73" s="181"/>
      <c r="C73" s="154"/>
      <c r="D73" s="154"/>
      <c r="E73" s="154"/>
      <c r="F73" s="154"/>
      <c r="G73" s="154"/>
      <c r="H73" s="154"/>
      <c r="I73" s="154"/>
      <c r="J73" s="154"/>
      <c r="K73" s="154"/>
      <c r="L73" s="154"/>
      <c r="M73" s="154"/>
      <c r="N73" s="154"/>
      <c r="O73" s="154"/>
      <c r="P73" s="154"/>
      <c r="Q73" s="154"/>
      <c r="R73" s="154"/>
      <c r="S73" s="154"/>
      <c r="T73" s="154"/>
      <c r="U73" s="154"/>
      <c r="V73" s="154"/>
      <c r="W73" s="154"/>
      <c r="X73" s="154"/>
      <c r="Y73" s="154"/>
      <c r="Z73" s="154"/>
      <c r="AA73" s="154"/>
      <c r="AB73" s="174"/>
      <c r="AC73" s="189"/>
      <c r="AD73" s="189"/>
      <c r="AE73" s="189"/>
    </row>
    <row r="74" spans="1:31" s="84" customFormat="1" ht="10.199999999999999">
      <c r="A74" s="192"/>
      <c r="B74" s="181"/>
      <c r="C74" s="154"/>
      <c r="D74" s="154"/>
      <c r="E74" s="154"/>
      <c r="F74" s="154"/>
      <c r="G74" s="154"/>
      <c r="H74" s="154"/>
      <c r="I74" s="154"/>
      <c r="J74" s="154"/>
      <c r="K74" s="154"/>
      <c r="L74" s="154"/>
      <c r="M74" s="154"/>
      <c r="N74" s="154"/>
      <c r="O74" s="154"/>
      <c r="P74" s="154"/>
      <c r="Q74" s="154"/>
      <c r="R74" s="154"/>
      <c r="S74" s="154"/>
      <c r="T74" s="154"/>
      <c r="U74" s="154"/>
      <c r="V74" s="154"/>
      <c r="W74" s="154"/>
      <c r="X74" s="154"/>
      <c r="Y74" s="154"/>
      <c r="Z74" s="154"/>
      <c r="AA74" s="154"/>
      <c r="AB74" s="174"/>
      <c r="AC74" s="189"/>
      <c r="AD74" s="189"/>
      <c r="AE74" s="189"/>
    </row>
    <row r="75" spans="1:31" s="84" customFormat="1" ht="10.199999999999999">
      <c r="A75" s="192"/>
      <c r="B75" s="181"/>
      <c r="C75" s="154"/>
      <c r="D75" s="154"/>
      <c r="E75" s="154"/>
      <c r="F75" s="154"/>
      <c r="G75" s="154"/>
      <c r="H75" s="154"/>
      <c r="I75" s="154"/>
      <c r="J75" s="154"/>
      <c r="K75" s="154"/>
      <c r="L75" s="154"/>
      <c r="M75" s="154"/>
      <c r="N75" s="154"/>
      <c r="O75" s="154"/>
      <c r="P75" s="154"/>
      <c r="Q75" s="154"/>
      <c r="R75" s="154"/>
      <c r="S75" s="154"/>
      <c r="T75" s="154"/>
      <c r="U75" s="154"/>
      <c r="V75" s="154"/>
      <c r="W75" s="154"/>
      <c r="X75" s="154"/>
      <c r="Y75" s="154"/>
      <c r="Z75" s="154"/>
      <c r="AA75" s="154"/>
      <c r="AB75" s="174"/>
      <c r="AC75" s="189"/>
      <c r="AD75" s="189"/>
      <c r="AE75" s="189"/>
    </row>
    <row r="76" spans="1:31" s="84" customFormat="1" ht="10.199999999999999">
      <c r="A76" s="192"/>
      <c r="B76" s="181"/>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c r="AA76" s="154"/>
      <c r="AB76" s="174"/>
      <c r="AC76" s="189"/>
      <c r="AD76" s="189"/>
      <c r="AE76" s="189"/>
    </row>
    <row r="77" spans="1:31" s="84" customFormat="1" ht="10.199999999999999">
      <c r="A77" s="192"/>
      <c r="B77" s="181"/>
      <c r="C77" s="154"/>
      <c r="D77" s="154"/>
      <c r="E77" s="154"/>
      <c r="F77" s="154"/>
      <c r="G77" s="154"/>
      <c r="H77" s="154"/>
      <c r="I77" s="154"/>
      <c r="J77" s="154"/>
      <c r="K77" s="154"/>
      <c r="L77" s="154"/>
      <c r="M77" s="154"/>
      <c r="N77" s="154"/>
      <c r="O77" s="154"/>
      <c r="P77" s="154"/>
      <c r="Q77" s="154"/>
      <c r="R77" s="154"/>
      <c r="S77" s="154"/>
      <c r="T77" s="154"/>
      <c r="U77" s="154"/>
      <c r="V77" s="154"/>
      <c r="W77" s="154"/>
      <c r="X77" s="154"/>
      <c r="Y77" s="154"/>
      <c r="Z77" s="154"/>
      <c r="AA77" s="154"/>
      <c r="AB77" s="174"/>
      <c r="AC77" s="189"/>
      <c r="AD77" s="189"/>
      <c r="AE77" s="189"/>
    </row>
    <row r="78" spans="1:31" s="84" customFormat="1" ht="10.199999999999999">
      <c r="A78" s="192"/>
      <c r="B78" s="181"/>
      <c r="C78" s="154"/>
      <c r="D78" s="154"/>
      <c r="E78" s="154"/>
      <c r="F78" s="154"/>
      <c r="G78" s="154"/>
      <c r="H78" s="154"/>
      <c r="I78" s="154"/>
      <c r="J78" s="154"/>
      <c r="K78" s="154"/>
      <c r="L78" s="154"/>
      <c r="M78" s="154"/>
      <c r="N78" s="154"/>
      <c r="O78" s="154"/>
      <c r="P78" s="154"/>
      <c r="Q78" s="154"/>
      <c r="R78" s="154"/>
      <c r="S78" s="154"/>
      <c r="T78" s="154"/>
      <c r="U78" s="154"/>
      <c r="V78" s="154"/>
      <c r="W78" s="154"/>
      <c r="X78" s="154"/>
      <c r="Y78" s="154"/>
      <c r="Z78" s="154"/>
      <c r="AA78" s="154"/>
      <c r="AB78" s="174"/>
      <c r="AC78" s="189"/>
      <c r="AD78" s="189"/>
      <c r="AE78" s="189"/>
    </row>
    <row r="79" spans="1:31" s="84" customFormat="1" ht="10.199999999999999">
      <c r="A79" s="192"/>
      <c r="B79" s="181"/>
      <c r="C79" s="154"/>
      <c r="D79" s="154"/>
      <c r="E79" s="154"/>
      <c r="F79" s="154"/>
      <c r="G79" s="154"/>
      <c r="H79" s="154"/>
      <c r="I79" s="154"/>
      <c r="J79" s="154"/>
      <c r="K79" s="154"/>
      <c r="L79" s="154"/>
      <c r="M79" s="154"/>
      <c r="N79" s="154"/>
      <c r="O79" s="154"/>
      <c r="P79" s="154"/>
      <c r="Q79" s="154"/>
      <c r="R79" s="154"/>
      <c r="S79" s="154"/>
      <c r="T79" s="154"/>
      <c r="U79" s="154"/>
      <c r="V79" s="154"/>
      <c r="W79" s="154"/>
      <c r="X79" s="154"/>
      <c r="Y79" s="154"/>
      <c r="Z79" s="154"/>
      <c r="AA79" s="154"/>
      <c r="AB79" s="174"/>
      <c r="AC79" s="189"/>
      <c r="AD79" s="189"/>
      <c r="AE79" s="189"/>
    </row>
    <row r="80" spans="1:31" s="84" customFormat="1" ht="10.199999999999999">
      <c r="A80" s="192"/>
      <c r="B80" s="181"/>
      <c r="C80" s="154"/>
      <c r="D80" s="154"/>
      <c r="E80" s="154"/>
      <c r="F80" s="154"/>
      <c r="G80" s="154"/>
      <c r="H80" s="154"/>
      <c r="I80" s="154"/>
      <c r="J80" s="154"/>
      <c r="K80" s="154"/>
      <c r="L80" s="154"/>
      <c r="M80" s="154"/>
      <c r="N80" s="154"/>
      <c r="O80" s="154"/>
      <c r="P80" s="154"/>
      <c r="Q80" s="154"/>
      <c r="R80" s="154"/>
      <c r="S80" s="154"/>
      <c r="T80" s="154"/>
      <c r="U80" s="154"/>
      <c r="V80" s="154"/>
      <c r="W80" s="154"/>
      <c r="X80" s="154"/>
      <c r="Y80" s="154"/>
      <c r="Z80" s="154"/>
      <c r="AA80" s="154"/>
      <c r="AB80" s="174"/>
      <c r="AC80" s="189"/>
      <c r="AD80" s="189"/>
      <c r="AE80" s="189"/>
    </row>
    <row r="81" spans="1:31" s="84" customFormat="1" ht="10.5" customHeight="1" thickBot="1">
      <c r="A81" s="189"/>
      <c r="B81" s="188"/>
      <c r="C81" s="172"/>
      <c r="D81" s="172"/>
      <c r="E81" s="172"/>
      <c r="F81" s="172"/>
      <c r="G81" s="172"/>
      <c r="H81" s="172"/>
      <c r="I81" s="172"/>
      <c r="J81" s="172"/>
      <c r="K81" s="172"/>
      <c r="L81" s="172"/>
      <c r="M81" s="172"/>
      <c r="N81" s="172"/>
      <c r="O81" s="172"/>
      <c r="P81" s="172"/>
      <c r="Q81" s="172"/>
      <c r="R81" s="172"/>
      <c r="S81" s="172"/>
      <c r="T81" s="172"/>
      <c r="U81" s="172"/>
      <c r="V81" s="172"/>
      <c r="W81" s="172"/>
      <c r="X81" s="172"/>
      <c r="Y81" s="172"/>
      <c r="Z81" s="172"/>
      <c r="AA81" s="172"/>
      <c r="AB81" s="176"/>
      <c r="AC81" s="189"/>
      <c r="AD81" s="189"/>
      <c r="AE81" s="189"/>
    </row>
    <row r="82" spans="1:31" s="189" customFormat="1" ht="10.5" customHeight="1" thickTop="1"/>
    <row r="83" spans="1:31" s="189" customFormat="1" ht="10.5" customHeight="1"/>
  </sheetData>
  <mergeCells count="8">
    <mergeCell ref="B30:N30"/>
    <mergeCell ref="P30:AA30"/>
    <mergeCell ref="B5:N5"/>
    <mergeCell ref="P5:AA5"/>
    <mergeCell ref="B60:N60"/>
    <mergeCell ref="P60:AA60"/>
    <mergeCell ref="P51:AA51"/>
    <mergeCell ref="B51:N51"/>
  </mergeCells>
  <printOptions horizontalCentered="1"/>
  <pageMargins left="0.39370078740157499" right="0.39370078740157499" top="0.59055118110236204" bottom="0.98425196850393704" header="0" footer="0.31496062992126"/>
  <pageSetup paperSize="9" scale="69" orientation="landscape" r:id="rId1"/>
  <headerFooter>
    <oddFooter>&amp;L&amp;12Built with finmodelslab.com template&amp;C&amp;12Financial Statements Summary&amp;R&amp;D</oddFooter>
  </headerFooter>
  <rowBreaks count="1" manualBreakCount="1">
    <brk id="50" min="1" max="26"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errorTitle="NOT ALLOWED" error="You may pick one from the list only." xr:uid="{00000000-0002-0000-0600-000002000000}">
          <x14:formula1>
            <xm:f>Dashboard!$H$35:$L$35</xm:f>
          </x14:formula1>
          <xm:sqref>U3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32</vt:i4>
      </vt:variant>
    </vt:vector>
  </HeadingPairs>
  <TitlesOfParts>
    <vt:vector size="41" baseType="lpstr">
      <vt:lpstr>RSM</vt:lpstr>
      <vt:lpstr>Dashboard</vt:lpstr>
      <vt:lpstr>OPEX</vt:lpstr>
      <vt:lpstr>CAPEX</vt:lpstr>
      <vt:lpstr>Capital</vt:lpstr>
      <vt:lpstr>IS</vt:lpstr>
      <vt:lpstr>CF</vt:lpstr>
      <vt:lpstr>BS</vt:lpstr>
      <vt:lpstr>Financial Summary</vt:lpstr>
      <vt:lpstr>AP_COGS_0</vt:lpstr>
      <vt:lpstr>AP_COGS_1</vt:lpstr>
      <vt:lpstr>AP_COGS_2</vt:lpstr>
      <vt:lpstr>AP_COGS_3</vt:lpstr>
      <vt:lpstr>AP_OPEX_0</vt:lpstr>
      <vt:lpstr>AP_OPEX_1</vt:lpstr>
      <vt:lpstr>AP_OPEX_2</vt:lpstr>
      <vt:lpstr>AP_OPEX_3</vt:lpstr>
      <vt:lpstr>AR_0</vt:lpstr>
      <vt:lpstr>AR_1</vt:lpstr>
      <vt:lpstr>AR_2</vt:lpstr>
      <vt:lpstr>AR_3</vt:lpstr>
      <vt:lpstr>COGS</vt:lpstr>
      <vt:lpstr>Currency</vt:lpstr>
      <vt:lpstr>Debt_Amount</vt:lpstr>
      <vt:lpstr>Debt_Interest</vt:lpstr>
      <vt:lpstr>Debt_Start</vt:lpstr>
      <vt:lpstr>Debt_Term</vt:lpstr>
      <vt:lpstr>Fin_Years</vt:lpstr>
      <vt:lpstr>First_Fin_Year</vt:lpstr>
      <vt:lpstr>Funding_Amounts</vt:lpstr>
      <vt:lpstr>Funding_Dates</vt:lpstr>
      <vt:lpstr>Funding_Names</vt:lpstr>
      <vt:lpstr>Inventory</vt:lpstr>
      <vt:lpstr>Last_Fin_Year</vt:lpstr>
      <vt:lpstr>Launch_1</vt:lpstr>
      <vt:lpstr>Launch_2</vt:lpstr>
      <vt:lpstr>Launch_3</vt:lpstr>
      <vt:lpstr>Price</vt:lpstr>
      <vt:lpstr>Product_Names</vt:lpstr>
      <vt:lpstr>Sales_Volume</vt:lpstr>
      <vt:lpstr>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2020-06-15T08:16:29Z</cp:lastPrinted>
  <dcterms:created xsi:type="dcterms:W3CDTF">2018-10-08T15:40:14Z</dcterms:created>
  <dcterms:modified xsi:type="dcterms:W3CDTF">2022-12-31T14:49:45Z</dcterms:modified>
</cp:coreProperties>
</file>