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sc hon statistics\SEM-6\DOE\Practicals_doe\practicals\"/>
    </mc:Choice>
  </mc:AlternateContent>
  <xr:revisionPtr revIDLastSave="0" documentId="13_ncr:1_{49678441-EE63-4741-B365-1291CDE9D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Practical 10" sheetId="11" r:id="rId10"/>
    <sheet name="Practical 11" sheetId="12" r:id="rId11"/>
    <sheet name="Practical 12" sheetId="13" r:id="rId12"/>
    <sheet name="Practical 13" sheetId="14" r:id="rId13"/>
    <sheet name="Practical 14" sheetId="15" r:id="rId14"/>
    <sheet name="Practical 15" sheetId="17" r:id="rId15"/>
    <sheet name="Practical 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2" l="1"/>
  <c r="H19" i="2"/>
  <c r="C19" i="2"/>
  <c r="J18" i="2"/>
  <c r="H18" i="2"/>
  <c r="I18" i="2" s="1"/>
  <c r="C15" i="2"/>
  <c r="C17" i="2" s="1"/>
  <c r="F12" i="2"/>
  <c r="E12" i="2"/>
  <c r="D12" i="2"/>
  <c r="C12" i="2"/>
  <c r="G12" i="2" s="1"/>
  <c r="B12" i="2"/>
  <c r="C20" i="2" l="1"/>
  <c r="C18" i="2"/>
  <c r="C21" i="2" l="1"/>
  <c r="C20" i="17" l="1"/>
  <c r="D16" i="17"/>
  <c r="K15" i="17"/>
  <c r="K14" i="17"/>
  <c r="K11" i="17"/>
  <c r="F8" i="17"/>
  <c r="K6" i="17"/>
  <c r="E6" i="17"/>
  <c r="F9" i="17" s="1"/>
  <c r="F11" i="17" s="1"/>
  <c r="C15" i="17" s="1"/>
  <c r="E15" i="17" s="1"/>
  <c r="E5" i="17"/>
  <c r="E4" i="17"/>
  <c r="K5" i="17" s="1"/>
  <c r="L4" i="17" s="1"/>
  <c r="E3" i="17"/>
  <c r="K4" i="17" s="1"/>
  <c r="E2" i="17"/>
  <c r="K3" i="17" s="1"/>
  <c r="L3" i="17" s="1"/>
  <c r="M3" i="17" s="1"/>
  <c r="L5" i="17" l="1"/>
  <c r="M5" i="17"/>
  <c r="N5" i="17" s="1"/>
  <c r="L12" i="17" s="1"/>
  <c r="M12" i="17" s="1"/>
  <c r="L6" i="17"/>
  <c r="M6" i="17" s="1"/>
  <c r="N6" i="17" s="1"/>
  <c r="L13" i="17" s="1"/>
  <c r="M13" i="17" s="1"/>
  <c r="F10" i="17"/>
  <c r="L15" i="17" l="1"/>
  <c r="C17" i="17"/>
  <c r="F12" i="17"/>
  <c r="C16" i="17" s="1"/>
  <c r="E16" i="17" s="1"/>
  <c r="F15" i="17" s="1"/>
  <c r="C19" i="17" s="1"/>
  <c r="M4" i="17"/>
  <c r="N4" i="17" s="1"/>
  <c r="L11" i="17" l="1"/>
  <c r="M11" i="17" s="1"/>
  <c r="N7" i="17"/>
  <c r="L14" i="17"/>
  <c r="M14" i="17" s="1"/>
  <c r="N12" i="17" l="1"/>
  <c r="N13" i="17"/>
  <c r="N11" i="17"/>
  <c r="D22" i="10"/>
  <c r="D23" i="10" s="1"/>
  <c r="D24" i="10" s="1"/>
  <c r="H21" i="10"/>
  <c r="D21" i="10"/>
  <c r="C16" i="10"/>
  <c r="M12" i="10"/>
  <c r="N9" i="10"/>
  <c r="P9" i="10" s="1"/>
  <c r="Q9" i="10" s="1"/>
  <c r="M9" i="10"/>
  <c r="T9" i="10" s="1"/>
  <c r="T8" i="10"/>
  <c r="N8" i="10"/>
  <c r="O8" i="10" s="1"/>
  <c r="M8" i="10"/>
  <c r="N7" i="10"/>
  <c r="P7" i="10" s="1"/>
  <c r="Q7" i="10" s="1"/>
  <c r="M7" i="10"/>
  <c r="T7" i="10" s="1"/>
  <c r="T6" i="10"/>
  <c r="N6" i="10"/>
  <c r="O6" i="10" s="1"/>
  <c r="M6" i="10"/>
  <c r="N5" i="10"/>
  <c r="P8" i="10" s="1"/>
  <c r="Q8" i="10" s="1"/>
  <c r="R8" i="10" s="1"/>
  <c r="S8" i="10" s="1"/>
  <c r="M5" i="10"/>
  <c r="T5" i="10" s="1"/>
  <c r="T4" i="10"/>
  <c r="N4" i="10"/>
  <c r="O4" i="10" s="1"/>
  <c r="M4" i="10"/>
  <c r="N3" i="10"/>
  <c r="P6" i="10" s="1"/>
  <c r="Q6" i="10" s="1"/>
  <c r="R6" i="10" s="1"/>
  <c r="S6" i="10" s="1"/>
  <c r="M3" i="10"/>
  <c r="M11" i="10" s="1"/>
  <c r="M13" i="10" s="1"/>
  <c r="M14" i="10" l="1"/>
  <c r="O3" i="10"/>
  <c r="M15" i="10" s="1"/>
  <c r="E22" i="10" s="1"/>
  <c r="F22" i="10" s="1"/>
  <c r="O5" i="10"/>
  <c r="O7" i="10"/>
  <c r="O9" i="10"/>
  <c r="P3" i="10"/>
  <c r="Q3" i="10" s="1"/>
  <c r="P5" i="10"/>
  <c r="Q5" i="10" s="1"/>
  <c r="R3" i="10"/>
  <c r="S3" i="10" s="1"/>
  <c r="M16" i="10" s="1"/>
  <c r="E21" i="10" s="1"/>
  <c r="F21" i="10" s="1"/>
  <c r="R5" i="10"/>
  <c r="S5" i="10" s="1"/>
  <c r="R7" i="10"/>
  <c r="S7" i="10" s="1"/>
  <c r="R9" i="10"/>
  <c r="S9" i="10" s="1"/>
  <c r="T3" i="10"/>
  <c r="P4" i="10"/>
  <c r="Q4" i="10" s="1"/>
  <c r="R4" i="10" s="1"/>
  <c r="S4" i="10" s="1"/>
  <c r="G21" i="10" l="1"/>
  <c r="M17" i="10"/>
  <c r="E23" i="10" s="1"/>
  <c r="F23" i="10" s="1"/>
  <c r="G22" i="10" s="1"/>
  <c r="B23" i="16"/>
  <c r="B22" i="16"/>
  <c r="B21" i="16"/>
  <c r="B20" i="16"/>
  <c r="N19" i="16"/>
  <c r="B19" i="16"/>
  <c r="B18" i="16"/>
  <c r="B17" i="16"/>
  <c r="B16" i="16"/>
  <c r="B11" i="16"/>
  <c r="N27" i="16" s="1"/>
  <c r="N26" i="16" s="1"/>
  <c r="N10" i="16"/>
  <c r="O10" i="16" s="1"/>
  <c r="E9" i="16"/>
  <c r="N8" i="16"/>
  <c r="B8" i="16"/>
  <c r="E8" i="16" s="1"/>
  <c r="N7" i="16"/>
  <c r="O5" i="16" s="1"/>
  <c r="I7" i="16"/>
  <c r="H7" i="16"/>
  <c r="G7" i="16"/>
  <c r="F7" i="16"/>
  <c r="N9" i="16" s="1"/>
  <c r="O6" i="16" s="1"/>
  <c r="E7" i="16"/>
  <c r="D7" i="16"/>
  <c r="C7" i="16"/>
  <c r="N5" i="16" s="1"/>
  <c r="B7" i="16"/>
  <c r="N6" i="16"/>
  <c r="O8" i="16" s="1"/>
  <c r="N4" i="16"/>
  <c r="N3" i="16"/>
  <c r="O3" i="16" s="1"/>
  <c r="N19" i="15"/>
  <c r="B11" i="15"/>
  <c r="N28" i="15" s="1"/>
  <c r="N27" i="15" s="1"/>
  <c r="E9" i="15"/>
  <c r="B8" i="15"/>
  <c r="E8" i="15" s="1"/>
  <c r="I7" i="15"/>
  <c r="H7" i="15"/>
  <c r="G7" i="15"/>
  <c r="F7" i="15"/>
  <c r="E7" i="15"/>
  <c r="D7" i="15"/>
  <c r="C7" i="15"/>
  <c r="B7" i="15"/>
  <c r="N3" i="15" s="1" a="1"/>
  <c r="J6" i="15"/>
  <c r="J5" i="15"/>
  <c r="J4" i="15"/>
  <c r="J3" i="15"/>
  <c r="B13" i="14"/>
  <c r="I16" i="14" s="1"/>
  <c r="I15" i="14" s="1"/>
  <c r="I12" i="14"/>
  <c r="I11" i="14"/>
  <c r="E11" i="14"/>
  <c r="B10" i="14"/>
  <c r="E10" i="14" s="1"/>
  <c r="E9" i="14"/>
  <c r="D9" i="14"/>
  <c r="C9" i="14"/>
  <c r="B9" i="14"/>
  <c r="I3" i="14" s="1" a="1"/>
  <c r="F8" i="14"/>
  <c r="F7" i="14"/>
  <c r="F6" i="14"/>
  <c r="F5" i="14"/>
  <c r="F4" i="14"/>
  <c r="F3" i="14"/>
  <c r="N19" i="13"/>
  <c r="B11" i="13"/>
  <c r="N28" i="13" s="1"/>
  <c r="N27" i="13" s="1"/>
  <c r="E9" i="13"/>
  <c r="B8" i="13"/>
  <c r="E8" i="13" s="1"/>
  <c r="I7" i="13"/>
  <c r="H7" i="13"/>
  <c r="G7" i="13"/>
  <c r="F7" i="13"/>
  <c r="E7" i="13"/>
  <c r="D7" i="13"/>
  <c r="C7" i="13"/>
  <c r="B7" i="13"/>
  <c r="N3" i="13" s="1" a="1"/>
  <c r="J6" i="13"/>
  <c r="J5" i="13"/>
  <c r="J4" i="13"/>
  <c r="J3" i="13"/>
  <c r="L12" i="12"/>
  <c r="L11" i="12"/>
  <c r="B11" i="12"/>
  <c r="L16" i="12" s="1"/>
  <c r="L15" i="12" s="1"/>
  <c r="E9" i="12"/>
  <c r="B8" i="12"/>
  <c r="E8" i="12" s="1"/>
  <c r="E7" i="12"/>
  <c r="L6" i="12" s="1"/>
  <c r="D7" i="12"/>
  <c r="L5" i="12" s="1"/>
  <c r="C7" i="12"/>
  <c r="L4" i="12" s="1"/>
  <c r="B7" i="12"/>
  <c r="L3" i="12" s="1"/>
  <c r="F6" i="12"/>
  <c r="F5" i="12"/>
  <c r="F4" i="12"/>
  <c r="F3" i="12"/>
  <c r="D22" i="11"/>
  <c r="D23" i="11" s="1"/>
  <c r="H21" i="11"/>
  <c r="D21" i="11"/>
  <c r="D24" i="11" s="1"/>
  <c r="C16" i="11"/>
  <c r="M12" i="11"/>
  <c r="N9" i="11"/>
  <c r="P9" i="11" s="1"/>
  <c r="Q9" i="11" s="1"/>
  <c r="M9" i="11"/>
  <c r="T9" i="11" s="1"/>
  <c r="T8" i="11"/>
  <c r="N8" i="11"/>
  <c r="O8" i="11" s="1"/>
  <c r="M8" i="11"/>
  <c r="N7" i="11"/>
  <c r="P7" i="11" s="1"/>
  <c r="Q7" i="11" s="1"/>
  <c r="M7" i="11"/>
  <c r="T7" i="11" s="1"/>
  <c r="T6" i="11"/>
  <c r="N6" i="11"/>
  <c r="O6" i="11" s="1"/>
  <c r="M6" i="11"/>
  <c r="N5" i="11"/>
  <c r="P8" i="11" s="1"/>
  <c r="Q8" i="11" s="1"/>
  <c r="R8" i="11" s="1"/>
  <c r="S8" i="11" s="1"/>
  <c r="M5" i="11"/>
  <c r="T5" i="11" s="1"/>
  <c r="T4" i="11"/>
  <c r="N4" i="11"/>
  <c r="O4" i="11" s="1"/>
  <c r="M4" i="11"/>
  <c r="N3" i="11"/>
  <c r="P6" i="11" s="1"/>
  <c r="Q6" i="11" s="1"/>
  <c r="R6" i="11" s="1"/>
  <c r="S6" i="11" s="1"/>
  <c r="M3" i="11"/>
  <c r="M11" i="11" s="1"/>
  <c r="M13" i="11" s="1"/>
  <c r="E10" i="16" l="1"/>
  <c r="O27" i="16" s="1"/>
  <c r="O19" i="16"/>
  <c r="P19" i="16" s="1"/>
  <c r="P8" i="16"/>
  <c r="P4" i="16"/>
  <c r="O9" i="16"/>
  <c r="P6" i="16" s="1"/>
  <c r="O7" i="16"/>
  <c r="P5" i="16" s="1"/>
  <c r="O4" i="16"/>
  <c r="N3" i="15"/>
  <c r="N5" i="15"/>
  <c r="N7" i="15"/>
  <c r="N4" i="15"/>
  <c r="N10" i="15"/>
  <c r="N9" i="15"/>
  <c r="O6" i="15" s="1"/>
  <c r="N8" i="15"/>
  <c r="O9" i="15" s="1"/>
  <c r="N6" i="15"/>
  <c r="E11" i="15"/>
  <c r="E12" i="15"/>
  <c r="O19" i="15" s="1"/>
  <c r="P19" i="15" s="1"/>
  <c r="E10" i="15"/>
  <c r="I6" i="14"/>
  <c r="I5" i="14"/>
  <c r="I4" i="14"/>
  <c r="I3" i="14"/>
  <c r="E14" i="14"/>
  <c r="J11" i="14" s="1"/>
  <c r="K11" i="14" s="1"/>
  <c r="E13" i="14"/>
  <c r="E12" i="14"/>
  <c r="E11" i="13"/>
  <c r="E12" i="13"/>
  <c r="O19" i="13" s="1"/>
  <c r="P19" i="13" s="1"/>
  <c r="E10" i="13"/>
  <c r="N10" i="13"/>
  <c r="N9" i="13"/>
  <c r="O6" i="13" s="1"/>
  <c r="N8" i="13"/>
  <c r="N7" i="13"/>
  <c r="O5" i="13" s="1"/>
  <c r="N6" i="13"/>
  <c r="N5" i="13"/>
  <c r="N4" i="13"/>
  <c r="N3" i="13"/>
  <c r="M3" i="12"/>
  <c r="M5" i="12"/>
  <c r="M6" i="12"/>
  <c r="M4" i="12"/>
  <c r="E12" i="12"/>
  <c r="M11" i="12" s="1"/>
  <c r="N11" i="12" s="1"/>
  <c r="E11" i="12"/>
  <c r="E10" i="12"/>
  <c r="M14" i="11"/>
  <c r="O3" i="11"/>
  <c r="M15" i="11" s="1"/>
  <c r="E22" i="11" s="1"/>
  <c r="F22" i="11" s="1"/>
  <c r="O5" i="11"/>
  <c r="O7" i="11"/>
  <c r="O9" i="11"/>
  <c r="P3" i="11"/>
  <c r="Q3" i="11" s="1"/>
  <c r="P5" i="11"/>
  <c r="Q5" i="11" s="1"/>
  <c r="R3" i="11"/>
  <c r="S3" i="11" s="1"/>
  <c r="M16" i="11" s="1"/>
  <c r="E21" i="11" s="1"/>
  <c r="F21" i="11" s="1"/>
  <c r="R5" i="11"/>
  <c r="S5" i="11" s="1"/>
  <c r="R7" i="11"/>
  <c r="S7" i="11" s="1"/>
  <c r="R9" i="11"/>
  <c r="S9" i="11" s="1"/>
  <c r="T3" i="11"/>
  <c r="P4" i="11"/>
  <c r="Q4" i="11" s="1"/>
  <c r="R4" i="11" s="1"/>
  <c r="S4" i="11" s="1"/>
  <c r="P7" i="16" l="1"/>
  <c r="Q5" i="16" s="1"/>
  <c r="R5" i="16" s="1"/>
  <c r="S5" i="16" s="1"/>
  <c r="O21" i="16" s="1"/>
  <c r="P21" i="16" s="1"/>
  <c r="P3" i="16"/>
  <c r="Q8" i="16"/>
  <c r="R8" i="16" s="1"/>
  <c r="S8" i="16" s="1"/>
  <c r="O24" i="16" s="1"/>
  <c r="P24" i="16" s="1"/>
  <c r="Q4" i="16"/>
  <c r="R4" i="16" s="1"/>
  <c r="S4" i="16" s="1"/>
  <c r="Q3" i="16"/>
  <c r="R3" i="16" s="1"/>
  <c r="Q7" i="16"/>
  <c r="R7" i="16" s="1"/>
  <c r="S7" i="16" s="1"/>
  <c r="O23" i="16" s="1"/>
  <c r="P23" i="16" s="1"/>
  <c r="Q9" i="16"/>
  <c r="R9" i="16" s="1"/>
  <c r="S9" i="16" s="1"/>
  <c r="O25" i="16" s="1"/>
  <c r="P25" i="16" s="1"/>
  <c r="P10" i="16"/>
  <c r="P9" i="16"/>
  <c r="Q6" i="16" s="1"/>
  <c r="R6" i="16" s="1"/>
  <c r="S6" i="16" s="1"/>
  <c r="O22" i="16" s="1"/>
  <c r="P22" i="16" s="1"/>
  <c r="P6" i="15"/>
  <c r="O28" i="15"/>
  <c r="E13" i="15"/>
  <c r="O4" i="15"/>
  <c r="O8" i="15"/>
  <c r="P9" i="15" s="1"/>
  <c r="Q6" i="15" s="1"/>
  <c r="R6" i="15" s="1"/>
  <c r="S6" i="15" s="1"/>
  <c r="O22" i="15" s="1"/>
  <c r="P22" i="15" s="1"/>
  <c r="O10" i="15"/>
  <c r="P10" i="15" s="1"/>
  <c r="O3" i="15"/>
  <c r="O7" i="15"/>
  <c r="O5" i="15"/>
  <c r="P8" i="15" s="1"/>
  <c r="J16" i="14"/>
  <c r="E15" i="14"/>
  <c r="J3" i="14"/>
  <c r="J5" i="14"/>
  <c r="J6" i="14"/>
  <c r="J4" i="14"/>
  <c r="O3" i="13"/>
  <c r="O7" i="13"/>
  <c r="O8" i="13"/>
  <c r="P9" i="13" s="1"/>
  <c r="O4" i="13"/>
  <c r="O9" i="13"/>
  <c r="P8" i="13"/>
  <c r="P4" i="13"/>
  <c r="O10" i="13"/>
  <c r="P10" i="13" s="1"/>
  <c r="Q10" i="13" s="1"/>
  <c r="R10" i="13" s="1"/>
  <c r="S10" i="13" s="1"/>
  <c r="O26" i="13" s="1"/>
  <c r="P26" i="13" s="1"/>
  <c r="E13" i="13"/>
  <c r="O28" i="13"/>
  <c r="M16" i="12"/>
  <c r="E13" i="12"/>
  <c r="N3" i="12"/>
  <c r="O3" i="12" s="1"/>
  <c r="N5" i="12"/>
  <c r="O5" i="12" s="1"/>
  <c r="P5" i="12" s="1"/>
  <c r="M13" i="12" s="1"/>
  <c r="N13" i="12" s="1"/>
  <c r="N6" i="12"/>
  <c r="O6" i="12" s="1"/>
  <c r="P6" i="12" s="1"/>
  <c r="M14" i="12" s="1"/>
  <c r="N14" i="12" s="1"/>
  <c r="N4" i="12"/>
  <c r="O4" i="12" s="1"/>
  <c r="P4" i="12" s="1"/>
  <c r="M17" i="11"/>
  <c r="E23" i="11" s="1"/>
  <c r="F23" i="11" s="1"/>
  <c r="G21" i="11" s="1"/>
  <c r="Q10" i="16" l="1"/>
  <c r="R10" i="16" s="1"/>
  <c r="S11" i="16"/>
  <c r="O20" i="16"/>
  <c r="P3" i="15"/>
  <c r="P7" i="15"/>
  <c r="Q5" i="15" s="1"/>
  <c r="R5" i="15" s="1"/>
  <c r="S5" i="15" s="1"/>
  <c r="O21" i="15" s="1"/>
  <c r="P21" i="15" s="1"/>
  <c r="P5" i="15"/>
  <c r="Q8" i="15" s="1"/>
  <c r="R8" i="15" s="1"/>
  <c r="S8" i="15" s="1"/>
  <c r="O24" i="15" s="1"/>
  <c r="P24" i="15" s="1"/>
  <c r="Q10" i="15"/>
  <c r="R10" i="15" s="1"/>
  <c r="S10" i="15" s="1"/>
  <c r="O26" i="15" s="1"/>
  <c r="P26" i="15" s="1"/>
  <c r="P4" i="15"/>
  <c r="K3" i="14"/>
  <c r="L3" i="14" s="1"/>
  <c r="K5" i="14"/>
  <c r="L5" i="14" s="1"/>
  <c r="M5" i="14" s="1"/>
  <c r="J13" i="14" s="1"/>
  <c r="K13" i="14" s="1"/>
  <c r="K6" i="14"/>
  <c r="L6" i="14" s="1"/>
  <c r="M6" i="14" s="1"/>
  <c r="J14" i="14" s="1"/>
  <c r="K14" i="14" s="1"/>
  <c r="K4" i="14"/>
  <c r="L4" i="14" s="1"/>
  <c r="M4" i="14" s="1"/>
  <c r="P6" i="13"/>
  <c r="P3" i="13"/>
  <c r="Q3" i="13" s="1"/>
  <c r="R3" i="13" s="1"/>
  <c r="P7" i="13"/>
  <c r="Q5" i="13" s="1"/>
  <c r="R5" i="13" s="1"/>
  <c r="S5" i="13" s="1"/>
  <c r="O21" i="13" s="1"/>
  <c r="P21" i="13" s="1"/>
  <c r="Q6" i="13"/>
  <c r="R6" i="13" s="1"/>
  <c r="S6" i="13" s="1"/>
  <c r="O22" i="13" s="1"/>
  <c r="P22" i="13" s="1"/>
  <c r="P5" i="13"/>
  <c r="P7" i="12"/>
  <c r="M12" i="12"/>
  <c r="N12" i="12" s="1"/>
  <c r="M15" i="12"/>
  <c r="N15" i="12" s="1"/>
  <c r="O11" i="12" s="1"/>
  <c r="G22" i="11"/>
  <c r="P20" i="16" l="1"/>
  <c r="O26" i="16"/>
  <c r="P26" i="16" s="1"/>
  <c r="Q3" i="15"/>
  <c r="R3" i="15" s="1"/>
  <c r="Q7" i="15"/>
  <c r="R7" i="15" s="1"/>
  <c r="S7" i="15" s="1"/>
  <c r="O23" i="15" s="1"/>
  <c r="P23" i="15" s="1"/>
  <c r="Q4" i="15"/>
  <c r="R4" i="15" s="1"/>
  <c r="S4" i="15" s="1"/>
  <c r="Q9" i="15"/>
  <c r="R9" i="15" s="1"/>
  <c r="S9" i="15" s="1"/>
  <c r="O25" i="15" s="1"/>
  <c r="P25" i="15" s="1"/>
  <c r="M7" i="14"/>
  <c r="J12" i="14"/>
  <c r="Q8" i="13"/>
  <c r="R8" i="13" s="1"/>
  <c r="S8" i="13" s="1"/>
  <c r="O24" i="13" s="1"/>
  <c r="P24" i="13" s="1"/>
  <c r="Q4" i="13"/>
  <c r="R4" i="13" s="1"/>
  <c r="S4" i="13" s="1"/>
  <c r="Q9" i="13"/>
  <c r="R9" i="13" s="1"/>
  <c r="S9" i="13" s="1"/>
  <c r="O25" i="13" s="1"/>
  <c r="P25" i="13" s="1"/>
  <c r="Q7" i="13"/>
  <c r="R7" i="13" s="1"/>
  <c r="S7" i="13" s="1"/>
  <c r="O23" i="13" s="1"/>
  <c r="P23" i="13" s="1"/>
  <c r="O14" i="12"/>
  <c r="O13" i="12"/>
  <c r="O12" i="12"/>
  <c r="Q19" i="16" l="1"/>
  <c r="Q23" i="16"/>
  <c r="Q22" i="16"/>
  <c r="Q25" i="16"/>
  <c r="Q24" i="16"/>
  <c r="Q21" i="16"/>
  <c r="Q20" i="16"/>
  <c r="S11" i="15"/>
  <c r="O20" i="15"/>
  <c r="K12" i="14"/>
  <c r="J15" i="14"/>
  <c r="K15" i="14" s="1"/>
  <c r="O20" i="13"/>
  <c r="S11" i="13"/>
  <c r="P20" i="15" l="1"/>
  <c r="O27" i="15"/>
  <c r="P27" i="15" s="1"/>
  <c r="L11" i="14"/>
  <c r="L14" i="14"/>
  <c r="L13" i="14"/>
  <c r="L12" i="14"/>
  <c r="P20" i="13"/>
  <c r="Q20" i="13" s="1"/>
  <c r="O27" i="13"/>
  <c r="P27" i="13" s="1"/>
  <c r="Q19" i="15" l="1"/>
  <c r="Q22" i="15"/>
  <c r="Q24" i="15"/>
  <c r="Q26" i="15"/>
  <c r="Q21" i="15"/>
  <c r="Q25" i="15"/>
  <c r="Q23" i="15"/>
  <c r="Q20" i="15"/>
  <c r="Q19" i="13"/>
  <c r="Q26" i="13"/>
  <c r="Q22" i="13"/>
  <c r="Q21" i="13"/>
  <c r="Q24" i="13"/>
  <c r="Q23" i="13"/>
  <c r="Q25" i="13"/>
  <c r="C19" i="3" l="1"/>
  <c r="K17" i="3"/>
  <c r="J8" i="3"/>
  <c r="J7" i="3"/>
  <c r="C17" i="3" s="1"/>
  <c r="C18" i="3" s="1"/>
  <c r="C21" i="3" s="1"/>
  <c r="J15" i="3" s="1"/>
  <c r="J6" i="3"/>
  <c r="J5" i="3"/>
  <c r="F23" i="4"/>
  <c r="F22" i="4"/>
  <c r="F19" i="4"/>
  <c r="C19" i="4"/>
  <c r="H12" i="4"/>
  <c r="G12" i="4"/>
  <c r="F12" i="4"/>
  <c r="E12" i="4"/>
  <c r="D12" i="4"/>
  <c r="C12" i="4"/>
  <c r="H11" i="4"/>
  <c r="G11" i="4"/>
  <c r="F11" i="4"/>
  <c r="E11" i="4"/>
  <c r="H10" i="4"/>
  <c r="G10" i="4"/>
  <c r="F10" i="4"/>
  <c r="E10" i="4"/>
  <c r="D10" i="4"/>
  <c r="D11" i="4" s="1"/>
  <c r="C10" i="4"/>
  <c r="C11" i="4" s="1"/>
  <c r="I8" i="4"/>
  <c r="J8" i="4" s="1"/>
  <c r="I7" i="4"/>
  <c r="J7" i="4" s="1"/>
  <c r="I6" i="4"/>
  <c r="J6" i="4" s="1"/>
  <c r="J5" i="4"/>
  <c r="I5" i="4"/>
  <c r="I4" i="4"/>
  <c r="J4" i="4" s="1"/>
  <c r="I25" i="8"/>
  <c r="I24" i="8"/>
  <c r="I23" i="8"/>
  <c r="C23" i="8"/>
  <c r="I27" i="8" s="1"/>
  <c r="I26" i="8" s="1"/>
  <c r="L20" i="8"/>
  <c r="K20" i="8"/>
  <c r="J20" i="8"/>
  <c r="I20" i="8"/>
  <c r="F20" i="8"/>
  <c r="D20" i="8"/>
  <c r="C20" i="8"/>
  <c r="B20" i="8"/>
  <c r="G19" i="8"/>
  <c r="G18" i="8"/>
  <c r="G16" i="8"/>
  <c r="G15" i="8"/>
  <c r="C10" i="8"/>
  <c r="I7" i="8"/>
  <c r="C11" i="8" s="1"/>
  <c r="G7" i="8"/>
  <c r="E7" i="8"/>
  <c r="G4" i="8"/>
  <c r="H14" i="7"/>
  <c r="C11" i="7"/>
  <c r="C9" i="7"/>
  <c r="K7" i="7"/>
  <c r="J7" i="7"/>
  <c r="I7" i="7"/>
  <c r="H7" i="7"/>
  <c r="F6" i="7"/>
  <c r="C10" i="7" s="1"/>
  <c r="E6" i="7"/>
  <c r="D6" i="7"/>
  <c r="C6" i="7"/>
  <c r="B6" i="7"/>
  <c r="F5" i="7"/>
  <c r="F4" i="7"/>
  <c r="F3" i="7"/>
  <c r="F2" i="7"/>
  <c r="L15" i="3" l="1"/>
  <c r="C20" i="3"/>
  <c r="C22" i="3" s="1"/>
  <c r="J16" i="3" s="1"/>
  <c r="L16" i="3" s="1"/>
  <c r="I10" i="4"/>
  <c r="C17" i="4"/>
  <c r="C18" i="4" s="1"/>
  <c r="E17" i="8"/>
  <c r="M17" i="8"/>
  <c r="M20" i="8" s="1"/>
  <c r="C12" i="8"/>
  <c r="C15" i="7"/>
  <c r="I13" i="7" s="1"/>
  <c r="J13" i="7" s="1"/>
  <c r="C14" i="7"/>
  <c r="I12" i="7" s="1"/>
  <c r="J12" i="7" s="1"/>
  <c r="C13" i="7"/>
  <c r="I11" i="7" s="1"/>
  <c r="J11" i="7" s="1"/>
  <c r="C12" i="7"/>
  <c r="M15" i="3" l="1"/>
  <c r="C23" i="3" s="1"/>
  <c r="J17" i="3"/>
  <c r="C22" i="4"/>
  <c r="G17" i="4" s="1"/>
  <c r="H17" i="4" s="1"/>
  <c r="C21" i="4"/>
  <c r="G16" i="4" s="1"/>
  <c r="C20" i="4"/>
  <c r="C23" i="4" s="1"/>
  <c r="G18" i="4" s="1"/>
  <c r="H18" i="4" s="1"/>
  <c r="E20" i="8"/>
  <c r="G17" i="8"/>
  <c r="C25" i="8"/>
  <c r="G20" i="8"/>
  <c r="C24" i="8" s="1"/>
  <c r="C16" i="7"/>
  <c r="I14" i="7" s="1"/>
  <c r="J14" i="7" s="1"/>
  <c r="I15" i="7"/>
  <c r="K11" i="7"/>
  <c r="K12" i="7"/>
  <c r="K13" i="7"/>
  <c r="H16" i="4" l="1"/>
  <c r="G19" i="4"/>
  <c r="I17" i="4"/>
  <c r="H23" i="4" s="1"/>
  <c r="C26" i="8"/>
  <c r="C28" i="8"/>
  <c r="J24" i="8" s="1"/>
  <c r="K24" i="8" s="1"/>
  <c r="C29" i="8"/>
  <c r="J25" i="8" s="1"/>
  <c r="K25" i="8" s="1"/>
  <c r="C27" i="8"/>
  <c r="J23" i="8" s="1"/>
  <c r="K23" i="8" s="1"/>
  <c r="I16" i="4" l="1"/>
  <c r="H22" i="4" s="1"/>
  <c r="H19" i="4"/>
  <c r="C30" i="8"/>
  <c r="J26" i="8" s="1"/>
  <c r="K26" i="8" s="1"/>
  <c r="L25" i="8" s="1"/>
  <c r="J27" i="8"/>
  <c r="L23" i="8"/>
  <c r="L24" i="8" l="1"/>
  <c r="B12" i="6" l="1"/>
  <c r="L10" i="6"/>
  <c r="G7" i="6"/>
  <c r="F7" i="6"/>
  <c r="E7" i="6"/>
  <c r="D7" i="6"/>
  <c r="E9" i="6" s="1"/>
  <c r="C7" i="6"/>
  <c r="O6" i="6"/>
  <c r="N6" i="6"/>
  <c r="L6" i="6"/>
  <c r="G6" i="6"/>
  <c r="P5" i="6"/>
  <c r="G5" i="6"/>
  <c r="P4" i="6"/>
  <c r="G4" i="6"/>
  <c r="E10" i="6" s="1"/>
  <c r="C29" i="5"/>
  <c r="C27" i="5"/>
  <c r="D28" i="5" s="1"/>
  <c r="C25" i="5"/>
  <c r="E26" i="5" s="1"/>
  <c r="C23" i="5"/>
  <c r="F24" i="5" s="1"/>
  <c r="C22" i="5"/>
  <c r="B11" i="5"/>
  <c r="E9" i="5"/>
  <c r="B8" i="5"/>
  <c r="E8" i="5" s="1"/>
  <c r="E7" i="5"/>
  <c r="D7" i="5"/>
  <c r="C7" i="5"/>
  <c r="B7" i="5"/>
  <c r="F6" i="5"/>
  <c r="F5" i="5"/>
  <c r="F4" i="5"/>
  <c r="F3" i="5"/>
  <c r="E11" i="6" l="1"/>
  <c r="M3" i="6" s="1"/>
  <c r="O13" i="6"/>
  <c r="E12" i="5"/>
  <c r="E11" i="5"/>
  <c r="E10" i="5"/>
  <c r="E13" i="5" s="1"/>
  <c r="D24" i="5"/>
  <c r="E24" i="5"/>
  <c r="D26" i="5"/>
  <c r="O8" i="6" l="1"/>
  <c r="P3" i="6"/>
  <c r="L7" i="6"/>
  <c r="O7" i="6" s="1"/>
  <c r="M6" i="6"/>
  <c r="O11" i="6" l="1"/>
  <c r="Q11" i="6" s="1"/>
  <c r="L26" i="6" s="1"/>
  <c r="N26" i="6" s="1"/>
  <c r="O10" i="6"/>
  <c r="L27" i="6" s="1"/>
  <c r="N27" i="6" s="1"/>
  <c r="O9" i="6"/>
  <c r="L30" i="6" l="1"/>
  <c r="O12" i="6"/>
  <c r="L28" i="6" s="1"/>
  <c r="N28" i="6" s="1"/>
  <c r="O27" i="6" s="1"/>
  <c r="O26" i="6"/>
  <c r="B16" i="1" l="1"/>
  <c r="E11" i="1"/>
  <c r="D11" i="1"/>
  <c r="C11" i="1"/>
  <c r="B11" i="1"/>
  <c r="B14" i="1" l="1"/>
  <c r="B15" i="1" s="1"/>
  <c r="B18" i="1" s="1"/>
  <c r="F16" i="1"/>
  <c r="G16" i="1" s="1"/>
  <c r="B17" i="1"/>
  <c r="B19" i="1" l="1"/>
  <c r="F17" i="1"/>
  <c r="G17" i="1" s="1"/>
  <c r="H16" i="1"/>
  <c r="F18" i="1"/>
</calcChain>
</file>

<file path=xl/sharedStrings.xml><?xml version="1.0" encoding="utf-8"?>
<sst xmlns="http://schemas.openxmlformats.org/spreadsheetml/2006/main" count="666" uniqueCount="227">
  <si>
    <t>Batches</t>
  </si>
  <si>
    <t xml:space="preserve">Life </t>
  </si>
  <si>
    <t>Sum</t>
  </si>
  <si>
    <t>N =</t>
  </si>
  <si>
    <t>G =</t>
  </si>
  <si>
    <t>ANOVA TABLE</t>
  </si>
  <si>
    <t>CF =</t>
  </si>
  <si>
    <t>SV</t>
  </si>
  <si>
    <t>d.f</t>
  </si>
  <si>
    <t>S.S</t>
  </si>
  <si>
    <t>M.S</t>
  </si>
  <si>
    <t>F Ratio</t>
  </si>
  <si>
    <t>RSS =</t>
  </si>
  <si>
    <t>TREATMENT</t>
  </si>
  <si>
    <t>TSS =</t>
  </si>
  <si>
    <t>ERROR</t>
  </si>
  <si>
    <t>SST =</t>
  </si>
  <si>
    <t>TOTAL</t>
  </si>
  <si>
    <t>SSE =</t>
  </si>
  <si>
    <t>Ti</t>
  </si>
  <si>
    <t>v1</t>
  </si>
  <si>
    <t>v2</t>
  </si>
  <si>
    <t>v3</t>
  </si>
  <si>
    <t>v4</t>
  </si>
  <si>
    <t>r</t>
  </si>
  <si>
    <t>S.V</t>
  </si>
  <si>
    <t>M.S.S</t>
  </si>
  <si>
    <t>F</t>
  </si>
  <si>
    <t>t</t>
  </si>
  <si>
    <t>treatment</t>
  </si>
  <si>
    <t>N</t>
  </si>
  <si>
    <t>error</t>
  </si>
  <si>
    <t>G</t>
  </si>
  <si>
    <t>Total</t>
  </si>
  <si>
    <t>C.F</t>
  </si>
  <si>
    <t>R.S.S</t>
  </si>
  <si>
    <t>T.S.S</t>
  </si>
  <si>
    <t>S.S.T</t>
  </si>
  <si>
    <t>S.S.E</t>
  </si>
  <si>
    <t>F(cal)</t>
  </si>
  <si>
    <t>F(3,16)</t>
  </si>
  <si>
    <t>Since, F(cal) &gt; F(tab) , we reject null hypothesis</t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</si>
  <si>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</si>
  <si>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</si>
  <si>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3</t>
    </r>
  </si>
  <si>
    <r>
      <t>v</t>
    </r>
    <r>
      <rPr>
        <vertAlign val="subscript"/>
        <sz val="11"/>
        <color theme="1"/>
        <rFont val="Calibri"/>
        <family val="2"/>
        <scheme val="minor"/>
      </rPr>
      <t>4</t>
    </r>
  </si>
  <si>
    <r>
      <t>v</t>
    </r>
    <r>
      <rPr>
        <vertAlign val="subscript"/>
        <sz val="11"/>
        <color theme="1"/>
        <rFont val="Calibri"/>
        <family val="2"/>
        <scheme val="minor"/>
      </rPr>
      <t>5</t>
    </r>
  </si>
  <si>
    <r>
      <t>v</t>
    </r>
    <r>
      <rPr>
        <vertAlign val="subscript"/>
        <sz val="11"/>
        <color theme="1"/>
        <rFont val="Calibri"/>
        <family val="2"/>
        <scheme val="minor"/>
      </rPr>
      <t>6</t>
    </r>
  </si>
  <si>
    <t>Block Totals</t>
  </si>
  <si>
    <r>
      <t>B</t>
    </r>
    <r>
      <rPr>
        <vertAlign val="subscript"/>
        <sz val="11"/>
        <color theme="1"/>
        <rFont val="Calibri"/>
        <family val="2"/>
        <scheme val="minor"/>
      </rPr>
      <t>j</t>
    </r>
    <r>
      <rPr>
        <vertAlign val="superscript"/>
        <sz val="11"/>
        <color theme="1"/>
        <rFont val="Calibri"/>
        <family val="2"/>
        <scheme val="minor"/>
      </rPr>
      <t>2</t>
    </r>
  </si>
  <si>
    <t>b1</t>
  </si>
  <si>
    <t>b2</t>
  </si>
  <si>
    <t>b3</t>
  </si>
  <si>
    <t>b4</t>
  </si>
  <si>
    <t>b5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</si>
  <si>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</si>
  <si>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</si>
  <si>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t>Average</t>
  </si>
  <si>
    <t>Blocks =</t>
  </si>
  <si>
    <t>Treatments =</t>
  </si>
  <si>
    <t>Variance ratio(F)</t>
  </si>
  <si>
    <t>Treatments</t>
  </si>
  <si>
    <t>Blocks</t>
  </si>
  <si>
    <t>C.F =</t>
  </si>
  <si>
    <t>Error</t>
  </si>
  <si>
    <t>R.S.S =</t>
  </si>
  <si>
    <t>T.S.S =</t>
  </si>
  <si>
    <t>S.S.T =</t>
  </si>
  <si>
    <t>Tabulated</t>
  </si>
  <si>
    <t>Calculated</t>
  </si>
  <si>
    <t>S.S.B =</t>
  </si>
  <si>
    <r>
      <t>F</t>
    </r>
    <r>
      <rPr>
        <sz val="8"/>
        <color theme="1"/>
        <rFont val="Calibri"/>
        <family val="2"/>
        <scheme val="minor"/>
      </rPr>
      <t>(5,20)</t>
    </r>
    <r>
      <rPr>
        <sz val="11"/>
        <color theme="1"/>
        <rFont val="Calibri"/>
        <family val="2"/>
        <scheme val="minor"/>
      </rPr>
      <t xml:space="preserve"> =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</si>
  <si>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treatment </t>
    </r>
    <r>
      <rPr>
        <sz val="11"/>
        <color theme="1"/>
        <rFont val="Calibri"/>
        <family val="2"/>
        <scheme val="minor"/>
      </rPr>
      <t>=</t>
    </r>
  </si>
  <si>
    <t>S.S.E =</t>
  </si>
  <si>
    <r>
      <t>F</t>
    </r>
    <r>
      <rPr>
        <sz val="8"/>
        <color theme="1"/>
        <rFont val="Calibri"/>
        <family val="2"/>
        <scheme val="minor"/>
      </rPr>
      <t xml:space="preserve">(4,20) </t>
    </r>
    <r>
      <rPr>
        <sz val="11"/>
        <color theme="1"/>
        <rFont val="Calibri"/>
        <family val="2"/>
        <scheme val="minor"/>
      </rPr>
      <t>=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</si>
  <si>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block </t>
    </r>
    <r>
      <rPr>
        <sz val="11"/>
        <color theme="1"/>
        <rFont val="Calibri"/>
        <family val="2"/>
        <scheme val="minor"/>
      </rPr>
      <t>=</t>
    </r>
  </si>
  <si>
    <t>Coupon (Block)</t>
  </si>
  <si>
    <t>Type of Tip</t>
  </si>
  <si>
    <t>r =</t>
  </si>
  <si>
    <t>t =</t>
  </si>
  <si>
    <t>ANOVA</t>
  </si>
  <si>
    <t>Source of Variation</t>
  </si>
  <si>
    <t>SS</t>
  </si>
  <si>
    <t>df</t>
  </si>
  <si>
    <t>MS</t>
  </si>
  <si>
    <t>P-value</t>
  </si>
  <si>
    <t>F crit</t>
  </si>
  <si>
    <r>
      <t>S.E(t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=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</si>
  <si>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</si>
  <si>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</si>
  <si>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</si>
  <si>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</t>
    </r>
  </si>
  <si>
    <t>Block</t>
  </si>
  <si>
    <r>
      <t>y.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Arial"/>
        <family val="2"/>
      </rPr>
      <t>`</t>
    </r>
  </si>
  <si>
    <r>
      <t>y</t>
    </r>
    <r>
      <rPr>
        <vertAlign val="subscript"/>
        <sz val="11"/>
        <color theme="1"/>
        <rFont val="Calibri"/>
        <family val="2"/>
        <scheme val="minor"/>
      </rPr>
      <t>i.</t>
    </r>
  </si>
  <si>
    <t>x=</t>
  </si>
  <si>
    <t xml:space="preserve">Aud treatment = </t>
  </si>
  <si>
    <t>Bias =</t>
  </si>
  <si>
    <t>Rows</t>
  </si>
  <si>
    <t>Columns</t>
  </si>
  <si>
    <t>Adjusted Anova table</t>
  </si>
  <si>
    <t>Treatements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</si>
  <si>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</si>
  <si>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</si>
  <si>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</si>
  <si>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</si>
  <si>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</si>
  <si>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A</t>
  </si>
  <si>
    <t>B</t>
  </si>
  <si>
    <t>C</t>
  </si>
  <si>
    <t>D</t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</si>
  <si>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</si>
  <si>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</si>
  <si>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scheme val="minor"/>
      </rPr>
      <t>4</t>
    </r>
  </si>
  <si>
    <t>m =</t>
  </si>
  <si>
    <t>S,V</t>
  </si>
  <si>
    <t>Variance ratio</t>
  </si>
  <si>
    <t>ROWS</t>
  </si>
  <si>
    <t>&lt; 4.76</t>
  </si>
  <si>
    <t>COLUMNS</t>
  </si>
  <si>
    <t>S.S.R =</t>
  </si>
  <si>
    <t>TREATMENTS</t>
  </si>
  <si>
    <t>&gt; 4.76</t>
  </si>
  <si>
    <t>S.S.C=</t>
  </si>
  <si>
    <r>
      <t>F</t>
    </r>
    <r>
      <rPr>
        <vertAlign val="subscript"/>
        <sz val="11"/>
        <color theme="1"/>
        <rFont val="Calibri"/>
        <family val="2"/>
        <scheme val="minor"/>
      </rPr>
      <t>3,6</t>
    </r>
    <r>
      <rPr>
        <sz val="11"/>
        <color theme="1"/>
        <rFont val="Calibri"/>
        <family val="2"/>
        <scheme val="minor"/>
      </rPr>
      <t>(0.05) =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</si>
  <si>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</si>
  <si>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t>E</t>
  </si>
  <si>
    <r>
      <t>R</t>
    </r>
    <r>
      <rPr>
        <vertAlign val="subscript"/>
        <sz val="11"/>
        <color theme="1"/>
        <rFont val="Calibri"/>
        <family val="2"/>
        <scheme val="minor"/>
      </rPr>
      <t>5</t>
    </r>
  </si>
  <si>
    <t>TREATMENTS(Aud.)</t>
  </si>
  <si>
    <t>----</t>
  </si>
  <si>
    <t>x =</t>
  </si>
  <si>
    <r>
      <t>Treatment total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(2)</t>
    </r>
  </si>
  <si>
    <r>
      <t>Block Total(B</t>
    </r>
    <r>
      <rPr>
        <b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)(3)</t>
    </r>
  </si>
  <si>
    <t>Bj^2  (4)</t>
  </si>
  <si>
    <r>
      <rPr>
        <b/>
        <sz val="11"/>
        <color theme="1"/>
        <rFont val="Calibri"/>
        <family val="2"/>
      </rPr>
      <t>∑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>*B</t>
    </r>
    <r>
      <rPr>
        <b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 xml:space="preserve"> (5)</t>
    </r>
  </si>
  <si>
    <r>
      <t>∑N</t>
    </r>
    <r>
      <rPr>
        <b/>
        <vertAlign val="subscript"/>
        <sz val="11"/>
        <color theme="1"/>
        <rFont val="Calibri"/>
        <family val="2"/>
        <scheme val="minor"/>
      </rPr>
      <t>ij</t>
    </r>
    <r>
      <rPr>
        <b/>
        <sz val="11"/>
        <color theme="1"/>
        <rFont val="Calibri"/>
        <family val="2"/>
        <scheme val="minor"/>
      </rPr>
      <t>*B</t>
    </r>
    <r>
      <rPr>
        <b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 xml:space="preserve"> /k (6)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</si>
  <si>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(7)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</si>
  <si>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(8)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</si>
  <si>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(9)</t>
    </r>
  </si>
  <si>
    <t>v=</t>
  </si>
  <si>
    <t>here r=k and b=v, so this is symmetric BIBD</t>
  </si>
  <si>
    <t>G=</t>
  </si>
  <si>
    <t>b=</t>
  </si>
  <si>
    <t>N=</t>
  </si>
  <si>
    <t>r=</t>
  </si>
  <si>
    <t>C.F.=</t>
  </si>
  <si>
    <t>k=</t>
  </si>
  <si>
    <t>T.S.S.=</t>
  </si>
  <si>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Calibri"/>
        <family val="2"/>
        <scheme val="minor"/>
      </rPr>
      <t>=</t>
    </r>
  </si>
  <si>
    <t>S.S.B.=</t>
  </si>
  <si>
    <t>E=</t>
  </si>
  <si>
    <t>S.S.T.=</t>
  </si>
  <si>
    <t>S.S.E.=</t>
  </si>
  <si>
    <t>S.V.</t>
  </si>
  <si>
    <t>D.F.</t>
  </si>
  <si>
    <t>S.S.</t>
  </si>
  <si>
    <t>M.S.S.</t>
  </si>
  <si>
    <t>V.R.</t>
  </si>
  <si>
    <t>F Tab</t>
  </si>
  <si>
    <t>BLOCKS</t>
  </si>
  <si>
    <t>(I)</t>
  </si>
  <si>
    <t>a</t>
  </si>
  <si>
    <t>b</t>
  </si>
  <si>
    <t>ab</t>
  </si>
  <si>
    <t>Yates Method</t>
  </si>
  <si>
    <t>OO</t>
  </si>
  <si>
    <t>O1</t>
  </si>
  <si>
    <t>Treatment Combination</t>
  </si>
  <si>
    <t>Treatment</t>
  </si>
  <si>
    <t>V.R</t>
  </si>
  <si>
    <t>Main Effect(A)</t>
  </si>
  <si>
    <t>Main Effect(B)</t>
  </si>
  <si>
    <t>Interaction (A*B)</t>
  </si>
  <si>
    <t>c</t>
  </si>
  <si>
    <t>bc</t>
  </si>
  <si>
    <t>ac</t>
  </si>
  <si>
    <t>abc</t>
  </si>
  <si>
    <t>OOO</t>
  </si>
  <si>
    <t>O1O</t>
  </si>
  <si>
    <t>OO1</t>
  </si>
  <si>
    <t>11O</t>
  </si>
  <si>
    <t>O11</t>
  </si>
  <si>
    <t>1O1</t>
  </si>
  <si>
    <t>Treatement</t>
  </si>
  <si>
    <t>Bolcks</t>
  </si>
  <si>
    <t>Main Effect(C)</t>
  </si>
  <si>
    <t>Two Order Interaction (A*B)</t>
  </si>
  <si>
    <t>Two Order Interaction (B*C)</t>
  </si>
  <si>
    <t>Two Order Interaction (A*C)</t>
  </si>
  <si>
    <t>Three order Interaction (A*B*C)</t>
  </si>
  <si>
    <t>s</t>
  </si>
  <si>
    <t>n</t>
  </si>
  <si>
    <t>ns</t>
  </si>
  <si>
    <t>k</t>
  </si>
  <si>
    <t>p</t>
  </si>
  <si>
    <t>pk</t>
  </si>
  <si>
    <t>nk</t>
  </si>
  <si>
    <t>np</t>
  </si>
  <si>
    <t>npk</t>
  </si>
  <si>
    <t>I</t>
  </si>
  <si>
    <t>kp</t>
  </si>
  <si>
    <t>nkp</t>
  </si>
  <si>
    <t>Treatment total (Ti) (2)</t>
  </si>
  <si>
    <t>Block Total(Bj)(3)</t>
  </si>
  <si>
    <r>
      <rPr>
        <b/>
        <sz val="11"/>
        <color theme="1"/>
        <rFont val="Calibri"/>
        <family val="2"/>
      </rPr>
      <t>∑</t>
    </r>
    <r>
      <rPr>
        <b/>
        <sz val="11"/>
        <color theme="1"/>
        <rFont val="Calibri"/>
        <family val="2"/>
        <scheme val="minor"/>
      </rPr>
      <t>Nij*Bj (5)</t>
    </r>
  </si>
  <si>
    <t>∑Nij*Bj /k (6)</t>
  </si>
  <si>
    <t>Qi (7)</t>
  </si>
  <si>
    <t>Qi^2 (8)</t>
  </si>
  <si>
    <t>Ti^2 (9)</t>
  </si>
  <si>
    <t>lambda=</t>
  </si>
  <si>
    <t>R,S.S =</t>
  </si>
  <si>
    <t>Sum Sq =</t>
  </si>
  <si>
    <t>Source of variation</t>
  </si>
  <si>
    <r>
      <t>F</t>
    </r>
    <r>
      <rPr>
        <vertAlign val="subscript"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(calculated)(3,8) =</t>
    </r>
  </si>
  <si>
    <r>
      <t>F</t>
    </r>
    <r>
      <rPr>
        <vertAlign val="subscript"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(Tabulated)(3,8) =</t>
    </r>
  </si>
  <si>
    <t>Ho rejected at 5% los</t>
  </si>
  <si>
    <t>V1</t>
  </si>
  <si>
    <t>V2</t>
  </si>
  <si>
    <t>V3</t>
  </si>
  <si>
    <t>V4</t>
  </si>
  <si>
    <t>V5</t>
  </si>
  <si>
    <t>N = rt =</t>
  </si>
  <si>
    <t>Sum of Sq</t>
  </si>
  <si>
    <t>Mean SS</t>
  </si>
  <si>
    <t>VR</t>
  </si>
  <si>
    <t>F(4,25) @5%</t>
  </si>
  <si>
    <t>So, we have insufficient evidence to reject Null Hypothesis.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</si>
</sst>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02D42-130A-4BCE-8D5D-A8F81E29FF25}" name="Table13" displayName="Table13" ref="B14:F17" totalsRowShown="0" headerRowDxfId="9" dataDxfId="8" headerRowBorderDxfId="6" tableBorderDxfId="7" totalsRowBorderDxfId="5">
  <autoFilter ref="B14:F17" xr:uid="{16A02D42-130A-4BCE-8D5D-A8F81E29FF25}"/>
  <tableColumns count="5">
    <tableColumn id="1" xr3:uid="{E63851BE-6ABD-4365-A2C8-AFD97C4B6FBD}" name="Source of variation" dataDxfId="4"/>
    <tableColumn id="2" xr3:uid="{D8CA4D8C-06A2-484F-AE3D-3319EE14AA02}" name="S.S" dataDxfId="3"/>
    <tableColumn id="3" xr3:uid="{3E39956A-B0F8-4616-81B6-7E8CFB6BA4C5}" name="d.f" dataDxfId="2"/>
    <tableColumn id="4" xr3:uid="{B007BD34-6BB6-44A0-922B-F282B9594DA5}" name="M.S.S" dataDxfId="1"/>
    <tableColumn id="5" xr3:uid="{7984D4E8-D2EA-4E33-9BCA-81120C6FC235}" name="F Ratio" dataDxfId="0">
      <calculatedColumnFormula>E15/E16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P13" sqref="P13"/>
    </sheetView>
  </sheetViews>
  <sheetFormatPr defaultRowHeight="14.4" x14ac:dyDescent="0.3"/>
  <sheetData>
    <row r="1" spans="1:8" x14ac:dyDescent="0.3">
      <c r="B1" s="1" t="s">
        <v>0</v>
      </c>
      <c r="C1" s="2"/>
      <c r="D1" s="2"/>
      <c r="E1" s="3"/>
    </row>
    <row r="2" spans="1:8" x14ac:dyDescent="0.3">
      <c r="A2" s="4" t="s">
        <v>1</v>
      </c>
      <c r="B2" s="5">
        <v>1</v>
      </c>
      <c r="C2" s="5">
        <v>2</v>
      </c>
      <c r="D2" s="5">
        <v>3</v>
      </c>
      <c r="E2" s="5">
        <v>4</v>
      </c>
    </row>
    <row r="3" spans="1:8" x14ac:dyDescent="0.3">
      <c r="A3" s="6"/>
      <c r="B3" s="7">
        <v>1600</v>
      </c>
      <c r="C3" s="7">
        <v>1580</v>
      </c>
      <c r="D3" s="7">
        <v>1460</v>
      </c>
      <c r="E3" s="7">
        <v>1510</v>
      </c>
    </row>
    <row r="4" spans="1:8" x14ac:dyDescent="0.3">
      <c r="A4" s="6"/>
      <c r="B4" s="8">
        <v>1610</v>
      </c>
      <c r="C4" s="8">
        <v>1640</v>
      </c>
      <c r="D4" s="8">
        <v>1550</v>
      </c>
      <c r="E4" s="8">
        <v>1520</v>
      </c>
    </row>
    <row r="5" spans="1:8" x14ac:dyDescent="0.3">
      <c r="A5" s="6"/>
      <c r="B5" s="8">
        <v>1650</v>
      </c>
      <c r="C5" s="8">
        <v>1700</v>
      </c>
      <c r="D5" s="8">
        <v>1620</v>
      </c>
      <c r="E5" s="8">
        <v>1570</v>
      </c>
    </row>
    <row r="6" spans="1:8" x14ac:dyDescent="0.3">
      <c r="A6" s="6"/>
      <c r="B6" s="8">
        <v>1680</v>
      </c>
      <c r="C6" s="8">
        <v>1750</v>
      </c>
      <c r="D6" s="8">
        <v>1640</v>
      </c>
      <c r="E6" s="8">
        <v>1600</v>
      </c>
    </row>
    <row r="7" spans="1:8" x14ac:dyDescent="0.3">
      <c r="A7" s="6"/>
      <c r="B7" s="8">
        <v>1700</v>
      </c>
      <c r="C7" s="8">
        <v>1640</v>
      </c>
      <c r="D7" s="8">
        <v>1660</v>
      </c>
      <c r="E7" s="8">
        <v>1680</v>
      </c>
    </row>
    <row r="8" spans="1:8" x14ac:dyDescent="0.3">
      <c r="A8" s="6"/>
      <c r="B8" s="8">
        <v>1720</v>
      </c>
      <c r="C8" s="8"/>
      <c r="D8" s="8">
        <v>1740</v>
      </c>
      <c r="E8" s="8">
        <v>1530</v>
      </c>
    </row>
    <row r="9" spans="1:8" x14ac:dyDescent="0.3">
      <c r="A9" s="6"/>
      <c r="B9" s="8">
        <v>1800</v>
      </c>
      <c r="C9" s="8"/>
      <c r="D9" s="8">
        <v>1660</v>
      </c>
      <c r="E9" s="8"/>
    </row>
    <row r="10" spans="1:8" x14ac:dyDescent="0.3">
      <c r="A10" s="9"/>
      <c r="B10" s="10"/>
      <c r="C10" s="10"/>
      <c r="D10" s="10">
        <v>1820</v>
      </c>
      <c r="E10" s="10"/>
    </row>
    <row r="11" spans="1:8" x14ac:dyDescent="0.3">
      <c r="A11" s="11" t="s">
        <v>2</v>
      </c>
      <c r="B11" s="5">
        <f>SUM(B3:B10)</f>
        <v>11760</v>
      </c>
      <c r="C11" s="5">
        <f t="shared" ref="C11:E11" si="0">SUM(C3:C10)</f>
        <v>8310</v>
      </c>
      <c r="D11" s="5">
        <f t="shared" si="0"/>
        <v>13150</v>
      </c>
      <c r="E11" s="5">
        <f t="shared" si="0"/>
        <v>9410</v>
      </c>
    </row>
    <row r="13" spans="1:8" x14ac:dyDescent="0.3">
      <c r="A13" s="12" t="s">
        <v>3</v>
      </c>
      <c r="B13" s="13">
        <v>26</v>
      </c>
    </row>
    <row r="14" spans="1:8" x14ac:dyDescent="0.3">
      <c r="A14" s="12" t="s">
        <v>4</v>
      </c>
      <c r="B14" s="13">
        <f>SUM(B11:E11)</f>
        <v>42630</v>
      </c>
      <c r="D14" s="14" t="s">
        <v>5</v>
      </c>
      <c r="E14" s="14"/>
      <c r="F14" s="14"/>
      <c r="G14" s="14"/>
      <c r="H14" s="14"/>
    </row>
    <row r="15" spans="1:8" x14ac:dyDescent="0.3">
      <c r="A15" s="12" t="s">
        <v>6</v>
      </c>
      <c r="B15" s="13">
        <f>((B14)^2)/B13</f>
        <v>69896803.84615384</v>
      </c>
      <c r="D15" s="15" t="s">
        <v>7</v>
      </c>
      <c r="E15" s="15" t="s">
        <v>8</v>
      </c>
      <c r="F15" s="15" t="s">
        <v>9</v>
      </c>
      <c r="G15" s="15" t="s">
        <v>10</v>
      </c>
      <c r="H15" s="15" t="s">
        <v>11</v>
      </c>
    </row>
    <row r="16" spans="1:8" x14ac:dyDescent="0.3">
      <c r="A16" s="12" t="s">
        <v>12</v>
      </c>
      <c r="B16" s="13">
        <f>SUMSQ(B3:E10)</f>
        <v>70091500</v>
      </c>
      <c r="D16" s="16" t="s">
        <v>13</v>
      </c>
      <c r="E16" s="17">
        <v>3</v>
      </c>
      <c r="F16" s="17">
        <f>((B11)^2/7)+((C11)^2/5)+((D11)^2/8)+((E11)^2/6)-B15</f>
        <v>44545.320512831211</v>
      </c>
      <c r="G16" s="17">
        <f>F16/E16</f>
        <v>14848.440170943737</v>
      </c>
      <c r="H16" s="18">
        <f>G16/G17</f>
        <v>2.1755835549415732</v>
      </c>
    </row>
    <row r="17" spans="1:8" x14ac:dyDescent="0.3">
      <c r="A17" s="12" t="s">
        <v>14</v>
      </c>
      <c r="B17" s="13">
        <f>B16-B15</f>
        <v>194696.15384615958</v>
      </c>
      <c r="D17" s="19" t="s">
        <v>15</v>
      </c>
      <c r="E17">
        <v>22</v>
      </c>
      <c r="F17">
        <f>B17-B18</f>
        <v>150150.83333332837</v>
      </c>
      <c r="G17">
        <f>F17/E17</f>
        <v>6825.0378787876534</v>
      </c>
      <c r="H17" s="20"/>
    </row>
    <row r="18" spans="1:8" x14ac:dyDescent="0.3">
      <c r="A18" s="12" t="s">
        <v>16</v>
      </c>
      <c r="B18" s="13">
        <f>((B11)^2/7)+((C11)^2/5)+((D11)^2/8)+((E11)^2/6)-B15</f>
        <v>44545.320512831211</v>
      </c>
      <c r="D18" s="21" t="s">
        <v>17</v>
      </c>
      <c r="E18" s="22">
        <v>25</v>
      </c>
      <c r="F18" s="22">
        <f>B16-B15</f>
        <v>194696.15384615958</v>
      </c>
      <c r="G18" s="22"/>
      <c r="H18" s="23"/>
    </row>
    <row r="19" spans="1:8" x14ac:dyDescent="0.3">
      <c r="A19" s="12" t="s">
        <v>18</v>
      </c>
      <c r="B19" s="13">
        <f>B17-B18</f>
        <v>150150.83333332837</v>
      </c>
    </row>
  </sheetData>
  <mergeCells count="3">
    <mergeCell ref="B1:E1"/>
    <mergeCell ref="A2:A10"/>
    <mergeCell ref="D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F27A-A59A-4C1D-84CB-2A38800D6225}">
  <dimension ref="A2:K22"/>
  <sheetViews>
    <sheetView workbookViewId="0">
      <selection activeCell="J1" sqref="J1:J1048576"/>
    </sheetView>
  </sheetViews>
  <sheetFormatPr defaultRowHeight="14.4" x14ac:dyDescent="0.3"/>
  <cols>
    <col min="7" max="7" width="12" bestFit="1" customWidth="1"/>
    <col min="9" max="9" width="11" bestFit="1" customWidth="1"/>
    <col min="10" max="10" width="11.44140625" bestFit="1" customWidth="1"/>
  </cols>
  <sheetData>
    <row r="2" spans="1:11" x14ac:dyDescent="0.3">
      <c r="D2" s="79"/>
      <c r="E2" s="79"/>
    </row>
    <row r="5" spans="1:11" x14ac:dyDescent="0.3">
      <c r="B5" s="55" t="s">
        <v>216</v>
      </c>
      <c r="C5" s="55" t="s">
        <v>217</v>
      </c>
      <c r="D5" s="55" t="s">
        <v>218</v>
      </c>
      <c r="E5" s="55" t="s">
        <v>219</v>
      </c>
      <c r="F5" s="55" t="s">
        <v>220</v>
      </c>
    </row>
    <row r="6" spans="1:11" x14ac:dyDescent="0.3">
      <c r="B6" s="5">
        <v>320</v>
      </c>
      <c r="C6" s="5">
        <v>328</v>
      </c>
      <c r="D6" s="5">
        <v>400</v>
      </c>
      <c r="E6" s="5">
        <v>340</v>
      </c>
      <c r="F6" s="5">
        <v>398</v>
      </c>
      <c r="G6" s="26"/>
    </row>
    <row r="7" spans="1:11" x14ac:dyDescent="0.3">
      <c r="B7" s="5">
        <v>420</v>
      </c>
      <c r="C7" s="5">
        <v>372</v>
      </c>
      <c r="D7" s="5">
        <v>350</v>
      </c>
      <c r="E7" s="5">
        <v>360</v>
      </c>
      <c r="F7" s="5">
        <v>358</v>
      </c>
      <c r="G7" s="26"/>
    </row>
    <row r="8" spans="1:11" x14ac:dyDescent="0.3">
      <c r="B8" s="5">
        <v>353</v>
      </c>
      <c r="C8" s="5">
        <v>455</v>
      </c>
      <c r="D8" s="5">
        <v>417</v>
      </c>
      <c r="E8" s="5">
        <v>358</v>
      </c>
      <c r="F8" s="5">
        <v>334</v>
      </c>
      <c r="G8" s="26"/>
    </row>
    <row r="9" spans="1:11" x14ac:dyDescent="0.3">
      <c r="B9" s="5">
        <v>331</v>
      </c>
      <c r="C9" s="5">
        <v>375</v>
      </c>
      <c r="D9" s="5">
        <v>325</v>
      </c>
      <c r="E9" s="5">
        <v>370</v>
      </c>
      <c r="F9" s="5">
        <v>340</v>
      </c>
      <c r="G9" s="26"/>
    </row>
    <row r="10" spans="1:11" x14ac:dyDescent="0.3">
      <c r="B10" s="5">
        <v>358</v>
      </c>
      <c r="C10" s="5">
        <v>383</v>
      </c>
      <c r="D10" s="5">
        <v>378</v>
      </c>
      <c r="E10" s="5">
        <v>395</v>
      </c>
      <c r="F10" s="5">
        <v>320</v>
      </c>
      <c r="G10" s="26"/>
    </row>
    <row r="11" spans="1:11" x14ac:dyDescent="0.3">
      <c r="B11" s="7">
        <v>400</v>
      </c>
      <c r="C11" s="7">
        <v>308</v>
      </c>
      <c r="D11" s="7">
        <v>275</v>
      </c>
      <c r="E11" s="7">
        <v>375</v>
      </c>
      <c r="F11" s="7">
        <v>430</v>
      </c>
      <c r="G11" s="26"/>
    </row>
    <row r="12" spans="1:11" x14ac:dyDescent="0.3">
      <c r="A12" s="5" t="s">
        <v>2</v>
      </c>
      <c r="B12" s="80">
        <f>SUM(B6:B11)</f>
        <v>2182</v>
      </c>
      <c r="C12" s="55">
        <f t="shared" ref="C12:F12" si="0">SUM(C6:C11)</f>
        <v>2221</v>
      </c>
      <c r="D12" s="55">
        <f t="shared" si="0"/>
        <v>2145</v>
      </c>
      <c r="E12" s="55">
        <f t="shared" si="0"/>
        <v>2198</v>
      </c>
      <c r="F12" s="55">
        <f t="shared" si="0"/>
        <v>2180</v>
      </c>
      <c r="G12" s="5">
        <f>SUM(B12:F12)</f>
        <v>10926</v>
      </c>
    </row>
    <row r="15" spans="1:11" x14ac:dyDescent="0.3">
      <c r="B15" s="57" t="s">
        <v>4</v>
      </c>
      <c r="C15" s="13">
        <f>SUM(B6:F11)</f>
        <v>10926</v>
      </c>
      <c r="F15" s="52" t="s">
        <v>5</v>
      </c>
      <c r="G15" s="52"/>
      <c r="K15" s="64"/>
    </row>
    <row r="16" spans="1:11" x14ac:dyDescent="0.3">
      <c r="B16" s="57" t="s">
        <v>221</v>
      </c>
      <c r="C16" s="13">
        <v>30</v>
      </c>
    </row>
    <row r="17" spans="2:10" x14ac:dyDescent="0.3">
      <c r="B17" s="57" t="s">
        <v>6</v>
      </c>
      <c r="C17" s="13">
        <f>C15^2/C16</f>
        <v>3979249.2</v>
      </c>
      <c r="E17" s="72" t="s">
        <v>81</v>
      </c>
      <c r="F17" s="72" t="s">
        <v>83</v>
      </c>
      <c r="G17" s="72" t="s">
        <v>222</v>
      </c>
      <c r="H17" s="72" t="s">
        <v>223</v>
      </c>
      <c r="I17" s="72" t="s">
        <v>224</v>
      </c>
      <c r="J17" s="72" t="s">
        <v>225</v>
      </c>
    </row>
    <row r="18" spans="2:10" x14ac:dyDescent="0.3">
      <c r="B18" s="57" t="s">
        <v>14</v>
      </c>
      <c r="C18" s="13">
        <f>C19-C17</f>
        <v>45516.799999999814</v>
      </c>
      <c r="E18" s="72" t="s">
        <v>168</v>
      </c>
      <c r="F18" s="15">
        <v>4</v>
      </c>
      <c r="G18" s="15">
        <v>516.46666666632495</v>
      </c>
      <c r="H18" s="15">
        <f>G18/4</f>
        <v>129.11666666658124</v>
      </c>
      <c r="I18" s="15">
        <f>H18/H19</f>
        <v>7.173095014106233E-2</v>
      </c>
      <c r="J18" s="15">
        <f>FINV(0.05,4,25)</f>
        <v>2.7587104697176335</v>
      </c>
    </row>
    <row r="19" spans="2:10" x14ac:dyDescent="0.3">
      <c r="B19" s="57" t="s">
        <v>12</v>
      </c>
      <c r="C19" s="13">
        <f>SUMSQ(B6:F11)</f>
        <v>4024766</v>
      </c>
      <c r="E19" s="72" t="s">
        <v>64</v>
      </c>
      <c r="F19" s="15">
        <v>25</v>
      </c>
      <c r="G19" s="15">
        <v>45000.333333333503</v>
      </c>
      <c r="H19" s="15">
        <f>G19/F19</f>
        <v>1800.0133333333401</v>
      </c>
      <c r="I19" s="15"/>
      <c r="J19" s="15"/>
    </row>
    <row r="20" spans="2:10" x14ac:dyDescent="0.3">
      <c r="B20" s="57" t="s">
        <v>16</v>
      </c>
      <c r="C20" s="13">
        <f>(SUMSQ(B12:F12)/6-C17)</f>
        <v>516.46666666632518</v>
      </c>
      <c r="E20" s="72" t="s">
        <v>33</v>
      </c>
      <c r="F20" s="15">
        <v>29</v>
      </c>
      <c r="G20" s="15">
        <v>45516.799999999799</v>
      </c>
      <c r="H20" s="15">
        <f>G20/F20</f>
        <v>1569.5448275862</v>
      </c>
      <c r="I20" s="15"/>
      <c r="J20" s="15"/>
    </row>
    <row r="21" spans="2:10" x14ac:dyDescent="0.3">
      <c r="B21" s="57" t="s">
        <v>18</v>
      </c>
      <c r="C21" s="13">
        <f>C18-C20</f>
        <v>45000.333333333489</v>
      </c>
    </row>
    <row r="22" spans="2:10" x14ac:dyDescent="0.3">
      <c r="E22" s="70" t="s">
        <v>226</v>
      </c>
      <c r="F22" s="70"/>
      <c r="G22" s="70"/>
      <c r="H22" s="70"/>
      <c r="I22" s="70"/>
      <c r="J22" s="70"/>
    </row>
  </sheetData>
  <mergeCells count="3">
    <mergeCell ref="D2:E2"/>
    <mergeCell ref="F15:G15"/>
    <mergeCell ref="E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7FAD-AF86-45B2-8FD6-9B3363FB0DDC}">
  <dimension ref="B4:M27"/>
  <sheetViews>
    <sheetView workbookViewId="0">
      <selection activeCell="G9" sqref="G9"/>
    </sheetView>
  </sheetViews>
  <sheetFormatPr defaultRowHeight="14.4" x14ac:dyDescent="0.3"/>
  <sheetData>
    <row r="4" spans="2:13" x14ac:dyDescent="0.3">
      <c r="C4" s="15"/>
      <c r="D4" s="15"/>
      <c r="E4" s="15"/>
      <c r="F4" s="15"/>
      <c r="G4" s="15"/>
      <c r="H4" s="15"/>
      <c r="J4" s="15" t="s">
        <v>19</v>
      </c>
    </row>
    <row r="5" spans="2:13" x14ac:dyDescent="0.3">
      <c r="C5" s="15" t="s">
        <v>20</v>
      </c>
      <c r="D5" s="15">
        <v>55</v>
      </c>
      <c r="E5" s="15">
        <v>49</v>
      </c>
      <c r="F5" s="15">
        <v>42</v>
      </c>
      <c r="G5" s="15">
        <v>21</v>
      </c>
      <c r="H5" s="15">
        <v>52</v>
      </c>
      <c r="J5" s="15">
        <f>SUM(D5:H5)</f>
        <v>219</v>
      </c>
    </row>
    <row r="6" spans="2:13" x14ac:dyDescent="0.3">
      <c r="C6" s="15" t="s">
        <v>21</v>
      </c>
      <c r="D6" s="15">
        <v>61</v>
      </c>
      <c r="E6" s="15">
        <v>112</v>
      </c>
      <c r="F6" s="15">
        <v>30</v>
      </c>
      <c r="G6" s="15">
        <v>89</v>
      </c>
      <c r="H6" s="15">
        <v>63</v>
      </c>
      <c r="J6" s="15">
        <f t="shared" ref="J6:J8" si="0">SUM(D6:H6)</f>
        <v>355</v>
      </c>
    </row>
    <row r="7" spans="2:13" x14ac:dyDescent="0.3">
      <c r="C7" s="15" t="s">
        <v>22</v>
      </c>
      <c r="D7" s="15">
        <v>42</v>
      </c>
      <c r="E7" s="15">
        <v>97</v>
      </c>
      <c r="F7" s="15">
        <v>81</v>
      </c>
      <c r="G7" s="15">
        <v>95</v>
      </c>
      <c r="H7" s="15">
        <v>92</v>
      </c>
      <c r="J7" s="15">
        <f t="shared" si="0"/>
        <v>407</v>
      </c>
    </row>
    <row r="8" spans="2:13" x14ac:dyDescent="0.3">
      <c r="C8" s="15" t="s">
        <v>23</v>
      </c>
      <c r="D8" s="15">
        <v>169</v>
      </c>
      <c r="E8" s="15">
        <v>137</v>
      </c>
      <c r="F8" s="15">
        <v>169</v>
      </c>
      <c r="G8" s="15">
        <v>85</v>
      </c>
      <c r="H8" s="15">
        <v>154</v>
      </c>
      <c r="J8" s="15">
        <f t="shared" si="0"/>
        <v>714</v>
      </c>
    </row>
    <row r="9" spans="2:13" x14ac:dyDescent="0.3">
      <c r="C9" s="15"/>
      <c r="D9" s="15"/>
      <c r="E9" s="15"/>
      <c r="F9" s="15"/>
      <c r="G9" s="15"/>
      <c r="H9" s="15"/>
    </row>
    <row r="10" spans="2:13" x14ac:dyDescent="0.3">
      <c r="C10" s="15"/>
      <c r="D10" s="15"/>
      <c r="E10" s="15"/>
      <c r="F10" s="15"/>
      <c r="G10" s="15"/>
      <c r="H10" s="15"/>
    </row>
    <row r="14" spans="2:13" x14ac:dyDescent="0.3">
      <c r="B14" s="15" t="s">
        <v>24</v>
      </c>
      <c r="C14" s="15">
        <v>5</v>
      </c>
      <c r="I14" s="15" t="s">
        <v>25</v>
      </c>
      <c r="J14" s="15" t="s">
        <v>9</v>
      </c>
      <c r="K14" s="15" t="s">
        <v>8</v>
      </c>
      <c r="L14" s="15" t="s">
        <v>26</v>
      </c>
      <c r="M14" s="15" t="s">
        <v>27</v>
      </c>
    </row>
    <row r="15" spans="2:13" x14ac:dyDescent="0.3">
      <c r="B15" s="15" t="s">
        <v>28</v>
      </c>
      <c r="C15" s="15">
        <v>4</v>
      </c>
      <c r="I15" s="15" t="s">
        <v>29</v>
      </c>
      <c r="J15" s="15">
        <f>C21</f>
        <v>26234.950000000012</v>
      </c>
      <c r="K15" s="15">
        <v>3</v>
      </c>
      <c r="L15" s="15">
        <f>J15/K15</f>
        <v>8744.9833333333372</v>
      </c>
      <c r="M15" s="24">
        <f>L15/L16</f>
        <v>12.105039738842573</v>
      </c>
    </row>
    <row r="16" spans="2:13" x14ac:dyDescent="0.3">
      <c r="B16" s="15" t="s">
        <v>30</v>
      </c>
      <c r="C16" s="15">
        <v>20</v>
      </c>
      <c r="I16" s="15" t="s">
        <v>31</v>
      </c>
      <c r="J16" s="15">
        <f>C22</f>
        <v>11558.799999999988</v>
      </c>
      <c r="K16" s="15">
        <v>16</v>
      </c>
      <c r="L16" s="15">
        <f>J16/K16</f>
        <v>722.42499999999927</v>
      </c>
      <c r="M16" s="25"/>
    </row>
    <row r="17" spans="2:13" x14ac:dyDescent="0.3">
      <c r="B17" s="15" t="s">
        <v>32</v>
      </c>
      <c r="C17" s="15">
        <f>SUM(J5:J8)</f>
        <v>1695</v>
      </c>
      <c r="I17" s="15" t="s">
        <v>33</v>
      </c>
      <c r="J17" s="15">
        <f>SUM(J15:J16)</f>
        <v>37793.75</v>
      </c>
      <c r="K17" s="15">
        <f>SUM(K15:K16)</f>
        <v>19</v>
      </c>
      <c r="L17" s="15"/>
      <c r="M17" s="15"/>
    </row>
    <row r="18" spans="2:13" x14ac:dyDescent="0.3">
      <c r="B18" s="15" t="s">
        <v>34</v>
      </c>
      <c r="C18" s="15">
        <f>C17*C17/C16</f>
        <v>143651.25</v>
      </c>
    </row>
    <row r="19" spans="2:13" x14ac:dyDescent="0.3">
      <c r="B19" s="15" t="s">
        <v>35</v>
      </c>
      <c r="C19" s="15">
        <f>SUMSQ(D5:H8)</f>
        <v>181445</v>
      </c>
    </row>
    <row r="20" spans="2:13" x14ac:dyDescent="0.3">
      <c r="B20" s="15" t="s">
        <v>36</v>
      </c>
      <c r="C20" s="15">
        <f>C19-C18</f>
        <v>37793.75</v>
      </c>
    </row>
    <row r="21" spans="2:13" x14ac:dyDescent="0.3">
      <c r="B21" s="15" t="s">
        <v>37</v>
      </c>
      <c r="C21" s="15">
        <f>(SUMSQ(J5:J8)/C14 )- C18</f>
        <v>26234.950000000012</v>
      </c>
    </row>
    <row r="22" spans="2:13" x14ac:dyDescent="0.3">
      <c r="B22" s="15" t="s">
        <v>38</v>
      </c>
      <c r="C22" s="15">
        <f>C20-C21</f>
        <v>11558.799999999988</v>
      </c>
    </row>
    <row r="23" spans="2:13" x14ac:dyDescent="0.3">
      <c r="B23" s="15" t="s">
        <v>39</v>
      </c>
      <c r="C23" s="15">
        <f>M15</f>
        <v>12.105039738842573</v>
      </c>
    </row>
    <row r="24" spans="2:13" x14ac:dyDescent="0.3">
      <c r="B24" s="15" t="s">
        <v>40</v>
      </c>
      <c r="C24" s="15">
        <v>3.06</v>
      </c>
    </row>
    <row r="27" spans="2:13" x14ac:dyDescent="0.3">
      <c r="E27" s="14" t="s">
        <v>41</v>
      </c>
      <c r="F27" s="14"/>
      <c r="G27" s="14"/>
      <c r="H27" s="14"/>
      <c r="I27" s="14"/>
    </row>
  </sheetData>
  <mergeCells count="2">
    <mergeCell ref="M15:M16"/>
    <mergeCell ref="E27:I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397D-16A4-40A0-8C48-2C30047C296A}">
  <dimension ref="B3:J26"/>
  <sheetViews>
    <sheetView workbookViewId="0">
      <selection sqref="A1:M24"/>
    </sheetView>
  </sheetViews>
  <sheetFormatPr defaultRowHeight="14.4" x14ac:dyDescent="0.3"/>
  <cols>
    <col min="2" max="2" width="11.77734375" bestFit="1" customWidth="1"/>
    <col min="8" max="8" width="12" bestFit="1" customWidth="1"/>
    <col min="9" max="9" width="14.5546875" bestFit="1" customWidth="1"/>
  </cols>
  <sheetData>
    <row r="3" spans="2:10" ht="16.8" x14ac:dyDescent="0.35">
      <c r="B3" s="5"/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</row>
    <row r="4" spans="2:10" x14ac:dyDescent="0.3">
      <c r="B4" s="5" t="s">
        <v>50</v>
      </c>
      <c r="C4" s="5">
        <v>30</v>
      </c>
      <c r="D4" s="5">
        <v>23</v>
      </c>
      <c r="E4" s="5">
        <v>34</v>
      </c>
      <c r="F4" s="5">
        <v>25</v>
      </c>
      <c r="G4" s="5">
        <v>20</v>
      </c>
      <c r="H4" s="5">
        <v>13</v>
      </c>
      <c r="I4" s="5">
        <f>SUM(C4:H4)</f>
        <v>145</v>
      </c>
      <c r="J4" s="5">
        <f>POWER(I4,2)</f>
        <v>21025</v>
      </c>
    </row>
    <row r="5" spans="2:10" x14ac:dyDescent="0.3">
      <c r="B5" s="5" t="s">
        <v>51</v>
      </c>
      <c r="C5" s="5">
        <v>39</v>
      </c>
      <c r="D5" s="5">
        <v>22</v>
      </c>
      <c r="E5" s="5">
        <v>28</v>
      </c>
      <c r="F5" s="5">
        <v>25</v>
      </c>
      <c r="G5" s="5">
        <v>28</v>
      </c>
      <c r="H5" s="5">
        <v>32</v>
      </c>
      <c r="I5" s="5">
        <f t="shared" ref="I5:I8" si="0">SUM(C5:H5)</f>
        <v>174</v>
      </c>
      <c r="J5" s="5">
        <f t="shared" ref="J5:J8" si="1">POWER(I5,2)</f>
        <v>30276</v>
      </c>
    </row>
    <row r="6" spans="2:10" x14ac:dyDescent="0.3">
      <c r="B6" s="5" t="s">
        <v>52</v>
      </c>
      <c r="C6" s="5">
        <v>56</v>
      </c>
      <c r="D6" s="5">
        <v>43</v>
      </c>
      <c r="E6" s="5">
        <v>43</v>
      </c>
      <c r="F6" s="5">
        <v>31</v>
      </c>
      <c r="G6" s="5">
        <v>49</v>
      </c>
      <c r="H6" s="5">
        <v>17</v>
      </c>
      <c r="I6" s="5">
        <f t="shared" si="0"/>
        <v>239</v>
      </c>
      <c r="J6" s="5">
        <f t="shared" si="1"/>
        <v>57121</v>
      </c>
    </row>
    <row r="7" spans="2:10" x14ac:dyDescent="0.3">
      <c r="B7" s="5" t="s">
        <v>53</v>
      </c>
      <c r="C7" s="5">
        <v>38</v>
      </c>
      <c r="D7" s="5">
        <v>45</v>
      </c>
      <c r="E7" s="5">
        <v>36</v>
      </c>
      <c r="F7" s="5">
        <v>35</v>
      </c>
      <c r="G7" s="5">
        <v>32</v>
      </c>
      <c r="H7" s="5">
        <v>20</v>
      </c>
      <c r="I7" s="5">
        <f t="shared" si="0"/>
        <v>206</v>
      </c>
      <c r="J7" s="5">
        <f t="shared" si="1"/>
        <v>42436</v>
      </c>
    </row>
    <row r="8" spans="2:10" x14ac:dyDescent="0.3">
      <c r="B8" s="5" t="s">
        <v>54</v>
      </c>
      <c r="C8" s="5">
        <v>44</v>
      </c>
      <c r="D8" s="5">
        <v>51</v>
      </c>
      <c r="E8" s="5">
        <v>23</v>
      </c>
      <c r="F8" s="5">
        <v>58</v>
      </c>
      <c r="G8" s="5">
        <v>40</v>
      </c>
      <c r="H8" s="5">
        <v>30</v>
      </c>
      <c r="I8" s="5">
        <f t="shared" si="0"/>
        <v>246</v>
      </c>
      <c r="J8" s="5">
        <f t="shared" si="1"/>
        <v>60516</v>
      </c>
    </row>
    <row r="9" spans="2:10" x14ac:dyDescent="0.3">
      <c r="B9" s="5"/>
      <c r="C9" s="5"/>
      <c r="D9" s="5"/>
      <c r="E9" s="5"/>
      <c r="F9" s="5"/>
      <c r="G9" s="5"/>
      <c r="H9" s="5"/>
      <c r="I9" s="5"/>
      <c r="J9" s="5"/>
    </row>
    <row r="10" spans="2:10" ht="15.6" x14ac:dyDescent="0.35">
      <c r="B10" s="5" t="s">
        <v>55</v>
      </c>
      <c r="C10" s="5">
        <f>SUM(C4:C8)</f>
        <v>207</v>
      </c>
      <c r="D10" s="5">
        <f t="shared" ref="D10:H10" si="2">SUM(D4:D8)</f>
        <v>184</v>
      </c>
      <c r="E10" s="5">
        <f t="shared" si="2"/>
        <v>164</v>
      </c>
      <c r="F10" s="5">
        <f t="shared" si="2"/>
        <v>174</v>
      </c>
      <c r="G10" s="5">
        <f t="shared" si="2"/>
        <v>169</v>
      </c>
      <c r="H10" s="5">
        <f t="shared" si="2"/>
        <v>112</v>
      </c>
      <c r="I10" s="5">
        <f>SUM(I4:I8)</f>
        <v>1010</v>
      </c>
      <c r="J10" s="5"/>
    </row>
    <row r="11" spans="2:10" ht="16.8" x14ac:dyDescent="0.35">
      <c r="B11" s="5" t="s">
        <v>56</v>
      </c>
      <c r="C11" s="5">
        <f>POWER(C10,2)</f>
        <v>42849</v>
      </c>
      <c r="D11" s="5">
        <f t="shared" ref="D11:H11" si="3">POWER(D10,2)</f>
        <v>33856</v>
      </c>
      <c r="E11" s="5">
        <f t="shared" si="3"/>
        <v>26896</v>
      </c>
      <c r="F11" s="5">
        <f t="shared" si="3"/>
        <v>30276</v>
      </c>
      <c r="G11" s="5">
        <f t="shared" si="3"/>
        <v>28561</v>
      </c>
      <c r="H11" s="5">
        <f t="shared" si="3"/>
        <v>12544</v>
      </c>
      <c r="I11" s="5"/>
      <c r="J11" s="5"/>
    </row>
    <row r="12" spans="2:10" x14ac:dyDescent="0.3">
      <c r="B12" s="5" t="s">
        <v>57</v>
      </c>
      <c r="C12" s="5">
        <f>AVERAGE(C4:C8)</f>
        <v>41.4</v>
      </c>
      <c r="D12" s="5">
        <f t="shared" ref="D12:H12" si="4">AVERAGE(D4:D8)</f>
        <v>36.799999999999997</v>
      </c>
      <c r="E12" s="5">
        <f t="shared" si="4"/>
        <v>32.799999999999997</v>
      </c>
      <c r="F12" s="5">
        <f t="shared" si="4"/>
        <v>34.799999999999997</v>
      </c>
      <c r="G12" s="5">
        <f t="shared" si="4"/>
        <v>33.799999999999997</v>
      </c>
      <c r="H12" s="5">
        <f t="shared" si="4"/>
        <v>22.4</v>
      </c>
      <c r="I12" s="5"/>
      <c r="J12" s="5"/>
    </row>
    <row r="13" spans="2:10" x14ac:dyDescent="0.3">
      <c r="B13" s="26"/>
      <c r="C13" s="26"/>
      <c r="D13" s="26"/>
      <c r="E13" s="26"/>
      <c r="F13" s="26"/>
      <c r="G13" s="26"/>
      <c r="H13" s="26"/>
      <c r="I13" s="26"/>
      <c r="J13" s="26"/>
    </row>
    <row r="14" spans="2:10" x14ac:dyDescent="0.3">
      <c r="B14" s="12" t="s">
        <v>58</v>
      </c>
      <c r="C14" s="13">
        <v>5</v>
      </c>
      <c r="D14" s="26"/>
      <c r="E14" s="26"/>
      <c r="F14" s="26"/>
      <c r="G14" s="26"/>
      <c r="H14" s="26"/>
      <c r="I14" s="26"/>
      <c r="J14" s="26"/>
    </row>
    <row r="15" spans="2:10" x14ac:dyDescent="0.3">
      <c r="B15" s="12" t="s">
        <v>59</v>
      </c>
      <c r="C15" s="13">
        <v>6</v>
      </c>
      <c r="D15" s="26"/>
      <c r="E15" s="5" t="s">
        <v>25</v>
      </c>
      <c r="F15" s="5" t="s">
        <v>8</v>
      </c>
      <c r="G15" s="5" t="s">
        <v>9</v>
      </c>
      <c r="H15" s="5" t="s">
        <v>26</v>
      </c>
      <c r="I15" s="5" t="s">
        <v>60</v>
      </c>
      <c r="J15" s="26"/>
    </row>
    <row r="16" spans="2:10" x14ac:dyDescent="0.3">
      <c r="B16" s="12" t="s">
        <v>3</v>
      </c>
      <c r="C16" s="13">
        <v>30</v>
      </c>
      <c r="D16" s="26"/>
      <c r="E16" s="5" t="s">
        <v>61</v>
      </c>
      <c r="F16" s="5">
        <v>5</v>
      </c>
      <c r="G16" s="5">
        <f>C21</f>
        <v>993.0666666666657</v>
      </c>
      <c r="H16" s="5">
        <f>G16/F16</f>
        <v>198.61333333333314</v>
      </c>
      <c r="I16" s="5">
        <f>H16/H18</f>
        <v>2.4704175131638917</v>
      </c>
      <c r="J16" s="26"/>
    </row>
    <row r="17" spans="2:10" x14ac:dyDescent="0.3">
      <c r="B17" s="12" t="s">
        <v>4</v>
      </c>
      <c r="C17" s="13">
        <f>SUM(C10:H10)</f>
        <v>1010</v>
      </c>
      <c r="D17" s="26"/>
      <c r="E17" s="5" t="s">
        <v>62</v>
      </c>
      <c r="F17" s="5">
        <v>4</v>
      </c>
      <c r="G17" s="5">
        <f>C22</f>
        <v>1225.6666666666642</v>
      </c>
      <c r="H17" s="5">
        <f t="shared" ref="H17:H18" si="5">G17/F17</f>
        <v>306.41666666666606</v>
      </c>
      <c r="I17" s="5">
        <f>H17/H18</f>
        <v>3.8113105850159523</v>
      </c>
      <c r="J17" s="26"/>
    </row>
    <row r="18" spans="2:10" x14ac:dyDescent="0.3">
      <c r="B18" s="12" t="s">
        <v>63</v>
      </c>
      <c r="C18" s="13">
        <f>C17*C17/C16</f>
        <v>34003.333333333336</v>
      </c>
      <c r="D18" s="26"/>
      <c r="E18" s="5" t="s">
        <v>64</v>
      </c>
      <c r="F18" s="5">
        <v>20</v>
      </c>
      <c r="G18" s="5">
        <f>C23</f>
        <v>1607.9333333333343</v>
      </c>
      <c r="H18" s="5">
        <f t="shared" si="5"/>
        <v>80.396666666666718</v>
      </c>
      <c r="I18" s="5"/>
      <c r="J18" s="26"/>
    </row>
    <row r="19" spans="2:10" x14ac:dyDescent="0.3">
      <c r="B19" s="12" t="s">
        <v>65</v>
      </c>
      <c r="C19" s="13">
        <f>SUMSQ(C4:H8)</f>
        <v>37830</v>
      </c>
      <c r="D19" s="26"/>
      <c r="E19" s="5" t="s">
        <v>33</v>
      </c>
      <c r="F19" s="5">
        <f>SUM(F16:F18)</f>
        <v>29</v>
      </c>
      <c r="G19" s="5">
        <f>SUM(G16:G18)</f>
        <v>3826.6666666666642</v>
      </c>
      <c r="H19" s="5">
        <f>SUM(H16:H18)</f>
        <v>585.42666666666594</v>
      </c>
      <c r="I19" s="5"/>
      <c r="J19" s="26"/>
    </row>
    <row r="20" spans="2:10" x14ac:dyDescent="0.3">
      <c r="B20" s="12" t="s">
        <v>66</v>
      </c>
      <c r="C20" s="13">
        <f>C19-C18</f>
        <v>3826.6666666666642</v>
      </c>
      <c r="D20" s="26"/>
      <c r="E20" s="26"/>
      <c r="F20" s="26"/>
      <c r="G20" s="26"/>
      <c r="H20" s="26"/>
      <c r="I20" s="26"/>
      <c r="J20" s="26"/>
    </row>
    <row r="21" spans="2:10" x14ac:dyDescent="0.3">
      <c r="B21" s="12" t="s">
        <v>67</v>
      </c>
      <c r="C21" s="13">
        <f>(SUM(C11:H11)/5) - C18</f>
        <v>993.0666666666657</v>
      </c>
      <c r="D21" s="26"/>
      <c r="E21" s="1" t="s">
        <v>68</v>
      </c>
      <c r="F21" s="3"/>
      <c r="G21" s="2" t="s">
        <v>69</v>
      </c>
      <c r="H21" s="3"/>
      <c r="I21" s="26"/>
      <c r="J21" s="26"/>
    </row>
    <row r="22" spans="2:10" ht="15.6" x14ac:dyDescent="0.35">
      <c r="B22" s="12" t="s">
        <v>70</v>
      </c>
      <c r="C22" s="13">
        <f>(SUM(J4:J8)/6) - C18</f>
        <v>1225.6666666666642</v>
      </c>
      <c r="D22" s="26"/>
      <c r="E22" s="27" t="s">
        <v>71</v>
      </c>
      <c r="F22" s="28">
        <f>FINV(0.05,5,20)</f>
        <v>2.7108898372096917</v>
      </c>
      <c r="G22" s="27" t="s">
        <v>72</v>
      </c>
      <c r="H22" s="28">
        <f>I16</f>
        <v>2.4704175131638917</v>
      </c>
      <c r="I22" s="26"/>
      <c r="J22" s="26"/>
    </row>
    <row r="23" spans="2:10" ht="15.6" x14ac:dyDescent="0.35">
      <c r="B23" s="12" t="s">
        <v>73</v>
      </c>
      <c r="C23" s="13">
        <f>C20-C21-C22</f>
        <v>1607.9333333333343</v>
      </c>
      <c r="D23" s="26"/>
      <c r="E23" s="27" t="s">
        <v>74</v>
      </c>
      <c r="F23" s="28">
        <f>FINV(0.05,4,20)</f>
        <v>2.8660814020156589</v>
      </c>
      <c r="G23" s="27" t="s">
        <v>75</v>
      </c>
      <c r="H23" s="28">
        <f>I17</f>
        <v>3.8113105850159523</v>
      </c>
      <c r="I23" s="26"/>
      <c r="J23" s="26"/>
    </row>
    <row r="24" spans="2:10" x14ac:dyDescent="0.3">
      <c r="F24" s="26"/>
      <c r="G24" s="26"/>
      <c r="H24" s="26"/>
      <c r="I24" s="26"/>
      <c r="J24" s="26"/>
    </row>
    <row r="25" spans="2:10" x14ac:dyDescent="0.3">
      <c r="F25" s="26"/>
      <c r="G25" s="26"/>
      <c r="H25" s="26"/>
      <c r="I25" s="26"/>
      <c r="J25" s="26"/>
    </row>
    <row r="26" spans="2:10" x14ac:dyDescent="0.3">
      <c r="F26" s="26"/>
      <c r="G26" s="26"/>
      <c r="H26" s="26"/>
      <c r="I26" s="26"/>
      <c r="J26" s="26"/>
    </row>
  </sheetData>
  <mergeCells count="2">
    <mergeCell ref="E21:F21"/>
    <mergeCell ref="G21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B4DF-E68C-4194-85F4-AA2A9A04A93B}">
  <dimension ref="A1:G29"/>
  <sheetViews>
    <sheetView workbookViewId="0">
      <selection activeCell="B1" sqref="B1:E1"/>
    </sheetView>
  </sheetViews>
  <sheetFormatPr defaultRowHeight="14.4" x14ac:dyDescent="0.3"/>
  <cols>
    <col min="6" max="6" width="12" bestFit="1" customWidth="1"/>
  </cols>
  <sheetData>
    <row r="1" spans="1:7" x14ac:dyDescent="0.3">
      <c r="A1" s="26"/>
      <c r="B1" s="14" t="s">
        <v>76</v>
      </c>
      <c r="C1" s="14"/>
      <c r="D1" s="14"/>
      <c r="E1" s="14"/>
      <c r="F1" s="26"/>
    </row>
    <row r="2" spans="1:7" x14ac:dyDescent="0.3">
      <c r="A2" s="5" t="s">
        <v>77</v>
      </c>
      <c r="B2" s="5">
        <v>1</v>
      </c>
      <c r="C2" s="5">
        <v>2</v>
      </c>
      <c r="D2" s="5">
        <v>3</v>
      </c>
      <c r="E2" s="5">
        <v>4</v>
      </c>
      <c r="F2" s="5" t="s">
        <v>61</v>
      </c>
    </row>
    <row r="3" spans="1:7" x14ac:dyDescent="0.3">
      <c r="A3" s="5">
        <v>1</v>
      </c>
      <c r="B3" s="26">
        <v>9.3000000000000007</v>
      </c>
      <c r="C3" s="26">
        <v>9.4</v>
      </c>
      <c r="D3" s="26">
        <v>9.6</v>
      </c>
      <c r="E3" s="26">
        <v>10</v>
      </c>
      <c r="F3" s="5">
        <f>SUM(B3:E3)</f>
        <v>38.300000000000004</v>
      </c>
    </row>
    <row r="4" spans="1:7" x14ac:dyDescent="0.3">
      <c r="A4" s="5">
        <v>2</v>
      </c>
      <c r="B4" s="26">
        <v>9.4</v>
      </c>
      <c r="C4" s="26">
        <v>9.3000000000000007</v>
      </c>
      <c r="D4" s="26">
        <v>9.8000000000000007</v>
      </c>
      <c r="E4" s="26">
        <v>9.9</v>
      </c>
      <c r="F4" s="5">
        <f t="shared" ref="F4:F6" si="0">SUM(B4:E4)</f>
        <v>38.400000000000006</v>
      </c>
    </row>
    <row r="5" spans="1:7" x14ac:dyDescent="0.3">
      <c r="A5" s="5">
        <v>3</v>
      </c>
      <c r="B5" s="26">
        <v>9.1999999999999993</v>
      </c>
      <c r="C5" s="26">
        <v>9.4</v>
      </c>
      <c r="D5" s="26">
        <v>9.5</v>
      </c>
      <c r="E5" s="26">
        <v>9.6999999999999993</v>
      </c>
      <c r="F5" s="5">
        <f t="shared" si="0"/>
        <v>37.799999999999997</v>
      </c>
    </row>
    <row r="6" spans="1:7" x14ac:dyDescent="0.3">
      <c r="A6" s="5">
        <v>4</v>
      </c>
      <c r="B6" s="26">
        <v>9.6999999999999993</v>
      </c>
      <c r="C6" s="26">
        <v>9.6</v>
      </c>
      <c r="D6" s="26">
        <v>10</v>
      </c>
      <c r="E6" s="26">
        <v>10.199999999999999</v>
      </c>
      <c r="F6" s="5">
        <f t="shared" si="0"/>
        <v>39.5</v>
      </c>
    </row>
    <row r="7" spans="1:7" x14ac:dyDescent="0.3">
      <c r="A7" s="7" t="s">
        <v>62</v>
      </c>
      <c r="B7" s="7">
        <f>SUM(B3:B6)</f>
        <v>37.6</v>
      </c>
      <c r="C7" s="5">
        <f t="shared" ref="C7:E7" si="1">SUM(C3:C6)</f>
        <v>37.700000000000003</v>
      </c>
      <c r="D7" s="7">
        <f t="shared" si="1"/>
        <v>38.9</v>
      </c>
      <c r="E7" s="7">
        <f t="shared" si="1"/>
        <v>39.799999999999997</v>
      </c>
      <c r="F7" s="26"/>
    </row>
    <row r="8" spans="1:7" x14ac:dyDescent="0.3">
      <c r="A8" s="12" t="s">
        <v>4</v>
      </c>
      <c r="B8" s="13">
        <f>SUM(B3:E6)</f>
        <v>154</v>
      </c>
      <c r="D8" s="12" t="s">
        <v>63</v>
      </c>
      <c r="E8" s="13">
        <f>(B8^2)/B11</f>
        <v>1482.25</v>
      </c>
    </row>
    <row r="9" spans="1:7" x14ac:dyDescent="0.3">
      <c r="A9" s="12" t="s">
        <v>78</v>
      </c>
      <c r="B9" s="13">
        <v>4</v>
      </c>
      <c r="D9" s="12" t="s">
        <v>65</v>
      </c>
      <c r="E9" s="13">
        <f>SUMSQ(B3:E6)</f>
        <v>1483.54</v>
      </c>
    </row>
    <row r="10" spans="1:7" x14ac:dyDescent="0.3">
      <c r="A10" s="12" t="s">
        <v>79</v>
      </c>
      <c r="B10" s="13">
        <v>4</v>
      </c>
      <c r="D10" s="12" t="s">
        <v>66</v>
      </c>
      <c r="E10" s="13">
        <f>E9-E8</f>
        <v>1.2899999999999636</v>
      </c>
    </row>
    <row r="11" spans="1:7" x14ac:dyDescent="0.3">
      <c r="A11" s="12" t="s">
        <v>3</v>
      </c>
      <c r="B11" s="13">
        <f>B9*B10</f>
        <v>16</v>
      </c>
      <c r="D11" s="12" t="s">
        <v>70</v>
      </c>
      <c r="E11" s="13">
        <f>(SUMSQ(B7:E7)/B10)-E8</f>
        <v>0.82500000000004547</v>
      </c>
    </row>
    <row r="12" spans="1:7" x14ac:dyDescent="0.3">
      <c r="D12" s="12" t="s">
        <v>67</v>
      </c>
      <c r="E12" s="13">
        <f>(SUMSQ(F3:F6)/B9)-E8</f>
        <v>0.38500000000021828</v>
      </c>
    </row>
    <row r="13" spans="1:7" x14ac:dyDescent="0.3">
      <c r="D13" s="12" t="s">
        <v>73</v>
      </c>
      <c r="E13" s="13">
        <f>E10-E11-E12</f>
        <v>7.9999999999699867E-2</v>
      </c>
    </row>
    <row r="14" spans="1:7" x14ac:dyDescent="0.3">
      <c r="A14" t="s">
        <v>80</v>
      </c>
    </row>
    <row r="15" spans="1:7" x14ac:dyDescent="0.3">
      <c r="A15" s="29" t="s">
        <v>81</v>
      </c>
      <c r="B15" s="29" t="s">
        <v>82</v>
      </c>
      <c r="C15" s="29" t="s">
        <v>83</v>
      </c>
      <c r="D15" s="29" t="s">
        <v>84</v>
      </c>
      <c r="E15" s="29" t="s">
        <v>27</v>
      </c>
      <c r="F15" s="29" t="s">
        <v>85</v>
      </c>
      <c r="G15" s="29" t="s">
        <v>86</v>
      </c>
    </row>
    <row r="16" spans="1:7" x14ac:dyDescent="0.3">
      <c r="A16" s="5" t="s">
        <v>61</v>
      </c>
      <c r="B16" s="30">
        <v>0.38499999999999912</v>
      </c>
      <c r="C16" s="30">
        <v>3</v>
      </c>
      <c r="D16" s="30">
        <v>0.12833333333333305</v>
      </c>
      <c r="E16" s="30">
        <v>14.437499999999915</v>
      </c>
      <c r="F16" s="30">
        <v>8.7127207111168433E-4</v>
      </c>
      <c r="G16" s="31">
        <v>3.8625483576247599</v>
      </c>
    </row>
    <row r="17" spans="1:7" x14ac:dyDescent="0.3">
      <c r="A17" s="5" t="s">
        <v>62</v>
      </c>
      <c r="B17" s="26">
        <v>0.82499999999999896</v>
      </c>
      <c r="C17" s="26">
        <v>3</v>
      </c>
      <c r="D17" s="26">
        <v>0.27499999999999963</v>
      </c>
      <c r="E17" s="26">
        <v>30.937499999999844</v>
      </c>
      <c r="F17" s="26">
        <v>4.5232698579963804E-5</v>
      </c>
      <c r="G17" s="32">
        <v>3.8625483576247648</v>
      </c>
    </row>
    <row r="18" spans="1:7" x14ac:dyDescent="0.3">
      <c r="A18" s="5" t="s">
        <v>64</v>
      </c>
      <c r="B18" s="33">
        <v>8.0000000000000293E-2</v>
      </c>
      <c r="C18" s="33">
        <v>9</v>
      </c>
      <c r="D18" s="33">
        <v>8.8888888888889218E-3</v>
      </c>
      <c r="E18" s="33"/>
      <c r="F18" s="33"/>
      <c r="G18" s="34"/>
    </row>
    <row r="19" spans="1:7" x14ac:dyDescent="0.3">
      <c r="A19" s="27"/>
      <c r="B19" s="35"/>
      <c r="C19" s="35"/>
      <c r="D19" s="35"/>
      <c r="E19" s="35"/>
      <c r="F19" s="35"/>
      <c r="G19" s="28"/>
    </row>
    <row r="20" spans="1:7" x14ac:dyDescent="0.3">
      <c r="A20" s="27" t="s">
        <v>33</v>
      </c>
      <c r="B20" s="35">
        <v>1.2899999999999985</v>
      </c>
      <c r="C20" s="35">
        <v>15</v>
      </c>
      <c r="D20" s="35"/>
      <c r="E20" s="35"/>
      <c r="F20" s="35"/>
      <c r="G20" s="28"/>
    </row>
    <row r="22" spans="1:7" ht="15.6" x14ac:dyDescent="0.35">
      <c r="B22" s="36" t="s">
        <v>87</v>
      </c>
      <c r="C22" s="37">
        <f>SQRT((2*D18)/B9)*2.685</f>
        <v>0.17900000000000033</v>
      </c>
    </row>
    <row r="23" spans="1:7" ht="15.6" x14ac:dyDescent="0.35">
      <c r="B23" s="36" t="s">
        <v>88</v>
      </c>
      <c r="C23" s="37">
        <f>AVERAGE(B3:E3)</f>
        <v>9.5750000000000011</v>
      </c>
    </row>
    <row r="24" spans="1:7" x14ac:dyDescent="0.3">
      <c r="B24" s="36"/>
      <c r="C24" s="37"/>
      <c r="D24" s="26">
        <f>ABS(C23-C25)</f>
        <v>2.5000000000000355E-2</v>
      </c>
      <c r="E24" s="26">
        <f>ABS(C23-C27)</f>
        <v>0.12500000000000178</v>
      </c>
      <c r="F24" s="26">
        <f>ABS(C23-C29)</f>
        <v>0.29999999999999893</v>
      </c>
    </row>
    <row r="25" spans="1:7" ht="15.6" x14ac:dyDescent="0.35">
      <c r="B25" s="36" t="s">
        <v>89</v>
      </c>
      <c r="C25" s="37">
        <f>AVERAGE(B4:E4)</f>
        <v>9.6000000000000014</v>
      </c>
      <c r="D25" s="26"/>
      <c r="E25" s="26"/>
      <c r="F25" s="26"/>
    </row>
    <row r="26" spans="1:7" x14ac:dyDescent="0.3">
      <c r="B26" s="36"/>
      <c r="C26" s="37"/>
      <c r="D26" s="26">
        <f>ABS(C25-C27)</f>
        <v>0.15000000000000213</v>
      </c>
      <c r="E26" s="26">
        <f>ABS(C25-C29)</f>
        <v>0.27499999999999858</v>
      </c>
      <c r="F26" s="26"/>
    </row>
    <row r="27" spans="1:7" ht="15.6" x14ac:dyDescent="0.35">
      <c r="B27" s="36" t="s">
        <v>90</v>
      </c>
      <c r="C27" s="37">
        <f>AVERAGE(B5:E5)</f>
        <v>9.4499999999999993</v>
      </c>
      <c r="D27" s="26"/>
      <c r="E27" s="26"/>
      <c r="F27" s="26"/>
    </row>
    <row r="28" spans="1:7" x14ac:dyDescent="0.3">
      <c r="B28" s="36"/>
      <c r="C28" s="37"/>
      <c r="D28" s="26">
        <f>ABS(C27-C29)</f>
        <v>0.42500000000000071</v>
      </c>
      <c r="E28" s="26"/>
      <c r="F28" s="26"/>
    </row>
    <row r="29" spans="1:7" ht="15.6" x14ac:dyDescent="0.35">
      <c r="B29" s="36" t="s">
        <v>91</v>
      </c>
      <c r="C29" s="37">
        <f>AVERAGE(B6:E6)</f>
        <v>9.875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EEFD-A84A-4D13-B8D9-43143E905954}">
  <dimension ref="A1:Q30"/>
  <sheetViews>
    <sheetView workbookViewId="0">
      <selection activeCell="V13" sqref="V13"/>
    </sheetView>
  </sheetViews>
  <sheetFormatPr defaultRowHeight="14.4" x14ac:dyDescent="0.3"/>
  <sheetData>
    <row r="1" spans="1:17" x14ac:dyDescent="0.3">
      <c r="L1" s="14" t="s">
        <v>76</v>
      </c>
      <c r="M1" s="14"/>
      <c r="N1" s="14"/>
      <c r="O1" s="14"/>
    </row>
    <row r="2" spans="1:17" x14ac:dyDescent="0.3">
      <c r="C2" s="14" t="s">
        <v>92</v>
      </c>
      <c r="D2" s="14"/>
      <c r="E2" s="14"/>
      <c r="F2" s="14"/>
      <c r="K2" s="5" t="s">
        <v>77</v>
      </c>
      <c r="L2" s="5">
        <v>1</v>
      </c>
      <c r="M2" s="5">
        <v>2</v>
      </c>
      <c r="N2" s="5">
        <v>3</v>
      </c>
      <c r="O2" s="5">
        <v>4</v>
      </c>
      <c r="P2" s="5" t="s">
        <v>61</v>
      </c>
    </row>
    <row r="3" spans="1:17" x14ac:dyDescent="0.3">
      <c r="B3" s="15" t="s">
        <v>61</v>
      </c>
      <c r="C3" s="15">
        <v>1</v>
      </c>
      <c r="D3" s="15">
        <v>2</v>
      </c>
      <c r="E3" s="15">
        <v>3</v>
      </c>
      <c r="F3" s="15">
        <v>4</v>
      </c>
      <c r="G3" s="15" t="s">
        <v>61</v>
      </c>
      <c r="K3" s="15">
        <v>1</v>
      </c>
      <c r="L3">
        <v>19.100000000000001</v>
      </c>
      <c r="M3">
        <f>E11</f>
        <v>25.033333333333321</v>
      </c>
      <c r="N3">
        <v>22.5</v>
      </c>
      <c r="O3">
        <v>25.5</v>
      </c>
      <c r="P3" s="15">
        <f>SUM(L3:O3)</f>
        <v>92.133333333333326</v>
      </c>
    </row>
    <row r="4" spans="1:17" x14ac:dyDescent="0.3">
      <c r="B4" s="15">
        <v>1</v>
      </c>
      <c r="C4" s="15">
        <v>19.100000000000001</v>
      </c>
      <c r="D4" s="15"/>
      <c r="E4" s="15">
        <v>22.5</v>
      </c>
      <c r="F4" s="15">
        <v>25.5</v>
      </c>
      <c r="G4" s="15">
        <f>SUM(C4:F4)</f>
        <v>67.099999999999994</v>
      </c>
      <c r="K4" s="15">
        <v>2</v>
      </c>
      <c r="L4">
        <v>26</v>
      </c>
      <c r="M4">
        <v>28</v>
      </c>
      <c r="N4">
        <v>27</v>
      </c>
      <c r="O4">
        <v>33</v>
      </c>
      <c r="P4" s="15">
        <f t="shared" ref="P4:P5" si="0">SUM(L4:O4)</f>
        <v>114</v>
      </c>
    </row>
    <row r="5" spans="1:17" x14ac:dyDescent="0.3">
      <c r="B5" s="15">
        <v>2</v>
      </c>
      <c r="C5" s="15">
        <v>26</v>
      </c>
      <c r="D5" s="15">
        <v>28</v>
      </c>
      <c r="E5" s="15">
        <v>27</v>
      </c>
      <c r="F5" s="15">
        <v>33</v>
      </c>
      <c r="G5" s="15">
        <f t="shared" ref="G5:G6" si="1">SUM(C5:F5)</f>
        <v>114</v>
      </c>
      <c r="K5" s="15">
        <v>3</v>
      </c>
      <c r="L5">
        <v>20.5</v>
      </c>
      <c r="M5">
        <v>28.5</v>
      </c>
      <c r="N5">
        <v>21.5</v>
      </c>
      <c r="O5">
        <v>25.5</v>
      </c>
      <c r="P5" s="15">
        <f t="shared" si="0"/>
        <v>96</v>
      </c>
    </row>
    <row r="6" spans="1:17" x14ac:dyDescent="0.3">
      <c r="B6" s="15">
        <v>3</v>
      </c>
      <c r="C6" s="15">
        <v>20.5</v>
      </c>
      <c r="D6" s="15">
        <v>28.5</v>
      </c>
      <c r="E6" s="15">
        <v>21.5</v>
      </c>
      <c r="F6" s="15">
        <v>25.5</v>
      </c>
      <c r="G6" s="15">
        <f t="shared" si="1"/>
        <v>96</v>
      </c>
      <c r="K6" s="7" t="s">
        <v>62</v>
      </c>
      <c r="L6" s="38">
        <f>SUM(L3:L5)</f>
        <v>65.599999999999994</v>
      </c>
      <c r="M6" s="15">
        <f>SUM(M3:M5)</f>
        <v>81.533333333333317</v>
      </c>
      <c r="N6" s="38">
        <f>SUM(N3:N5)</f>
        <v>71</v>
      </c>
      <c r="O6" s="38">
        <f>SUM(O3:O5)</f>
        <v>84</v>
      </c>
    </row>
    <row r="7" spans="1:17" x14ac:dyDescent="0.3">
      <c r="B7" s="38" t="s">
        <v>62</v>
      </c>
      <c r="C7" s="15">
        <f>SUM(C4:C6)</f>
        <v>65.599999999999994</v>
      </c>
      <c r="D7" s="15">
        <f>SUM(D4:D6)</f>
        <v>56.5</v>
      </c>
      <c r="E7" s="15">
        <f>SUM(E4:E6)</f>
        <v>71</v>
      </c>
      <c r="F7" s="15">
        <f>SUM(F4:F6)</f>
        <v>84</v>
      </c>
      <c r="G7" s="15">
        <f>SUM(C4:F6)</f>
        <v>277.10000000000002</v>
      </c>
      <c r="K7" s="12" t="s">
        <v>4</v>
      </c>
      <c r="L7" s="13">
        <f>SUM(L3:O5)</f>
        <v>302.13333333333333</v>
      </c>
      <c r="N7" s="12" t="s">
        <v>63</v>
      </c>
      <c r="O7" s="13">
        <f>(L7^2)/L10</f>
        <v>7607.045925925926</v>
      </c>
    </row>
    <row r="8" spans="1:17" x14ac:dyDescent="0.3">
      <c r="K8" s="12" t="s">
        <v>78</v>
      </c>
      <c r="L8" s="13">
        <v>4</v>
      </c>
      <c r="N8" s="12" t="s">
        <v>65</v>
      </c>
      <c r="O8" s="13">
        <f>SUMSQ(L3:O5)</f>
        <v>7770.9777777777772</v>
      </c>
    </row>
    <row r="9" spans="1:17" ht="15.6" x14ac:dyDescent="0.35">
      <c r="A9" s="12" t="s">
        <v>4</v>
      </c>
      <c r="B9" s="13"/>
      <c r="D9" s="12" t="s">
        <v>93</v>
      </c>
      <c r="E9" s="13">
        <f>D7</f>
        <v>56.5</v>
      </c>
      <c r="K9" s="12" t="s">
        <v>79</v>
      </c>
      <c r="L9" s="13">
        <v>3</v>
      </c>
      <c r="N9" s="12" t="s">
        <v>66</v>
      </c>
      <c r="O9" s="13">
        <f>O8-O7</f>
        <v>163.93185185185121</v>
      </c>
    </row>
    <row r="10" spans="1:17" ht="15.6" x14ac:dyDescent="0.35">
      <c r="A10" s="12" t="s">
        <v>78</v>
      </c>
      <c r="B10" s="13">
        <v>4</v>
      </c>
      <c r="D10" s="12" t="s">
        <v>94</v>
      </c>
      <c r="E10" s="13">
        <f>G4</f>
        <v>67.099999999999994</v>
      </c>
      <c r="K10" s="12" t="s">
        <v>3</v>
      </c>
      <c r="L10" s="13">
        <f>L8*L9</f>
        <v>12</v>
      </c>
      <c r="N10" s="12" t="s">
        <v>70</v>
      </c>
      <c r="O10" s="13">
        <f>(SUMSQ(L6:O6)/L9)-O7</f>
        <v>75.635555555553765</v>
      </c>
    </row>
    <row r="11" spans="1:17" x14ac:dyDescent="0.3">
      <c r="A11" s="12" t="s">
        <v>79</v>
      </c>
      <c r="B11" s="13">
        <v>3</v>
      </c>
      <c r="D11" s="12" t="s">
        <v>95</v>
      </c>
      <c r="E11" s="13">
        <f>((B10*E9)+(B11*E10)-G7)/((B10-1)*(B11-1))</f>
        <v>25.033333333333321</v>
      </c>
      <c r="N11" s="12" t="s">
        <v>67</v>
      </c>
      <c r="O11" s="13">
        <f>(SUMSQ(P3:P5)/L8)-O7</f>
        <v>68.09185185185197</v>
      </c>
      <c r="P11" s="12" t="s">
        <v>96</v>
      </c>
      <c r="Q11" s="13">
        <f>O11-O13</f>
        <v>57.744907407407453</v>
      </c>
    </row>
    <row r="12" spans="1:17" x14ac:dyDescent="0.3">
      <c r="A12" s="12" t="s">
        <v>3</v>
      </c>
      <c r="B12" s="13">
        <f>B10*B11</f>
        <v>12</v>
      </c>
      <c r="N12" s="39" t="s">
        <v>73</v>
      </c>
      <c r="O12" s="40">
        <f>O9-O10-O11</f>
        <v>20.204444444445471</v>
      </c>
    </row>
    <row r="13" spans="1:17" x14ac:dyDescent="0.3">
      <c r="N13" s="12" t="s">
        <v>97</v>
      </c>
      <c r="O13" s="41">
        <f>(((E9)+(B11*E10)-G7)^2)/((B11)*(B10-1)*((B11-1)^2))</f>
        <v>10.346944444444517</v>
      </c>
    </row>
    <row r="15" spans="1:17" x14ac:dyDescent="0.3">
      <c r="K15" s="15" t="s">
        <v>80</v>
      </c>
    </row>
    <row r="16" spans="1:17" x14ac:dyDescent="0.3">
      <c r="K16" s="29" t="s">
        <v>81</v>
      </c>
      <c r="L16" s="29" t="s">
        <v>82</v>
      </c>
      <c r="M16" s="29" t="s">
        <v>83</v>
      </c>
      <c r="N16" s="29" t="s">
        <v>84</v>
      </c>
      <c r="O16" s="29" t="s">
        <v>27</v>
      </c>
      <c r="P16" s="29" t="s">
        <v>85</v>
      </c>
      <c r="Q16" s="29" t="s">
        <v>86</v>
      </c>
    </row>
    <row r="17" spans="11:17" x14ac:dyDescent="0.3">
      <c r="K17" s="42" t="s">
        <v>98</v>
      </c>
      <c r="L17" s="42">
        <v>68.091851851851942</v>
      </c>
      <c r="M17" s="42">
        <v>2</v>
      </c>
      <c r="N17" s="42">
        <v>34.045925925925971</v>
      </c>
      <c r="O17" s="42">
        <v>10.110426748790186</v>
      </c>
      <c r="P17" s="42">
        <v>1.1981557577633336E-2</v>
      </c>
      <c r="Q17" s="42">
        <v>5.1432528497847176</v>
      </c>
    </row>
    <row r="18" spans="11:17" x14ac:dyDescent="0.3">
      <c r="K18" s="15" t="s">
        <v>99</v>
      </c>
      <c r="L18" s="15">
        <v>75.635555555555555</v>
      </c>
      <c r="M18" s="15">
        <v>3</v>
      </c>
      <c r="N18" s="15">
        <v>25.211851851851851</v>
      </c>
      <c r="O18" s="15">
        <v>7.4870215574131302</v>
      </c>
      <c r="P18" s="15">
        <v>1.8799685995282915E-2</v>
      </c>
      <c r="Q18" s="15">
        <v>4.7570626630894131</v>
      </c>
    </row>
    <row r="19" spans="11:17" x14ac:dyDescent="0.3">
      <c r="K19" s="15" t="s">
        <v>64</v>
      </c>
      <c r="L19" s="15">
        <v>20.204444444444391</v>
      </c>
      <c r="M19" s="15">
        <v>6</v>
      </c>
      <c r="N19" s="15">
        <v>3.3674074074073985</v>
      </c>
      <c r="O19" s="15"/>
      <c r="P19" s="15"/>
      <c r="Q19" s="15"/>
    </row>
    <row r="20" spans="11:17" x14ac:dyDescent="0.3">
      <c r="K20" s="15"/>
      <c r="L20" s="15"/>
      <c r="M20" s="15"/>
      <c r="N20" s="15"/>
      <c r="O20" s="15"/>
      <c r="P20" s="15"/>
      <c r="Q20" s="15"/>
    </row>
    <row r="21" spans="11:17" x14ac:dyDescent="0.3">
      <c r="K21" s="15" t="s">
        <v>33</v>
      </c>
      <c r="L21" s="15">
        <v>163.93185185185189</v>
      </c>
      <c r="M21" s="15">
        <v>11</v>
      </c>
      <c r="N21" s="15"/>
      <c r="O21" s="15"/>
      <c r="P21" s="15"/>
      <c r="Q21" s="15"/>
    </row>
    <row r="24" spans="11:17" x14ac:dyDescent="0.3">
      <c r="K24" s="15" t="s">
        <v>100</v>
      </c>
    </row>
    <row r="25" spans="11:17" x14ac:dyDescent="0.3">
      <c r="K25" s="29" t="s">
        <v>81</v>
      </c>
      <c r="L25" s="29" t="s">
        <v>82</v>
      </c>
      <c r="M25" s="29" t="s">
        <v>83</v>
      </c>
      <c r="N25" s="29" t="s">
        <v>84</v>
      </c>
      <c r="O25" s="29" t="s">
        <v>27</v>
      </c>
    </row>
    <row r="26" spans="11:17" x14ac:dyDescent="0.3">
      <c r="K26" s="42" t="s">
        <v>101</v>
      </c>
      <c r="L26" s="42">
        <f>Q11</f>
        <v>57.744907407407453</v>
      </c>
      <c r="M26" s="42">
        <v>2</v>
      </c>
      <c r="N26" s="42">
        <f>L26/M26</f>
        <v>28.872453703703727</v>
      </c>
      <c r="O26" s="42">
        <f>N26/N$28</f>
        <v>7.1450748826803867</v>
      </c>
    </row>
    <row r="27" spans="11:17" x14ac:dyDescent="0.3">
      <c r="K27" s="15" t="s">
        <v>62</v>
      </c>
      <c r="L27" s="15">
        <f>O10</f>
        <v>75.635555555553765</v>
      </c>
      <c r="M27" s="15">
        <v>3</v>
      </c>
      <c r="N27" s="15">
        <f>L27/M27</f>
        <v>25.211851851851254</v>
      </c>
      <c r="O27" s="15">
        <f>N27/N$28</f>
        <v>6.2391846311771264</v>
      </c>
    </row>
    <row r="28" spans="11:17" x14ac:dyDescent="0.3">
      <c r="K28" s="15" t="s">
        <v>64</v>
      </c>
      <c r="L28" s="15">
        <f>O12</f>
        <v>20.204444444445471</v>
      </c>
      <c r="M28" s="15">
        <v>5</v>
      </c>
      <c r="N28" s="15">
        <f>L28/M28</f>
        <v>4.0408888888890946</v>
      </c>
      <c r="O28" s="15"/>
    </row>
    <row r="29" spans="11:17" x14ac:dyDescent="0.3">
      <c r="K29" s="15"/>
      <c r="L29" s="15"/>
      <c r="M29" s="15"/>
      <c r="N29" s="15"/>
      <c r="O29" s="15"/>
    </row>
    <row r="30" spans="11:17" x14ac:dyDescent="0.3">
      <c r="K30" s="15" t="s">
        <v>33</v>
      </c>
      <c r="L30" s="15">
        <f>O9</f>
        <v>163.93185185185121</v>
      </c>
      <c r="M30" s="15">
        <v>10</v>
      </c>
      <c r="N30" s="15"/>
      <c r="O30" s="15"/>
    </row>
  </sheetData>
  <mergeCells count="2">
    <mergeCell ref="L1:O1"/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FF24-0B91-4996-9A0B-1635E3979D73}">
  <dimension ref="A1:L16"/>
  <sheetViews>
    <sheetView workbookViewId="0">
      <selection activeCell="P12" sqref="P12"/>
    </sheetView>
  </sheetViews>
  <sheetFormatPr defaultRowHeight="14.4" x14ac:dyDescent="0.3"/>
  <sheetData>
    <row r="1" spans="1:12" ht="15.6" x14ac:dyDescent="0.35">
      <c r="A1" s="26"/>
      <c r="B1" s="5" t="s">
        <v>102</v>
      </c>
      <c r="C1" s="5" t="s">
        <v>103</v>
      </c>
      <c r="D1" s="5" t="s">
        <v>104</v>
      </c>
      <c r="E1" s="5" t="s">
        <v>105</v>
      </c>
      <c r="F1" s="5" t="s">
        <v>33</v>
      </c>
      <c r="G1" s="26"/>
      <c r="H1" s="14" t="s">
        <v>61</v>
      </c>
      <c r="I1" s="14"/>
      <c r="J1" s="14"/>
      <c r="K1" s="14"/>
    </row>
    <row r="2" spans="1:12" ht="15.6" x14ac:dyDescent="0.35">
      <c r="A2" s="5" t="s">
        <v>106</v>
      </c>
      <c r="B2" s="43">
        <v>12</v>
      </c>
      <c r="C2" s="30">
        <v>19</v>
      </c>
      <c r="D2" s="30">
        <v>10</v>
      </c>
      <c r="E2" s="30">
        <v>8</v>
      </c>
      <c r="F2" s="5">
        <f>SUM(B2:E2)</f>
        <v>49</v>
      </c>
      <c r="G2" s="26"/>
      <c r="H2" s="7" t="s">
        <v>107</v>
      </c>
      <c r="I2" s="7" t="s">
        <v>108</v>
      </c>
      <c r="J2" s="7" t="s">
        <v>109</v>
      </c>
      <c r="K2" s="7" t="s">
        <v>110</v>
      </c>
    </row>
    <row r="3" spans="1:12" ht="15.6" x14ac:dyDescent="0.35">
      <c r="A3" s="5" t="s">
        <v>111</v>
      </c>
      <c r="B3" s="44">
        <v>18</v>
      </c>
      <c r="C3" s="26">
        <v>12</v>
      </c>
      <c r="D3" s="26">
        <v>6</v>
      </c>
      <c r="E3" s="26">
        <v>7</v>
      </c>
      <c r="F3" s="5">
        <f t="shared" ref="F3:F5" si="0">SUM(B3:E3)</f>
        <v>43</v>
      </c>
      <c r="G3" s="26"/>
      <c r="H3" s="7">
        <v>12</v>
      </c>
      <c r="I3" s="7">
        <v>10</v>
      </c>
      <c r="J3" s="7">
        <v>19</v>
      </c>
      <c r="K3" s="7">
        <v>8</v>
      </c>
    </row>
    <row r="4" spans="1:12" ht="15.6" x14ac:dyDescent="0.35">
      <c r="A4" s="5" t="s">
        <v>112</v>
      </c>
      <c r="B4" s="44">
        <v>22</v>
      </c>
      <c r="C4" s="26">
        <v>10</v>
      </c>
      <c r="D4" s="26">
        <v>5</v>
      </c>
      <c r="E4" s="26">
        <v>21</v>
      </c>
      <c r="F4" s="5">
        <f t="shared" si="0"/>
        <v>58</v>
      </c>
      <c r="G4" s="26"/>
      <c r="H4" s="8">
        <v>7</v>
      </c>
      <c r="I4" s="8">
        <v>12</v>
      </c>
      <c r="J4" s="8">
        <v>18</v>
      </c>
      <c r="K4" s="8">
        <v>6</v>
      </c>
    </row>
    <row r="5" spans="1:12" ht="15.6" x14ac:dyDescent="0.35">
      <c r="A5" s="5" t="s">
        <v>113</v>
      </c>
      <c r="B5" s="45">
        <v>12</v>
      </c>
      <c r="C5" s="33">
        <v>7</v>
      </c>
      <c r="D5" s="33">
        <v>27</v>
      </c>
      <c r="E5" s="33">
        <v>17</v>
      </c>
      <c r="F5" s="5">
        <f t="shared" si="0"/>
        <v>63</v>
      </c>
      <c r="G5" s="26"/>
      <c r="H5" s="8">
        <v>5</v>
      </c>
      <c r="I5" s="8">
        <v>22</v>
      </c>
      <c r="J5" s="8">
        <v>21</v>
      </c>
      <c r="K5" s="8">
        <v>10</v>
      </c>
    </row>
    <row r="6" spans="1:12" x14ac:dyDescent="0.3">
      <c r="A6" s="27" t="s">
        <v>33</v>
      </c>
      <c r="B6" s="5">
        <f>SUM(B2:B5)</f>
        <v>64</v>
      </c>
      <c r="C6" s="5">
        <f t="shared" ref="C6:E6" si="1">SUM(C2:C5)</f>
        <v>48</v>
      </c>
      <c r="D6" s="5">
        <f t="shared" si="1"/>
        <v>48</v>
      </c>
      <c r="E6" s="5">
        <f t="shared" si="1"/>
        <v>53</v>
      </c>
      <c r="F6" s="5">
        <f>SUM(B2:E5)</f>
        <v>213</v>
      </c>
      <c r="G6" s="26"/>
      <c r="H6" s="8">
        <v>7</v>
      </c>
      <c r="I6" s="8">
        <v>17</v>
      </c>
      <c r="J6" s="8">
        <v>27</v>
      </c>
      <c r="K6" s="8">
        <v>12</v>
      </c>
    </row>
    <row r="7" spans="1:12" x14ac:dyDescent="0.3">
      <c r="A7" s="26"/>
      <c r="B7" s="26"/>
      <c r="C7" s="26"/>
      <c r="D7" s="26"/>
      <c r="E7" s="26"/>
      <c r="F7" s="26"/>
      <c r="G7" s="26"/>
      <c r="H7" s="10">
        <f>SUM(H3:H6)</f>
        <v>31</v>
      </c>
      <c r="I7" s="10">
        <f t="shared" ref="I7:K7" si="2">SUM(I3:I6)</f>
        <v>61</v>
      </c>
      <c r="J7" s="10">
        <f t="shared" si="2"/>
        <v>85</v>
      </c>
      <c r="K7" s="10">
        <f t="shared" si="2"/>
        <v>36</v>
      </c>
    </row>
    <row r="8" spans="1:12" x14ac:dyDescent="0.3">
      <c r="B8" s="12" t="s">
        <v>114</v>
      </c>
      <c r="C8" s="13">
        <v>4</v>
      </c>
    </row>
    <row r="9" spans="1:12" x14ac:dyDescent="0.3">
      <c r="B9" s="12" t="s">
        <v>3</v>
      </c>
      <c r="C9" s="13">
        <f>C8*C8</f>
        <v>16</v>
      </c>
    </row>
    <row r="10" spans="1:12" x14ac:dyDescent="0.3">
      <c r="B10" s="12" t="s">
        <v>63</v>
      </c>
      <c r="C10" s="13">
        <f>(F6^2)/16</f>
        <v>2835.5625</v>
      </c>
      <c r="G10" s="5" t="s">
        <v>115</v>
      </c>
      <c r="H10" s="5" t="s">
        <v>8</v>
      </c>
      <c r="I10" s="5" t="s">
        <v>9</v>
      </c>
      <c r="J10" s="5" t="s">
        <v>26</v>
      </c>
      <c r="K10" s="15" t="s">
        <v>116</v>
      </c>
      <c r="L10" s="5" t="s">
        <v>69</v>
      </c>
    </row>
    <row r="11" spans="1:12" x14ac:dyDescent="0.3">
      <c r="B11" s="12" t="s">
        <v>65</v>
      </c>
      <c r="C11" s="13">
        <f>SUMSQ(B2:E5)</f>
        <v>3483</v>
      </c>
      <c r="G11" s="5" t="s">
        <v>117</v>
      </c>
      <c r="H11" s="43">
        <v>3</v>
      </c>
      <c r="I11" s="30">
        <f>C13</f>
        <v>60.1875</v>
      </c>
      <c r="J11" s="30">
        <f>I11/H11</f>
        <v>20.0625</v>
      </c>
      <c r="K11" s="17">
        <f>J11/J$14</f>
        <v>1.5165354330708662</v>
      </c>
      <c r="L11" s="18" t="s">
        <v>118</v>
      </c>
    </row>
    <row r="12" spans="1:12" x14ac:dyDescent="0.3">
      <c r="B12" s="12" t="s">
        <v>66</v>
      </c>
      <c r="C12" s="13">
        <f>C11-C10</f>
        <v>647.4375</v>
      </c>
      <c r="G12" s="5" t="s">
        <v>119</v>
      </c>
      <c r="H12" s="44">
        <v>3</v>
      </c>
      <c r="I12" s="26">
        <f>C14</f>
        <v>42.6875</v>
      </c>
      <c r="J12" s="26">
        <f t="shared" ref="J12:J14" si="3">I12/H12</f>
        <v>14.229166666666666</v>
      </c>
      <c r="K12">
        <f t="shared" ref="K12:K13" si="4">J12/J$14</f>
        <v>1.0755905511811024</v>
      </c>
      <c r="L12" s="20" t="s">
        <v>118</v>
      </c>
    </row>
    <row r="13" spans="1:12" x14ac:dyDescent="0.3">
      <c r="B13" s="12" t="s">
        <v>120</v>
      </c>
      <c r="C13" s="13">
        <f>(SUMSQ(F2:F5)/4)-C10</f>
        <v>60.1875</v>
      </c>
      <c r="G13" s="5" t="s">
        <v>121</v>
      </c>
      <c r="H13" s="44">
        <v>3</v>
      </c>
      <c r="I13" s="26">
        <f>C15</f>
        <v>465.1875</v>
      </c>
      <c r="J13" s="26">
        <f t="shared" si="3"/>
        <v>155.0625</v>
      </c>
      <c r="K13">
        <f t="shared" si="4"/>
        <v>11.721259842519686</v>
      </c>
      <c r="L13" s="20" t="s">
        <v>122</v>
      </c>
    </row>
    <row r="14" spans="1:12" x14ac:dyDescent="0.3">
      <c r="B14" s="12" t="s">
        <v>123</v>
      </c>
      <c r="C14" s="13">
        <f>(SUMSQ(B6:E6)/C8)-C10</f>
        <v>42.6875</v>
      </c>
      <c r="G14" s="5" t="s">
        <v>15</v>
      </c>
      <c r="H14" s="45">
        <f>H15-(H11+H12+H13)</f>
        <v>6</v>
      </c>
      <c r="I14" s="33">
        <f>C16</f>
        <v>79.375</v>
      </c>
      <c r="J14" s="33">
        <f t="shared" si="3"/>
        <v>13.229166666666666</v>
      </c>
      <c r="K14" s="22"/>
      <c r="L14" s="23"/>
    </row>
    <row r="15" spans="1:12" ht="15.6" x14ac:dyDescent="0.35">
      <c r="B15" s="12" t="s">
        <v>67</v>
      </c>
      <c r="C15" s="13">
        <f>(SUMSQ(H7:K7)/C8)-C10</f>
        <v>465.1875</v>
      </c>
      <c r="G15" s="5" t="s">
        <v>17</v>
      </c>
      <c r="H15" s="27">
        <v>15</v>
      </c>
      <c r="I15" s="35">
        <f>C12</f>
        <v>647.4375</v>
      </c>
      <c r="J15" s="28"/>
      <c r="K15" s="46" t="s">
        <v>124</v>
      </c>
      <c r="L15" s="47">
        <v>4.76</v>
      </c>
    </row>
    <row r="16" spans="1:12" x14ac:dyDescent="0.3">
      <c r="B16" s="12" t="s">
        <v>73</v>
      </c>
      <c r="C16" s="13">
        <f>C12-(C13+C14+C15)</f>
        <v>79.375</v>
      </c>
    </row>
  </sheetData>
  <mergeCells count="1"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797A-CE7D-4D98-89A0-F1AF3D6AC741}">
  <dimension ref="A1:M30"/>
  <sheetViews>
    <sheetView workbookViewId="0">
      <selection activeCell="P10" sqref="P10"/>
    </sheetView>
  </sheetViews>
  <sheetFormatPr defaultRowHeight="14.4" x14ac:dyDescent="0.3"/>
  <sheetData>
    <row r="1" spans="1:13" ht="15.6" x14ac:dyDescent="0.35">
      <c r="B1" s="5" t="s">
        <v>102</v>
      </c>
      <c r="C1" s="5" t="s">
        <v>103</v>
      </c>
      <c r="D1" s="5" t="s">
        <v>104</v>
      </c>
      <c r="E1" s="5" t="s">
        <v>105</v>
      </c>
      <c r="F1" s="5" t="s">
        <v>125</v>
      </c>
      <c r="G1" s="7" t="s">
        <v>33</v>
      </c>
      <c r="I1" s="5" t="s">
        <v>126</v>
      </c>
    </row>
    <row r="2" spans="1:13" ht="15.6" x14ac:dyDescent="0.35">
      <c r="A2" s="5" t="s">
        <v>106</v>
      </c>
      <c r="B2" s="26">
        <v>57.8</v>
      </c>
      <c r="C2" s="26">
        <v>48.6</v>
      </c>
      <c r="D2" s="26">
        <v>33.4</v>
      </c>
      <c r="E2" s="26">
        <v>53.5</v>
      </c>
      <c r="F2" s="26">
        <v>41.8</v>
      </c>
      <c r="G2" s="15"/>
      <c r="I2" s="7">
        <v>41.8</v>
      </c>
    </row>
    <row r="3" spans="1:13" ht="15.6" x14ac:dyDescent="0.35">
      <c r="A3" s="5" t="s">
        <v>111</v>
      </c>
      <c r="B3" s="26">
        <v>50.5</v>
      </c>
      <c r="C3" s="26">
        <v>45.5</v>
      </c>
      <c r="D3" s="26">
        <v>51.8</v>
      </c>
      <c r="E3" s="26">
        <v>52.6</v>
      </c>
      <c r="F3" s="26">
        <v>31.9</v>
      </c>
      <c r="G3" s="15"/>
      <c r="I3" s="8">
        <v>45.5</v>
      </c>
    </row>
    <row r="4" spans="1:13" ht="15.6" x14ac:dyDescent="0.35">
      <c r="A4" s="5" t="s">
        <v>112</v>
      </c>
      <c r="B4" s="26">
        <v>46.1</v>
      </c>
      <c r="C4" s="26">
        <v>47.9</v>
      </c>
      <c r="D4" s="26">
        <v>55.6</v>
      </c>
      <c r="E4" s="50" t="s">
        <v>129</v>
      </c>
      <c r="F4" s="26">
        <v>53.3</v>
      </c>
      <c r="G4" s="15">
        <f>SUM(B4:F4)</f>
        <v>202.89999999999998</v>
      </c>
      <c r="I4" s="51" t="s">
        <v>129</v>
      </c>
    </row>
    <row r="5" spans="1:13" ht="15.6" x14ac:dyDescent="0.35">
      <c r="A5" s="5" t="s">
        <v>113</v>
      </c>
      <c r="B5" s="26">
        <v>58.2</v>
      </c>
      <c r="C5" s="26">
        <v>55.1</v>
      </c>
      <c r="D5" s="26">
        <v>43.2</v>
      </c>
      <c r="E5" s="26">
        <v>38.799999999999997</v>
      </c>
      <c r="F5" s="26">
        <v>53.3</v>
      </c>
      <c r="G5" s="15"/>
      <c r="I5" s="8">
        <v>43.2</v>
      </c>
    </row>
    <row r="6" spans="1:13" ht="15.6" x14ac:dyDescent="0.35">
      <c r="A6" s="5" t="s">
        <v>127</v>
      </c>
      <c r="B6" s="26">
        <v>53</v>
      </c>
      <c r="C6" s="26">
        <v>41</v>
      </c>
      <c r="D6" s="26">
        <v>48.7</v>
      </c>
      <c r="E6" s="26">
        <v>54.6</v>
      </c>
      <c r="F6" s="26">
        <v>55.7</v>
      </c>
      <c r="G6" s="15"/>
      <c r="I6" s="8">
        <v>53</v>
      </c>
    </row>
    <row r="7" spans="1:13" x14ac:dyDescent="0.3">
      <c r="A7" s="27" t="s">
        <v>33</v>
      </c>
      <c r="B7" s="15"/>
      <c r="C7" s="15"/>
      <c r="D7" s="15"/>
      <c r="E7" s="15">
        <f>SUM(E2:E6)</f>
        <v>199.49999999999997</v>
      </c>
      <c r="F7" s="15"/>
      <c r="G7" s="15">
        <f>SUM(B2:F6)</f>
        <v>1171.8999999999999</v>
      </c>
      <c r="I7" s="10">
        <f>SUM(I2:I6)</f>
        <v>183.5</v>
      </c>
    </row>
    <row r="9" spans="1:13" x14ac:dyDescent="0.3">
      <c r="B9" s="12" t="s">
        <v>114</v>
      </c>
      <c r="C9" s="13">
        <v>5</v>
      </c>
    </row>
    <row r="10" spans="1:13" x14ac:dyDescent="0.3">
      <c r="B10" s="12" t="s">
        <v>3</v>
      </c>
      <c r="C10" s="13">
        <f>C9^2</f>
        <v>25</v>
      </c>
    </row>
    <row r="11" spans="1:13" x14ac:dyDescent="0.3">
      <c r="B11" s="12" t="s">
        <v>130</v>
      </c>
      <c r="C11" s="13">
        <f>((C9*(E7+I7+G4))-2*G7)/((C9-1)*(C9-2))</f>
        <v>48.808333333333358</v>
      </c>
    </row>
    <row r="12" spans="1:13" x14ac:dyDescent="0.3">
      <c r="B12" s="12" t="s">
        <v>97</v>
      </c>
      <c r="C12" s="13">
        <f>((G4+E7+4*I7-G7)/12)^2</f>
        <v>8.7517361111109988</v>
      </c>
    </row>
    <row r="14" spans="1:13" ht="15.6" x14ac:dyDescent="0.35">
      <c r="B14" s="5" t="s">
        <v>102</v>
      </c>
      <c r="C14" s="5" t="s">
        <v>103</v>
      </c>
      <c r="D14" s="5" t="s">
        <v>104</v>
      </c>
      <c r="E14" s="5" t="s">
        <v>105</v>
      </c>
      <c r="F14" s="5" t="s">
        <v>125</v>
      </c>
      <c r="G14" s="5" t="s">
        <v>33</v>
      </c>
      <c r="I14" s="5" t="s">
        <v>107</v>
      </c>
      <c r="J14" s="5" t="s">
        <v>108</v>
      </c>
      <c r="K14" s="5" t="s">
        <v>109</v>
      </c>
      <c r="L14" s="5" t="s">
        <v>110</v>
      </c>
      <c r="M14" s="5" t="s">
        <v>126</v>
      </c>
    </row>
    <row r="15" spans="1:13" ht="15.6" x14ac:dyDescent="0.35">
      <c r="A15" s="5" t="s">
        <v>106</v>
      </c>
      <c r="B15" s="26">
        <v>57.8</v>
      </c>
      <c r="C15" s="26">
        <v>48.6</v>
      </c>
      <c r="D15" s="26">
        <v>33.4</v>
      </c>
      <c r="E15" s="26">
        <v>53.5</v>
      </c>
      <c r="F15" s="26">
        <v>41.8</v>
      </c>
      <c r="G15" s="15">
        <f>SUM(B15:F15)</f>
        <v>235.10000000000002</v>
      </c>
      <c r="I15" s="7">
        <v>33.4</v>
      </c>
      <c r="J15" s="7">
        <v>57.8</v>
      </c>
      <c r="K15" s="7">
        <v>48.6</v>
      </c>
      <c r="L15" s="7">
        <v>53.5</v>
      </c>
      <c r="M15" s="7">
        <v>41.8</v>
      </c>
    </row>
    <row r="16" spans="1:13" ht="15.6" x14ac:dyDescent="0.35">
      <c r="A16" s="5" t="s">
        <v>111</v>
      </c>
      <c r="B16" s="26">
        <v>50.5</v>
      </c>
      <c r="C16" s="26">
        <v>45.5</v>
      </c>
      <c r="D16" s="26">
        <v>51.8</v>
      </c>
      <c r="E16" s="26">
        <v>52.6</v>
      </c>
      <c r="F16" s="26">
        <v>31.9</v>
      </c>
      <c r="G16" s="15">
        <f>SUM(B16:F16)</f>
        <v>232.3</v>
      </c>
      <c r="I16" s="8">
        <v>31.9</v>
      </c>
      <c r="J16" s="8">
        <v>52.6</v>
      </c>
      <c r="K16" s="8">
        <v>51.8</v>
      </c>
      <c r="L16" s="8">
        <v>50.5</v>
      </c>
      <c r="M16" s="8">
        <v>45.5</v>
      </c>
    </row>
    <row r="17" spans="1:13" ht="15.6" x14ac:dyDescent="0.35">
      <c r="A17" s="5" t="s">
        <v>112</v>
      </c>
      <c r="B17" s="26">
        <v>46.1</v>
      </c>
      <c r="C17" s="26">
        <v>47.9</v>
      </c>
      <c r="D17" s="26">
        <v>55.6</v>
      </c>
      <c r="E17" s="26">
        <f>C11</f>
        <v>48.808333333333358</v>
      </c>
      <c r="F17" s="26">
        <v>53.3</v>
      </c>
      <c r="G17" s="15">
        <f>SUM(B17:F17)</f>
        <v>251.70833333333337</v>
      </c>
      <c r="I17" s="8">
        <v>46.1</v>
      </c>
      <c r="J17" s="8">
        <v>55.6</v>
      </c>
      <c r="K17" s="8">
        <v>53.3</v>
      </c>
      <c r="L17" s="8">
        <v>47.9</v>
      </c>
      <c r="M17" s="8">
        <f>C11</f>
        <v>48.808333333333358</v>
      </c>
    </row>
    <row r="18" spans="1:13" ht="15.6" x14ac:dyDescent="0.35">
      <c r="A18" s="5" t="s">
        <v>113</v>
      </c>
      <c r="B18" s="26">
        <v>58.2</v>
      </c>
      <c r="C18" s="26">
        <v>55.1</v>
      </c>
      <c r="D18" s="26">
        <v>43.2</v>
      </c>
      <c r="E18" s="26">
        <v>38.799999999999997</v>
      </c>
      <c r="F18" s="26">
        <v>53.3</v>
      </c>
      <c r="G18" s="15">
        <f t="shared" ref="G18:G19" si="0">SUM(B18:F18)</f>
        <v>248.60000000000002</v>
      </c>
      <c r="I18" s="8">
        <v>38.799999999999997</v>
      </c>
      <c r="J18" s="8">
        <v>55.1</v>
      </c>
      <c r="K18" s="8">
        <v>58.2</v>
      </c>
      <c r="L18" s="8">
        <v>53.3</v>
      </c>
      <c r="M18" s="8">
        <v>43.2</v>
      </c>
    </row>
    <row r="19" spans="1:13" ht="15.6" x14ac:dyDescent="0.35">
      <c r="A19" s="5" t="s">
        <v>127</v>
      </c>
      <c r="B19" s="26">
        <v>53</v>
      </c>
      <c r="C19" s="26">
        <v>41</v>
      </c>
      <c r="D19" s="26">
        <v>48.7</v>
      </c>
      <c r="E19" s="26">
        <v>54.6</v>
      </c>
      <c r="F19" s="26">
        <v>55.7</v>
      </c>
      <c r="G19" s="15">
        <f t="shared" si="0"/>
        <v>253</v>
      </c>
      <c r="I19" s="8">
        <v>41</v>
      </c>
      <c r="J19" s="8">
        <v>55.7</v>
      </c>
      <c r="K19" s="8">
        <v>54.6</v>
      </c>
      <c r="L19" s="8">
        <v>48.7</v>
      </c>
      <c r="M19" s="8">
        <v>53</v>
      </c>
    </row>
    <row r="20" spans="1:13" x14ac:dyDescent="0.3">
      <c r="A20" s="5" t="s">
        <v>33</v>
      </c>
      <c r="B20" s="15">
        <f>SUM(B15:B19)</f>
        <v>265.60000000000002</v>
      </c>
      <c r="C20" s="15">
        <f t="shared" ref="C20:D20" si="1">SUM(C15:C19)</f>
        <v>238.1</v>
      </c>
      <c r="D20" s="15">
        <f t="shared" si="1"/>
        <v>232.7</v>
      </c>
      <c r="E20" s="15">
        <f>SUM(E15:E19)</f>
        <v>248.30833333333337</v>
      </c>
      <c r="F20" s="15">
        <f>SUM(F15:F19)</f>
        <v>236</v>
      </c>
      <c r="G20" s="15">
        <f>SUM(B15:F19)</f>
        <v>1220.7083333333335</v>
      </c>
      <c r="I20" s="10">
        <f>SUM(I15:I19)</f>
        <v>191.2</v>
      </c>
      <c r="J20" s="10">
        <f t="shared" ref="J20:L20" si="2">SUM(J15:J19)</f>
        <v>276.8</v>
      </c>
      <c r="K20" s="10">
        <f t="shared" si="2"/>
        <v>266.5</v>
      </c>
      <c r="L20" s="10">
        <f t="shared" si="2"/>
        <v>253.89999999999998</v>
      </c>
      <c r="M20" s="10">
        <f>SUM(M15:M19)</f>
        <v>232.30833333333334</v>
      </c>
    </row>
    <row r="22" spans="1:13" x14ac:dyDescent="0.3">
      <c r="B22" s="12" t="s">
        <v>114</v>
      </c>
      <c r="C22" s="13">
        <v>5</v>
      </c>
      <c r="H22" s="5" t="s">
        <v>115</v>
      </c>
      <c r="I22" s="5" t="s">
        <v>8</v>
      </c>
      <c r="J22" s="5" t="s">
        <v>9</v>
      </c>
      <c r="K22" s="5" t="s">
        <v>26</v>
      </c>
      <c r="L22" s="15" t="s">
        <v>116</v>
      </c>
    </row>
    <row r="23" spans="1:13" x14ac:dyDescent="0.3">
      <c r="B23" s="12" t="s">
        <v>3</v>
      </c>
      <c r="C23" s="13">
        <f>C22^2</f>
        <v>25</v>
      </c>
      <c r="H23" s="5" t="s">
        <v>117</v>
      </c>
      <c r="I23" s="43">
        <f>C$22-1</f>
        <v>4</v>
      </c>
      <c r="J23" s="30">
        <f>C27</f>
        <v>75.515611111113685</v>
      </c>
      <c r="K23" s="30">
        <f>J23/I23</f>
        <v>18.878902777778421</v>
      </c>
      <c r="L23" s="18">
        <f>K23/K$26</f>
        <v>2.3770650547489094</v>
      </c>
    </row>
    <row r="24" spans="1:13" x14ac:dyDescent="0.3">
      <c r="B24" s="12" t="s">
        <v>63</v>
      </c>
      <c r="C24" s="13">
        <f>G20^2/C23</f>
        <v>59605.153402777789</v>
      </c>
      <c r="H24" s="5" t="s">
        <v>119</v>
      </c>
      <c r="I24" s="44">
        <f t="shared" ref="I24:I25" si="3">C$22-1</f>
        <v>4</v>
      </c>
      <c r="J24" s="26">
        <f>C28</f>
        <v>142.30427777777368</v>
      </c>
      <c r="K24" s="26">
        <f t="shared" ref="K24:K26" si="4">J24/I24</f>
        <v>35.576069444443419</v>
      </c>
      <c r="L24" s="20">
        <f t="shared" ref="L24:L25" si="5">K24/K$26</f>
        <v>4.4794251264033624</v>
      </c>
    </row>
    <row r="25" spans="1:13" x14ac:dyDescent="0.3">
      <c r="B25" s="12" t="s">
        <v>65</v>
      </c>
      <c r="C25" s="13">
        <f>SUMSQ(B15:F19)</f>
        <v>60831.243402777785</v>
      </c>
      <c r="H25" s="5" t="s">
        <v>128</v>
      </c>
      <c r="I25" s="44">
        <f t="shared" si="3"/>
        <v>4</v>
      </c>
      <c r="J25" s="26">
        <f>C29-C12</f>
        <v>912.15520833332118</v>
      </c>
      <c r="K25" s="26">
        <f t="shared" si="4"/>
        <v>228.0388020833303</v>
      </c>
      <c r="L25" s="20">
        <f t="shared" si="5"/>
        <v>28.712636213007428</v>
      </c>
    </row>
    <row r="26" spans="1:13" x14ac:dyDescent="0.3">
      <c r="B26" s="12" t="s">
        <v>66</v>
      </c>
      <c r="C26" s="13">
        <f>C25-C24</f>
        <v>1226.0899999999965</v>
      </c>
      <c r="H26" s="5" t="s">
        <v>15</v>
      </c>
      <c r="I26" s="44">
        <f>I27-I23-I24-I25</f>
        <v>11</v>
      </c>
      <c r="J26" s="26">
        <f>C30</f>
        <v>87.363166666676989</v>
      </c>
      <c r="K26" s="26">
        <f t="shared" si="4"/>
        <v>7.9421060606069993</v>
      </c>
      <c r="L26" s="20"/>
    </row>
    <row r="27" spans="1:13" x14ac:dyDescent="0.3">
      <c r="B27" s="12" t="s">
        <v>120</v>
      </c>
      <c r="C27" s="13">
        <f>(SUMSQ(G15:G19)/5)-C24</f>
        <v>75.515611111113685</v>
      </c>
      <c r="H27" s="5" t="s">
        <v>17</v>
      </c>
      <c r="I27" s="27">
        <f>C23-2</f>
        <v>23</v>
      </c>
      <c r="J27" s="35">
        <f>C26</f>
        <v>1226.0899999999965</v>
      </c>
      <c r="K27" s="35"/>
      <c r="L27" s="48"/>
    </row>
    <row r="28" spans="1:13" x14ac:dyDescent="0.3">
      <c r="B28" s="49" t="s">
        <v>123</v>
      </c>
      <c r="C28" s="47">
        <f>(SUMSQ(B20:F20)/5)-C24</f>
        <v>142.30427777777368</v>
      </c>
    </row>
    <row r="29" spans="1:13" x14ac:dyDescent="0.3">
      <c r="B29" s="12" t="s">
        <v>67</v>
      </c>
      <c r="C29" s="13">
        <f>(SUMSQ(I20:M20)/5)-C24</f>
        <v>920.90694444443216</v>
      </c>
    </row>
    <row r="30" spans="1:13" x14ac:dyDescent="0.3">
      <c r="B30" s="12" t="s">
        <v>73</v>
      </c>
      <c r="C30" s="13">
        <f>C26-C27-C28-C29</f>
        <v>87.363166666676989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D083-09A4-4139-B76D-AFAE989E542A}">
  <dimension ref="A1:T24"/>
  <sheetViews>
    <sheetView workbookViewId="0">
      <selection activeCell="V8" sqref="V8"/>
    </sheetView>
  </sheetViews>
  <sheetFormatPr defaultRowHeight="14.4" x14ac:dyDescent="0.3"/>
  <sheetData>
    <row r="1" spans="1:20" x14ac:dyDescent="0.3">
      <c r="C1" s="52" t="s">
        <v>62</v>
      </c>
      <c r="D1" s="52"/>
      <c r="E1" s="52"/>
      <c r="F1" s="52"/>
      <c r="G1" s="52"/>
      <c r="H1" s="52"/>
      <c r="I1" s="52"/>
      <c r="L1" s="15"/>
      <c r="M1" s="71" t="s">
        <v>202</v>
      </c>
      <c r="N1" s="71" t="s">
        <v>203</v>
      </c>
      <c r="O1" s="52" t="s">
        <v>133</v>
      </c>
      <c r="P1" s="71" t="s">
        <v>204</v>
      </c>
      <c r="Q1" s="71" t="s">
        <v>205</v>
      </c>
      <c r="R1" s="52" t="s">
        <v>206</v>
      </c>
      <c r="S1" s="52" t="s">
        <v>207</v>
      </c>
      <c r="T1" s="52" t="s">
        <v>208</v>
      </c>
    </row>
    <row r="2" spans="1:20" x14ac:dyDescent="0.3">
      <c r="B2" s="15"/>
      <c r="C2" s="72">
        <v>1</v>
      </c>
      <c r="D2" s="72">
        <v>2</v>
      </c>
      <c r="E2" s="72">
        <v>3</v>
      </c>
      <c r="F2" s="72">
        <v>4</v>
      </c>
      <c r="G2" s="72">
        <v>5</v>
      </c>
      <c r="H2" s="72">
        <v>6</v>
      </c>
      <c r="I2" s="72">
        <v>7</v>
      </c>
      <c r="L2" s="15"/>
      <c r="M2" s="71"/>
      <c r="N2" s="71"/>
      <c r="O2" s="52"/>
      <c r="P2" s="71"/>
      <c r="Q2" s="71"/>
      <c r="R2" s="52"/>
      <c r="S2" s="52"/>
      <c r="T2" s="52"/>
    </row>
    <row r="3" spans="1:20" x14ac:dyDescent="0.3">
      <c r="A3" s="71" t="s">
        <v>61</v>
      </c>
      <c r="B3" s="72">
        <v>1</v>
      </c>
      <c r="C3" s="15">
        <v>2.1</v>
      </c>
      <c r="D3" s="15"/>
      <c r="E3" s="15"/>
      <c r="F3" s="15"/>
      <c r="G3" s="15">
        <v>1.85</v>
      </c>
      <c r="H3" s="15"/>
      <c r="I3" s="15">
        <v>3.54</v>
      </c>
      <c r="L3" s="72">
        <v>1</v>
      </c>
      <c r="M3" s="15">
        <f>SUM(C3:I3)</f>
        <v>7.49</v>
      </c>
      <c r="N3" s="15">
        <f>SUM(C3:C9)</f>
        <v>7.68</v>
      </c>
      <c r="O3" s="15">
        <f>N3^2</f>
        <v>58.982399999999998</v>
      </c>
      <c r="P3" s="15">
        <f>N3+N7+N9</f>
        <v>25.64</v>
      </c>
      <c r="Q3" s="15">
        <f>P3/C$14</f>
        <v>8.5466666666666669</v>
      </c>
      <c r="R3" s="15">
        <f>M3-Q3</f>
        <v>-1.0566666666666666</v>
      </c>
      <c r="S3" s="15">
        <f>R3^2</f>
        <v>1.1165444444444443</v>
      </c>
      <c r="T3" s="15">
        <f>M3^2</f>
        <v>56.100100000000005</v>
      </c>
    </row>
    <row r="4" spans="1:20" x14ac:dyDescent="0.3">
      <c r="A4" s="71"/>
      <c r="B4" s="72">
        <v>2</v>
      </c>
      <c r="C4" s="15">
        <v>2.67</v>
      </c>
      <c r="D4" s="15">
        <v>1.1399999999999999</v>
      </c>
      <c r="E4" s="15"/>
      <c r="F4" s="15"/>
      <c r="G4" s="15"/>
      <c r="H4" s="15">
        <v>1.82</v>
      </c>
      <c r="I4" s="15"/>
      <c r="L4" s="72">
        <v>2</v>
      </c>
      <c r="M4" s="15">
        <f t="shared" ref="M4:M9" si="0">SUM(C4:I4)</f>
        <v>5.63</v>
      </c>
      <c r="N4" s="73">
        <f>SUM(D3:D9)</f>
        <v>7.24</v>
      </c>
      <c r="O4" s="15">
        <f t="shared" ref="O4:O9" si="1">N4^2</f>
        <v>52.4176</v>
      </c>
      <c r="P4" s="15">
        <f>N3+N4+N8</f>
        <v>22.740000000000002</v>
      </c>
      <c r="Q4" s="15">
        <f t="shared" ref="Q4:Q9" si="2">P4/C$14</f>
        <v>7.580000000000001</v>
      </c>
      <c r="R4" s="15">
        <f t="shared" ref="R4:R9" si="3">M4-Q4</f>
        <v>-1.9500000000000011</v>
      </c>
      <c r="S4" s="15">
        <f t="shared" ref="S4:S9" si="4">R4^2</f>
        <v>3.8025000000000042</v>
      </c>
      <c r="T4" s="15">
        <f t="shared" ref="T4:T9" si="5">M4^2</f>
        <v>31.696899999999999</v>
      </c>
    </row>
    <row r="5" spans="1:20" x14ac:dyDescent="0.3">
      <c r="A5" s="71"/>
      <c r="B5" s="72">
        <v>3</v>
      </c>
      <c r="C5" s="15"/>
      <c r="D5" s="15">
        <v>3</v>
      </c>
      <c r="E5" s="15">
        <v>2.92</v>
      </c>
      <c r="F5" s="15"/>
      <c r="G5" s="15"/>
      <c r="H5" s="15"/>
      <c r="I5" s="15">
        <v>3.74</v>
      </c>
      <c r="L5" s="72">
        <v>3</v>
      </c>
      <c r="M5" s="15">
        <f t="shared" si="0"/>
        <v>9.66</v>
      </c>
      <c r="N5" s="15">
        <f>SUM(E3:E9)</f>
        <v>9.0500000000000007</v>
      </c>
      <c r="O5" s="15">
        <f t="shared" si="1"/>
        <v>81.902500000000018</v>
      </c>
      <c r="P5" s="15">
        <f>N4+N5+N9</f>
        <v>26.43</v>
      </c>
      <c r="Q5" s="15">
        <f t="shared" si="2"/>
        <v>8.81</v>
      </c>
      <c r="R5" s="15">
        <f t="shared" si="3"/>
        <v>0.84999999999999964</v>
      </c>
      <c r="S5" s="15">
        <f t="shared" si="4"/>
        <v>0.72249999999999936</v>
      </c>
      <c r="T5" s="15">
        <f t="shared" si="5"/>
        <v>93.315600000000003</v>
      </c>
    </row>
    <row r="6" spans="1:20" x14ac:dyDescent="0.3">
      <c r="A6" s="71"/>
      <c r="B6" s="72">
        <v>4</v>
      </c>
      <c r="C6" s="15">
        <v>2.91</v>
      </c>
      <c r="D6" s="15"/>
      <c r="E6" s="15">
        <v>3.14</v>
      </c>
      <c r="F6" s="15">
        <v>3.13</v>
      </c>
      <c r="G6" s="15"/>
      <c r="H6" s="15"/>
      <c r="I6" s="15"/>
      <c r="L6" s="72">
        <v>4</v>
      </c>
      <c r="M6" s="15">
        <f t="shared" si="0"/>
        <v>9.18</v>
      </c>
      <c r="N6" s="15">
        <f>SUM(F3:F9)</f>
        <v>8.51</v>
      </c>
      <c r="O6" s="15">
        <f t="shared" si="1"/>
        <v>72.420099999999991</v>
      </c>
      <c r="P6" s="15">
        <f>N3+N5+N6</f>
        <v>25.240000000000002</v>
      </c>
      <c r="Q6" s="15">
        <f t="shared" si="2"/>
        <v>8.413333333333334</v>
      </c>
      <c r="R6" s="15">
        <f t="shared" si="3"/>
        <v>0.76666666666666572</v>
      </c>
      <c r="S6" s="15">
        <f t="shared" si="4"/>
        <v>0.58777777777777629</v>
      </c>
      <c r="T6" s="15">
        <f t="shared" si="5"/>
        <v>84.27239999999999</v>
      </c>
    </row>
    <row r="7" spans="1:20" x14ac:dyDescent="0.3">
      <c r="A7" s="71"/>
      <c r="B7" s="72">
        <v>5</v>
      </c>
      <c r="C7" s="15"/>
      <c r="D7" s="15">
        <v>3.1</v>
      </c>
      <c r="E7" s="15"/>
      <c r="F7" s="15">
        <v>2.63</v>
      </c>
      <c r="G7" s="15">
        <v>2.84</v>
      </c>
      <c r="H7" s="15"/>
      <c r="I7" s="15"/>
      <c r="L7" s="72">
        <v>5</v>
      </c>
      <c r="M7" s="15">
        <f t="shared" si="0"/>
        <v>8.57</v>
      </c>
      <c r="N7" s="15">
        <f>SUM(G3:G9)</f>
        <v>7.8199999999999994</v>
      </c>
      <c r="O7" s="15">
        <f t="shared" si="1"/>
        <v>61.152399999999993</v>
      </c>
      <c r="P7" s="15">
        <f>N4+N6+N7</f>
        <v>23.57</v>
      </c>
      <c r="Q7" s="15">
        <f t="shared" si="2"/>
        <v>7.8566666666666665</v>
      </c>
      <c r="R7" s="15">
        <f t="shared" si="3"/>
        <v>0.71333333333333382</v>
      </c>
      <c r="S7" s="15">
        <f t="shared" si="4"/>
        <v>0.5088444444444451</v>
      </c>
      <c r="T7" s="15">
        <f t="shared" si="5"/>
        <v>73.444900000000004</v>
      </c>
    </row>
    <row r="8" spans="1:20" x14ac:dyDescent="0.3">
      <c r="A8" s="71"/>
      <c r="B8" s="72">
        <v>6</v>
      </c>
      <c r="C8" s="15"/>
      <c r="D8" s="15"/>
      <c r="E8" s="15">
        <v>2.99</v>
      </c>
      <c r="F8" s="15"/>
      <c r="G8" s="15">
        <v>3.13</v>
      </c>
      <c r="H8" s="15">
        <v>3.01</v>
      </c>
      <c r="I8" s="15"/>
      <c r="L8" s="72">
        <v>6</v>
      </c>
      <c r="M8" s="15">
        <f t="shared" si="0"/>
        <v>9.129999999999999</v>
      </c>
      <c r="N8" s="15">
        <f>SUM(H3:H9)</f>
        <v>7.82</v>
      </c>
      <c r="O8" s="15">
        <f t="shared" si="1"/>
        <v>61.152400000000007</v>
      </c>
      <c r="P8" s="15">
        <f>N5+N7+N8</f>
        <v>24.69</v>
      </c>
      <c r="Q8" s="15">
        <f t="shared" si="2"/>
        <v>8.23</v>
      </c>
      <c r="R8" s="15">
        <f t="shared" si="3"/>
        <v>0.89999999999999858</v>
      </c>
      <c r="S8" s="15">
        <f t="shared" si="4"/>
        <v>0.80999999999999739</v>
      </c>
      <c r="T8" s="15">
        <f t="shared" si="5"/>
        <v>83.356899999999982</v>
      </c>
    </row>
    <row r="9" spans="1:20" x14ac:dyDescent="0.3">
      <c r="A9" s="71"/>
      <c r="B9" s="72">
        <v>7</v>
      </c>
      <c r="C9" s="15"/>
      <c r="D9" s="15"/>
      <c r="E9" s="15"/>
      <c r="F9" s="15">
        <v>2.75</v>
      </c>
      <c r="G9" s="15"/>
      <c r="H9" s="15">
        <v>2.99</v>
      </c>
      <c r="I9" s="15">
        <v>2.86</v>
      </c>
      <c r="L9" s="72">
        <v>7</v>
      </c>
      <c r="M9" s="15">
        <f t="shared" si="0"/>
        <v>8.6</v>
      </c>
      <c r="N9" s="15">
        <f>SUM(I3:I9)</f>
        <v>10.14</v>
      </c>
      <c r="O9" s="15">
        <f t="shared" si="1"/>
        <v>102.81960000000001</v>
      </c>
      <c r="P9" s="15">
        <f>N6+N8+N9</f>
        <v>26.47</v>
      </c>
      <c r="Q9" s="15">
        <f t="shared" si="2"/>
        <v>8.8233333333333324</v>
      </c>
      <c r="R9" s="15">
        <f t="shared" si="3"/>
        <v>-0.22333333333333272</v>
      </c>
      <c r="S9" s="15">
        <f t="shared" si="4"/>
        <v>4.98777777777775E-2</v>
      </c>
      <c r="T9" s="15">
        <f t="shared" si="5"/>
        <v>73.959999999999994</v>
      </c>
    </row>
    <row r="11" spans="1:20" x14ac:dyDescent="0.3">
      <c r="B11" s="72" t="s">
        <v>139</v>
      </c>
      <c r="C11" s="15">
        <v>7</v>
      </c>
      <c r="E11" s="52" t="s">
        <v>140</v>
      </c>
      <c r="F11" s="52"/>
      <c r="G11" s="52"/>
      <c r="H11" s="52"/>
      <c r="I11" s="52"/>
      <c r="J11" s="52"/>
      <c r="L11" s="72" t="s">
        <v>141</v>
      </c>
      <c r="M11" s="15">
        <f>SUM(M3:M9)</f>
        <v>58.26</v>
      </c>
    </row>
    <row r="12" spans="1:20" x14ac:dyDescent="0.3">
      <c r="B12" s="72" t="s">
        <v>142</v>
      </c>
      <c r="C12" s="15">
        <v>7</v>
      </c>
      <c r="E12" s="26"/>
      <c r="F12" s="26"/>
      <c r="G12" s="26"/>
      <c r="H12" s="26"/>
      <c r="L12" s="72" t="s">
        <v>143</v>
      </c>
      <c r="M12" s="15">
        <f>C13*C11</f>
        <v>21</v>
      </c>
    </row>
    <row r="13" spans="1:20" x14ac:dyDescent="0.3">
      <c r="B13" s="72" t="s">
        <v>144</v>
      </c>
      <c r="C13" s="15">
        <v>3</v>
      </c>
      <c r="L13" s="72" t="s">
        <v>145</v>
      </c>
      <c r="M13" s="15">
        <f>M11^2/M12</f>
        <v>161.62988571428571</v>
      </c>
    </row>
    <row r="14" spans="1:20" x14ac:dyDescent="0.3">
      <c r="B14" s="72" t="s">
        <v>146</v>
      </c>
      <c r="C14" s="15">
        <v>3</v>
      </c>
      <c r="L14" s="72" t="s">
        <v>147</v>
      </c>
      <c r="M14" s="15">
        <f>SUMSQ(C3:I9)-M13</f>
        <v>7.1855142857143051</v>
      </c>
    </row>
    <row r="15" spans="1:20" x14ac:dyDescent="0.3">
      <c r="B15" s="72" t="s">
        <v>209</v>
      </c>
      <c r="C15" s="15">
        <v>1</v>
      </c>
      <c r="L15" s="72" t="s">
        <v>149</v>
      </c>
      <c r="M15" s="15">
        <f>(SUM(O3:O9)/C13)-M13</f>
        <v>1.9857809523809635</v>
      </c>
    </row>
    <row r="16" spans="1:20" x14ac:dyDescent="0.3">
      <c r="B16" s="72" t="s">
        <v>150</v>
      </c>
      <c r="C16" s="15">
        <f>(C15*C11)/(C13*C14)</f>
        <v>0.77777777777777779</v>
      </c>
      <c r="L16" s="72" t="s">
        <v>151</v>
      </c>
      <c r="M16" s="15">
        <f>SUM(S3:S9)/(C13*C16)</f>
        <v>3.2563047619047616</v>
      </c>
    </row>
    <row r="17" spans="3:13" x14ac:dyDescent="0.3">
      <c r="L17" s="72" t="s">
        <v>152</v>
      </c>
      <c r="M17" s="15">
        <f>M14-M15-M16</f>
        <v>1.9434285714285799</v>
      </c>
    </row>
    <row r="20" spans="3:13" x14ac:dyDescent="0.3">
      <c r="C20" s="72" t="s">
        <v>153</v>
      </c>
      <c r="D20" s="72" t="s">
        <v>154</v>
      </c>
      <c r="E20" s="72" t="s">
        <v>155</v>
      </c>
      <c r="F20" s="72" t="s">
        <v>156</v>
      </c>
      <c r="G20" s="72" t="s">
        <v>157</v>
      </c>
    </row>
    <row r="21" spans="3:13" x14ac:dyDescent="0.3">
      <c r="C21" s="72" t="s">
        <v>121</v>
      </c>
      <c r="D21" s="15">
        <f>C11-1</f>
        <v>6</v>
      </c>
      <c r="E21" s="15">
        <f>M16</f>
        <v>3.2563047619047616</v>
      </c>
      <c r="F21" s="15">
        <f>E21/D21</f>
        <v>0.54271746031746027</v>
      </c>
      <c r="G21" s="15">
        <f>F21/F23</f>
        <v>2.2340618772256424</v>
      </c>
      <c r="H21">
        <f>FINV(0.05,6,8)</f>
        <v>3.5805803197614603</v>
      </c>
    </row>
    <row r="22" spans="3:13" x14ac:dyDescent="0.3">
      <c r="C22" s="72" t="s">
        <v>159</v>
      </c>
      <c r="D22" s="15">
        <f>C12-1</f>
        <v>6</v>
      </c>
      <c r="E22" s="15">
        <f>M15</f>
        <v>1.9857809523809635</v>
      </c>
      <c r="F22" s="15">
        <f t="shared" ref="F22:F23" si="6">E22/D22</f>
        <v>0.3309634920634939</v>
      </c>
      <c r="G22" s="15">
        <f>F22/F23</f>
        <v>1.3623901466888839</v>
      </c>
    </row>
    <row r="23" spans="3:13" x14ac:dyDescent="0.3">
      <c r="C23" s="72" t="s">
        <v>15</v>
      </c>
      <c r="D23" s="15">
        <f>(21-1-D22-D21)</f>
        <v>8</v>
      </c>
      <c r="E23" s="15">
        <f>M17</f>
        <v>1.9434285714285799</v>
      </c>
      <c r="F23" s="15">
        <f t="shared" si="6"/>
        <v>0.24292857142857249</v>
      </c>
      <c r="G23" s="15"/>
    </row>
    <row r="24" spans="3:13" x14ac:dyDescent="0.3">
      <c r="C24" s="72" t="s">
        <v>17</v>
      </c>
      <c r="D24" s="15">
        <f>SUM(D21:D23)</f>
        <v>20</v>
      </c>
      <c r="E24" s="15"/>
      <c r="F24" s="15"/>
      <c r="G24" s="15"/>
    </row>
  </sheetData>
  <mergeCells count="11">
    <mergeCell ref="R1:R2"/>
    <mergeCell ref="S1:S2"/>
    <mergeCell ref="T1:T2"/>
    <mergeCell ref="A3:A9"/>
    <mergeCell ref="E11:J11"/>
    <mergeCell ref="C1:I1"/>
    <mergeCell ref="M1:M2"/>
    <mergeCell ref="N1:N2"/>
    <mergeCell ref="O1:O2"/>
    <mergeCell ref="P1:P2"/>
    <mergeCell ref="Q1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1D3A-35E3-415C-BE9F-BAFB8CFE062E}">
  <dimension ref="A1:T24"/>
  <sheetViews>
    <sheetView workbookViewId="0">
      <selection sqref="A1:W28"/>
    </sheetView>
  </sheetViews>
  <sheetFormatPr defaultRowHeight="14.4" x14ac:dyDescent="0.3"/>
  <sheetData>
    <row r="1" spans="1:20" x14ac:dyDescent="0.3">
      <c r="B1" s="26"/>
      <c r="C1" s="52" t="s">
        <v>62</v>
      </c>
      <c r="D1" s="52"/>
      <c r="E1" s="52"/>
      <c r="F1" s="52"/>
      <c r="G1" s="52"/>
      <c r="H1" s="52"/>
      <c r="I1" s="52"/>
      <c r="J1" s="26"/>
      <c r="K1" s="26"/>
      <c r="L1" s="26"/>
      <c r="M1" s="53" t="s">
        <v>131</v>
      </c>
      <c r="N1" s="53" t="s">
        <v>132</v>
      </c>
      <c r="O1" s="54" t="s">
        <v>133</v>
      </c>
      <c r="P1" s="53" t="s">
        <v>134</v>
      </c>
      <c r="Q1" s="53" t="s">
        <v>135</v>
      </c>
      <c r="R1" s="54" t="s">
        <v>136</v>
      </c>
      <c r="S1" s="54" t="s">
        <v>137</v>
      </c>
      <c r="T1" s="54" t="s">
        <v>138</v>
      </c>
    </row>
    <row r="2" spans="1:20" x14ac:dyDescent="0.3">
      <c r="B2" s="5"/>
      <c r="C2" s="55">
        <v>1</v>
      </c>
      <c r="D2" s="55">
        <v>2</v>
      </c>
      <c r="E2" s="55">
        <v>3</v>
      </c>
      <c r="F2" s="55">
        <v>4</v>
      </c>
      <c r="G2" s="55">
        <v>5</v>
      </c>
      <c r="H2" s="55">
        <v>6</v>
      </c>
      <c r="I2" s="55">
        <v>7</v>
      </c>
      <c r="J2" s="26"/>
      <c r="K2" s="26"/>
      <c r="L2" s="26"/>
      <c r="M2" s="53"/>
      <c r="N2" s="53"/>
      <c r="O2" s="54"/>
      <c r="P2" s="53"/>
      <c r="Q2" s="53"/>
      <c r="R2" s="54"/>
      <c r="S2" s="54"/>
      <c r="T2" s="54"/>
    </row>
    <row r="3" spans="1:20" x14ac:dyDescent="0.3">
      <c r="A3" s="53" t="s">
        <v>61</v>
      </c>
      <c r="B3" s="55">
        <v>1</v>
      </c>
      <c r="C3" s="5">
        <v>2.1</v>
      </c>
      <c r="D3" s="5"/>
      <c r="E3" s="5"/>
      <c r="F3" s="5"/>
      <c r="G3" s="5">
        <v>1.85</v>
      </c>
      <c r="H3" s="5"/>
      <c r="I3" s="5">
        <v>3.54</v>
      </c>
      <c r="J3" s="26"/>
      <c r="K3" s="26"/>
      <c r="L3" s="55">
        <v>1</v>
      </c>
      <c r="M3" s="5">
        <f>SUM(C3:I3)</f>
        <v>7.49</v>
      </c>
      <c r="N3" s="5">
        <f>SUM(C3:C9)</f>
        <v>7.68</v>
      </c>
      <c r="O3" s="5">
        <f>N3^2</f>
        <v>58.982399999999998</v>
      </c>
      <c r="P3" s="5">
        <f>N3+N7+N9</f>
        <v>25.64</v>
      </c>
      <c r="Q3" s="5">
        <f>P3/C$14</f>
        <v>8.5466666666666669</v>
      </c>
      <c r="R3" s="5">
        <f>M3-Q3</f>
        <v>-1.0566666666666666</v>
      </c>
      <c r="S3" s="5">
        <f>R3^2</f>
        <v>1.1165444444444443</v>
      </c>
      <c r="T3" s="5">
        <f>M3^2</f>
        <v>56.100100000000005</v>
      </c>
    </row>
    <row r="4" spans="1:20" x14ac:dyDescent="0.3">
      <c r="A4" s="53"/>
      <c r="B4" s="55">
        <v>2</v>
      </c>
      <c r="C4" s="5">
        <v>2.67</v>
      </c>
      <c r="D4" s="5">
        <v>1.1399999999999999</v>
      </c>
      <c r="E4" s="5"/>
      <c r="F4" s="5"/>
      <c r="G4" s="5"/>
      <c r="H4" s="5">
        <v>1.82</v>
      </c>
      <c r="I4" s="5"/>
      <c r="J4" s="26"/>
      <c r="K4" s="26"/>
      <c r="L4" s="55">
        <v>2</v>
      </c>
      <c r="M4" s="5">
        <f t="shared" ref="M4:M9" si="0">SUM(C4:I4)</f>
        <v>5.63</v>
      </c>
      <c r="N4" s="56">
        <f>SUM(D3:D9)</f>
        <v>7.24</v>
      </c>
      <c r="O4" s="5">
        <f t="shared" ref="O4:O9" si="1">N4^2</f>
        <v>52.4176</v>
      </c>
      <c r="P4" s="5">
        <f>N3+N4+N8</f>
        <v>22.740000000000002</v>
      </c>
      <c r="Q4" s="5">
        <f t="shared" ref="Q4:Q9" si="2">P4/C$14</f>
        <v>7.580000000000001</v>
      </c>
      <c r="R4" s="5">
        <f t="shared" ref="R4:R9" si="3">M4-Q4</f>
        <v>-1.9500000000000011</v>
      </c>
      <c r="S4" s="5">
        <f t="shared" ref="S4:S9" si="4">R4^2</f>
        <v>3.8025000000000042</v>
      </c>
      <c r="T4" s="5">
        <f t="shared" ref="T4:T9" si="5">M4^2</f>
        <v>31.696899999999999</v>
      </c>
    </row>
    <row r="5" spans="1:20" x14ac:dyDescent="0.3">
      <c r="A5" s="53"/>
      <c r="B5" s="55">
        <v>3</v>
      </c>
      <c r="C5" s="5"/>
      <c r="D5" s="5">
        <v>3</v>
      </c>
      <c r="E5" s="5">
        <v>2.92</v>
      </c>
      <c r="F5" s="5"/>
      <c r="G5" s="5"/>
      <c r="H5" s="5"/>
      <c r="I5" s="5">
        <v>3.74</v>
      </c>
      <c r="J5" s="26"/>
      <c r="K5" s="26"/>
      <c r="L5" s="55">
        <v>3</v>
      </c>
      <c r="M5" s="5">
        <f t="shared" si="0"/>
        <v>9.66</v>
      </c>
      <c r="N5" s="5">
        <f>SUM(E3:E9)</f>
        <v>9.0500000000000007</v>
      </c>
      <c r="O5" s="5">
        <f t="shared" si="1"/>
        <v>81.902500000000018</v>
      </c>
      <c r="P5" s="5">
        <f>N4+N5+N9</f>
        <v>26.43</v>
      </c>
      <c r="Q5" s="5">
        <f t="shared" si="2"/>
        <v>8.81</v>
      </c>
      <c r="R5" s="5">
        <f t="shared" si="3"/>
        <v>0.84999999999999964</v>
      </c>
      <c r="S5" s="5">
        <f t="shared" si="4"/>
        <v>0.72249999999999936</v>
      </c>
      <c r="T5" s="5">
        <f t="shared" si="5"/>
        <v>93.315600000000003</v>
      </c>
    </row>
    <row r="6" spans="1:20" x14ac:dyDescent="0.3">
      <c r="A6" s="53"/>
      <c r="B6" s="55">
        <v>4</v>
      </c>
      <c r="C6" s="5">
        <v>2.91</v>
      </c>
      <c r="D6" s="5"/>
      <c r="E6" s="5">
        <v>3.14</v>
      </c>
      <c r="F6" s="5">
        <v>3.13</v>
      </c>
      <c r="G6" s="5"/>
      <c r="H6" s="5"/>
      <c r="I6" s="5"/>
      <c r="J6" s="26"/>
      <c r="K6" s="26"/>
      <c r="L6" s="55">
        <v>4</v>
      </c>
      <c r="M6" s="5">
        <f t="shared" si="0"/>
        <v>9.18</v>
      </c>
      <c r="N6" s="5">
        <f>SUM(F3:F9)</f>
        <v>8.51</v>
      </c>
      <c r="O6" s="5">
        <f t="shared" si="1"/>
        <v>72.420099999999991</v>
      </c>
      <c r="P6" s="5">
        <f>N3+N5+N6</f>
        <v>25.240000000000002</v>
      </c>
      <c r="Q6" s="5">
        <f t="shared" si="2"/>
        <v>8.413333333333334</v>
      </c>
      <c r="R6" s="5">
        <f t="shared" si="3"/>
        <v>0.76666666666666572</v>
      </c>
      <c r="S6" s="5">
        <f t="shared" si="4"/>
        <v>0.58777777777777629</v>
      </c>
      <c r="T6" s="5">
        <f t="shared" si="5"/>
        <v>84.27239999999999</v>
      </c>
    </row>
    <row r="7" spans="1:20" x14ac:dyDescent="0.3">
      <c r="A7" s="53"/>
      <c r="B7" s="55">
        <v>5</v>
      </c>
      <c r="C7" s="5"/>
      <c r="D7" s="5">
        <v>3.1</v>
      </c>
      <c r="E7" s="5"/>
      <c r="F7" s="5">
        <v>2.63</v>
      </c>
      <c r="G7" s="5">
        <v>2.84</v>
      </c>
      <c r="H7" s="5"/>
      <c r="I7" s="5"/>
      <c r="J7" s="26"/>
      <c r="K7" s="26"/>
      <c r="L7" s="55">
        <v>5</v>
      </c>
      <c r="M7" s="5">
        <f t="shared" si="0"/>
        <v>8.57</v>
      </c>
      <c r="N7" s="5">
        <f>SUM(G3:G9)</f>
        <v>7.8199999999999994</v>
      </c>
      <c r="O7" s="5">
        <f t="shared" si="1"/>
        <v>61.152399999999993</v>
      </c>
      <c r="P7" s="5">
        <f>N4+N6+N7</f>
        <v>23.57</v>
      </c>
      <c r="Q7" s="5">
        <f t="shared" si="2"/>
        <v>7.8566666666666665</v>
      </c>
      <c r="R7" s="5">
        <f t="shared" si="3"/>
        <v>0.71333333333333382</v>
      </c>
      <c r="S7" s="5">
        <f t="shared" si="4"/>
        <v>0.5088444444444451</v>
      </c>
      <c r="T7" s="5">
        <f t="shared" si="5"/>
        <v>73.444900000000004</v>
      </c>
    </row>
    <row r="8" spans="1:20" x14ac:dyDescent="0.3">
      <c r="A8" s="53"/>
      <c r="B8" s="55">
        <v>6</v>
      </c>
      <c r="C8" s="5"/>
      <c r="D8" s="5"/>
      <c r="E8" s="5">
        <v>2.99</v>
      </c>
      <c r="F8" s="5"/>
      <c r="G8" s="5">
        <v>3.13</v>
      </c>
      <c r="H8" s="5">
        <v>3.01</v>
      </c>
      <c r="I8" s="5"/>
      <c r="J8" s="26"/>
      <c r="K8" s="26"/>
      <c r="L8" s="55">
        <v>6</v>
      </c>
      <c r="M8" s="5">
        <f t="shared" si="0"/>
        <v>9.129999999999999</v>
      </c>
      <c r="N8" s="5">
        <f>SUM(H3:H9)</f>
        <v>7.82</v>
      </c>
      <c r="O8" s="5">
        <f t="shared" si="1"/>
        <v>61.152400000000007</v>
      </c>
      <c r="P8" s="5">
        <f>N5+N7+N8</f>
        <v>24.69</v>
      </c>
      <c r="Q8" s="5">
        <f t="shared" si="2"/>
        <v>8.23</v>
      </c>
      <c r="R8" s="5">
        <f t="shared" si="3"/>
        <v>0.89999999999999858</v>
      </c>
      <c r="S8" s="5">
        <f t="shared" si="4"/>
        <v>0.80999999999999739</v>
      </c>
      <c r="T8" s="5">
        <f t="shared" si="5"/>
        <v>83.356899999999982</v>
      </c>
    </row>
    <row r="9" spans="1:20" x14ac:dyDescent="0.3">
      <c r="A9" s="53"/>
      <c r="B9" s="55">
        <v>7</v>
      </c>
      <c r="C9" s="5"/>
      <c r="D9" s="5"/>
      <c r="E9" s="5"/>
      <c r="F9" s="5">
        <v>2.75</v>
      </c>
      <c r="G9" s="5"/>
      <c r="H9" s="5">
        <v>2.99</v>
      </c>
      <c r="I9" s="5">
        <v>2.86</v>
      </c>
      <c r="J9" s="26"/>
      <c r="K9" s="26"/>
      <c r="L9" s="55">
        <v>7</v>
      </c>
      <c r="M9" s="5">
        <f t="shared" si="0"/>
        <v>8.6</v>
      </c>
      <c r="N9" s="5">
        <f>SUM(I3:I9)</f>
        <v>10.14</v>
      </c>
      <c r="O9" s="5">
        <f t="shared" si="1"/>
        <v>102.81960000000001</v>
      </c>
      <c r="P9" s="5">
        <f>N6+N8+N9</f>
        <v>26.47</v>
      </c>
      <c r="Q9" s="5">
        <f t="shared" si="2"/>
        <v>8.8233333333333324</v>
      </c>
      <c r="R9" s="5">
        <f t="shared" si="3"/>
        <v>-0.22333333333333272</v>
      </c>
      <c r="S9" s="5">
        <f t="shared" si="4"/>
        <v>4.98777777777775E-2</v>
      </c>
      <c r="T9" s="5">
        <f t="shared" si="5"/>
        <v>73.959999999999994</v>
      </c>
    </row>
    <row r="11" spans="1:20" x14ac:dyDescent="0.3">
      <c r="B11" s="57" t="s">
        <v>139</v>
      </c>
      <c r="C11" s="13">
        <v>7</v>
      </c>
      <c r="E11" s="58" t="s">
        <v>140</v>
      </c>
      <c r="F11" s="59"/>
      <c r="G11" s="59"/>
      <c r="H11" s="59"/>
      <c r="I11" s="60"/>
      <c r="J11" s="61"/>
      <c r="L11" s="57" t="s">
        <v>141</v>
      </c>
      <c r="M11" s="13">
        <f>SUM(M3:M9)</f>
        <v>58.26</v>
      </c>
    </row>
    <row r="12" spans="1:20" x14ac:dyDescent="0.3">
      <c r="B12" s="57" t="s">
        <v>142</v>
      </c>
      <c r="C12" s="13">
        <v>7</v>
      </c>
      <c r="E12" s="26"/>
      <c r="F12" s="26"/>
      <c r="G12" s="26"/>
      <c r="H12" s="26"/>
      <c r="L12" s="57" t="s">
        <v>143</v>
      </c>
      <c r="M12" s="13">
        <f>C13*C11</f>
        <v>21</v>
      </c>
    </row>
    <row r="13" spans="1:20" x14ac:dyDescent="0.3">
      <c r="B13" s="57" t="s">
        <v>144</v>
      </c>
      <c r="C13" s="13">
        <v>3</v>
      </c>
      <c r="L13" s="57" t="s">
        <v>145</v>
      </c>
      <c r="M13" s="13">
        <f>M11^2/M12</f>
        <v>161.62988571428571</v>
      </c>
    </row>
    <row r="14" spans="1:20" x14ac:dyDescent="0.3">
      <c r="B14" s="57" t="s">
        <v>146</v>
      </c>
      <c r="C14" s="13">
        <v>3</v>
      </c>
      <c r="L14" s="57" t="s">
        <v>147</v>
      </c>
      <c r="M14" s="13">
        <f>SUMSQ(C3:I9)-M13</f>
        <v>7.1855142857143051</v>
      </c>
    </row>
    <row r="15" spans="1:20" x14ac:dyDescent="0.3">
      <c r="B15" s="57" t="s">
        <v>148</v>
      </c>
      <c r="C15" s="13">
        <v>1</v>
      </c>
      <c r="L15" s="57" t="s">
        <v>149</v>
      </c>
      <c r="M15" s="13">
        <f>(SUM(O3:O9)/C13)-M13</f>
        <v>1.9857809523809635</v>
      </c>
    </row>
    <row r="16" spans="1:20" x14ac:dyDescent="0.3">
      <c r="B16" s="57" t="s">
        <v>150</v>
      </c>
      <c r="C16" s="13">
        <f>(C15*C11)/(C13*C14)</f>
        <v>0.77777777777777779</v>
      </c>
      <c r="L16" s="57" t="s">
        <v>151</v>
      </c>
      <c r="M16" s="13">
        <f>SUM(S3:S9)/(C13*C16)</f>
        <v>3.2563047619047616</v>
      </c>
    </row>
    <row r="17" spans="3:13" x14ac:dyDescent="0.3">
      <c r="L17" s="57" t="s">
        <v>152</v>
      </c>
      <c r="M17" s="13">
        <f>M14-M15-M16</f>
        <v>1.9434285714285799</v>
      </c>
    </row>
    <row r="20" spans="3:13" x14ac:dyDescent="0.3">
      <c r="C20" s="55" t="s">
        <v>153</v>
      </c>
      <c r="D20" s="55" t="s">
        <v>154</v>
      </c>
      <c r="E20" s="55" t="s">
        <v>155</v>
      </c>
      <c r="F20" s="55" t="s">
        <v>156</v>
      </c>
      <c r="G20" s="55" t="s">
        <v>157</v>
      </c>
      <c r="H20" s="62" t="s">
        <v>158</v>
      </c>
    </row>
    <row r="21" spans="3:13" x14ac:dyDescent="0.3">
      <c r="C21" s="55" t="s">
        <v>121</v>
      </c>
      <c r="D21" s="5">
        <f>C11-1</f>
        <v>6</v>
      </c>
      <c r="E21" s="5">
        <f>M16</f>
        <v>3.2563047619047616</v>
      </c>
      <c r="F21" s="5">
        <f>E21/D21</f>
        <v>0.54271746031746027</v>
      </c>
      <c r="G21" s="5">
        <f>F21/F23</f>
        <v>2.2340618772256424</v>
      </c>
      <c r="H21" s="5">
        <f>FINV(0.05,6,8)</f>
        <v>3.5805803197614603</v>
      </c>
    </row>
    <row r="22" spans="3:13" x14ac:dyDescent="0.3">
      <c r="C22" s="55" t="s">
        <v>159</v>
      </c>
      <c r="D22" s="5">
        <f>C12-1</f>
        <v>6</v>
      </c>
      <c r="E22" s="5">
        <f>M15</f>
        <v>1.9857809523809635</v>
      </c>
      <c r="F22" s="5">
        <f t="shared" ref="F22:F23" si="6">E22/D22</f>
        <v>0.3309634920634939</v>
      </c>
      <c r="G22" s="5">
        <f>F22/F23</f>
        <v>1.3623901466888839</v>
      </c>
      <c r="H22" s="26"/>
    </row>
    <row r="23" spans="3:13" x14ac:dyDescent="0.3">
      <c r="C23" s="55" t="s">
        <v>15</v>
      </c>
      <c r="D23" s="5">
        <f>(21-1-D22-D21)</f>
        <v>8</v>
      </c>
      <c r="E23" s="5">
        <f>M17</f>
        <v>1.9434285714285799</v>
      </c>
      <c r="F23" s="5">
        <f t="shared" si="6"/>
        <v>0.24292857142857249</v>
      </c>
      <c r="G23" s="5"/>
      <c r="H23" s="26"/>
    </row>
    <row r="24" spans="3:13" x14ac:dyDescent="0.3">
      <c r="C24" s="55" t="s">
        <v>17</v>
      </c>
      <c r="D24" s="5">
        <f>SUM(D21:D23)</f>
        <v>20</v>
      </c>
      <c r="E24" s="5"/>
      <c r="F24" s="5"/>
      <c r="G24" s="5"/>
      <c r="H24" s="26"/>
    </row>
  </sheetData>
  <mergeCells count="11">
    <mergeCell ref="R1:R2"/>
    <mergeCell ref="S1:S2"/>
    <mergeCell ref="T1:T2"/>
    <mergeCell ref="A3:A9"/>
    <mergeCell ref="E11:I11"/>
    <mergeCell ref="C1:I1"/>
    <mergeCell ref="M1:M2"/>
    <mergeCell ref="N1:N2"/>
    <mergeCell ref="O1:O2"/>
    <mergeCell ref="P1:P2"/>
    <mergeCell ref="Q1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5325-CE26-474E-A661-43BCC9CDAACF}">
  <dimension ref="A1:R21"/>
  <sheetViews>
    <sheetView workbookViewId="0">
      <selection activeCell="K1" sqref="K1:P1"/>
    </sheetView>
  </sheetViews>
  <sheetFormatPr defaultRowHeight="14.4" x14ac:dyDescent="0.3"/>
  <cols>
    <col min="2" max="2" width="17" bestFit="1" customWidth="1"/>
    <col min="11" max="11" width="14.88671875" bestFit="1" customWidth="1"/>
  </cols>
  <sheetData>
    <row r="1" spans="1:18" x14ac:dyDescent="0.3">
      <c r="A1" s="26"/>
      <c r="B1" s="5" t="s">
        <v>160</v>
      </c>
      <c r="C1" s="5" t="s">
        <v>161</v>
      </c>
      <c r="D1" s="5" t="s">
        <v>162</v>
      </c>
      <c r="E1" s="5" t="s">
        <v>163</v>
      </c>
      <c r="F1" s="26"/>
      <c r="K1" s="14" t="s">
        <v>164</v>
      </c>
      <c r="L1" s="14"/>
      <c r="M1" s="14"/>
      <c r="N1" s="14"/>
      <c r="O1" s="14"/>
      <c r="P1" s="14"/>
    </row>
    <row r="2" spans="1:18" ht="57.6" x14ac:dyDescent="0.3">
      <c r="A2" s="26"/>
      <c r="B2" s="5" t="s">
        <v>165</v>
      </c>
      <c r="C2" s="5">
        <v>10</v>
      </c>
      <c r="D2" s="5" t="s">
        <v>166</v>
      </c>
      <c r="E2" s="5">
        <v>11</v>
      </c>
      <c r="F2" s="28" t="s">
        <v>62</v>
      </c>
      <c r="K2" s="56" t="s">
        <v>167</v>
      </c>
      <c r="L2" s="5"/>
      <c r="M2" s="5"/>
      <c r="N2" s="5"/>
      <c r="O2" s="5"/>
      <c r="P2" s="5"/>
    </row>
    <row r="3" spans="1:18" x14ac:dyDescent="0.3">
      <c r="A3" s="63" t="s">
        <v>62</v>
      </c>
      <c r="B3" s="26">
        <v>64</v>
      </c>
      <c r="C3" s="26">
        <v>25</v>
      </c>
      <c r="D3" s="26">
        <v>30</v>
      </c>
      <c r="E3" s="26">
        <v>6</v>
      </c>
      <c r="F3" s="5">
        <f>SUM(B3:E3)</f>
        <v>125</v>
      </c>
      <c r="K3" s="5" t="s">
        <v>160</v>
      </c>
      <c r="L3" s="5">
        <f>B7</f>
        <v>290</v>
      </c>
      <c r="M3" s="5">
        <f>L4+L3</f>
        <v>374</v>
      </c>
      <c r="N3" s="5">
        <f>M4+M3</f>
        <v>586</v>
      </c>
      <c r="O3" s="5">
        <f>N3^2</f>
        <v>343396</v>
      </c>
      <c r="P3" s="5"/>
    </row>
    <row r="4" spans="1:18" x14ac:dyDescent="0.3">
      <c r="A4" s="63"/>
      <c r="B4" s="26">
        <v>75</v>
      </c>
      <c r="C4" s="26">
        <v>14</v>
      </c>
      <c r="D4" s="26">
        <v>50</v>
      </c>
      <c r="E4" s="26">
        <v>33</v>
      </c>
      <c r="F4" s="5">
        <f t="shared" ref="F4:F6" si="0">SUM(B4:E4)</f>
        <v>172</v>
      </c>
      <c r="K4" s="5" t="s">
        <v>161</v>
      </c>
      <c r="L4" s="5">
        <f>C7</f>
        <v>84</v>
      </c>
      <c r="M4" s="5">
        <f>L6+L5</f>
        <v>212</v>
      </c>
      <c r="N4" s="5">
        <f>M6+M5</f>
        <v>-286</v>
      </c>
      <c r="O4" s="5">
        <f t="shared" ref="O4:O6" si="1">N4^2</f>
        <v>81796</v>
      </c>
      <c r="P4" s="5">
        <f>O4/(B$11)</f>
        <v>5112.25</v>
      </c>
    </row>
    <row r="5" spans="1:18" x14ac:dyDescent="0.3">
      <c r="A5" s="63"/>
      <c r="B5" s="26">
        <v>76</v>
      </c>
      <c r="C5" s="26">
        <v>12</v>
      </c>
      <c r="D5" s="26">
        <v>41</v>
      </c>
      <c r="E5" s="26">
        <v>17</v>
      </c>
      <c r="F5" s="5">
        <f t="shared" si="0"/>
        <v>146</v>
      </c>
      <c r="K5" s="5" t="s">
        <v>162</v>
      </c>
      <c r="L5" s="5">
        <f>D7</f>
        <v>146</v>
      </c>
      <c r="M5" s="5">
        <f>L4-L3</f>
        <v>-206</v>
      </c>
      <c r="N5" s="5">
        <f>M4-M3</f>
        <v>-162</v>
      </c>
      <c r="O5" s="5">
        <f t="shared" si="1"/>
        <v>26244</v>
      </c>
      <c r="P5" s="5">
        <f t="shared" ref="P5" si="2">O5/(B$11)</f>
        <v>1640.25</v>
      </c>
    </row>
    <row r="6" spans="1:18" x14ac:dyDescent="0.3">
      <c r="A6" s="63"/>
      <c r="B6" s="26">
        <v>75</v>
      </c>
      <c r="C6" s="26">
        <v>33</v>
      </c>
      <c r="D6" s="26">
        <v>25</v>
      </c>
      <c r="E6" s="26">
        <v>10</v>
      </c>
      <c r="F6" s="5">
        <f t="shared" si="0"/>
        <v>143</v>
      </c>
      <c r="K6" s="5" t="s">
        <v>163</v>
      </c>
      <c r="L6" s="5">
        <f>E7</f>
        <v>66</v>
      </c>
      <c r="M6" s="5">
        <f>L6-L5</f>
        <v>-80</v>
      </c>
      <c r="N6" s="5">
        <f>M6-M5</f>
        <v>126</v>
      </c>
      <c r="O6" s="5">
        <f t="shared" si="1"/>
        <v>15876</v>
      </c>
      <c r="P6" s="5">
        <f>O6/(B$11)</f>
        <v>992.25</v>
      </c>
    </row>
    <row r="7" spans="1:18" x14ac:dyDescent="0.3">
      <c r="A7" s="7" t="s">
        <v>168</v>
      </c>
      <c r="B7" s="7">
        <f>SUM(B3:B6)</f>
        <v>290</v>
      </c>
      <c r="C7" s="5">
        <f t="shared" ref="C7:E7" si="3">SUM(C3:C6)</f>
        <v>84</v>
      </c>
      <c r="D7" s="7">
        <f t="shared" si="3"/>
        <v>146</v>
      </c>
      <c r="E7" s="7">
        <f t="shared" si="3"/>
        <v>66</v>
      </c>
      <c r="F7" s="26"/>
      <c r="K7" s="26"/>
      <c r="L7" s="26"/>
      <c r="M7" s="26"/>
      <c r="N7" s="26"/>
      <c r="O7" s="12" t="s">
        <v>67</v>
      </c>
      <c r="P7" s="13">
        <f>SUM(P4:P6)</f>
        <v>7744.75</v>
      </c>
    </row>
    <row r="8" spans="1:18" x14ac:dyDescent="0.3">
      <c r="A8" s="12" t="s">
        <v>4</v>
      </c>
      <c r="B8" s="13">
        <f>SUM(B3:E6)</f>
        <v>586</v>
      </c>
      <c r="D8" s="12" t="s">
        <v>63</v>
      </c>
      <c r="E8" s="13">
        <f>(B8^2)/B11</f>
        <v>21462.25</v>
      </c>
    </row>
    <row r="9" spans="1:18" x14ac:dyDescent="0.3">
      <c r="A9" s="12" t="s">
        <v>78</v>
      </c>
      <c r="B9" s="13">
        <v>4</v>
      </c>
      <c r="D9" s="12" t="s">
        <v>65</v>
      </c>
      <c r="E9" s="13">
        <f>SUMSQ(B3:E6)</f>
        <v>30396</v>
      </c>
    </row>
    <row r="10" spans="1:18" x14ac:dyDescent="0.3">
      <c r="A10" s="12" t="s">
        <v>79</v>
      </c>
      <c r="B10" s="13">
        <v>4</v>
      </c>
      <c r="D10" s="12" t="s">
        <v>66</v>
      </c>
      <c r="E10" s="13">
        <f>E9-E8</f>
        <v>8933.75</v>
      </c>
      <c r="K10" s="5" t="s">
        <v>25</v>
      </c>
      <c r="L10" s="5" t="s">
        <v>8</v>
      </c>
      <c r="M10" s="5" t="s">
        <v>9</v>
      </c>
      <c r="N10" s="5" t="s">
        <v>26</v>
      </c>
      <c r="O10" s="29" t="s">
        <v>169</v>
      </c>
      <c r="P10" s="64"/>
      <c r="Q10" s="64"/>
      <c r="R10" s="64"/>
    </row>
    <row r="11" spans="1:18" x14ac:dyDescent="0.3">
      <c r="A11" s="12" t="s">
        <v>3</v>
      </c>
      <c r="B11" s="13">
        <f>B9*B10</f>
        <v>16</v>
      </c>
      <c r="D11" s="12" t="s">
        <v>67</v>
      </c>
      <c r="E11" s="13">
        <f>(SUMSQ(B7:E7)/B9)-E8</f>
        <v>7744.75</v>
      </c>
      <c r="K11" s="5" t="s">
        <v>62</v>
      </c>
      <c r="L11" s="5">
        <f>B9-1</f>
        <v>3</v>
      </c>
      <c r="M11" s="5">
        <f>E12</f>
        <v>281.25</v>
      </c>
      <c r="N11" s="5">
        <f>M11/L11</f>
        <v>93.75</v>
      </c>
      <c r="O11" s="5">
        <f>N11/N$15</f>
        <v>0.9294960066097494</v>
      </c>
    </row>
    <row r="12" spans="1:18" x14ac:dyDescent="0.3">
      <c r="D12" s="12" t="s">
        <v>70</v>
      </c>
      <c r="E12" s="13">
        <f>(SUMSQ(F3:F6)/B10)-E8</f>
        <v>281.25</v>
      </c>
      <c r="K12" s="5" t="s">
        <v>170</v>
      </c>
      <c r="L12" s="5">
        <f>1</f>
        <v>1</v>
      </c>
      <c r="M12" s="5">
        <f>P4</f>
        <v>5112.25</v>
      </c>
      <c r="N12" s="5">
        <f>M12/L12</f>
        <v>5112.25</v>
      </c>
      <c r="O12" s="5">
        <f t="shared" ref="O12:O14" si="4">N12/N$15</f>
        <v>50.68603690443404</v>
      </c>
    </row>
    <row r="13" spans="1:18" x14ac:dyDescent="0.3">
      <c r="D13" s="12" t="s">
        <v>73</v>
      </c>
      <c r="E13" s="13">
        <f>E10-E11-E12</f>
        <v>907.75</v>
      </c>
      <c r="K13" s="5" t="s">
        <v>171</v>
      </c>
      <c r="L13" s="5">
        <v>1</v>
      </c>
      <c r="M13" s="5">
        <f>P5</f>
        <v>1640.25</v>
      </c>
      <c r="N13" s="5">
        <f t="shared" ref="N13:N14" si="5">M13/L13</f>
        <v>1640.25</v>
      </c>
      <c r="O13" s="5">
        <f t="shared" si="4"/>
        <v>16.262462131644174</v>
      </c>
    </row>
    <row r="14" spans="1:18" ht="15" thickBot="1" x14ac:dyDescent="0.35">
      <c r="B14" s="26" t="s">
        <v>80</v>
      </c>
      <c r="C14" s="26"/>
      <c r="D14" s="26"/>
      <c r="E14" s="26"/>
      <c r="F14" s="26"/>
      <c r="G14" s="26"/>
      <c r="H14" s="26"/>
      <c r="K14" s="5" t="s">
        <v>172</v>
      </c>
      <c r="L14" s="5">
        <v>1</v>
      </c>
      <c r="M14" s="5">
        <f>P6</f>
        <v>992.25</v>
      </c>
      <c r="N14" s="5">
        <f t="shared" si="5"/>
        <v>992.25</v>
      </c>
      <c r="O14" s="5">
        <f t="shared" si="4"/>
        <v>9.8377857339575865</v>
      </c>
    </row>
    <row r="15" spans="1:18" x14ac:dyDescent="0.3">
      <c r="B15" s="65" t="s">
        <v>81</v>
      </c>
      <c r="C15" s="65" t="s">
        <v>82</v>
      </c>
      <c r="D15" s="65" t="s">
        <v>83</v>
      </c>
      <c r="E15" s="65" t="s">
        <v>84</v>
      </c>
      <c r="F15" s="65" t="s">
        <v>27</v>
      </c>
      <c r="G15" s="65" t="s">
        <v>85</v>
      </c>
      <c r="H15" s="65" t="s">
        <v>86</v>
      </c>
      <c r="K15" s="29" t="s">
        <v>64</v>
      </c>
      <c r="L15" s="5">
        <f>L16-L11-L12-L13-L14</f>
        <v>9</v>
      </c>
      <c r="M15" s="5">
        <f>M16-(M12+M13+M14+M11)</f>
        <v>907.75</v>
      </c>
      <c r="N15" s="5">
        <f>M15/L15</f>
        <v>100.86111111111111</v>
      </c>
      <c r="O15" s="5"/>
    </row>
    <row r="16" spans="1:18" x14ac:dyDescent="0.3">
      <c r="B16" s="26" t="s">
        <v>62</v>
      </c>
      <c r="C16" s="26">
        <v>281.25</v>
      </c>
      <c r="D16" s="26">
        <v>3</v>
      </c>
      <c r="E16" s="26">
        <v>93.75</v>
      </c>
      <c r="F16" s="26">
        <v>0.9294960066097494</v>
      </c>
      <c r="G16" s="26">
        <v>0.46541320088824423</v>
      </c>
      <c r="H16" s="26">
        <v>3.8625483576247648</v>
      </c>
      <c r="K16" s="5" t="s">
        <v>33</v>
      </c>
      <c r="L16" s="5">
        <f>B11-1</f>
        <v>15</v>
      </c>
      <c r="M16" s="5">
        <f>E10</f>
        <v>8933.75</v>
      </c>
      <c r="N16" s="5"/>
      <c r="O16" s="5"/>
    </row>
    <row r="17" spans="2:8" x14ac:dyDescent="0.3">
      <c r="B17" s="26" t="s">
        <v>168</v>
      </c>
      <c r="C17" s="26">
        <v>7744.75</v>
      </c>
      <c r="D17" s="26">
        <v>3</v>
      </c>
      <c r="E17" s="26">
        <v>2581.5833333333335</v>
      </c>
      <c r="F17" s="26">
        <v>25.595428256678602</v>
      </c>
      <c r="G17" s="26">
        <v>9.7047884849555289E-5</v>
      </c>
      <c r="H17" s="26">
        <v>3.8625483576247648</v>
      </c>
    </row>
    <row r="18" spans="2:8" x14ac:dyDescent="0.3">
      <c r="B18" s="26" t="s">
        <v>64</v>
      </c>
      <c r="C18" s="26">
        <v>907.75</v>
      </c>
      <c r="D18" s="26">
        <v>9</v>
      </c>
      <c r="E18" s="26">
        <v>100.86111111111111</v>
      </c>
      <c r="F18" s="26"/>
      <c r="G18" s="26"/>
      <c r="H18" s="26"/>
    </row>
    <row r="19" spans="2:8" x14ac:dyDescent="0.3">
      <c r="B19" s="26"/>
      <c r="C19" s="26"/>
      <c r="D19" s="26"/>
      <c r="E19" s="26"/>
      <c r="F19" s="26"/>
      <c r="G19" s="26"/>
      <c r="H19" s="26"/>
    </row>
    <row r="20" spans="2:8" ht="15" thickBot="1" x14ac:dyDescent="0.35">
      <c r="B20" s="66" t="s">
        <v>33</v>
      </c>
      <c r="C20" s="66">
        <v>8933.75</v>
      </c>
      <c r="D20" s="66">
        <v>15</v>
      </c>
      <c r="E20" s="66"/>
      <c r="F20" s="66"/>
      <c r="G20" s="66"/>
      <c r="H20" s="66"/>
    </row>
    <row r="21" spans="2:8" x14ac:dyDescent="0.3">
      <c r="B21" s="26"/>
      <c r="C21" s="26"/>
      <c r="D21" s="26"/>
      <c r="E21" s="26"/>
      <c r="F21" s="26"/>
      <c r="G21" s="26"/>
      <c r="H21" s="26"/>
    </row>
  </sheetData>
  <mergeCells count="2">
    <mergeCell ref="K1:P1"/>
    <mergeCell ref="A3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520D-FE14-4426-A99E-1BEA72A211DC}">
  <dimension ref="A1:T28"/>
  <sheetViews>
    <sheetView topLeftCell="B1" workbookViewId="0">
      <selection activeCell="I16" sqref="I16"/>
    </sheetView>
  </sheetViews>
  <sheetFormatPr defaultRowHeight="14.4" x14ac:dyDescent="0.3"/>
  <cols>
    <col min="13" max="13" width="27.33203125" bestFit="1" customWidth="1"/>
  </cols>
  <sheetData>
    <row r="1" spans="1:20" x14ac:dyDescent="0.3">
      <c r="B1" s="5" t="s">
        <v>160</v>
      </c>
      <c r="C1" s="5" t="s">
        <v>161</v>
      </c>
      <c r="D1" s="5" t="s">
        <v>162</v>
      </c>
      <c r="E1" s="5" t="s">
        <v>173</v>
      </c>
      <c r="F1" s="5" t="s">
        <v>163</v>
      </c>
      <c r="G1" s="5" t="s">
        <v>174</v>
      </c>
      <c r="H1" s="5" t="s">
        <v>175</v>
      </c>
      <c r="I1" s="5" t="s">
        <v>176</v>
      </c>
      <c r="M1" s="14" t="s">
        <v>164</v>
      </c>
      <c r="N1" s="14"/>
      <c r="O1" s="14"/>
      <c r="P1" s="14"/>
      <c r="Q1" s="14"/>
      <c r="R1" s="14"/>
      <c r="S1" s="14"/>
    </row>
    <row r="2" spans="1:20" x14ac:dyDescent="0.3">
      <c r="B2" s="5" t="s">
        <v>177</v>
      </c>
      <c r="C2" s="5">
        <v>100</v>
      </c>
      <c r="D2" s="5" t="s">
        <v>178</v>
      </c>
      <c r="E2" s="5" t="s">
        <v>179</v>
      </c>
      <c r="F2" s="5" t="s">
        <v>180</v>
      </c>
      <c r="G2" s="5" t="s">
        <v>181</v>
      </c>
      <c r="H2" s="5" t="s">
        <v>182</v>
      </c>
      <c r="I2" s="5">
        <v>111</v>
      </c>
      <c r="J2" s="41" t="s">
        <v>92</v>
      </c>
      <c r="M2" s="5" t="s">
        <v>167</v>
      </c>
      <c r="N2" s="5"/>
      <c r="O2" s="5"/>
      <c r="P2" s="5"/>
      <c r="Q2" s="5"/>
      <c r="R2" s="5"/>
      <c r="S2" s="5"/>
    </row>
    <row r="3" spans="1:20" x14ac:dyDescent="0.3">
      <c r="A3" s="63" t="s">
        <v>62</v>
      </c>
      <c r="B3">
        <v>28</v>
      </c>
      <c r="C3">
        <v>42</v>
      </c>
      <c r="D3">
        <v>31</v>
      </c>
      <c r="E3">
        <v>38</v>
      </c>
      <c r="F3">
        <v>37</v>
      </c>
      <c r="G3">
        <v>30</v>
      </c>
      <c r="H3">
        <v>23</v>
      </c>
      <c r="I3">
        <v>47</v>
      </c>
      <c r="J3" s="15">
        <f>SUM(B3:I3)</f>
        <v>276</v>
      </c>
      <c r="M3" s="5" t="s">
        <v>160</v>
      </c>
      <c r="N3" s="5">
        <f t="array" ref="N3:N10">TRANSPOSE(B7:I7)</f>
        <v>102</v>
      </c>
      <c r="O3" s="5">
        <f>N4+N3</f>
        <v>259</v>
      </c>
      <c r="P3" s="5">
        <f>O4+O3</f>
        <v>525</v>
      </c>
      <c r="Q3" s="5">
        <f>P4+P3</f>
        <v>1091</v>
      </c>
      <c r="R3" s="5">
        <f>Q3^2</f>
        <v>1190281</v>
      </c>
      <c r="S3" s="5"/>
    </row>
    <row r="4" spans="1:20" x14ac:dyDescent="0.3">
      <c r="A4" s="63"/>
      <c r="B4">
        <v>24</v>
      </c>
      <c r="C4">
        <v>39</v>
      </c>
      <c r="D4">
        <v>27</v>
      </c>
      <c r="E4">
        <v>33</v>
      </c>
      <c r="F4">
        <v>34</v>
      </c>
      <c r="G4">
        <v>42</v>
      </c>
      <c r="H4">
        <v>41</v>
      </c>
      <c r="I4">
        <v>32</v>
      </c>
      <c r="J4" s="15">
        <f>SUM(B4:I4)</f>
        <v>272</v>
      </c>
      <c r="M4" s="5" t="s">
        <v>161</v>
      </c>
      <c r="N4" s="5">
        <v>157</v>
      </c>
      <c r="O4" s="5">
        <f>N6+N5</f>
        <v>266</v>
      </c>
      <c r="P4" s="5">
        <f>O6+O5</f>
        <v>566</v>
      </c>
      <c r="Q4" s="5">
        <f>P6+P5</f>
        <v>119</v>
      </c>
      <c r="R4" s="5">
        <f t="shared" ref="R4:R10" si="0">Q4^2</f>
        <v>14161</v>
      </c>
      <c r="S4" s="5">
        <f>R4/B$11</f>
        <v>442.53125</v>
      </c>
    </row>
    <row r="5" spans="1:20" x14ac:dyDescent="0.3">
      <c r="A5" s="63"/>
      <c r="B5">
        <v>27</v>
      </c>
      <c r="C5">
        <v>32</v>
      </c>
      <c r="D5">
        <v>28</v>
      </c>
      <c r="E5">
        <v>35</v>
      </c>
      <c r="F5">
        <v>33</v>
      </c>
      <c r="G5">
        <v>36</v>
      </c>
      <c r="H5">
        <v>27</v>
      </c>
      <c r="I5">
        <v>37</v>
      </c>
      <c r="J5" s="15">
        <f>SUM(B5:I5)</f>
        <v>255</v>
      </c>
      <c r="M5" s="5" t="s">
        <v>162</v>
      </c>
      <c r="N5" s="5">
        <v>119</v>
      </c>
      <c r="O5" s="5">
        <f>SUM(N7:N8)</f>
        <v>278</v>
      </c>
      <c r="P5" s="5">
        <f>SUM(O7:O8)</f>
        <v>83</v>
      </c>
      <c r="Q5" s="5">
        <f>SUM(P7:P8)</f>
        <v>17</v>
      </c>
      <c r="R5" s="5">
        <f t="shared" si="0"/>
        <v>289</v>
      </c>
      <c r="S5" s="5">
        <f t="shared" ref="S5:S10" si="1">R5/B$11</f>
        <v>9.03125</v>
      </c>
    </row>
    <row r="6" spans="1:20" x14ac:dyDescent="0.3">
      <c r="A6" s="63"/>
      <c r="B6">
        <v>23</v>
      </c>
      <c r="C6">
        <v>44</v>
      </c>
      <c r="D6">
        <v>33</v>
      </c>
      <c r="E6">
        <v>41</v>
      </c>
      <c r="F6">
        <v>32</v>
      </c>
      <c r="G6">
        <v>34</v>
      </c>
      <c r="H6">
        <v>38</v>
      </c>
      <c r="I6">
        <v>43</v>
      </c>
      <c r="J6" s="15">
        <f>SUM(B6:I6)</f>
        <v>288</v>
      </c>
      <c r="M6" s="5" t="s">
        <v>173</v>
      </c>
      <c r="N6" s="5">
        <v>147</v>
      </c>
      <c r="O6" s="5">
        <f>SUM(N9:N10)</f>
        <v>288</v>
      </c>
      <c r="P6" s="5">
        <f>SUM(O9:O10)</f>
        <v>36</v>
      </c>
      <c r="Q6" s="5">
        <f>SUM(P9:P10)</f>
        <v>-3</v>
      </c>
      <c r="R6" s="5">
        <f t="shared" si="0"/>
        <v>9</v>
      </c>
      <c r="S6" s="5">
        <f t="shared" si="1"/>
        <v>0.28125</v>
      </c>
    </row>
    <row r="7" spans="1:20" x14ac:dyDescent="0.3">
      <c r="A7" s="7" t="s">
        <v>183</v>
      </c>
      <c r="B7" s="38">
        <f>SUM(B3:B6)</f>
        <v>102</v>
      </c>
      <c r="C7" s="15">
        <f t="shared" ref="C7:I7" si="2">SUM(C3:C6)</f>
        <v>157</v>
      </c>
      <c r="D7" s="38">
        <f t="shared" si="2"/>
        <v>119</v>
      </c>
      <c r="E7" s="38">
        <f t="shared" si="2"/>
        <v>147</v>
      </c>
      <c r="F7" s="15">
        <f t="shared" si="2"/>
        <v>136</v>
      </c>
      <c r="G7" s="15">
        <f t="shared" si="2"/>
        <v>142</v>
      </c>
      <c r="H7" s="15">
        <f t="shared" si="2"/>
        <v>129</v>
      </c>
      <c r="I7" s="15">
        <f t="shared" si="2"/>
        <v>159</v>
      </c>
      <c r="M7" s="5" t="s">
        <v>163</v>
      </c>
      <c r="N7" s="5">
        <v>136</v>
      </c>
      <c r="O7" s="5">
        <f>N4-N3</f>
        <v>55</v>
      </c>
      <c r="P7" s="5">
        <f>O4-O3</f>
        <v>7</v>
      </c>
      <c r="Q7" s="5">
        <f>P4-P3</f>
        <v>41</v>
      </c>
      <c r="R7" s="5">
        <f t="shared" si="0"/>
        <v>1681</v>
      </c>
      <c r="S7" s="5">
        <f>R7/B$11</f>
        <v>52.53125</v>
      </c>
    </row>
    <row r="8" spans="1:20" x14ac:dyDescent="0.3">
      <c r="A8" s="12" t="s">
        <v>4</v>
      </c>
      <c r="B8" s="13">
        <f>SUM(B3:I6)</f>
        <v>1091</v>
      </c>
      <c r="D8" s="12" t="s">
        <v>63</v>
      </c>
      <c r="E8" s="13">
        <f>(B8^2)/B11</f>
        <v>37196.28125</v>
      </c>
      <c r="M8" s="5" t="s">
        <v>174</v>
      </c>
      <c r="N8" s="5">
        <v>142</v>
      </c>
      <c r="O8" s="5">
        <f>N6-N5</f>
        <v>28</v>
      </c>
      <c r="P8" s="5">
        <f>O6-O5</f>
        <v>10</v>
      </c>
      <c r="Q8" s="5">
        <f>P6-P5</f>
        <v>-47</v>
      </c>
      <c r="R8" s="5">
        <f t="shared" si="0"/>
        <v>2209</v>
      </c>
      <c r="S8" s="5">
        <f t="shared" si="1"/>
        <v>69.03125</v>
      </c>
    </row>
    <row r="9" spans="1:20" x14ac:dyDescent="0.3">
      <c r="A9" s="12" t="s">
        <v>78</v>
      </c>
      <c r="B9" s="13">
        <v>4</v>
      </c>
      <c r="D9" s="12" t="s">
        <v>65</v>
      </c>
      <c r="E9" s="13">
        <f>SUMSQ(B3:I6)</f>
        <v>38453</v>
      </c>
      <c r="M9" s="5" t="s">
        <v>175</v>
      </c>
      <c r="N9" s="5">
        <v>129</v>
      </c>
      <c r="O9" s="5">
        <f>N8-N7</f>
        <v>6</v>
      </c>
      <c r="P9" s="5">
        <f>O8-O7</f>
        <v>-27</v>
      </c>
      <c r="Q9" s="5">
        <f>P8-P7</f>
        <v>3</v>
      </c>
      <c r="R9" s="5">
        <f t="shared" si="0"/>
        <v>9</v>
      </c>
      <c r="S9" s="5">
        <f t="shared" si="1"/>
        <v>0.28125</v>
      </c>
    </row>
    <row r="10" spans="1:20" x14ac:dyDescent="0.3">
      <c r="A10" s="12" t="s">
        <v>79</v>
      </c>
      <c r="B10" s="13">
        <v>8</v>
      </c>
      <c r="D10" s="12" t="s">
        <v>66</v>
      </c>
      <c r="E10" s="13">
        <f>E9-E8</f>
        <v>1256.71875</v>
      </c>
      <c r="M10" s="5" t="s">
        <v>176</v>
      </c>
      <c r="N10" s="5">
        <v>159</v>
      </c>
      <c r="O10" s="5">
        <f>N10-N9</f>
        <v>30</v>
      </c>
      <c r="P10" s="5">
        <f>O10-O9</f>
        <v>24</v>
      </c>
      <c r="Q10" s="5">
        <f>P10-P9</f>
        <v>51</v>
      </c>
      <c r="R10" s="5">
        <f t="shared" si="0"/>
        <v>2601</v>
      </c>
      <c r="S10" s="5">
        <f t="shared" si="1"/>
        <v>81.28125</v>
      </c>
      <c r="T10" s="64"/>
    </row>
    <row r="11" spans="1:20" x14ac:dyDescent="0.3">
      <c r="A11" s="12" t="s">
        <v>3</v>
      </c>
      <c r="B11" s="13">
        <f>B9*B10</f>
        <v>32</v>
      </c>
      <c r="D11" s="12" t="s">
        <v>67</v>
      </c>
      <c r="E11" s="13">
        <f>(SUMSQ(B7:I7)/B9)-E8</f>
        <v>654.96875</v>
      </c>
      <c r="R11" s="12" t="s">
        <v>67</v>
      </c>
      <c r="S11" s="13">
        <f>SUM(S4:S10)</f>
        <v>654.96875</v>
      </c>
    </row>
    <row r="12" spans="1:20" x14ac:dyDescent="0.3">
      <c r="D12" s="12" t="s">
        <v>70</v>
      </c>
      <c r="E12" s="13">
        <f>(SUMSQ(J3:J6)/B10)-E8</f>
        <v>69.84375</v>
      </c>
    </row>
    <row r="13" spans="1:20" x14ac:dyDescent="0.3">
      <c r="D13" s="12" t="s">
        <v>73</v>
      </c>
      <c r="E13" s="13">
        <f>E10-E11-E12</f>
        <v>531.90625</v>
      </c>
    </row>
    <row r="15" spans="1:20" ht="15" thickBot="1" x14ac:dyDescent="0.35">
      <c r="A15" t="s">
        <v>80</v>
      </c>
    </row>
    <row r="16" spans="1:20" x14ac:dyDescent="0.3">
      <c r="A16" s="65" t="s">
        <v>81</v>
      </c>
      <c r="B16" s="65" t="s">
        <v>82</v>
      </c>
      <c r="C16" s="65" t="s">
        <v>83</v>
      </c>
      <c r="D16" s="65" t="s">
        <v>84</v>
      </c>
      <c r="E16" s="65" t="s">
        <v>27</v>
      </c>
      <c r="F16" s="65" t="s">
        <v>85</v>
      </c>
      <c r="G16" s="65" t="s">
        <v>86</v>
      </c>
    </row>
    <row r="17" spans="1:18" x14ac:dyDescent="0.3">
      <c r="A17" t="s">
        <v>184</v>
      </c>
      <c r="B17">
        <v>69.84375</v>
      </c>
      <c r="C17">
        <v>3</v>
      </c>
      <c r="D17">
        <v>23.28125</v>
      </c>
      <c r="E17">
        <v>0.91915868632865283</v>
      </c>
      <c r="F17">
        <v>0.4486652224694212</v>
      </c>
      <c r="G17">
        <v>3.0724669863968779</v>
      </c>
    </row>
    <row r="18" spans="1:18" x14ac:dyDescent="0.3">
      <c r="A18" t="s">
        <v>168</v>
      </c>
      <c r="B18">
        <v>654.96875</v>
      </c>
      <c r="C18">
        <v>7</v>
      </c>
      <c r="D18">
        <v>93.566964285714292</v>
      </c>
      <c r="E18">
        <v>3.6940837788614069</v>
      </c>
      <c r="F18">
        <v>9.3074396486054894E-3</v>
      </c>
      <c r="G18">
        <v>2.487577703722041</v>
      </c>
      <c r="M18" s="5" t="s">
        <v>25</v>
      </c>
      <c r="N18" s="5" t="s">
        <v>8</v>
      </c>
      <c r="O18" s="5" t="s">
        <v>9</v>
      </c>
      <c r="P18" s="5" t="s">
        <v>26</v>
      </c>
      <c r="Q18" s="29" t="s">
        <v>169</v>
      </c>
      <c r="R18" s="64"/>
    </row>
    <row r="19" spans="1:18" x14ac:dyDescent="0.3">
      <c r="A19" t="s">
        <v>64</v>
      </c>
      <c r="B19">
        <v>531.90625</v>
      </c>
      <c r="C19">
        <v>21</v>
      </c>
      <c r="D19">
        <v>25.328869047619047</v>
      </c>
      <c r="M19" s="5" t="s">
        <v>62</v>
      </c>
      <c r="N19" s="5">
        <f>B9-1</f>
        <v>3</v>
      </c>
      <c r="O19" s="5">
        <f>E12</f>
        <v>69.84375</v>
      </c>
      <c r="P19" s="5">
        <f>O19/N19</f>
        <v>23.28125</v>
      </c>
      <c r="Q19" s="5">
        <f>P19/P$27</f>
        <v>0.91915868632865283</v>
      </c>
    </row>
    <row r="20" spans="1:18" x14ac:dyDescent="0.3">
      <c r="M20" s="5" t="s">
        <v>170</v>
      </c>
      <c r="N20" s="5">
        <v>1</v>
      </c>
      <c r="O20" s="5">
        <f t="shared" ref="O20:O26" si="3">S4</f>
        <v>442.53125</v>
      </c>
      <c r="P20" s="5">
        <f t="shared" ref="P20:P27" si="4">O20/N20</f>
        <v>442.53125</v>
      </c>
      <c r="Q20" s="5">
        <f t="shared" ref="Q20:Q26" si="5">P20/P$27</f>
        <v>17.471417660536982</v>
      </c>
    </row>
    <row r="21" spans="1:18" ht="15" thickBot="1" x14ac:dyDescent="0.35">
      <c r="A21" s="67" t="s">
        <v>33</v>
      </c>
      <c r="B21" s="67">
        <v>1256.71875</v>
      </c>
      <c r="C21" s="67">
        <v>31</v>
      </c>
      <c r="D21" s="67"/>
      <c r="E21" s="67"/>
      <c r="F21" s="67"/>
      <c r="G21" s="67"/>
      <c r="M21" s="5" t="s">
        <v>171</v>
      </c>
      <c r="N21" s="5">
        <v>1</v>
      </c>
      <c r="O21" s="5">
        <f t="shared" si="3"/>
        <v>9.03125</v>
      </c>
      <c r="P21" s="5">
        <f t="shared" si="4"/>
        <v>9.03125</v>
      </c>
      <c r="Q21" s="5">
        <f t="shared" si="5"/>
        <v>0.3565595440925915</v>
      </c>
    </row>
    <row r="22" spans="1:18" x14ac:dyDescent="0.3">
      <c r="M22" s="5" t="s">
        <v>185</v>
      </c>
      <c r="N22" s="5">
        <v>1</v>
      </c>
      <c r="O22" s="5">
        <f t="shared" si="3"/>
        <v>0.28125</v>
      </c>
      <c r="P22" s="5">
        <f t="shared" si="4"/>
        <v>0.28125</v>
      </c>
      <c r="Q22" s="5">
        <f t="shared" si="5"/>
        <v>1.1103930438869631E-2</v>
      </c>
    </row>
    <row r="23" spans="1:18" x14ac:dyDescent="0.3">
      <c r="M23" s="5" t="s">
        <v>186</v>
      </c>
      <c r="N23" s="5">
        <v>1</v>
      </c>
      <c r="O23" s="5">
        <f t="shared" si="3"/>
        <v>52.53125</v>
      </c>
      <c r="P23" s="5">
        <f t="shared" si="4"/>
        <v>52.53125</v>
      </c>
      <c r="Q23" s="5">
        <f t="shared" si="5"/>
        <v>2.0739674519710944</v>
      </c>
    </row>
    <row r="24" spans="1:18" x14ac:dyDescent="0.3">
      <c r="M24" s="5" t="s">
        <v>187</v>
      </c>
      <c r="N24" s="5">
        <v>1</v>
      </c>
      <c r="O24" s="5">
        <f t="shared" si="3"/>
        <v>69.03125</v>
      </c>
      <c r="P24" s="5">
        <f t="shared" si="4"/>
        <v>69.03125</v>
      </c>
      <c r="Q24" s="5">
        <f t="shared" si="5"/>
        <v>2.7253980377181128</v>
      </c>
    </row>
    <row r="25" spans="1:18" x14ac:dyDescent="0.3">
      <c r="M25" s="5" t="s">
        <v>188</v>
      </c>
      <c r="N25" s="5">
        <v>1</v>
      </c>
      <c r="O25" s="5">
        <f t="shared" si="3"/>
        <v>0.28125</v>
      </c>
      <c r="P25" s="5">
        <f t="shared" si="4"/>
        <v>0.28125</v>
      </c>
      <c r="Q25" s="5">
        <f t="shared" si="5"/>
        <v>1.1103930438869631E-2</v>
      </c>
    </row>
    <row r="26" spans="1:18" x14ac:dyDescent="0.3">
      <c r="M26" s="5" t="s">
        <v>189</v>
      </c>
      <c r="N26" s="5">
        <v>1</v>
      </c>
      <c r="O26" s="5">
        <f t="shared" si="3"/>
        <v>81.28125</v>
      </c>
      <c r="P26" s="5">
        <f t="shared" si="4"/>
        <v>81.28125</v>
      </c>
      <c r="Q26" s="5">
        <f t="shared" si="5"/>
        <v>3.2090358968333237</v>
      </c>
    </row>
    <row r="27" spans="1:18" x14ac:dyDescent="0.3">
      <c r="M27" s="5" t="s">
        <v>64</v>
      </c>
      <c r="N27" s="5">
        <f>N28-SUM(N19:N26)</f>
        <v>21</v>
      </c>
      <c r="O27" s="5">
        <f>O28-SUM(O19:O26)</f>
        <v>531.90625</v>
      </c>
      <c r="P27" s="5">
        <f t="shared" si="4"/>
        <v>25.328869047619047</v>
      </c>
      <c r="Q27" s="5"/>
    </row>
    <row r="28" spans="1:18" x14ac:dyDescent="0.3">
      <c r="M28" s="5" t="s">
        <v>33</v>
      </c>
      <c r="N28" s="5">
        <f>B11-1</f>
        <v>31</v>
      </c>
      <c r="O28" s="5">
        <f>E10</f>
        <v>1256.71875</v>
      </c>
      <c r="P28" s="5"/>
      <c r="Q28" s="5"/>
    </row>
  </sheetData>
  <mergeCells count="2">
    <mergeCell ref="M1:S1"/>
    <mergeCell ref="A3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28A1-B3D6-4D0A-B077-87C9EE67BB84}">
  <dimension ref="A1:M27"/>
  <sheetViews>
    <sheetView workbookViewId="0">
      <selection activeCell="I25" sqref="I25"/>
    </sheetView>
  </sheetViews>
  <sheetFormatPr defaultRowHeight="14.4" x14ac:dyDescent="0.3"/>
  <cols>
    <col min="1" max="1" width="17" bestFit="1" customWidth="1"/>
    <col min="2" max="2" width="12" bestFit="1" customWidth="1"/>
    <col min="3" max="3" width="4" bestFit="1" customWidth="1"/>
    <col min="4" max="5" width="12" bestFit="1" customWidth="1"/>
    <col min="8" max="8" width="14.88671875" bestFit="1" customWidth="1"/>
  </cols>
  <sheetData>
    <row r="1" spans="1:13" x14ac:dyDescent="0.3">
      <c r="B1" s="5" t="s">
        <v>160</v>
      </c>
      <c r="C1" s="5" t="s">
        <v>190</v>
      </c>
      <c r="D1" s="5" t="s">
        <v>191</v>
      </c>
      <c r="E1" s="5" t="s">
        <v>192</v>
      </c>
      <c r="H1" s="1" t="s">
        <v>164</v>
      </c>
      <c r="I1" s="2"/>
      <c r="J1" s="2"/>
      <c r="K1" s="2"/>
      <c r="L1" s="2"/>
      <c r="M1" s="3"/>
    </row>
    <row r="2" spans="1:13" ht="57.6" x14ac:dyDescent="0.3">
      <c r="A2" s="26"/>
      <c r="B2" s="5" t="s">
        <v>165</v>
      </c>
      <c r="C2" s="5">
        <v>10</v>
      </c>
      <c r="D2" s="5" t="s">
        <v>166</v>
      </c>
      <c r="E2" s="5">
        <v>11</v>
      </c>
      <c r="F2" s="28" t="s">
        <v>62</v>
      </c>
      <c r="G2" s="26"/>
      <c r="H2" s="56" t="s">
        <v>167</v>
      </c>
      <c r="I2" s="5"/>
      <c r="J2" s="5"/>
      <c r="K2" s="5"/>
      <c r="L2" s="15"/>
      <c r="M2" s="15"/>
    </row>
    <row r="3" spans="1:13" x14ac:dyDescent="0.3">
      <c r="A3" s="68" t="s">
        <v>62</v>
      </c>
      <c r="B3" s="26">
        <v>117</v>
      </c>
      <c r="C3" s="26">
        <v>106</v>
      </c>
      <c r="D3" s="26">
        <v>114</v>
      </c>
      <c r="E3" s="26">
        <v>109</v>
      </c>
      <c r="F3" s="5">
        <f>SUM(B3:E3)</f>
        <v>446</v>
      </c>
      <c r="G3" s="26"/>
      <c r="H3" s="5" t="s">
        <v>160</v>
      </c>
      <c r="I3" s="5">
        <f t="array" ref="I3:I6">TRANSPOSE(B9:E9)</f>
        <v>610</v>
      </c>
      <c r="J3" s="5">
        <f>I4+I3</f>
        <v>1273</v>
      </c>
      <c r="K3" s="5">
        <f>J4+J3</f>
        <v>2437</v>
      </c>
      <c r="L3" s="5">
        <f>K3^2</f>
        <v>5938969</v>
      </c>
      <c r="M3" s="5"/>
    </row>
    <row r="4" spans="1:13" x14ac:dyDescent="0.3">
      <c r="A4" s="68"/>
      <c r="B4" s="26">
        <v>120</v>
      </c>
      <c r="C4" s="26">
        <v>117</v>
      </c>
      <c r="D4" s="26">
        <v>114</v>
      </c>
      <c r="E4" s="26">
        <v>114</v>
      </c>
      <c r="F4" s="5">
        <f t="shared" ref="F4:F8" si="0">SUM(B4:E4)</f>
        <v>465</v>
      </c>
      <c r="G4" s="26"/>
      <c r="H4" s="5" t="s">
        <v>161</v>
      </c>
      <c r="I4" s="5">
        <v>663</v>
      </c>
      <c r="J4" s="5">
        <f>I6+I5</f>
        <v>1164</v>
      </c>
      <c r="K4" s="5">
        <f>J6+J5</f>
        <v>93</v>
      </c>
      <c r="L4" s="5">
        <f t="shared" ref="L4:L6" si="1">K4^2</f>
        <v>8649</v>
      </c>
      <c r="M4" s="5">
        <f>L4/(B$13)</f>
        <v>360.375</v>
      </c>
    </row>
    <row r="5" spans="1:13" x14ac:dyDescent="0.3">
      <c r="A5" s="68"/>
      <c r="B5" s="26">
        <v>111</v>
      </c>
      <c r="C5" s="26">
        <v>114</v>
      </c>
      <c r="D5" s="26">
        <v>117</v>
      </c>
      <c r="E5" s="26">
        <v>106</v>
      </c>
      <c r="F5" s="5">
        <f t="shared" si="0"/>
        <v>448</v>
      </c>
      <c r="G5" s="26"/>
      <c r="H5" s="5" t="s">
        <v>162</v>
      </c>
      <c r="I5" s="5">
        <v>562</v>
      </c>
      <c r="J5" s="5">
        <f>I4-I3</f>
        <v>53</v>
      </c>
      <c r="K5" s="5">
        <f>J4-J3</f>
        <v>-109</v>
      </c>
      <c r="L5" s="5">
        <f t="shared" si="1"/>
        <v>11881</v>
      </c>
      <c r="M5" s="5">
        <f t="shared" ref="M5:M6" si="2">L5/(B$13)</f>
        <v>495.04166666666669</v>
      </c>
    </row>
    <row r="6" spans="1:13" x14ac:dyDescent="0.3">
      <c r="A6" s="68"/>
      <c r="B6" s="26">
        <v>108</v>
      </c>
      <c r="C6" s="26">
        <v>112</v>
      </c>
      <c r="D6" s="26">
        <v>121</v>
      </c>
      <c r="E6" s="26">
        <v>93</v>
      </c>
      <c r="F6" s="5">
        <f t="shared" si="0"/>
        <v>434</v>
      </c>
      <c r="G6" s="26"/>
      <c r="H6" s="5" t="s">
        <v>163</v>
      </c>
      <c r="I6" s="5">
        <v>602</v>
      </c>
      <c r="J6" s="5">
        <f>I6-I5</f>
        <v>40</v>
      </c>
      <c r="K6" s="5">
        <f>J6-J5</f>
        <v>-13</v>
      </c>
      <c r="L6" s="5">
        <f t="shared" si="1"/>
        <v>169</v>
      </c>
      <c r="M6" s="5">
        <f t="shared" si="2"/>
        <v>7.041666666666667</v>
      </c>
    </row>
    <row r="7" spans="1:13" x14ac:dyDescent="0.3">
      <c r="A7" s="68"/>
      <c r="B7" s="26">
        <v>73</v>
      </c>
      <c r="C7" s="26">
        <v>97</v>
      </c>
      <c r="D7" s="26">
        <v>38</v>
      </c>
      <c r="E7" s="26">
        <v>75</v>
      </c>
      <c r="F7" s="5">
        <f t="shared" si="0"/>
        <v>283</v>
      </c>
      <c r="G7" s="26"/>
      <c r="H7" s="26"/>
      <c r="I7" s="26"/>
      <c r="J7" s="26"/>
      <c r="K7" s="26"/>
      <c r="L7" s="12" t="s">
        <v>67</v>
      </c>
      <c r="M7" s="13">
        <f>SUM(M4:M6)</f>
        <v>862.45833333333337</v>
      </c>
    </row>
    <row r="8" spans="1:13" x14ac:dyDescent="0.3">
      <c r="A8" s="68"/>
      <c r="B8" s="26">
        <v>81</v>
      </c>
      <c r="C8" s="26">
        <v>117</v>
      </c>
      <c r="D8" s="26">
        <v>58</v>
      </c>
      <c r="E8" s="26">
        <v>105</v>
      </c>
      <c r="F8" s="5">
        <f t="shared" si="0"/>
        <v>361</v>
      </c>
      <c r="G8" s="26"/>
      <c r="H8" s="26"/>
      <c r="I8" s="26"/>
      <c r="J8" s="26"/>
      <c r="K8" s="26"/>
    </row>
    <row r="9" spans="1:13" x14ac:dyDescent="0.3">
      <c r="A9" s="69" t="s">
        <v>168</v>
      </c>
      <c r="B9" s="38">
        <f>SUM(B3:B8)</f>
        <v>610</v>
      </c>
      <c r="C9" s="15">
        <f t="shared" ref="C9:D9" si="3">SUM(C3:C8)</f>
        <v>663</v>
      </c>
      <c r="D9" s="38">
        <f t="shared" si="3"/>
        <v>562</v>
      </c>
      <c r="E9" s="38">
        <f>SUM(E3:E8)</f>
        <v>602</v>
      </c>
    </row>
    <row r="10" spans="1:13" x14ac:dyDescent="0.3">
      <c r="A10" s="12" t="s">
        <v>4</v>
      </c>
      <c r="B10" s="13">
        <f>SUM(B3:E8)</f>
        <v>2437</v>
      </c>
      <c r="D10" s="12" t="s">
        <v>63</v>
      </c>
      <c r="E10" s="13">
        <f>(B10^2)/B13</f>
        <v>247457.04166666666</v>
      </c>
      <c r="H10" s="5" t="s">
        <v>25</v>
      </c>
      <c r="I10" s="5" t="s">
        <v>8</v>
      </c>
      <c r="J10" s="5" t="s">
        <v>9</v>
      </c>
      <c r="K10" s="5" t="s">
        <v>26</v>
      </c>
      <c r="L10" s="29" t="s">
        <v>169</v>
      </c>
      <c r="M10" s="64"/>
    </row>
    <row r="11" spans="1:13" x14ac:dyDescent="0.3">
      <c r="A11" s="12" t="s">
        <v>78</v>
      </c>
      <c r="B11" s="13">
        <v>6</v>
      </c>
      <c r="D11" s="12" t="s">
        <v>65</v>
      </c>
      <c r="E11" s="13">
        <f>SUMSQ(B3:E8)</f>
        <v>258069</v>
      </c>
      <c r="H11" s="5" t="s">
        <v>62</v>
      </c>
      <c r="I11" s="5">
        <f>C23</f>
        <v>5</v>
      </c>
      <c r="J11" s="5">
        <f>E14</f>
        <v>6195.708333333343</v>
      </c>
      <c r="K11" s="5">
        <f>J11/I11</f>
        <v>1239.1416666666687</v>
      </c>
      <c r="L11" s="5">
        <f>K11/K$15</f>
        <v>5.2302235874828611</v>
      </c>
    </row>
    <row r="12" spans="1:13" x14ac:dyDescent="0.3">
      <c r="A12" s="12" t="s">
        <v>79</v>
      </c>
      <c r="B12" s="13">
        <v>4</v>
      </c>
      <c r="D12" s="12" t="s">
        <v>66</v>
      </c>
      <c r="E12" s="13">
        <f>E11-E10</f>
        <v>10611.958333333343</v>
      </c>
      <c r="H12" s="5" t="s">
        <v>170</v>
      </c>
      <c r="I12" s="5">
        <f>1</f>
        <v>1</v>
      </c>
      <c r="J12" s="5">
        <f>M4</f>
        <v>360.375</v>
      </c>
      <c r="K12" s="5">
        <f>J12/I12</f>
        <v>360.375</v>
      </c>
      <c r="L12" s="5">
        <f t="shared" ref="L12:L14" si="4">K12/K$15</f>
        <v>1.5210866328217514</v>
      </c>
    </row>
    <row r="13" spans="1:13" x14ac:dyDescent="0.3">
      <c r="A13" s="12" t="s">
        <v>3</v>
      </c>
      <c r="B13" s="13">
        <f>B11*B12</f>
        <v>24</v>
      </c>
      <c r="D13" s="12" t="s">
        <v>67</v>
      </c>
      <c r="E13" s="13">
        <f>(SUMSQ(B9:E9)/B11)-E10</f>
        <v>862.45833333334303</v>
      </c>
      <c r="H13" s="5" t="s">
        <v>171</v>
      </c>
      <c r="I13" s="5">
        <v>1</v>
      </c>
      <c r="J13" s="5">
        <f>M5</f>
        <v>495.04166666666669</v>
      </c>
      <c r="K13" s="5">
        <f t="shared" ref="K13:K14" si="5">J13/I13</f>
        <v>495.04166666666669</v>
      </c>
      <c r="L13" s="5">
        <f t="shared" si="4"/>
        <v>2.0894936159735495</v>
      </c>
    </row>
    <row r="14" spans="1:13" x14ac:dyDescent="0.3">
      <c r="D14" s="12" t="s">
        <v>70</v>
      </c>
      <c r="E14" s="13">
        <f>(SUMSQ(F3:F8)/B12)-E10</f>
        <v>6195.708333333343</v>
      </c>
      <c r="H14" s="5" t="s">
        <v>172</v>
      </c>
      <c r="I14" s="5">
        <v>1</v>
      </c>
      <c r="J14" s="5">
        <f>M6</f>
        <v>7.041666666666667</v>
      </c>
      <c r="K14" s="5">
        <f t="shared" si="5"/>
        <v>7.041666666666667</v>
      </c>
      <c r="L14" s="5">
        <f t="shared" si="4"/>
        <v>2.9721776037331019E-2</v>
      </c>
    </row>
    <row r="15" spans="1:13" x14ac:dyDescent="0.3">
      <c r="D15" s="12" t="s">
        <v>73</v>
      </c>
      <c r="E15" s="13">
        <f>E12-E13-E14</f>
        <v>3553.791666666657</v>
      </c>
      <c r="H15" s="29" t="s">
        <v>64</v>
      </c>
      <c r="I15" s="5">
        <f>I16-I11-I12-I13-I14</f>
        <v>15</v>
      </c>
      <c r="J15" s="5">
        <f>J16-(J12+J13+J14+J11)</f>
        <v>3553.791666666667</v>
      </c>
      <c r="K15" s="5">
        <f>J15/I15</f>
        <v>236.91944444444445</v>
      </c>
      <c r="L15" s="5"/>
    </row>
    <row r="16" spans="1:13" x14ac:dyDescent="0.3">
      <c r="H16" s="5" t="s">
        <v>33</v>
      </c>
      <c r="I16" s="5">
        <f>B13-1</f>
        <v>23</v>
      </c>
      <c r="J16" s="5">
        <f>E12</f>
        <v>10611.958333333343</v>
      </c>
      <c r="K16" s="5"/>
      <c r="L16" s="5"/>
    </row>
    <row r="21" spans="1:7" ht="15" thickBot="1" x14ac:dyDescent="0.35">
      <c r="A21" s="26" t="s">
        <v>80</v>
      </c>
      <c r="B21" s="26"/>
      <c r="C21" s="26"/>
      <c r="D21" s="26"/>
      <c r="E21" s="26"/>
      <c r="F21" s="26"/>
      <c r="G21" s="26"/>
    </row>
    <row r="22" spans="1:7" x14ac:dyDescent="0.3">
      <c r="A22" s="65" t="s">
        <v>81</v>
      </c>
      <c r="B22" s="65" t="s">
        <v>82</v>
      </c>
      <c r="C22" s="65" t="s">
        <v>83</v>
      </c>
      <c r="D22" s="65" t="s">
        <v>84</v>
      </c>
      <c r="E22" s="65" t="s">
        <v>27</v>
      </c>
      <c r="F22" s="65" t="s">
        <v>85</v>
      </c>
      <c r="G22" s="65" t="s">
        <v>86</v>
      </c>
    </row>
    <row r="23" spans="1:7" x14ac:dyDescent="0.3">
      <c r="A23" s="26" t="s">
        <v>98</v>
      </c>
      <c r="B23" s="26">
        <v>6195.7083333333321</v>
      </c>
      <c r="C23" s="26">
        <v>5</v>
      </c>
      <c r="D23" s="26">
        <v>1239.1416666666664</v>
      </c>
      <c r="E23" s="26">
        <v>5.2302235874828495</v>
      </c>
      <c r="F23" s="26">
        <v>5.6164954961963054E-3</v>
      </c>
      <c r="G23" s="26">
        <v>2.90129453623616</v>
      </c>
    </row>
    <row r="24" spans="1:7" x14ac:dyDescent="0.3">
      <c r="A24" s="26" t="s">
        <v>99</v>
      </c>
      <c r="B24" s="26">
        <v>862.45833333333212</v>
      </c>
      <c r="C24" s="26">
        <v>3</v>
      </c>
      <c r="D24" s="26">
        <v>287.48611111111069</v>
      </c>
      <c r="E24" s="26">
        <v>1.2134340082775417</v>
      </c>
      <c r="F24" s="26">
        <v>0.3389843530834391</v>
      </c>
      <c r="G24" s="26">
        <v>3.2873821046365093</v>
      </c>
    </row>
    <row r="25" spans="1:7" x14ac:dyDescent="0.3">
      <c r="A25" s="26" t="s">
        <v>64</v>
      </c>
      <c r="B25" s="26">
        <v>3553.7916666666679</v>
      </c>
      <c r="C25" s="26">
        <v>15</v>
      </c>
      <c r="D25" s="26">
        <v>236.91944444444454</v>
      </c>
      <c r="E25" s="26"/>
      <c r="F25" s="26"/>
      <c r="G25" s="26"/>
    </row>
    <row r="26" spans="1:7" x14ac:dyDescent="0.3">
      <c r="A26" s="26"/>
      <c r="B26" s="26"/>
      <c r="C26" s="26"/>
      <c r="D26" s="26"/>
      <c r="E26" s="26"/>
      <c r="F26" s="26"/>
      <c r="G26" s="26"/>
    </row>
    <row r="27" spans="1:7" ht="15" thickBot="1" x14ac:dyDescent="0.35">
      <c r="A27" s="66" t="s">
        <v>33</v>
      </c>
      <c r="B27" s="66">
        <v>10611.958333333332</v>
      </c>
      <c r="C27" s="66">
        <v>23</v>
      </c>
      <c r="D27" s="66"/>
      <c r="E27" s="66"/>
      <c r="F27" s="66"/>
      <c r="G27" s="66"/>
    </row>
  </sheetData>
  <mergeCells count="2">
    <mergeCell ref="H1:M1"/>
    <mergeCell ref="A3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7C4F-4EE4-4BDF-8DCC-3CB4D99162D0}">
  <dimension ref="A1:T28"/>
  <sheetViews>
    <sheetView workbookViewId="0">
      <selection activeCell="M15" sqref="M14:N15"/>
    </sheetView>
  </sheetViews>
  <sheetFormatPr defaultRowHeight="14.4" x14ac:dyDescent="0.3"/>
  <cols>
    <col min="13" max="13" width="27.33203125" bestFit="1" customWidth="1"/>
  </cols>
  <sheetData>
    <row r="1" spans="1:20" x14ac:dyDescent="0.3">
      <c r="B1" s="5" t="s">
        <v>160</v>
      </c>
      <c r="C1" s="5" t="s">
        <v>193</v>
      </c>
      <c r="D1" s="5" t="s">
        <v>194</v>
      </c>
      <c r="E1" s="5" t="s">
        <v>191</v>
      </c>
      <c r="F1" s="5" t="s">
        <v>195</v>
      </c>
      <c r="G1" s="5" t="s">
        <v>196</v>
      </c>
      <c r="H1" s="5" t="s">
        <v>197</v>
      </c>
      <c r="I1" s="5" t="s">
        <v>198</v>
      </c>
      <c r="M1" s="70" t="s">
        <v>164</v>
      </c>
      <c r="N1" s="70"/>
      <c r="O1" s="70"/>
      <c r="P1" s="70"/>
      <c r="Q1" s="70"/>
      <c r="R1" s="70"/>
      <c r="S1" s="70"/>
    </row>
    <row r="2" spans="1:20" x14ac:dyDescent="0.3">
      <c r="A2" s="26"/>
      <c r="B2" s="5" t="s">
        <v>177</v>
      </c>
      <c r="C2" s="5">
        <v>100</v>
      </c>
      <c r="D2" s="5" t="s">
        <v>178</v>
      </c>
      <c r="E2" s="5" t="s">
        <v>179</v>
      </c>
      <c r="F2" s="5" t="s">
        <v>180</v>
      </c>
      <c r="G2" s="5" t="s">
        <v>181</v>
      </c>
      <c r="H2" s="5" t="s">
        <v>182</v>
      </c>
      <c r="I2" s="5">
        <v>111</v>
      </c>
      <c r="J2" s="5" t="s">
        <v>92</v>
      </c>
      <c r="M2" s="5" t="s">
        <v>167</v>
      </c>
      <c r="N2" s="5"/>
      <c r="O2" s="5"/>
      <c r="P2" s="5"/>
      <c r="Q2" s="5"/>
      <c r="R2" s="5"/>
      <c r="S2" s="5"/>
    </row>
    <row r="3" spans="1:20" x14ac:dyDescent="0.3">
      <c r="A3" s="63" t="s">
        <v>62</v>
      </c>
      <c r="B3" s="26">
        <v>47.2</v>
      </c>
      <c r="C3" s="26">
        <v>45.3</v>
      </c>
      <c r="D3" s="26">
        <v>44.7</v>
      </c>
      <c r="E3" s="26">
        <v>62.7</v>
      </c>
      <c r="F3" s="26">
        <v>50.6</v>
      </c>
      <c r="G3" s="26">
        <v>57.9</v>
      </c>
      <c r="H3" s="26">
        <v>63.4</v>
      </c>
      <c r="I3" s="26">
        <v>49.3</v>
      </c>
      <c r="J3" s="5">
        <f>SUM(B3:I3)</f>
        <v>421.09999999999997</v>
      </c>
      <c r="M3" s="5" t="s">
        <v>160</v>
      </c>
      <c r="N3" s="5">
        <f t="array" ref="N3:N10">TRANSPOSE(B7:I7)</f>
        <v>192.7</v>
      </c>
      <c r="O3" s="5">
        <f>N4+N3</f>
        <v>403.19999999999993</v>
      </c>
      <c r="P3" s="5">
        <f>O4+O3</f>
        <v>864.39999999999986</v>
      </c>
      <c r="Q3" s="5">
        <f>P4+P3</f>
        <v>1729.2999999999997</v>
      </c>
      <c r="R3" s="5">
        <f>Q3^2</f>
        <v>2990478.4899999988</v>
      </c>
      <c r="S3" s="5"/>
    </row>
    <row r="4" spans="1:20" x14ac:dyDescent="0.3">
      <c r="A4" s="63"/>
      <c r="B4" s="26">
        <v>51.2</v>
      </c>
      <c r="C4" s="26">
        <v>55.8</v>
      </c>
      <c r="D4" s="26">
        <v>56.6</v>
      </c>
      <c r="E4" s="26">
        <v>60.3</v>
      </c>
      <c r="F4" s="26">
        <v>47.7</v>
      </c>
      <c r="G4" s="26">
        <v>50.2</v>
      </c>
      <c r="H4" s="26">
        <v>52.3</v>
      </c>
      <c r="I4" s="26">
        <v>59.8</v>
      </c>
      <c r="J4" s="5">
        <f>SUM(B4:I4)</f>
        <v>433.9</v>
      </c>
      <c r="M4" s="5" t="s">
        <v>161</v>
      </c>
      <c r="N4" s="5">
        <v>210.49999999999997</v>
      </c>
      <c r="O4" s="5">
        <f>N6+N5</f>
        <v>461.2</v>
      </c>
      <c r="P4" s="5">
        <f>O6+O5</f>
        <v>864.89999999999986</v>
      </c>
      <c r="Q4" s="5">
        <f>P6+P5</f>
        <v>79.299999999999898</v>
      </c>
      <c r="R4" s="5">
        <f t="shared" ref="R4:R10" si="0">Q4^2</f>
        <v>6288.4899999999834</v>
      </c>
      <c r="S4" s="5">
        <f>R4/B$11</f>
        <v>196.51531249999948</v>
      </c>
    </row>
    <row r="5" spans="1:20" x14ac:dyDescent="0.3">
      <c r="A5" s="63"/>
      <c r="B5" s="26">
        <v>51.1</v>
      </c>
      <c r="C5" s="26">
        <v>57.3</v>
      </c>
      <c r="D5" s="26">
        <v>63.2</v>
      </c>
      <c r="E5" s="26">
        <v>70.2</v>
      </c>
      <c r="F5" s="26">
        <v>53.2</v>
      </c>
      <c r="G5" s="26">
        <v>55.3</v>
      </c>
      <c r="H5" s="26">
        <v>59.8</v>
      </c>
      <c r="I5" s="26">
        <v>56.8</v>
      </c>
      <c r="J5" s="5">
        <f>SUM(B5:I5)</f>
        <v>466.90000000000003</v>
      </c>
      <c r="M5" s="5" t="s">
        <v>162</v>
      </c>
      <c r="N5" s="5">
        <v>206.8</v>
      </c>
      <c r="O5" s="5">
        <f>SUM(N7:N8)</f>
        <v>420.79999999999995</v>
      </c>
      <c r="P5" s="5">
        <f>SUM(O7:O8)</f>
        <v>65.399999999999949</v>
      </c>
      <c r="Q5" s="5">
        <f>SUM(P7:P8)</f>
        <v>81.300000000000068</v>
      </c>
      <c r="R5" s="5">
        <f t="shared" si="0"/>
        <v>6609.6900000000114</v>
      </c>
      <c r="S5" s="5">
        <f t="shared" ref="S5:S10" si="1">R5/B$11</f>
        <v>206.55281250000036</v>
      </c>
    </row>
    <row r="6" spans="1:20" x14ac:dyDescent="0.3">
      <c r="A6" s="63"/>
      <c r="B6" s="26">
        <v>43.2</v>
      </c>
      <c r="C6" s="26">
        <v>52.1</v>
      </c>
      <c r="D6" s="26">
        <v>42.3</v>
      </c>
      <c r="E6" s="26">
        <v>61.2</v>
      </c>
      <c r="F6" s="26">
        <v>48.3</v>
      </c>
      <c r="G6" s="26">
        <v>57.6</v>
      </c>
      <c r="H6" s="26">
        <v>50.2</v>
      </c>
      <c r="I6" s="26">
        <v>52.5</v>
      </c>
      <c r="J6" s="5">
        <f>SUM(B6:I6)</f>
        <v>407.40000000000003</v>
      </c>
      <c r="M6" s="5" t="s">
        <v>173</v>
      </c>
      <c r="N6" s="5">
        <v>254.39999999999998</v>
      </c>
      <c r="O6" s="5">
        <f>SUM(N9:N10)</f>
        <v>444.09999999999997</v>
      </c>
      <c r="P6" s="5">
        <f>SUM(O9:O10)</f>
        <v>13.899999999999949</v>
      </c>
      <c r="Q6" s="5">
        <f>SUM(P9:P10)</f>
        <v>1.3000000000000114</v>
      </c>
      <c r="R6" s="5">
        <f t="shared" si="0"/>
        <v>1.6900000000000295</v>
      </c>
      <c r="S6" s="5">
        <f t="shared" si="1"/>
        <v>5.2812500000000921E-2</v>
      </c>
    </row>
    <row r="7" spans="1:20" x14ac:dyDescent="0.3">
      <c r="A7" s="7" t="s">
        <v>183</v>
      </c>
      <c r="B7" s="7">
        <f>SUM(B3:B6)</f>
        <v>192.7</v>
      </c>
      <c r="C7" s="5">
        <f t="shared" ref="C7:I7" si="2">SUM(C3:C6)</f>
        <v>210.49999999999997</v>
      </c>
      <c r="D7" s="7">
        <f t="shared" si="2"/>
        <v>206.8</v>
      </c>
      <c r="E7" s="7">
        <f t="shared" si="2"/>
        <v>254.39999999999998</v>
      </c>
      <c r="F7" s="5">
        <f t="shared" si="2"/>
        <v>199.8</v>
      </c>
      <c r="G7" s="5">
        <f t="shared" si="2"/>
        <v>220.99999999999997</v>
      </c>
      <c r="H7" s="5">
        <f t="shared" si="2"/>
        <v>225.7</v>
      </c>
      <c r="I7" s="5">
        <f t="shared" si="2"/>
        <v>218.39999999999998</v>
      </c>
      <c r="J7" s="26"/>
      <c r="M7" s="5" t="s">
        <v>163</v>
      </c>
      <c r="N7" s="5">
        <v>199.8</v>
      </c>
      <c r="O7" s="5">
        <f>N4-N3</f>
        <v>17.799999999999983</v>
      </c>
      <c r="P7" s="5">
        <f>O4-O3</f>
        <v>58.000000000000057</v>
      </c>
      <c r="Q7" s="5">
        <f>P4-P3</f>
        <v>0.5</v>
      </c>
      <c r="R7" s="5">
        <f t="shared" si="0"/>
        <v>0.25</v>
      </c>
      <c r="S7" s="5">
        <f>R7/B$11</f>
        <v>7.8125E-3</v>
      </c>
    </row>
    <row r="8" spans="1:20" x14ac:dyDescent="0.3">
      <c r="A8" s="12" t="s">
        <v>4</v>
      </c>
      <c r="B8" s="13">
        <f>SUM(B3:I6)</f>
        <v>1729.2999999999997</v>
      </c>
      <c r="D8" s="12" t="s">
        <v>63</v>
      </c>
      <c r="E8" s="13">
        <f>(B8^2)/B11</f>
        <v>93452.452812499963</v>
      </c>
      <c r="M8" s="5" t="s">
        <v>174</v>
      </c>
      <c r="N8" s="5">
        <v>220.99999999999997</v>
      </c>
      <c r="O8" s="5">
        <f>N6-N5</f>
        <v>47.599999999999966</v>
      </c>
      <c r="P8" s="5">
        <f>O6-O5</f>
        <v>23.300000000000011</v>
      </c>
      <c r="Q8" s="5">
        <f>P6-P5</f>
        <v>-51.5</v>
      </c>
      <c r="R8" s="5">
        <f t="shared" si="0"/>
        <v>2652.25</v>
      </c>
      <c r="S8" s="5">
        <f t="shared" si="1"/>
        <v>82.8828125</v>
      </c>
    </row>
    <row r="9" spans="1:20" x14ac:dyDescent="0.3">
      <c r="A9" s="12" t="s">
        <v>78</v>
      </c>
      <c r="B9" s="13">
        <v>4</v>
      </c>
      <c r="D9" s="12" t="s">
        <v>65</v>
      </c>
      <c r="E9" s="13">
        <f>SUMSQ(B3:I6)</f>
        <v>94803.23</v>
      </c>
      <c r="M9" s="5" t="s">
        <v>175</v>
      </c>
      <c r="N9" s="5">
        <v>225.7</v>
      </c>
      <c r="O9" s="5">
        <f>N8-N7</f>
        <v>21.19999999999996</v>
      </c>
      <c r="P9" s="5">
        <f>O8-O7</f>
        <v>29.799999999999983</v>
      </c>
      <c r="Q9" s="5">
        <f>P8-P7</f>
        <v>-34.700000000000045</v>
      </c>
      <c r="R9" s="5">
        <f t="shared" si="0"/>
        <v>1204.0900000000031</v>
      </c>
      <c r="S9" s="5">
        <f t="shared" si="1"/>
        <v>37.627812500000097</v>
      </c>
    </row>
    <row r="10" spans="1:20" x14ac:dyDescent="0.3">
      <c r="A10" s="12" t="s">
        <v>79</v>
      </c>
      <c r="B10" s="13">
        <v>8</v>
      </c>
      <c r="D10" s="12" t="s">
        <v>66</v>
      </c>
      <c r="E10" s="13">
        <f>E9-E8</f>
        <v>1350.7771875000326</v>
      </c>
      <c r="M10" s="5" t="s">
        <v>176</v>
      </c>
      <c r="N10" s="5">
        <v>218.39999999999998</v>
      </c>
      <c r="O10" s="5">
        <f>N10-N9</f>
        <v>-7.3000000000000114</v>
      </c>
      <c r="P10" s="5">
        <f>O10-O9</f>
        <v>-28.499999999999972</v>
      </c>
      <c r="Q10" s="5">
        <f>P10-P9</f>
        <v>-58.299999999999955</v>
      </c>
      <c r="R10" s="7">
        <f t="shared" si="0"/>
        <v>3398.8899999999949</v>
      </c>
      <c r="S10" s="7">
        <f t="shared" si="1"/>
        <v>106.21531249999984</v>
      </c>
      <c r="T10" s="64"/>
    </row>
    <row r="11" spans="1:20" x14ac:dyDescent="0.3">
      <c r="A11" s="12" t="s">
        <v>3</v>
      </c>
      <c r="B11" s="13">
        <f>B9*B10</f>
        <v>32</v>
      </c>
      <c r="D11" s="12" t="s">
        <v>67</v>
      </c>
      <c r="E11" s="13">
        <f>(SUMSQ(B7:I7)/B9)-E8</f>
        <v>629.85468750001746</v>
      </c>
      <c r="M11" s="5"/>
      <c r="N11" s="5"/>
      <c r="O11" s="5"/>
      <c r="P11" s="5"/>
      <c r="Q11" s="27"/>
      <c r="R11" s="12" t="s">
        <v>67</v>
      </c>
      <c r="S11" s="13">
        <f>SUM(S4:S10)</f>
        <v>629.85468749999984</v>
      </c>
    </row>
    <row r="12" spans="1:20" x14ac:dyDescent="0.3">
      <c r="D12" s="12" t="s">
        <v>70</v>
      </c>
      <c r="E12" s="13">
        <f>(SUMSQ(J3:J6)/B10)-E8</f>
        <v>243.14593750004133</v>
      </c>
    </row>
    <row r="13" spans="1:20" x14ac:dyDescent="0.3">
      <c r="D13" s="12" t="s">
        <v>73</v>
      </c>
      <c r="E13" s="13">
        <f>E10-E11-E12</f>
        <v>477.77656249997381</v>
      </c>
    </row>
    <row r="17" spans="1:18" ht="15" thickBot="1" x14ac:dyDescent="0.35">
      <c r="A17" t="s">
        <v>80</v>
      </c>
    </row>
    <row r="18" spans="1:18" x14ac:dyDescent="0.3">
      <c r="A18" s="65" t="s">
        <v>81</v>
      </c>
      <c r="B18" s="65" t="s">
        <v>82</v>
      </c>
      <c r="C18" s="65" t="s">
        <v>83</v>
      </c>
      <c r="D18" s="65" t="s">
        <v>84</v>
      </c>
      <c r="E18" s="65" t="s">
        <v>27</v>
      </c>
      <c r="F18" s="65" t="s">
        <v>85</v>
      </c>
      <c r="G18" s="65" t="s">
        <v>86</v>
      </c>
      <c r="M18" s="15" t="s">
        <v>25</v>
      </c>
      <c r="N18" s="15" t="s">
        <v>8</v>
      </c>
      <c r="O18" s="15" t="s">
        <v>9</v>
      </c>
      <c r="P18" s="15" t="s">
        <v>26</v>
      </c>
      <c r="Q18" s="29" t="s">
        <v>169</v>
      </c>
      <c r="R18" s="64"/>
    </row>
    <row r="19" spans="1:18" x14ac:dyDescent="0.3">
      <c r="A19" t="s">
        <v>98</v>
      </c>
      <c r="B19">
        <v>243.14593749999972</v>
      </c>
      <c r="C19">
        <v>3</v>
      </c>
      <c r="D19">
        <v>81.048645833333239</v>
      </c>
      <c r="E19">
        <v>3.5623797734950573</v>
      </c>
      <c r="F19">
        <v>3.1583624652459535E-2</v>
      </c>
      <c r="G19">
        <v>3.0724669863968779</v>
      </c>
      <c r="M19" s="15" t="s">
        <v>62</v>
      </c>
      <c r="N19" s="15">
        <f>B9-1</f>
        <v>3</v>
      </c>
      <c r="O19" s="15">
        <f>E12</f>
        <v>243.14593750004133</v>
      </c>
      <c r="P19" s="15">
        <f>O19/N19</f>
        <v>81.048645833347109</v>
      </c>
      <c r="Q19" s="15">
        <f>P19/P$27</f>
        <v>3.5623797734957319</v>
      </c>
    </row>
    <row r="20" spans="1:18" x14ac:dyDescent="0.3">
      <c r="A20" t="s">
        <v>99</v>
      </c>
      <c r="B20">
        <v>629.85468749999984</v>
      </c>
      <c r="C20">
        <v>7</v>
      </c>
      <c r="D20">
        <v>89.979241071428547</v>
      </c>
      <c r="E20">
        <v>3.9549115858942923</v>
      </c>
      <c r="F20">
        <v>6.6374860101582767E-3</v>
      </c>
      <c r="G20">
        <v>2.487577703722041</v>
      </c>
      <c r="M20" s="15" t="s">
        <v>170</v>
      </c>
      <c r="N20" s="15">
        <v>1</v>
      </c>
      <c r="O20" s="15">
        <f t="shared" ref="O20:O26" si="3">S4</f>
        <v>196.51531249999948</v>
      </c>
      <c r="P20" s="15">
        <f t="shared" ref="P20:P27" si="4">O20/N20</f>
        <v>196.51531249999948</v>
      </c>
      <c r="Q20" s="15">
        <f t="shared" ref="Q20:Q26" si="5">P20/P$27</f>
        <v>8.6375554734333839</v>
      </c>
    </row>
    <row r="21" spans="1:18" x14ac:dyDescent="0.3">
      <c r="A21" t="s">
        <v>64</v>
      </c>
      <c r="B21">
        <v>477.7765625000003</v>
      </c>
      <c r="C21">
        <v>21</v>
      </c>
      <c r="D21">
        <v>22.751264880952395</v>
      </c>
      <c r="M21" s="15" t="s">
        <v>171</v>
      </c>
      <c r="N21" s="15">
        <v>1</v>
      </c>
      <c r="O21" s="15">
        <f t="shared" si="3"/>
        <v>206.55281250000036</v>
      </c>
      <c r="P21" s="15">
        <f t="shared" si="4"/>
        <v>206.55281250000036</v>
      </c>
      <c r="Q21" s="15">
        <f t="shared" si="5"/>
        <v>9.0787397351666534</v>
      </c>
    </row>
    <row r="22" spans="1:18" x14ac:dyDescent="0.3">
      <c r="M22" s="15" t="s">
        <v>185</v>
      </c>
      <c r="N22" s="15">
        <v>1</v>
      </c>
      <c r="O22" s="15">
        <f t="shared" si="3"/>
        <v>5.2812500000000921E-2</v>
      </c>
      <c r="P22" s="15">
        <f t="shared" si="4"/>
        <v>5.2812500000000921E-2</v>
      </c>
      <c r="Q22" s="15">
        <f t="shared" si="5"/>
        <v>2.3212995091194725E-3</v>
      </c>
    </row>
    <row r="23" spans="1:18" ht="15" thickBot="1" x14ac:dyDescent="0.35">
      <c r="A23" s="67" t="s">
        <v>33</v>
      </c>
      <c r="B23" s="67">
        <v>1350.7771874999999</v>
      </c>
      <c r="C23" s="67">
        <v>31</v>
      </c>
      <c r="D23" s="67"/>
      <c r="E23" s="67"/>
      <c r="F23" s="67"/>
      <c r="G23" s="67"/>
      <c r="M23" s="15" t="s">
        <v>186</v>
      </c>
      <c r="N23" s="15">
        <v>1</v>
      </c>
      <c r="O23" s="15">
        <f t="shared" si="3"/>
        <v>7.8125E-3</v>
      </c>
      <c r="P23" s="15">
        <f t="shared" si="4"/>
        <v>7.8125E-3</v>
      </c>
      <c r="Q23" s="15">
        <f t="shared" si="5"/>
        <v>3.4338750134902838E-4</v>
      </c>
    </row>
    <row r="24" spans="1:18" x14ac:dyDescent="0.3">
      <c r="M24" s="15" t="s">
        <v>187</v>
      </c>
      <c r="N24" s="15">
        <v>1</v>
      </c>
      <c r="O24" s="15">
        <f t="shared" si="3"/>
        <v>82.8828125</v>
      </c>
      <c r="P24" s="15">
        <f t="shared" si="4"/>
        <v>82.8828125</v>
      </c>
      <c r="Q24" s="15">
        <f t="shared" si="5"/>
        <v>3.6429980018118422</v>
      </c>
    </row>
    <row r="25" spans="1:18" x14ac:dyDescent="0.3">
      <c r="M25" s="15" t="s">
        <v>188</v>
      </c>
      <c r="N25" s="15">
        <v>1</v>
      </c>
      <c r="O25" s="15">
        <f t="shared" si="3"/>
        <v>37.627812500000097</v>
      </c>
      <c r="P25" s="15">
        <f t="shared" si="4"/>
        <v>37.627812500000097</v>
      </c>
      <c r="Q25" s="15">
        <f t="shared" si="5"/>
        <v>1.6538778259974107</v>
      </c>
    </row>
    <row r="26" spans="1:18" x14ac:dyDescent="0.3">
      <c r="M26" s="15" t="s">
        <v>189</v>
      </c>
      <c r="N26" s="15">
        <v>1</v>
      </c>
      <c r="O26" s="15">
        <f t="shared" si="3"/>
        <v>106.21531249999984</v>
      </c>
      <c r="P26" s="15">
        <f t="shared" si="4"/>
        <v>106.21531249999984</v>
      </c>
      <c r="Q26" s="15">
        <f t="shared" si="5"/>
        <v>4.6685453778407897</v>
      </c>
    </row>
    <row r="27" spans="1:18" x14ac:dyDescent="0.3">
      <c r="M27" s="15" t="s">
        <v>64</v>
      </c>
      <c r="N27" s="15">
        <f>N28-SUM(N19:N26)</f>
        <v>21</v>
      </c>
      <c r="O27" s="15">
        <f>O28-SUM(O19:O26)</f>
        <v>477.77656249999154</v>
      </c>
      <c r="P27" s="15">
        <f t="shared" si="4"/>
        <v>22.751264880951979</v>
      </c>
      <c r="Q27" s="15"/>
    </row>
    <row r="28" spans="1:18" x14ac:dyDescent="0.3">
      <c r="M28" s="15" t="s">
        <v>33</v>
      </c>
      <c r="N28" s="15">
        <f>B11-1</f>
        <v>31</v>
      </c>
      <c r="O28" s="15">
        <f>E10</f>
        <v>1350.7771875000326</v>
      </c>
      <c r="P28" s="15"/>
      <c r="Q28" s="15"/>
    </row>
  </sheetData>
  <mergeCells count="2">
    <mergeCell ref="M1:S1"/>
    <mergeCell ref="A3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CDD9-E9F9-477A-930C-A982D87FA1A1}">
  <dimension ref="A1:P22"/>
  <sheetViews>
    <sheetView workbookViewId="0">
      <selection activeCell="I19" sqref="I19"/>
    </sheetView>
  </sheetViews>
  <sheetFormatPr defaultRowHeight="14.4" x14ac:dyDescent="0.3"/>
  <cols>
    <col min="2" max="2" width="19.21875" bestFit="1" customWidth="1"/>
    <col min="10" max="10" width="14.88671875" bestFit="1" customWidth="1"/>
  </cols>
  <sheetData>
    <row r="1" spans="1:16" x14ac:dyDescent="0.3">
      <c r="A1" s="5"/>
      <c r="B1" s="1" t="s">
        <v>168</v>
      </c>
      <c r="C1" s="2"/>
      <c r="D1" s="2"/>
      <c r="E1" s="5" t="s">
        <v>33</v>
      </c>
      <c r="J1" s="1" t="s">
        <v>164</v>
      </c>
      <c r="K1" s="2"/>
      <c r="L1" s="2"/>
      <c r="M1" s="2"/>
      <c r="N1" s="3"/>
    </row>
    <row r="2" spans="1:16" ht="57.6" x14ac:dyDescent="0.3">
      <c r="A2" s="7">
        <v>1</v>
      </c>
      <c r="B2" s="7">
        <v>20</v>
      </c>
      <c r="C2" s="43">
        <v>17</v>
      </c>
      <c r="D2" s="30">
        <v>19</v>
      </c>
      <c r="E2" s="8">
        <f>SUM(B2:D2)</f>
        <v>56</v>
      </c>
      <c r="J2" s="56" t="s">
        <v>167</v>
      </c>
      <c r="K2" s="5"/>
      <c r="L2" s="5"/>
      <c r="M2" s="27"/>
      <c r="N2" s="5"/>
      <c r="O2" s="26"/>
    </row>
    <row r="3" spans="1:16" x14ac:dyDescent="0.3">
      <c r="A3" s="8" t="s">
        <v>161</v>
      </c>
      <c r="B3" s="8">
        <v>28</v>
      </c>
      <c r="C3" s="44">
        <v>24</v>
      </c>
      <c r="D3" s="26">
        <v>24</v>
      </c>
      <c r="E3" s="8">
        <f>SUM(B3:D3)</f>
        <v>76</v>
      </c>
      <c r="J3" s="7">
        <v>1</v>
      </c>
      <c r="K3" s="5">
        <f>E2</f>
        <v>56</v>
      </c>
      <c r="L3" s="5">
        <f>SUM(K3:K4)</f>
        <v>132</v>
      </c>
      <c r="M3" s="5">
        <f>SUM(L3:L4)</f>
        <v>234</v>
      </c>
      <c r="N3" s="10"/>
    </row>
    <row r="4" spans="1:16" x14ac:dyDescent="0.3">
      <c r="A4" s="8" t="s">
        <v>162</v>
      </c>
      <c r="B4" s="8">
        <v>11</v>
      </c>
      <c r="C4" s="44">
        <v>15</v>
      </c>
      <c r="D4" s="26">
        <v>10</v>
      </c>
      <c r="E4" s="8">
        <f>SUM(B4:D4)</f>
        <v>36</v>
      </c>
      <c r="J4" s="8" t="s">
        <v>161</v>
      </c>
      <c r="K4" s="5">
        <f>E3</f>
        <v>76</v>
      </c>
      <c r="L4" s="5">
        <f>SUM(K5:K6)</f>
        <v>102</v>
      </c>
      <c r="M4" s="5">
        <f>SUM(L5:L6)</f>
        <v>50</v>
      </c>
      <c r="N4" s="5">
        <f>M4^2/12</f>
        <v>208.33333333333334</v>
      </c>
    </row>
    <row r="5" spans="1:16" x14ac:dyDescent="0.3">
      <c r="A5" s="10" t="s">
        <v>163</v>
      </c>
      <c r="B5" s="10">
        <v>23</v>
      </c>
      <c r="C5" s="45">
        <v>22</v>
      </c>
      <c r="D5" s="33">
        <v>21</v>
      </c>
      <c r="E5" s="10">
        <f>SUM(B5:D5)</f>
        <v>66</v>
      </c>
      <c r="J5" s="8" t="s">
        <v>162</v>
      </c>
      <c r="K5" s="5">
        <f>E4</f>
        <v>36</v>
      </c>
      <c r="L5" s="5">
        <f>K4-K3</f>
        <v>20</v>
      </c>
      <c r="M5" s="5">
        <f>L4-L3</f>
        <v>-30</v>
      </c>
      <c r="N5" s="5">
        <f t="shared" ref="N5:N6" si="0">M5^2/12</f>
        <v>75</v>
      </c>
    </row>
    <row r="6" spans="1:16" x14ac:dyDescent="0.3">
      <c r="A6" s="26"/>
      <c r="B6" s="26"/>
      <c r="C6" s="26"/>
      <c r="D6" s="12" t="s">
        <v>4</v>
      </c>
      <c r="E6" s="13">
        <f>SUM(E2:E5)</f>
        <v>234</v>
      </c>
      <c r="J6" s="10" t="s">
        <v>163</v>
      </c>
      <c r="K6" s="5">
        <f>E5</f>
        <v>66</v>
      </c>
      <c r="L6" s="29">
        <f>K6-K5</f>
        <v>30</v>
      </c>
      <c r="M6" s="29">
        <f>L6-L5</f>
        <v>10</v>
      </c>
      <c r="N6" s="5">
        <f t="shared" si="0"/>
        <v>8.3333333333333339</v>
      </c>
    </row>
    <row r="7" spans="1:16" x14ac:dyDescent="0.3">
      <c r="L7" s="26"/>
      <c r="M7" s="12" t="s">
        <v>67</v>
      </c>
      <c r="N7" s="28">
        <f>SUM(N4:N6)</f>
        <v>291.66666666666669</v>
      </c>
    </row>
    <row r="8" spans="1:16" x14ac:dyDescent="0.3">
      <c r="D8" s="12" t="s">
        <v>210</v>
      </c>
      <c r="E8" s="74" t="s">
        <v>211</v>
      </c>
      <c r="F8" s="13">
        <f>SUMSQ(B2:D5)</f>
        <v>4886</v>
      </c>
    </row>
    <row r="9" spans="1:16" x14ac:dyDescent="0.3">
      <c r="E9" s="12" t="s">
        <v>63</v>
      </c>
      <c r="F9" s="13">
        <f>E6^2/12</f>
        <v>4563</v>
      </c>
    </row>
    <row r="10" spans="1:16" x14ac:dyDescent="0.3">
      <c r="E10" s="12" t="s">
        <v>66</v>
      </c>
      <c r="F10" s="13">
        <f>F8-F9</f>
        <v>323</v>
      </c>
      <c r="J10" s="5" t="s">
        <v>25</v>
      </c>
      <c r="K10" s="5" t="s">
        <v>8</v>
      </c>
      <c r="L10" s="5" t="s">
        <v>9</v>
      </c>
      <c r="M10" s="5" t="s">
        <v>26</v>
      </c>
      <c r="N10" s="29" t="s">
        <v>169</v>
      </c>
    </row>
    <row r="11" spans="1:16" x14ac:dyDescent="0.3">
      <c r="E11" s="12" t="s">
        <v>67</v>
      </c>
      <c r="F11" s="13">
        <f>((SUMSQ(E2:E5))/3)-F9</f>
        <v>291.66666666666697</v>
      </c>
      <c r="J11" s="5" t="s">
        <v>170</v>
      </c>
      <c r="K11" s="5">
        <f>1</f>
        <v>1</v>
      </c>
      <c r="L11" s="5">
        <f>N4</f>
        <v>208.33333333333334</v>
      </c>
      <c r="M11" s="5">
        <f>L11/K11</f>
        <v>208.33333333333334</v>
      </c>
      <c r="N11" s="5">
        <f t="shared" ref="N11:N13" si="1">M11/M$14</f>
        <v>53.19148936170216</v>
      </c>
    </row>
    <row r="12" spans="1:16" x14ac:dyDescent="0.3">
      <c r="E12" s="12" t="s">
        <v>73</v>
      </c>
      <c r="F12" s="13">
        <f>F10-F11</f>
        <v>31.33333333333303</v>
      </c>
      <c r="J12" s="5" t="s">
        <v>171</v>
      </c>
      <c r="K12" s="5">
        <v>1</v>
      </c>
      <c r="L12" s="5">
        <f>N5</f>
        <v>75</v>
      </c>
      <c r="M12" s="5">
        <f t="shared" ref="M12:M13" si="2">L12/K12</f>
        <v>75</v>
      </c>
      <c r="N12" s="5">
        <f t="shared" si="1"/>
        <v>19.148936170212778</v>
      </c>
    </row>
    <row r="13" spans="1:16" x14ac:dyDescent="0.3">
      <c r="J13" s="5" t="s">
        <v>172</v>
      </c>
      <c r="K13" s="5">
        <v>1</v>
      </c>
      <c r="L13" s="5">
        <f>N6</f>
        <v>8.3333333333333339</v>
      </c>
      <c r="M13" s="5">
        <f t="shared" si="2"/>
        <v>8.3333333333333339</v>
      </c>
      <c r="N13" s="5">
        <f t="shared" si="1"/>
        <v>2.1276595744680864</v>
      </c>
      <c r="O13" s="64"/>
      <c r="P13" s="64"/>
    </row>
    <row r="14" spans="1:16" x14ac:dyDescent="0.3">
      <c r="B14" s="47" t="s">
        <v>212</v>
      </c>
      <c r="C14" s="75" t="s">
        <v>9</v>
      </c>
      <c r="D14" s="75" t="s">
        <v>8</v>
      </c>
      <c r="E14" s="75" t="s">
        <v>26</v>
      </c>
      <c r="F14" s="76" t="s">
        <v>11</v>
      </c>
      <c r="J14" s="29" t="s">
        <v>64</v>
      </c>
      <c r="K14" s="5">
        <f>K15-K11-K12-K13</f>
        <v>8</v>
      </c>
      <c r="L14" s="5">
        <f>L15-(L11+L12+L13)</f>
        <v>31.333333333333314</v>
      </c>
      <c r="M14" s="5">
        <f>L14/K14</f>
        <v>3.9166666666666643</v>
      </c>
      <c r="N14" s="5"/>
    </row>
    <row r="15" spans="1:16" x14ac:dyDescent="0.3">
      <c r="B15" s="28" t="s">
        <v>61</v>
      </c>
      <c r="C15" s="5">
        <f>F11</f>
        <v>291.66666666666697</v>
      </c>
      <c r="D15" s="5">
        <v>3</v>
      </c>
      <c r="E15" s="5">
        <f>C15/D15</f>
        <v>97.222222222222328</v>
      </c>
      <c r="F15" s="27">
        <f t="shared" ref="F15" si="3">E15/E16</f>
        <v>24.822695035461258</v>
      </c>
      <c r="H15" s="26"/>
      <c r="I15" s="26"/>
      <c r="J15" s="5" t="s">
        <v>33</v>
      </c>
      <c r="K15" s="5">
        <f>D17</f>
        <v>11</v>
      </c>
      <c r="L15" s="5">
        <f>F10</f>
        <v>323</v>
      </c>
      <c r="M15" s="5"/>
      <c r="N15" s="5"/>
    </row>
    <row r="16" spans="1:16" x14ac:dyDescent="0.3">
      <c r="B16" s="28" t="s">
        <v>64</v>
      </c>
      <c r="C16" s="5">
        <f>F12</f>
        <v>31.33333333333303</v>
      </c>
      <c r="D16" s="5">
        <f>D17-D15</f>
        <v>8</v>
      </c>
      <c r="E16" s="5">
        <f t="shared" ref="E16" si="4">C16/D16</f>
        <v>3.9166666666666288</v>
      </c>
      <c r="F16" s="27"/>
      <c r="H16" s="26"/>
      <c r="I16" s="26"/>
      <c r="J16" s="26"/>
    </row>
    <row r="17" spans="2:10" x14ac:dyDescent="0.3">
      <c r="B17" s="31" t="s">
        <v>33</v>
      </c>
      <c r="C17" s="7">
        <f>F10</f>
        <v>323</v>
      </c>
      <c r="D17" s="7">
        <v>11</v>
      </c>
      <c r="E17" s="7"/>
      <c r="F17" s="43"/>
      <c r="H17" s="26"/>
      <c r="I17" s="26"/>
      <c r="J17" s="26"/>
    </row>
    <row r="18" spans="2:10" x14ac:dyDescent="0.3">
      <c r="H18" s="26"/>
      <c r="I18" s="26"/>
      <c r="J18" s="26"/>
    </row>
    <row r="19" spans="2:10" ht="15.6" x14ac:dyDescent="0.35">
      <c r="B19" s="12" t="s">
        <v>213</v>
      </c>
      <c r="C19" s="13">
        <f>F15</f>
        <v>24.822695035461258</v>
      </c>
      <c r="H19" s="26"/>
      <c r="I19" s="26"/>
      <c r="J19" s="26"/>
    </row>
    <row r="20" spans="2:10" ht="15.6" x14ac:dyDescent="0.35">
      <c r="B20" s="12" t="s">
        <v>214</v>
      </c>
      <c r="C20" s="13">
        <f>_xlfn.F.INV.RT(0.05,3,8)</f>
        <v>4.0661805513511613</v>
      </c>
      <c r="H20" s="26"/>
      <c r="I20" s="26"/>
      <c r="J20" s="26"/>
    </row>
    <row r="21" spans="2:10" x14ac:dyDescent="0.3">
      <c r="B21" s="7" t="s">
        <v>215</v>
      </c>
      <c r="H21" s="26"/>
      <c r="I21" s="26"/>
      <c r="J21" s="26"/>
    </row>
    <row r="22" spans="2:10" x14ac:dyDescent="0.3">
      <c r="B22" s="12"/>
      <c r="C22" s="77"/>
      <c r="D22" s="78"/>
      <c r="E22" s="78"/>
      <c r="F22" s="13"/>
      <c r="H22" s="26"/>
      <c r="I22" s="26"/>
    </row>
  </sheetData>
  <mergeCells count="2">
    <mergeCell ref="B1:D1"/>
    <mergeCell ref="J1:N1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D5D7-D4F7-4C5B-A0FB-3D6AAFB3F197}">
  <dimension ref="A1:S28"/>
  <sheetViews>
    <sheetView workbookViewId="0">
      <selection activeCell="K18" sqref="K18"/>
    </sheetView>
  </sheetViews>
  <sheetFormatPr defaultRowHeight="14.4" x14ac:dyDescent="0.3"/>
  <cols>
    <col min="13" max="13" width="24.21875" bestFit="1" customWidth="1"/>
  </cols>
  <sheetData>
    <row r="1" spans="1:19" x14ac:dyDescent="0.3">
      <c r="B1" s="7" t="s">
        <v>160</v>
      </c>
      <c r="C1" s="7" t="s">
        <v>193</v>
      </c>
      <c r="D1" s="7" t="s">
        <v>194</v>
      </c>
      <c r="E1" s="7" t="s">
        <v>191</v>
      </c>
      <c r="F1" s="7" t="s">
        <v>195</v>
      </c>
      <c r="G1" s="7" t="s">
        <v>196</v>
      </c>
      <c r="H1" s="7" t="s">
        <v>197</v>
      </c>
      <c r="I1" s="7" t="s">
        <v>198</v>
      </c>
      <c r="M1" s="1" t="s">
        <v>164</v>
      </c>
      <c r="N1" s="2"/>
      <c r="O1" s="2"/>
      <c r="P1" s="2"/>
      <c r="Q1" s="2"/>
      <c r="R1" s="2"/>
      <c r="S1" s="3"/>
    </row>
    <row r="2" spans="1:19" x14ac:dyDescent="0.3">
      <c r="B2" s="5" t="s">
        <v>177</v>
      </c>
      <c r="C2" s="5">
        <v>100</v>
      </c>
      <c r="D2" s="5" t="s">
        <v>178</v>
      </c>
      <c r="E2" s="5" t="s">
        <v>179</v>
      </c>
      <c r="F2" s="5" t="s">
        <v>180</v>
      </c>
      <c r="G2" s="5" t="s">
        <v>181</v>
      </c>
      <c r="H2" s="5" t="s">
        <v>182</v>
      </c>
      <c r="I2" s="5">
        <v>111</v>
      </c>
      <c r="M2" s="5" t="s">
        <v>167</v>
      </c>
      <c r="N2" s="26"/>
      <c r="O2" s="26"/>
      <c r="P2" s="26"/>
      <c r="Q2" s="26"/>
      <c r="R2" s="26"/>
      <c r="S2" s="26"/>
    </row>
    <row r="3" spans="1:19" x14ac:dyDescent="0.3">
      <c r="A3" s="63" t="s">
        <v>62</v>
      </c>
      <c r="B3" s="43">
        <v>101</v>
      </c>
      <c r="C3" s="30">
        <v>265</v>
      </c>
      <c r="D3" s="30">
        <v>312</v>
      </c>
      <c r="E3" s="30">
        <v>106</v>
      </c>
      <c r="F3" s="30">
        <v>391</v>
      </c>
      <c r="G3" s="30">
        <v>291</v>
      </c>
      <c r="H3" s="30">
        <v>373</v>
      </c>
      <c r="I3" s="31">
        <v>450</v>
      </c>
      <c r="M3" s="7" t="s">
        <v>199</v>
      </c>
      <c r="N3" s="43">
        <f>B7</f>
        <v>425</v>
      </c>
      <c r="O3" s="30">
        <f>N4+N3</f>
        <v>851</v>
      </c>
      <c r="P3" s="30">
        <f>O4+O3</f>
        <v>3172</v>
      </c>
      <c r="Q3" s="30">
        <f>P4+P3</f>
        <v>9324</v>
      </c>
      <c r="R3" s="30">
        <f t="shared" ref="R3:R10" si="0">Q3^2</f>
        <v>86936976</v>
      </c>
      <c r="S3" s="31"/>
    </row>
    <row r="4" spans="1:19" x14ac:dyDescent="0.3">
      <c r="A4" s="63"/>
      <c r="B4" s="44">
        <v>106</v>
      </c>
      <c r="C4" s="26">
        <v>272</v>
      </c>
      <c r="D4" s="26">
        <v>324</v>
      </c>
      <c r="E4" s="26">
        <v>89</v>
      </c>
      <c r="F4" s="26">
        <v>407</v>
      </c>
      <c r="G4" s="26">
        <v>306</v>
      </c>
      <c r="H4" s="26">
        <v>338</v>
      </c>
      <c r="I4" s="32">
        <v>449</v>
      </c>
      <c r="M4" s="8" t="s">
        <v>191</v>
      </c>
      <c r="N4" s="44">
        <f>E7</f>
        <v>426</v>
      </c>
      <c r="O4" s="26">
        <f>N6+N5</f>
        <v>2321</v>
      </c>
      <c r="P4" s="26">
        <f>O6+O5</f>
        <v>6152</v>
      </c>
      <c r="Q4" s="26">
        <f>P6+P5</f>
        <v>340</v>
      </c>
      <c r="R4" s="26">
        <f t="shared" si="0"/>
        <v>115600</v>
      </c>
      <c r="S4" s="32">
        <f t="shared" ref="S4:S9" si="1">R4/B$11</f>
        <v>3612.5</v>
      </c>
    </row>
    <row r="5" spans="1:19" x14ac:dyDescent="0.3">
      <c r="A5" s="63"/>
      <c r="B5" s="44">
        <v>87</v>
      </c>
      <c r="C5" s="26">
        <v>279</v>
      </c>
      <c r="D5" s="26">
        <v>323</v>
      </c>
      <c r="E5" s="26">
        <v>128</v>
      </c>
      <c r="F5" s="26">
        <v>423</v>
      </c>
      <c r="G5" s="26">
        <v>334</v>
      </c>
      <c r="H5" s="26">
        <v>324</v>
      </c>
      <c r="I5" s="32">
        <v>471</v>
      </c>
      <c r="M5" s="8" t="s">
        <v>193</v>
      </c>
      <c r="N5" s="44">
        <f>C7</f>
        <v>1118</v>
      </c>
      <c r="O5" s="26">
        <f>SUM(N7:N8)</f>
        <v>2679</v>
      </c>
      <c r="P5" s="26">
        <f>SUM(O7:O8)</f>
        <v>86</v>
      </c>
      <c r="Q5" s="26">
        <f>SUM(P7:P8)</f>
        <v>2264</v>
      </c>
      <c r="R5" s="26">
        <f t="shared" si="0"/>
        <v>5125696</v>
      </c>
      <c r="S5" s="32">
        <f t="shared" si="1"/>
        <v>160178</v>
      </c>
    </row>
    <row r="6" spans="1:19" x14ac:dyDescent="0.3">
      <c r="A6" s="63"/>
      <c r="B6" s="45">
        <v>131</v>
      </c>
      <c r="C6" s="33">
        <v>302</v>
      </c>
      <c r="D6" s="33">
        <v>324</v>
      </c>
      <c r="E6" s="33">
        <v>103</v>
      </c>
      <c r="F6" s="33">
        <v>445</v>
      </c>
      <c r="G6" s="33">
        <v>272</v>
      </c>
      <c r="H6" s="33">
        <v>361</v>
      </c>
      <c r="I6" s="34">
        <v>437</v>
      </c>
      <c r="M6" s="8" t="s">
        <v>196</v>
      </c>
      <c r="N6" s="44">
        <f>G7</f>
        <v>1203</v>
      </c>
      <c r="O6" s="26">
        <f>SUM(N9:N10)</f>
        <v>3473</v>
      </c>
      <c r="P6" s="26">
        <f>SUM(O9:O10)</f>
        <v>254</v>
      </c>
      <c r="Q6" s="26">
        <f>SUM(P9:P10)</f>
        <v>112</v>
      </c>
      <c r="R6" s="26">
        <f t="shared" si="0"/>
        <v>12544</v>
      </c>
      <c r="S6" s="32">
        <f t="shared" si="1"/>
        <v>392</v>
      </c>
    </row>
    <row r="7" spans="1:19" x14ac:dyDescent="0.3">
      <c r="A7" s="38" t="s">
        <v>183</v>
      </c>
      <c r="B7" s="5">
        <f t="shared" ref="B7:I7" si="2">SUM(B3:B6)</f>
        <v>425</v>
      </c>
      <c r="C7" s="5">
        <f t="shared" si="2"/>
        <v>1118</v>
      </c>
      <c r="D7" s="5">
        <f t="shared" si="2"/>
        <v>1283</v>
      </c>
      <c r="E7" s="5">
        <f t="shared" si="2"/>
        <v>426</v>
      </c>
      <c r="F7" s="5">
        <f t="shared" si="2"/>
        <v>1666</v>
      </c>
      <c r="G7" s="5">
        <f t="shared" si="2"/>
        <v>1203</v>
      </c>
      <c r="H7" s="5">
        <f t="shared" si="2"/>
        <v>1396</v>
      </c>
      <c r="I7" s="5">
        <f t="shared" si="2"/>
        <v>1807</v>
      </c>
      <c r="M7" s="8" t="s">
        <v>194</v>
      </c>
      <c r="N7" s="44">
        <f>D7</f>
        <v>1283</v>
      </c>
      <c r="O7" s="26">
        <f>N4-N3</f>
        <v>1</v>
      </c>
      <c r="P7" s="26">
        <f>O4-O3</f>
        <v>1470</v>
      </c>
      <c r="Q7" s="26">
        <f>P4-P3</f>
        <v>2980</v>
      </c>
      <c r="R7" s="26">
        <f t="shared" si="0"/>
        <v>8880400</v>
      </c>
      <c r="S7" s="32">
        <f t="shared" si="1"/>
        <v>277512.5</v>
      </c>
    </row>
    <row r="8" spans="1:19" x14ac:dyDescent="0.3">
      <c r="A8" s="12" t="s">
        <v>4</v>
      </c>
      <c r="B8" s="47">
        <f>SUM(B3:I6)</f>
        <v>9324</v>
      </c>
      <c r="D8" s="49" t="s">
        <v>63</v>
      </c>
      <c r="E8" s="47">
        <f>(B8^2)/B11</f>
        <v>2716780.5</v>
      </c>
      <c r="M8" s="8" t="s">
        <v>197</v>
      </c>
      <c r="N8" s="44">
        <f>H7</f>
        <v>1396</v>
      </c>
      <c r="O8" s="26">
        <f>N6-N5</f>
        <v>85</v>
      </c>
      <c r="P8" s="26">
        <f>O6-O5</f>
        <v>794</v>
      </c>
      <c r="Q8" s="26">
        <f>P6-P5</f>
        <v>168</v>
      </c>
      <c r="R8" s="26">
        <f t="shared" si="0"/>
        <v>28224</v>
      </c>
      <c r="S8" s="32">
        <f t="shared" si="1"/>
        <v>882</v>
      </c>
    </row>
    <row r="9" spans="1:19" x14ac:dyDescent="0.3">
      <c r="A9" s="12" t="s">
        <v>78</v>
      </c>
      <c r="B9" s="13">
        <v>4</v>
      </c>
      <c r="D9" s="12" t="s">
        <v>65</v>
      </c>
      <c r="E9" s="13">
        <f>SUMSQ(B3:I6)</f>
        <v>3182118</v>
      </c>
      <c r="M9" s="8" t="s">
        <v>200</v>
      </c>
      <c r="N9" s="44">
        <f>F7</f>
        <v>1666</v>
      </c>
      <c r="O9" s="26">
        <f>N8-N7</f>
        <v>113</v>
      </c>
      <c r="P9" s="26">
        <f>O8-O7</f>
        <v>84</v>
      </c>
      <c r="Q9" s="26">
        <f>P8-P7</f>
        <v>-676</v>
      </c>
      <c r="R9" s="26">
        <f t="shared" si="0"/>
        <v>456976</v>
      </c>
      <c r="S9" s="32">
        <f t="shared" si="1"/>
        <v>14280.5</v>
      </c>
    </row>
    <row r="10" spans="1:19" x14ac:dyDescent="0.3">
      <c r="A10" s="12" t="s">
        <v>79</v>
      </c>
      <c r="B10" s="13">
        <v>8</v>
      </c>
      <c r="D10" s="12" t="s">
        <v>66</v>
      </c>
      <c r="E10" s="13">
        <f>E9-E8</f>
        <v>465337.5</v>
      </c>
      <c r="M10" s="10" t="s">
        <v>201</v>
      </c>
      <c r="N10" s="45">
        <f>I7</f>
        <v>1807</v>
      </c>
      <c r="O10" s="33">
        <f>N10-N9</f>
        <v>141</v>
      </c>
      <c r="P10" s="33">
        <f>O10-O9</f>
        <v>28</v>
      </c>
      <c r="Q10" s="33">
        <f>P10-P9</f>
        <v>-56</v>
      </c>
      <c r="R10" s="33">
        <f t="shared" si="0"/>
        <v>3136</v>
      </c>
      <c r="S10" s="34"/>
    </row>
    <row r="11" spans="1:19" x14ac:dyDescent="0.3">
      <c r="A11" s="12" t="s">
        <v>3</v>
      </c>
      <c r="B11" s="13">
        <f>B9*B10</f>
        <v>32</v>
      </c>
      <c r="D11" s="36"/>
      <c r="E11" s="37"/>
      <c r="M11" s="26"/>
      <c r="N11" s="26"/>
      <c r="O11" s="26"/>
      <c r="P11" s="26"/>
      <c r="Q11" s="26"/>
      <c r="R11" s="12" t="s">
        <v>67</v>
      </c>
      <c r="S11" s="13">
        <f>SUM(S4:S10)</f>
        <v>456857.5</v>
      </c>
    </row>
    <row r="12" spans="1:19" x14ac:dyDescent="0.3">
      <c r="D12" s="36"/>
      <c r="E12" s="37"/>
    </row>
    <row r="13" spans="1:19" x14ac:dyDescent="0.3">
      <c r="D13" s="36"/>
      <c r="E13" s="37"/>
    </row>
    <row r="15" spans="1:19" x14ac:dyDescent="0.3">
      <c r="B15" s="5" t="s">
        <v>62</v>
      </c>
    </row>
    <row r="16" spans="1:19" x14ac:dyDescent="0.3">
      <c r="B16" s="7">
        <f>B3+SUM(F3:H3)</f>
        <v>1156</v>
      </c>
    </row>
    <row r="17" spans="1:18" x14ac:dyDescent="0.3">
      <c r="B17" s="8">
        <f>B4+SUM(F4:H4)</f>
        <v>1157</v>
      </c>
    </row>
    <row r="18" spans="1:18" x14ac:dyDescent="0.3">
      <c r="A18" s="64"/>
      <c r="B18" s="8">
        <f>B5+SUM(F5:H5)</f>
        <v>1168</v>
      </c>
      <c r="C18" s="64"/>
      <c r="D18" s="64"/>
      <c r="E18" s="64"/>
      <c r="F18" s="64"/>
      <c r="G18" s="64"/>
      <c r="M18" s="5" t="s">
        <v>25</v>
      </c>
      <c r="N18" s="5" t="s">
        <v>8</v>
      </c>
      <c r="O18" s="5" t="s">
        <v>9</v>
      </c>
      <c r="P18" s="5" t="s">
        <v>26</v>
      </c>
      <c r="Q18" s="29" t="s">
        <v>169</v>
      </c>
      <c r="R18" s="64"/>
    </row>
    <row r="19" spans="1:18" x14ac:dyDescent="0.3">
      <c r="B19" s="8">
        <f>B6+SUM(F6:H6)</f>
        <v>1209</v>
      </c>
      <c r="M19" s="5" t="s">
        <v>62</v>
      </c>
      <c r="N19" s="43">
        <f>7</f>
        <v>7</v>
      </c>
      <c r="O19" s="30">
        <f>SUMSQ(B16:B23)/4-E8</f>
        <v>1342.5</v>
      </c>
      <c r="P19" s="30">
        <f t="shared" ref="P19:P26" si="3">O19/N19</f>
        <v>191.78571428571428</v>
      </c>
      <c r="Q19" s="31">
        <f t="shared" ref="Q19:Q25" si="4">P19/P$26</f>
        <v>0.48366274706029522</v>
      </c>
    </row>
    <row r="20" spans="1:18" x14ac:dyDescent="0.3">
      <c r="B20" s="8">
        <f>SUM(C3:E3)+I3</f>
        <v>1133</v>
      </c>
      <c r="M20" s="5" t="s">
        <v>170</v>
      </c>
      <c r="N20" s="44">
        <v>1</v>
      </c>
      <c r="O20" s="26">
        <f t="shared" ref="O20:O25" si="5">S4</f>
        <v>3612.5</v>
      </c>
      <c r="P20" s="26">
        <f t="shared" si="3"/>
        <v>3612.5</v>
      </c>
      <c r="Q20" s="32">
        <f t="shared" si="4"/>
        <v>9.110332749562172</v>
      </c>
    </row>
    <row r="21" spans="1:18" x14ac:dyDescent="0.3">
      <c r="B21" s="8">
        <f>SUM(C4:E4)+I4</f>
        <v>1134</v>
      </c>
      <c r="M21" s="5" t="s">
        <v>171</v>
      </c>
      <c r="N21" s="44">
        <v>1</v>
      </c>
      <c r="O21" s="26">
        <f t="shared" si="5"/>
        <v>160178</v>
      </c>
      <c r="P21" s="26">
        <f t="shared" si="3"/>
        <v>160178</v>
      </c>
      <c r="Q21" s="32">
        <f t="shared" si="4"/>
        <v>403.95152364273207</v>
      </c>
    </row>
    <row r="22" spans="1:18" x14ac:dyDescent="0.3">
      <c r="B22" s="8">
        <f>SUM(C5:E5)+I5</f>
        <v>1201</v>
      </c>
      <c r="M22" s="5" t="s">
        <v>185</v>
      </c>
      <c r="N22" s="44">
        <v>1</v>
      </c>
      <c r="O22" s="26">
        <f t="shared" si="5"/>
        <v>392</v>
      </c>
      <c r="P22" s="26">
        <f t="shared" si="3"/>
        <v>392</v>
      </c>
      <c r="Q22" s="32">
        <f t="shared" si="4"/>
        <v>0.98858143607705784</v>
      </c>
    </row>
    <row r="23" spans="1:18" x14ac:dyDescent="0.3">
      <c r="B23" s="10">
        <f>SUM(C6:E6)+I6</f>
        <v>1166</v>
      </c>
      <c r="M23" s="5" t="s">
        <v>186</v>
      </c>
      <c r="N23" s="44">
        <v>1</v>
      </c>
      <c r="O23" s="26">
        <f t="shared" si="5"/>
        <v>277512.5</v>
      </c>
      <c r="P23" s="26">
        <f t="shared" si="3"/>
        <v>277512.5</v>
      </c>
      <c r="Q23" s="32">
        <f t="shared" si="4"/>
        <v>699.85639229422065</v>
      </c>
    </row>
    <row r="24" spans="1:18" x14ac:dyDescent="0.3">
      <c r="M24" s="5" t="s">
        <v>187</v>
      </c>
      <c r="N24" s="44">
        <v>1</v>
      </c>
      <c r="O24" s="26">
        <f t="shared" si="5"/>
        <v>882</v>
      </c>
      <c r="P24" s="26">
        <f t="shared" si="3"/>
        <v>882</v>
      </c>
      <c r="Q24" s="32">
        <f t="shared" si="4"/>
        <v>2.2243082311733802</v>
      </c>
    </row>
    <row r="25" spans="1:18" x14ac:dyDescent="0.3">
      <c r="M25" s="5" t="s">
        <v>188</v>
      </c>
      <c r="N25" s="44">
        <v>1</v>
      </c>
      <c r="O25" s="26">
        <f t="shared" si="5"/>
        <v>14280.5</v>
      </c>
      <c r="P25" s="26">
        <f t="shared" si="3"/>
        <v>14280.5</v>
      </c>
      <c r="Q25" s="32">
        <f t="shared" si="4"/>
        <v>36.013870402802105</v>
      </c>
    </row>
    <row r="26" spans="1:18" x14ac:dyDescent="0.3">
      <c r="M26" s="5" t="s">
        <v>64</v>
      </c>
      <c r="N26" s="44">
        <f>N27-SUM(N19:N25)</f>
        <v>18</v>
      </c>
      <c r="O26" s="26">
        <f>O27-SUM(O19:O25)</f>
        <v>7137.5</v>
      </c>
      <c r="P26" s="26">
        <f t="shared" si="3"/>
        <v>396.52777777777777</v>
      </c>
      <c r="Q26" s="32"/>
    </row>
    <row r="27" spans="1:18" x14ac:dyDescent="0.3">
      <c r="M27" s="5" t="s">
        <v>33</v>
      </c>
      <c r="N27" s="45">
        <f>B11-1</f>
        <v>31</v>
      </c>
      <c r="O27" s="33">
        <f>E10</f>
        <v>465337.5</v>
      </c>
      <c r="P27" s="33"/>
      <c r="Q27" s="34"/>
    </row>
    <row r="28" spans="1:18" x14ac:dyDescent="0.3">
      <c r="M28" s="26"/>
      <c r="N28" s="26"/>
      <c r="O28" s="26"/>
      <c r="P28" s="26"/>
      <c r="Q28" s="26"/>
    </row>
  </sheetData>
  <mergeCells count="2">
    <mergeCell ref="M1:S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Practical 10</vt:lpstr>
      <vt:lpstr>Practical 11</vt:lpstr>
      <vt:lpstr>Practical 12</vt:lpstr>
      <vt:lpstr>Practical 13</vt:lpstr>
      <vt:lpstr>Practical 14</vt:lpstr>
      <vt:lpstr>Practical 15</vt:lpstr>
      <vt:lpstr>Practical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Aharwal</dc:creator>
  <cp:lastModifiedBy>Gagan Aharwal</cp:lastModifiedBy>
  <dcterms:created xsi:type="dcterms:W3CDTF">2015-06-05T18:17:20Z</dcterms:created>
  <dcterms:modified xsi:type="dcterms:W3CDTF">2024-05-15T02:08:06Z</dcterms:modified>
</cp:coreProperties>
</file>